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4\"/>
    </mc:Choice>
  </mc:AlternateContent>
  <bookViews>
    <workbookView xWindow="0" yWindow="0" windowWidth="20490" windowHeight="7905"/>
  </bookViews>
  <sheets>
    <sheet name="2023" sheetId="1" r:id="rId1"/>
  </sheets>
  <definedNames>
    <definedName name="_xlnm._FilterDatabase" localSheetId="0" hidden="1">'2023'!$E$4:$E$1179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73" i="1" l="1"/>
  <c r="R973" i="1" s="1"/>
  <c r="S973" i="1" s="1"/>
  <c r="P972" i="1"/>
  <c r="R972" i="1" s="1"/>
  <c r="S972" i="1" s="1"/>
  <c r="P237" i="1" l="1"/>
  <c r="S237" i="1" s="1"/>
  <c r="R237" i="1" s="1"/>
  <c r="P69" i="1" l="1"/>
  <c r="S69" i="1" s="1"/>
  <c r="R69" i="1" s="1"/>
  <c r="P93" i="1"/>
  <c r="S93" i="1" s="1"/>
  <c r="R93" i="1" s="1"/>
  <c r="P88" i="1"/>
  <c r="S88" i="1" s="1"/>
  <c r="R88" i="1" s="1"/>
  <c r="P813" i="1" l="1"/>
  <c r="S813" i="1" s="1"/>
  <c r="R813" i="1" s="1"/>
  <c r="P722" i="1" l="1"/>
  <c r="S722" i="1" s="1"/>
  <c r="R722" i="1" s="1"/>
  <c r="P1177" i="1"/>
  <c r="S1177" i="1" s="1"/>
  <c r="R1177" i="1" s="1"/>
  <c r="P1172" i="1" l="1"/>
  <c r="S1172" i="1" s="1"/>
  <c r="R1172" i="1" s="1"/>
  <c r="P1171" i="1"/>
  <c r="S1171" i="1" s="1"/>
  <c r="R1171" i="1" s="1"/>
  <c r="P1019" i="1"/>
  <c r="S1019" i="1" s="1"/>
  <c r="R1019" i="1" s="1"/>
  <c r="P713" i="1"/>
  <c r="S713" i="1" s="1"/>
  <c r="R713" i="1" s="1"/>
  <c r="P711" i="1"/>
  <c r="S711" i="1" s="1"/>
  <c r="R711" i="1" s="1"/>
  <c r="P712" i="1"/>
  <c r="S712" i="1" s="1"/>
  <c r="R712" i="1" s="1"/>
  <c r="P710" i="1"/>
  <c r="S710" i="1" s="1"/>
  <c r="R710" i="1" s="1"/>
  <c r="P680" i="1" l="1"/>
  <c r="S680" i="1" s="1"/>
  <c r="R680" i="1" s="1"/>
  <c r="P1170" i="1" l="1"/>
  <c r="S1170" i="1" s="1"/>
  <c r="R1170" i="1" s="1"/>
  <c r="P1149" i="1"/>
  <c r="S1149" i="1" s="1"/>
  <c r="R1149" i="1" s="1"/>
  <c r="P1146" i="1"/>
  <c r="S1146" i="1" s="1"/>
  <c r="R1146" i="1" s="1"/>
  <c r="P1073" i="1"/>
  <c r="S1073" i="1" s="1"/>
  <c r="R1073" i="1" s="1"/>
  <c r="P740" i="1"/>
  <c r="S740" i="1" s="1"/>
  <c r="R740" i="1" s="1"/>
  <c r="P855" i="1" l="1"/>
  <c r="J855" i="1"/>
  <c r="P769" i="1"/>
  <c r="S769" i="1" s="1"/>
  <c r="R769" i="1" s="1"/>
  <c r="P578" i="1"/>
  <c r="S578" i="1" s="1"/>
  <c r="R578" i="1" s="1"/>
  <c r="P929" i="1"/>
  <c r="S929" i="1" s="1"/>
  <c r="R929" i="1" s="1"/>
  <c r="P488" i="1"/>
  <c r="S488" i="1" s="1"/>
  <c r="R488" i="1" s="1"/>
  <c r="P476" i="1"/>
  <c r="S476" i="1" s="1"/>
  <c r="R476" i="1" s="1"/>
  <c r="P484" i="1"/>
  <c r="S484" i="1" s="1"/>
  <c r="R484" i="1" s="1"/>
  <c r="P967" i="1"/>
  <c r="S967" i="1" s="1"/>
  <c r="R967" i="1" s="1"/>
  <c r="P681" i="1"/>
  <c r="S681" i="1" s="1"/>
  <c r="R681" i="1" s="1"/>
  <c r="P653" i="1"/>
  <c r="S653" i="1" s="1"/>
  <c r="R653" i="1" s="1"/>
  <c r="P620" i="1"/>
  <c r="S620" i="1" s="1"/>
  <c r="R620" i="1" s="1"/>
  <c r="P211" i="1"/>
  <c r="S211" i="1" s="1"/>
  <c r="R211" i="1" s="1"/>
  <c r="S855" i="1" l="1"/>
  <c r="R855" i="1" s="1"/>
  <c r="P186" i="1"/>
  <c r="S186" i="1" s="1"/>
  <c r="R186" i="1" s="1"/>
  <c r="P745" i="1" l="1"/>
  <c r="S745" i="1" s="1"/>
  <c r="R745" i="1" s="1"/>
  <c r="P121" i="1"/>
  <c r="S121" i="1" s="1"/>
  <c r="R121" i="1" s="1"/>
  <c r="P26" i="1"/>
  <c r="S26" i="1" s="1"/>
  <c r="R26" i="1" s="1"/>
  <c r="P7" i="1"/>
  <c r="S7" i="1" s="1"/>
  <c r="R7" i="1" s="1"/>
  <c r="P424" i="1" l="1"/>
  <c r="S424" i="1" s="1"/>
  <c r="R424" i="1" s="1"/>
  <c r="P423" i="1"/>
  <c r="S423" i="1" s="1"/>
  <c r="R423" i="1" s="1"/>
  <c r="P304" i="1" l="1"/>
  <c r="J304" i="1"/>
  <c r="P303" i="1"/>
  <c r="J303" i="1"/>
  <c r="S303" i="1" l="1"/>
  <c r="R303" i="1" s="1"/>
  <c r="S304" i="1"/>
  <c r="R304" i="1" s="1"/>
  <c r="P790" i="1"/>
  <c r="S790" i="1" s="1"/>
  <c r="R790" i="1" s="1"/>
  <c r="P587" i="1"/>
  <c r="S587" i="1" s="1"/>
  <c r="R587" i="1" s="1"/>
  <c r="P39" i="1" l="1"/>
  <c r="S39" i="1" s="1"/>
  <c r="R39" i="1" s="1"/>
  <c r="P282" i="1"/>
  <c r="S282" i="1" s="1"/>
  <c r="R282" i="1" s="1"/>
  <c r="P851" i="1" l="1"/>
  <c r="S851" i="1" s="1"/>
  <c r="R851" i="1" s="1"/>
  <c r="P45" i="1"/>
  <c r="S45" i="1" s="1"/>
  <c r="R45" i="1" s="1"/>
  <c r="P1130" i="1"/>
  <c r="S1130" i="1" s="1"/>
  <c r="R1130" i="1" s="1"/>
  <c r="P609" i="1" l="1"/>
  <c r="S609" i="1" s="1"/>
  <c r="R609" i="1" s="1"/>
  <c r="P968" i="1"/>
  <c r="S968" i="1" s="1"/>
  <c r="R968" i="1" s="1"/>
  <c r="P688" i="1"/>
  <c r="S688" i="1" s="1"/>
  <c r="R688" i="1" s="1"/>
  <c r="P637" i="1" l="1"/>
  <c r="S637" i="1" s="1"/>
  <c r="R637" i="1" s="1"/>
  <c r="P686" i="1"/>
  <c r="S686" i="1" s="1"/>
  <c r="R686" i="1" s="1"/>
  <c r="P687" i="1"/>
  <c r="S687" i="1" s="1"/>
  <c r="R687" i="1" s="1"/>
  <c r="P353" i="1"/>
  <c r="S353" i="1" s="1"/>
  <c r="R353" i="1" s="1"/>
  <c r="P354" i="1"/>
  <c r="S354" i="1" s="1"/>
  <c r="R354" i="1" s="1"/>
  <c r="P355" i="1"/>
  <c r="S355" i="1" s="1"/>
  <c r="R355" i="1" s="1"/>
  <c r="P356" i="1"/>
  <c r="S356" i="1" s="1"/>
  <c r="R356" i="1" s="1"/>
  <c r="P357" i="1"/>
  <c r="S357" i="1" s="1"/>
  <c r="R357" i="1" s="1"/>
  <c r="P285" i="1"/>
  <c r="S285" i="1" s="1"/>
  <c r="R285" i="1" s="1"/>
  <c r="J222" i="1"/>
  <c r="P221" i="1"/>
  <c r="J221" i="1"/>
  <c r="P220" i="1"/>
  <c r="J220" i="1"/>
  <c r="P219" i="1"/>
  <c r="J219" i="1"/>
  <c r="P213" i="1"/>
  <c r="J213" i="1"/>
  <c r="P205" i="1"/>
  <c r="J205" i="1"/>
  <c r="P206" i="1"/>
  <c r="S206" i="1" s="1"/>
  <c r="R206" i="1" s="1"/>
  <c r="P570" i="1"/>
  <c r="S570" i="1" s="1"/>
  <c r="R570" i="1" s="1"/>
  <c r="P571" i="1"/>
  <c r="S571" i="1" s="1"/>
  <c r="R571" i="1" s="1"/>
  <c r="P569" i="1"/>
  <c r="S569" i="1" s="1"/>
  <c r="R569" i="1" s="1"/>
  <c r="S213" i="1" l="1"/>
  <c r="R213" i="1" s="1"/>
  <c r="S219" i="1"/>
  <c r="R219" i="1" s="1"/>
  <c r="S220" i="1"/>
  <c r="R220" i="1" s="1"/>
  <c r="S221" i="1"/>
  <c r="R221" i="1" s="1"/>
  <c r="S205" i="1"/>
  <c r="R205" i="1" s="1"/>
  <c r="P568" i="1"/>
  <c r="S568" i="1" s="1"/>
  <c r="R568" i="1" s="1"/>
  <c r="P567" i="1"/>
  <c r="S567" i="1" s="1"/>
  <c r="R567" i="1" s="1"/>
  <c r="P1145" i="1" l="1"/>
  <c r="S1145" i="1" s="1"/>
  <c r="R1145" i="1" s="1"/>
  <c r="P240" i="1"/>
  <c r="S240" i="1" s="1"/>
  <c r="R240" i="1" s="1"/>
  <c r="P190" i="1" l="1"/>
  <c r="J190" i="1"/>
  <c r="S190" i="1" l="1"/>
  <c r="R190" i="1" s="1"/>
  <c r="P1000" i="1" l="1"/>
  <c r="S1000" i="1" s="1"/>
  <c r="R1000" i="1" s="1"/>
  <c r="P511" i="1"/>
  <c r="S511" i="1" s="1"/>
  <c r="R511" i="1" s="1"/>
  <c r="P322" i="1" l="1"/>
  <c r="S322" i="1" s="1"/>
  <c r="R322" i="1" s="1"/>
  <c r="P658" i="1" l="1"/>
  <c r="S658" i="1" s="1"/>
  <c r="R658" i="1" s="1"/>
  <c r="P14" i="1"/>
  <c r="S14" i="1" s="1"/>
  <c r="R14" i="1" s="1"/>
  <c r="J1050" i="1" l="1"/>
  <c r="P1050" i="1"/>
  <c r="J1046" i="1"/>
  <c r="P1046" i="1"/>
  <c r="P1038" i="1"/>
  <c r="S1038" i="1" s="1"/>
  <c r="R1038" i="1" s="1"/>
  <c r="P1035" i="1"/>
  <c r="S1035" i="1" s="1"/>
  <c r="R1035" i="1" s="1"/>
  <c r="P990" i="1"/>
  <c r="S990" i="1" s="1"/>
  <c r="R990" i="1" s="1"/>
  <c r="J735" i="1"/>
  <c r="P735" i="1"/>
  <c r="P951" i="1"/>
  <c r="S951" i="1" s="1"/>
  <c r="R951" i="1" s="1"/>
  <c r="P950" i="1"/>
  <c r="S950" i="1" s="1"/>
  <c r="R950" i="1" s="1"/>
  <c r="P784" i="1"/>
  <c r="S784" i="1" s="1"/>
  <c r="R784" i="1" s="1"/>
  <c r="P775" i="1"/>
  <c r="S775" i="1" s="1"/>
  <c r="R775" i="1" s="1"/>
  <c r="P872" i="1"/>
  <c r="S872" i="1" s="1"/>
  <c r="R872" i="1" s="1"/>
  <c r="P873" i="1"/>
  <c r="S873" i="1" s="1"/>
  <c r="R873" i="1" s="1"/>
  <c r="P874" i="1"/>
  <c r="S874" i="1" s="1"/>
  <c r="R874" i="1" s="1"/>
  <c r="P875" i="1"/>
  <c r="S875" i="1" s="1"/>
  <c r="R875" i="1" s="1"/>
  <c r="P876" i="1"/>
  <c r="S876" i="1" s="1"/>
  <c r="R876" i="1" s="1"/>
  <c r="P871" i="1"/>
  <c r="S871" i="1" s="1"/>
  <c r="R871" i="1" s="1"/>
  <c r="P882" i="1"/>
  <c r="S882" i="1" s="1"/>
  <c r="R882" i="1" s="1"/>
  <c r="P914" i="1"/>
  <c r="S914" i="1" s="1"/>
  <c r="R914" i="1" s="1"/>
  <c r="P904" i="1"/>
  <c r="S904" i="1" s="1"/>
  <c r="R904" i="1" s="1"/>
  <c r="P897" i="1"/>
  <c r="S897" i="1" s="1"/>
  <c r="R897" i="1" s="1"/>
  <c r="P815" i="1"/>
  <c r="S815" i="1" s="1"/>
  <c r="R815" i="1" s="1"/>
  <c r="P812" i="1"/>
  <c r="S812" i="1" s="1"/>
  <c r="R812" i="1" s="1"/>
  <c r="P955" i="1"/>
  <c r="S955" i="1" s="1"/>
  <c r="R955" i="1" s="1"/>
  <c r="P502" i="1"/>
  <c r="S502" i="1" s="1"/>
  <c r="R502" i="1" s="1"/>
  <c r="S1050" i="1" l="1"/>
  <c r="R1050" i="1" s="1"/>
  <c r="S1046" i="1"/>
  <c r="R1046" i="1" s="1"/>
  <c r="S735" i="1"/>
  <c r="R735" i="1" s="1"/>
  <c r="P630" i="1" l="1"/>
  <c r="S630" i="1" s="1"/>
  <c r="R630" i="1" s="1"/>
  <c r="P341" i="1"/>
  <c r="S341" i="1" s="1"/>
  <c r="R341" i="1" s="1"/>
  <c r="P340" i="1"/>
  <c r="S340" i="1" s="1"/>
  <c r="R340" i="1" s="1"/>
  <c r="P294" i="1"/>
  <c r="S294" i="1" s="1"/>
  <c r="R294" i="1" s="1"/>
  <c r="P267" i="1"/>
  <c r="S267" i="1" s="1"/>
  <c r="R267" i="1" s="1"/>
  <c r="P136" i="1"/>
  <c r="S136" i="1" s="1"/>
  <c r="R136" i="1" s="1"/>
  <c r="P607" i="1" l="1"/>
  <c r="S607" i="1" s="1"/>
  <c r="R607" i="1" s="1"/>
  <c r="P588" i="1"/>
  <c r="S588" i="1" s="1"/>
  <c r="R588" i="1" s="1"/>
  <c r="P596" i="1"/>
  <c r="S596" i="1" s="1"/>
  <c r="R596" i="1" s="1"/>
  <c r="P599" i="1"/>
  <c r="S599" i="1" s="1"/>
  <c r="R599" i="1" s="1"/>
  <c r="P601" i="1"/>
  <c r="S601" i="1" s="1"/>
  <c r="R601" i="1" s="1"/>
  <c r="P30" i="1"/>
  <c r="S30" i="1" s="1"/>
  <c r="R30" i="1" s="1"/>
  <c r="P16" i="1"/>
  <c r="S16" i="1" s="1"/>
  <c r="R16" i="1" s="1"/>
  <c r="P361" i="1"/>
  <c r="S361" i="1" s="1"/>
  <c r="R361" i="1" s="1"/>
  <c r="P360" i="1"/>
  <c r="S360" i="1" s="1"/>
  <c r="R360" i="1" s="1"/>
  <c r="P352" i="1" l="1"/>
  <c r="S352" i="1" s="1"/>
  <c r="R352" i="1" s="1"/>
  <c r="P1139" i="1" l="1"/>
  <c r="S1139" i="1" s="1"/>
  <c r="R1139" i="1" s="1"/>
  <c r="P1085" i="1"/>
  <c r="S1085" i="1" s="1"/>
  <c r="R1085" i="1" s="1"/>
  <c r="P1084" i="1"/>
  <c r="S1084" i="1" s="1"/>
  <c r="R1084" i="1" s="1"/>
  <c r="P1015" i="1"/>
  <c r="S1015" i="1" s="1"/>
  <c r="R1015" i="1" s="1"/>
  <c r="P703" i="1" l="1"/>
  <c r="S703" i="1" s="1"/>
  <c r="R703" i="1" s="1"/>
  <c r="P935" i="1"/>
  <c r="S935" i="1" s="1"/>
  <c r="R935" i="1" s="1"/>
  <c r="P860" i="1"/>
  <c r="S860" i="1" s="1"/>
  <c r="R860" i="1" s="1"/>
  <c r="P878" i="1"/>
  <c r="S878" i="1" s="1"/>
  <c r="R878" i="1" s="1"/>
  <c r="P780" i="1"/>
  <c r="P759" i="1"/>
  <c r="S759" i="1" s="1"/>
  <c r="R759" i="1" s="1"/>
  <c r="P915" i="1"/>
  <c r="S915" i="1" s="1"/>
  <c r="R915" i="1" s="1"/>
  <c r="P892" i="1"/>
  <c r="S892" i="1" s="1"/>
  <c r="R892" i="1" s="1"/>
  <c r="P893" i="1"/>
  <c r="S893" i="1" s="1"/>
  <c r="R893" i="1" s="1"/>
  <c r="P894" i="1"/>
  <c r="S894" i="1" s="1"/>
  <c r="R894" i="1" s="1"/>
  <c r="P896" i="1"/>
  <c r="S896" i="1" s="1"/>
  <c r="R896" i="1" s="1"/>
  <c r="P898" i="1"/>
  <c r="S898" i="1" s="1"/>
  <c r="R898" i="1" s="1"/>
  <c r="P899" i="1"/>
  <c r="S899" i="1" s="1"/>
  <c r="R899" i="1" s="1"/>
  <c r="P902" i="1"/>
  <c r="S902" i="1" s="1"/>
  <c r="R902" i="1" s="1"/>
  <c r="P908" i="1"/>
  <c r="S908" i="1" s="1"/>
  <c r="R908" i="1" s="1"/>
  <c r="P909" i="1"/>
  <c r="S909" i="1" s="1"/>
  <c r="R909" i="1" s="1"/>
  <c r="P910" i="1"/>
  <c r="S910" i="1" s="1"/>
  <c r="R910" i="1" s="1"/>
  <c r="P911" i="1"/>
  <c r="S911" i="1" s="1"/>
  <c r="R911" i="1" s="1"/>
  <c r="P912" i="1"/>
  <c r="S912" i="1" s="1"/>
  <c r="R912" i="1" s="1"/>
  <c r="P913" i="1"/>
  <c r="S913" i="1" s="1"/>
  <c r="R913" i="1" s="1"/>
  <c r="P891" i="1"/>
  <c r="S891" i="1" s="1"/>
  <c r="R891" i="1" s="1"/>
  <c r="P820" i="1"/>
  <c r="S820" i="1" s="1"/>
  <c r="R820" i="1" s="1"/>
  <c r="P821" i="1"/>
  <c r="S821" i="1" s="1"/>
  <c r="R821" i="1" s="1"/>
  <c r="P515" i="1"/>
  <c r="S515" i="1" s="1"/>
  <c r="R515" i="1" s="1"/>
  <c r="P492" i="1"/>
  <c r="S492" i="1" s="1"/>
  <c r="R492" i="1" s="1"/>
  <c r="P440" i="1"/>
  <c r="S440" i="1" s="1"/>
  <c r="R440" i="1" s="1"/>
  <c r="P961" i="1"/>
  <c r="S961" i="1" s="1"/>
  <c r="R961" i="1" s="1"/>
  <c r="P375" i="1"/>
  <c r="S375" i="1" s="1"/>
  <c r="R375" i="1" s="1"/>
  <c r="P685" i="1"/>
  <c r="S685" i="1" s="1"/>
  <c r="R685" i="1" s="1"/>
  <c r="P678" i="1"/>
  <c r="S678" i="1" s="1"/>
  <c r="R678" i="1" s="1"/>
  <c r="S780" i="1" l="1"/>
  <c r="R780" i="1" s="1"/>
  <c r="P619" i="1"/>
  <c r="S619" i="1" s="1"/>
  <c r="R619" i="1" s="1"/>
  <c r="P351" i="1" l="1"/>
  <c r="S351" i="1" s="1"/>
  <c r="R351" i="1" s="1"/>
  <c r="P344" i="1"/>
  <c r="S344" i="1" s="1"/>
  <c r="R344" i="1" s="1"/>
  <c r="P226" i="1" l="1"/>
  <c r="S226" i="1" s="1"/>
  <c r="R226" i="1" s="1"/>
  <c r="P168" i="1"/>
  <c r="S168" i="1" s="1"/>
  <c r="R168" i="1" s="1"/>
  <c r="P169" i="1"/>
  <c r="S169" i="1" s="1"/>
  <c r="R169" i="1" s="1"/>
  <c r="P154" i="1"/>
  <c r="S154" i="1" s="1"/>
  <c r="R154" i="1" s="1"/>
  <c r="P158" i="1"/>
  <c r="S158" i="1" s="1"/>
  <c r="R158" i="1" s="1"/>
  <c r="P747" i="1"/>
  <c r="S747" i="1" s="1"/>
  <c r="R747" i="1" s="1"/>
  <c r="P82" i="1"/>
  <c r="S82" i="1" s="1"/>
  <c r="R82" i="1" s="1"/>
  <c r="P552" i="1"/>
  <c r="S552" i="1" s="1"/>
  <c r="R552" i="1" s="1"/>
  <c r="P595" i="1"/>
  <c r="S595" i="1" s="1"/>
  <c r="R595" i="1" s="1"/>
  <c r="P12" i="1"/>
  <c r="S12" i="1" s="1"/>
  <c r="R12" i="1" s="1"/>
  <c r="P13" i="1"/>
  <c r="S13" i="1" s="1"/>
  <c r="R13" i="1" s="1"/>
  <c r="P15" i="1"/>
  <c r="S15" i="1" s="1"/>
  <c r="R15" i="1" s="1"/>
  <c r="P397" i="1" l="1"/>
  <c r="S397" i="1" s="1"/>
  <c r="R397" i="1" s="1"/>
  <c r="P998" i="1" l="1"/>
  <c r="S998" i="1" s="1"/>
  <c r="R998" i="1" s="1"/>
  <c r="P1179" i="1"/>
  <c r="S1179" i="1" s="1"/>
  <c r="R1179" i="1" s="1"/>
  <c r="P277" i="1"/>
  <c r="S277" i="1" s="1"/>
  <c r="R277" i="1" s="1"/>
  <c r="P757" i="1"/>
  <c r="S757" i="1" s="1"/>
  <c r="R757" i="1" s="1"/>
  <c r="P903" i="1"/>
  <c r="S903" i="1" s="1"/>
  <c r="R903" i="1" s="1"/>
  <c r="P901" i="1"/>
  <c r="S901" i="1" s="1"/>
  <c r="R901" i="1" s="1"/>
  <c r="P900" i="1"/>
  <c r="S900" i="1" s="1"/>
  <c r="R900" i="1" s="1"/>
  <c r="P677" i="1"/>
  <c r="S677" i="1" s="1"/>
  <c r="R677" i="1" s="1"/>
  <c r="P1134" i="1" l="1"/>
  <c r="S1134" i="1" s="1"/>
  <c r="R1134" i="1" s="1"/>
  <c r="P1140" i="1"/>
  <c r="S1140" i="1" s="1"/>
  <c r="R1140" i="1" s="1"/>
  <c r="P944" i="1"/>
  <c r="S944" i="1" s="1"/>
  <c r="R944" i="1" s="1"/>
  <c r="P838" i="1"/>
  <c r="S838" i="1" s="1"/>
  <c r="R838" i="1" s="1"/>
  <c r="P764" i="1"/>
  <c r="S764" i="1" s="1"/>
  <c r="R764" i="1" s="1"/>
  <c r="P884" i="1"/>
  <c r="S884" i="1" s="1"/>
  <c r="R884" i="1" s="1"/>
  <c r="P514" i="1"/>
  <c r="S514" i="1" s="1"/>
  <c r="R514" i="1" s="1"/>
  <c r="P447" i="1"/>
  <c r="S447" i="1" s="1"/>
  <c r="R447" i="1" s="1"/>
  <c r="P442" i="1"/>
  <c r="S442" i="1" s="1"/>
  <c r="R442" i="1" s="1"/>
  <c r="P428" i="1" l="1"/>
  <c r="S428" i="1" s="1"/>
  <c r="R428" i="1" s="1"/>
  <c r="P427" i="1"/>
  <c r="S427" i="1" s="1"/>
  <c r="R427" i="1" s="1"/>
  <c r="P396" i="1"/>
  <c r="S396" i="1" s="1"/>
  <c r="R396" i="1" s="1"/>
  <c r="P395" i="1"/>
  <c r="S395" i="1" s="1"/>
  <c r="R395" i="1" s="1"/>
  <c r="P390" i="1"/>
  <c r="S390" i="1" s="1"/>
  <c r="R390" i="1" s="1"/>
  <c r="P657" i="1" l="1"/>
  <c r="P634" i="1"/>
  <c r="S634" i="1" s="1"/>
  <c r="R634" i="1" s="1"/>
  <c r="S657" i="1" l="1"/>
  <c r="R657" i="1" s="1"/>
  <c r="P371" i="1"/>
  <c r="S371" i="1" s="1"/>
  <c r="R371" i="1" s="1"/>
  <c r="P651" i="1"/>
  <c r="S651" i="1" s="1"/>
  <c r="R651" i="1" s="1"/>
  <c r="P626" i="1"/>
  <c r="S626" i="1" s="1"/>
  <c r="R626" i="1" s="1"/>
  <c r="P1181" i="1"/>
  <c r="S1181" i="1" s="1"/>
  <c r="R1181" i="1" s="1"/>
  <c r="P266" i="1"/>
  <c r="J266" i="1"/>
  <c r="P260" i="1"/>
  <c r="S260" i="1" s="1"/>
  <c r="R260" i="1" s="1"/>
  <c r="P232" i="1"/>
  <c r="S232" i="1" s="1"/>
  <c r="R232" i="1" s="1"/>
  <c r="P187" i="1"/>
  <c r="P163" i="1"/>
  <c r="S163" i="1" s="1"/>
  <c r="R163" i="1" s="1"/>
  <c r="P161" i="1"/>
  <c r="S161" i="1" s="1"/>
  <c r="R161" i="1" s="1"/>
  <c r="P752" i="1"/>
  <c r="S752" i="1" s="1"/>
  <c r="R752" i="1" s="1"/>
  <c r="P276" i="1"/>
  <c r="S276" i="1" s="1"/>
  <c r="R276" i="1" s="1"/>
  <c r="P275" i="1"/>
  <c r="S275" i="1" s="1"/>
  <c r="R275" i="1" s="1"/>
  <c r="P79" i="1"/>
  <c r="S79" i="1" s="1"/>
  <c r="R79" i="1" s="1"/>
  <c r="P78" i="1"/>
  <c r="S78" i="1" s="1"/>
  <c r="R78" i="1" s="1"/>
  <c r="P126" i="1"/>
  <c r="S126" i="1" s="1"/>
  <c r="R126" i="1" s="1"/>
  <c r="P35" i="1"/>
  <c r="S35" i="1" s="1"/>
  <c r="R35" i="1" s="1"/>
  <c r="P36" i="1"/>
  <c r="S36" i="1" s="1"/>
  <c r="R36" i="1" s="1"/>
  <c r="S187" i="1" l="1"/>
  <c r="R187" i="1" s="1"/>
  <c r="S266" i="1"/>
  <c r="R266" i="1" s="1"/>
  <c r="P1075" i="1" l="1"/>
  <c r="S1075" i="1" s="1"/>
  <c r="R1075" i="1" s="1"/>
  <c r="P209" i="1"/>
  <c r="S209" i="1" s="1"/>
  <c r="R209" i="1" s="1"/>
  <c r="P210" i="1"/>
  <c r="S210" i="1" s="1"/>
  <c r="R210" i="1" s="1"/>
  <c r="P214" i="1"/>
  <c r="S214" i="1" s="1"/>
  <c r="R214" i="1" s="1"/>
  <c r="P197" i="1"/>
  <c r="P600" i="1"/>
  <c r="S600" i="1" s="1"/>
  <c r="R600" i="1" s="1"/>
  <c r="P1039" i="1"/>
  <c r="S1039" i="1" s="1"/>
  <c r="R1039" i="1" s="1"/>
  <c r="S197" i="1" l="1"/>
  <c r="R197" i="1" s="1"/>
  <c r="P392" i="1"/>
  <c r="S392" i="1" s="1"/>
  <c r="R392" i="1" s="1"/>
  <c r="P234" i="1"/>
  <c r="S234" i="1" s="1"/>
  <c r="R234" i="1" s="1"/>
  <c r="P119" i="1"/>
  <c r="S119" i="1" s="1"/>
  <c r="R119" i="1" s="1"/>
  <c r="P394" i="1" l="1"/>
  <c r="S394" i="1" s="1"/>
  <c r="R394" i="1" s="1"/>
  <c r="P393" i="1"/>
  <c r="S393" i="1" s="1"/>
  <c r="R393" i="1" s="1"/>
  <c r="P391" i="1"/>
  <c r="S391" i="1" s="1"/>
  <c r="R391" i="1" s="1"/>
  <c r="P832" i="1"/>
  <c r="S832" i="1" s="1"/>
  <c r="R832" i="1" s="1"/>
  <c r="J833" i="1"/>
  <c r="P833" i="1"/>
  <c r="P70" i="1"/>
  <c r="S70" i="1" s="1"/>
  <c r="R70" i="1" s="1"/>
  <c r="P98" i="1"/>
  <c r="S98" i="1" s="1"/>
  <c r="R98" i="1" s="1"/>
  <c r="P99" i="1"/>
  <c r="S99" i="1" s="1"/>
  <c r="R99" i="1" s="1"/>
  <c r="P100" i="1"/>
  <c r="S100" i="1" s="1"/>
  <c r="R100" i="1" s="1"/>
  <c r="P73" i="1"/>
  <c r="P76" i="1"/>
  <c r="S76" i="1" s="1"/>
  <c r="R76" i="1" s="1"/>
  <c r="P90" i="1"/>
  <c r="S90" i="1" s="1"/>
  <c r="R90" i="1" s="1"/>
  <c r="P94" i="1"/>
  <c r="S94" i="1" s="1"/>
  <c r="R94" i="1" s="1"/>
  <c r="P72" i="1"/>
  <c r="S72" i="1" s="1"/>
  <c r="R72" i="1" s="1"/>
  <c r="P55" i="1"/>
  <c r="S833" i="1" l="1"/>
  <c r="R833" i="1" s="1"/>
  <c r="P676" i="1" l="1"/>
  <c r="S676" i="1" s="1"/>
  <c r="R676" i="1" s="1"/>
  <c r="P225" i="1" l="1"/>
  <c r="S225" i="1" s="1"/>
  <c r="R225" i="1" s="1"/>
  <c r="P215" i="1"/>
  <c r="S215" i="1" s="1"/>
  <c r="R215" i="1" s="1"/>
  <c r="P674" i="1" l="1"/>
  <c r="S674" i="1" s="1"/>
  <c r="R674" i="1" s="1"/>
  <c r="P970" i="1" l="1"/>
  <c r="S970" i="1" s="1"/>
  <c r="R970" i="1" s="1"/>
  <c r="P461" i="1"/>
  <c r="S461" i="1" s="1"/>
  <c r="R461" i="1" s="1"/>
  <c r="P869" i="1"/>
  <c r="S869" i="1" s="1"/>
  <c r="R869" i="1" s="1"/>
  <c r="P870" i="1"/>
  <c r="S870" i="1" s="1"/>
  <c r="R870" i="1" s="1"/>
  <c r="P868" i="1"/>
  <c r="S868" i="1" s="1"/>
  <c r="R868" i="1" s="1"/>
  <c r="P932" i="1"/>
  <c r="S932" i="1" s="1"/>
  <c r="R932" i="1" s="1"/>
  <c r="P1120" i="1"/>
  <c r="S1120" i="1" s="1"/>
  <c r="R1120" i="1" s="1"/>
  <c r="P1119" i="1"/>
  <c r="S1119" i="1" s="1"/>
  <c r="R1119" i="1" s="1"/>
  <c r="P1144" i="1" l="1"/>
  <c r="S1144" i="1" s="1"/>
  <c r="R1144" i="1" s="1"/>
  <c r="P720" i="1"/>
  <c r="S720" i="1" s="1"/>
  <c r="R720" i="1" s="1"/>
  <c r="P964" i="1" l="1"/>
  <c r="S964" i="1" s="1"/>
  <c r="R964" i="1" s="1"/>
  <c r="P313" i="1" l="1"/>
  <c r="S313" i="1" s="1"/>
  <c r="R313" i="1" s="1"/>
  <c r="P963" i="1"/>
  <c r="S963" i="1" s="1"/>
  <c r="R963" i="1" s="1"/>
  <c r="P1088" i="1" l="1"/>
  <c r="S1088" i="1" s="1"/>
  <c r="R1088" i="1" s="1"/>
  <c r="P1026" i="1"/>
  <c r="J1026" i="1"/>
  <c r="P1014" i="1"/>
  <c r="S1014" i="1" s="1"/>
  <c r="R1014" i="1" s="1"/>
  <c r="S1026" i="1" l="1"/>
  <c r="R1026" i="1" s="1"/>
  <c r="P978" i="1"/>
  <c r="S978" i="1" s="1"/>
  <c r="R978" i="1" s="1"/>
  <c r="P591" i="1"/>
  <c r="S591" i="1" s="1"/>
  <c r="R591" i="1" s="1"/>
  <c r="J198" i="1" l="1"/>
  <c r="H198" i="1"/>
  <c r="P198" i="1" s="1"/>
  <c r="S198" i="1" l="1"/>
  <c r="R198" i="1" s="1"/>
  <c r="P751" i="1"/>
  <c r="S751" i="1" s="1"/>
  <c r="R751" i="1" s="1"/>
  <c r="P991" i="1" l="1"/>
  <c r="P856" i="1"/>
  <c r="J856" i="1"/>
  <c r="S856" i="1" l="1"/>
  <c r="R856" i="1" s="1"/>
  <c r="P413" i="1"/>
  <c r="S413" i="1" s="1"/>
  <c r="R413" i="1" s="1"/>
  <c r="P652" i="1"/>
  <c r="S652" i="1" s="1"/>
  <c r="R652" i="1" s="1"/>
  <c r="P53" i="1" l="1"/>
  <c r="S53" i="1" s="1"/>
  <c r="R53" i="1" s="1"/>
  <c r="J649" i="1" l="1"/>
  <c r="P649" i="1"/>
  <c r="S649" i="1" l="1"/>
  <c r="R649" i="1" s="1"/>
  <c r="P475" i="1"/>
  <c r="S475" i="1" s="1"/>
  <c r="R475" i="1" s="1"/>
  <c r="P455" i="1"/>
  <c r="S455" i="1" s="1"/>
  <c r="R455" i="1" s="1"/>
  <c r="P454" i="1"/>
  <c r="S454" i="1" s="1"/>
  <c r="R454" i="1" s="1"/>
  <c r="P453" i="1"/>
  <c r="S453" i="1" s="1"/>
  <c r="R453" i="1" s="1"/>
  <c r="P452" i="1"/>
  <c r="S452" i="1" s="1"/>
  <c r="R452" i="1" s="1"/>
  <c r="P451" i="1"/>
  <c r="S451" i="1" s="1"/>
  <c r="R451" i="1" s="1"/>
  <c r="P450" i="1"/>
  <c r="S450" i="1" s="1"/>
  <c r="R450" i="1" s="1"/>
  <c r="P449" i="1"/>
  <c r="S449" i="1" s="1"/>
  <c r="R449" i="1" s="1"/>
  <c r="P448" i="1"/>
  <c r="S448" i="1" s="1"/>
  <c r="R448" i="1" s="1"/>
  <c r="P446" i="1"/>
  <c r="S446" i="1" s="1"/>
  <c r="R446" i="1" s="1"/>
  <c r="P445" i="1"/>
  <c r="S445" i="1" s="1"/>
  <c r="R445" i="1" s="1"/>
  <c r="P444" i="1"/>
  <c r="S444" i="1" s="1"/>
  <c r="R444" i="1" s="1"/>
  <c r="P443" i="1"/>
  <c r="S443" i="1" s="1"/>
  <c r="R443" i="1" s="1"/>
  <c r="P194" i="1"/>
  <c r="J194" i="1"/>
  <c r="P192" i="1"/>
  <c r="J192" i="1"/>
  <c r="P191" i="1"/>
  <c r="J191" i="1"/>
  <c r="P188" i="1"/>
  <c r="S188" i="1" s="1"/>
  <c r="R188" i="1" s="1"/>
  <c r="P85" i="1"/>
  <c r="S85" i="1" s="1"/>
  <c r="R85" i="1" s="1"/>
  <c r="P84" i="1"/>
  <c r="S84" i="1" s="1"/>
  <c r="R84" i="1" s="1"/>
  <c r="P65" i="1"/>
  <c r="S65" i="1" s="1"/>
  <c r="R65" i="1" s="1"/>
  <c r="P64" i="1"/>
  <c r="S64" i="1" s="1"/>
  <c r="R64" i="1" s="1"/>
  <c r="P58" i="1"/>
  <c r="S58" i="1" s="1"/>
  <c r="R58" i="1" s="1"/>
  <c r="P42" i="1"/>
  <c r="J42" i="1"/>
  <c r="J41" i="1"/>
  <c r="P41" i="1"/>
  <c r="J40" i="1"/>
  <c r="P40" i="1"/>
  <c r="P32" i="1"/>
  <c r="S32" i="1" s="1"/>
  <c r="R32" i="1" s="1"/>
  <c r="S191" i="1" l="1"/>
  <c r="R191" i="1" s="1"/>
  <c r="S194" i="1"/>
  <c r="R194" i="1" s="1"/>
  <c r="S41" i="1"/>
  <c r="R41" i="1" s="1"/>
  <c r="S192" i="1"/>
  <c r="R192" i="1" s="1"/>
  <c r="S40" i="1"/>
  <c r="R40" i="1" s="1"/>
  <c r="S42" i="1"/>
  <c r="R42" i="1" s="1"/>
  <c r="P730" i="1"/>
  <c r="S730" i="1" s="1"/>
  <c r="R730" i="1" s="1"/>
  <c r="P1013" i="1" l="1"/>
  <c r="S1013" i="1" s="1"/>
  <c r="R1013" i="1" s="1"/>
  <c r="P579" i="1"/>
  <c r="S579" i="1" s="1"/>
  <c r="R579" i="1" s="1"/>
  <c r="P373" i="1"/>
  <c r="S373" i="1" s="1"/>
  <c r="R373" i="1" s="1"/>
  <c r="P323" i="1"/>
  <c r="S323" i="1" s="1"/>
  <c r="R323" i="1" s="1"/>
  <c r="P593" i="1"/>
  <c r="S593" i="1" s="1"/>
  <c r="R593" i="1" s="1"/>
  <c r="P34" i="1"/>
  <c r="S34" i="1" s="1"/>
  <c r="R34" i="1" s="1"/>
  <c r="P1161" i="1" l="1"/>
  <c r="S1161" i="1" s="1"/>
  <c r="R1161" i="1" s="1"/>
  <c r="P895" i="1"/>
  <c r="S895" i="1" s="1"/>
  <c r="R895" i="1" s="1"/>
  <c r="P504" i="1"/>
  <c r="S504" i="1" s="1"/>
  <c r="R504" i="1" s="1"/>
  <c r="P1136" i="1" l="1"/>
  <c r="S1136" i="1" s="1"/>
  <c r="R1136" i="1" s="1"/>
  <c r="P1135" i="1" l="1"/>
  <c r="S1135" i="1" s="1"/>
  <c r="R1135" i="1" s="1"/>
  <c r="P828" i="1"/>
  <c r="S828" i="1" s="1"/>
  <c r="R828" i="1" s="1"/>
  <c r="P103" i="1"/>
  <c r="S103" i="1" s="1"/>
  <c r="R103" i="1" s="1"/>
  <c r="P104" i="1"/>
  <c r="S104" i="1" s="1"/>
  <c r="R104" i="1" s="1"/>
  <c r="P847" i="1" l="1"/>
  <c r="S847" i="1" s="1"/>
  <c r="R847" i="1" s="1"/>
  <c r="P809" i="1"/>
  <c r="S809" i="1" s="1"/>
  <c r="R809" i="1" s="1"/>
  <c r="P496" i="1"/>
  <c r="S496" i="1" s="1"/>
  <c r="R496" i="1" s="1"/>
  <c r="P365" i="1"/>
  <c r="S365" i="1" s="1"/>
  <c r="R365" i="1" s="1"/>
  <c r="P262" i="1"/>
  <c r="S262" i="1" s="1"/>
  <c r="R262" i="1" s="1"/>
  <c r="P127" i="1" l="1"/>
  <c r="S127" i="1" s="1"/>
  <c r="R127" i="1" s="1"/>
  <c r="P95" i="1"/>
  <c r="S95" i="1" s="1"/>
  <c r="R95" i="1" s="1"/>
  <c r="P89" i="1"/>
  <c r="S89" i="1" s="1"/>
  <c r="R89" i="1" s="1"/>
  <c r="P86" i="1"/>
  <c r="S86" i="1" s="1"/>
  <c r="R86" i="1" s="1"/>
  <c r="S991" i="1" l="1"/>
  <c r="R991" i="1" s="1"/>
  <c r="P631" i="1" l="1"/>
  <c r="S631" i="1" s="1"/>
  <c r="R631" i="1" s="1"/>
  <c r="P224" i="1" l="1"/>
  <c r="S224" i="1" s="1"/>
  <c r="R224" i="1" s="1"/>
  <c r="P675" i="1" l="1"/>
  <c r="S675" i="1" s="1"/>
  <c r="R675" i="1" s="1"/>
  <c r="P767" i="1" l="1"/>
  <c r="S767" i="1" s="1"/>
  <c r="R767" i="1" s="1"/>
  <c r="J827" i="1"/>
  <c r="P827" i="1"/>
  <c r="P826" i="1"/>
  <c r="S826" i="1" s="1"/>
  <c r="R826" i="1" s="1"/>
  <c r="P979" i="1"/>
  <c r="S979" i="1" s="1"/>
  <c r="R979" i="1" s="1"/>
  <c r="P381" i="1"/>
  <c r="S381" i="1" s="1"/>
  <c r="R381" i="1" s="1"/>
  <c r="P380" i="1"/>
  <c r="S380" i="1" s="1"/>
  <c r="R380" i="1" s="1"/>
  <c r="P379" i="1"/>
  <c r="S379" i="1" s="1"/>
  <c r="R379" i="1" s="1"/>
  <c r="J185" i="1"/>
  <c r="P185" i="1"/>
  <c r="P184" i="1"/>
  <c r="S184" i="1" s="1"/>
  <c r="R184" i="1" s="1"/>
  <c r="P87" i="1"/>
  <c r="S87" i="1" s="1"/>
  <c r="R87" i="1" s="1"/>
  <c r="P49" i="1"/>
  <c r="S49" i="1" s="1"/>
  <c r="R49" i="1" s="1"/>
  <c r="P244" i="1"/>
  <c r="S244" i="1" s="1"/>
  <c r="R244" i="1" s="1"/>
  <c r="P245" i="1"/>
  <c r="S245" i="1" s="1"/>
  <c r="R245" i="1" s="1"/>
  <c r="J196" i="1"/>
  <c r="P196" i="1"/>
  <c r="P92" i="1"/>
  <c r="S92" i="1" s="1"/>
  <c r="R92" i="1" s="1"/>
  <c r="P91" i="1"/>
  <c r="S91" i="1" s="1"/>
  <c r="R91" i="1" s="1"/>
  <c r="P74" i="1"/>
  <c r="S74" i="1" s="1"/>
  <c r="R74" i="1" s="1"/>
  <c r="S827" i="1" l="1"/>
  <c r="R827" i="1" s="1"/>
  <c r="S185" i="1"/>
  <c r="R185" i="1" s="1"/>
  <c r="S196" i="1"/>
  <c r="R196" i="1" s="1"/>
  <c r="P555" i="1"/>
  <c r="P1175" i="1"/>
  <c r="S1175" i="1" s="1"/>
  <c r="R1175" i="1" s="1"/>
  <c r="P1167" i="1"/>
  <c r="S1167" i="1" s="1"/>
  <c r="R1167" i="1" s="1"/>
  <c r="P1163" i="1"/>
  <c r="S1163" i="1" s="1"/>
  <c r="R1163" i="1" s="1"/>
  <c r="P1159" i="1"/>
  <c r="J1159" i="1"/>
  <c r="P1158" i="1"/>
  <c r="J1158" i="1"/>
  <c r="P1157" i="1"/>
  <c r="J1157" i="1"/>
  <c r="P1156" i="1"/>
  <c r="J1156" i="1"/>
  <c r="P1155" i="1"/>
  <c r="S1155" i="1" s="1"/>
  <c r="R1155" i="1" s="1"/>
  <c r="P1154" i="1"/>
  <c r="J1154" i="1"/>
  <c r="P1153" i="1"/>
  <c r="J1153" i="1"/>
  <c r="P1152" i="1"/>
  <c r="J1152" i="1"/>
  <c r="P1151" i="1"/>
  <c r="J1151" i="1"/>
  <c r="P1148" i="1"/>
  <c r="S1148" i="1" s="1"/>
  <c r="R1148" i="1" s="1"/>
  <c r="P1147" i="1"/>
  <c r="S1147" i="1" s="1"/>
  <c r="R1147" i="1" s="1"/>
  <c r="P1143" i="1"/>
  <c r="S1143" i="1" s="1"/>
  <c r="R1143" i="1" s="1"/>
  <c r="P1142" i="1"/>
  <c r="S1142" i="1" s="1"/>
  <c r="R1142" i="1" s="1"/>
  <c r="P1141" i="1"/>
  <c r="S1141" i="1" s="1"/>
  <c r="R1141" i="1" s="1"/>
  <c r="P1138" i="1"/>
  <c r="S1138" i="1" s="1"/>
  <c r="R1138" i="1" s="1"/>
  <c r="P1137" i="1"/>
  <c r="S1137" i="1" s="1"/>
  <c r="R1137" i="1" s="1"/>
  <c r="P1131" i="1"/>
  <c r="J1131" i="1"/>
  <c r="P1129" i="1"/>
  <c r="J1129" i="1"/>
  <c r="P1128" i="1"/>
  <c r="J1128" i="1"/>
  <c r="P1127" i="1"/>
  <c r="J1127" i="1"/>
  <c r="P1125" i="1"/>
  <c r="S1125" i="1" s="1"/>
  <c r="R1125" i="1" s="1"/>
  <c r="R1124" i="1"/>
  <c r="P1122" i="1"/>
  <c r="J1122" i="1"/>
  <c r="P1121" i="1"/>
  <c r="J1121" i="1"/>
  <c r="P1116" i="1"/>
  <c r="S1116" i="1" s="1"/>
  <c r="R1116" i="1" s="1"/>
  <c r="R1115" i="1"/>
  <c r="P1113" i="1"/>
  <c r="S1113" i="1" s="1"/>
  <c r="R1113" i="1" s="1"/>
  <c r="P1112" i="1"/>
  <c r="S1112" i="1" s="1"/>
  <c r="R1112" i="1" s="1"/>
  <c r="P1111" i="1"/>
  <c r="J1111" i="1"/>
  <c r="P1110" i="1"/>
  <c r="J1110" i="1"/>
  <c r="P1108" i="1"/>
  <c r="S1108" i="1" s="1"/>
  <c r="R1108" i="1" s="1"/>
  <c r="P1107" i="1"/>
  <c r="S1107" i="1" s="1"/>
  <c r="R1107" i="1" s="1"/>
  <c r="P1105" i="1"/>
  <c r="S1105" i="1" s="1"/>
  <c r="R1105" i="1" s="1"/>
  <c r="P1104" i="1"/>
  <c r="S1104" i="1" s="1"/>
  <c r="R1104" i="1" s="1"/>
  <c r="P1103" i="1"/>
  <c r="S1103" i="1" s="1"/>
  <c r="R1103" i="1" s="1"/>
  <c r="P1099" i="1"/>
  <c r="J1099" i="1"/>
  <c r="P1096" i="1"/>
  <c r="J1096" i="1"/>
  <c r="P1095" i="1"/>
  <c r="J1095" i="1"/>
  <c r="P1094" i="1"/>
  <c r="S1094" i="1" s="1"/>
  <c r="R1094" i="1" s="1"/>
  <c r="P1093" i="1"/>
  <c r="S1093" i="1" s="1"/>
  <c r="R1093" i="1" s="1"/>
  <c r="J1092" i="1"/>
  <c r="P1092" i="1"/>
  <c r="J1091" i="1"/>
  <c r="P1091" i="1"/>
  <c r="P1089" i="1"/>
  <c r="S1089" i="1" s="1"/>
  <c r="R1089" i="1" s="1"/>
  <c r="P1087" i="1"/>
  <c r="S1087" i="1" s="1"/>
  <c r="R1087" i="1" s="1"/>
  <c r="P1086" i="1"/>
  <c r="S1086" i="1" s="1"/>
  <c r="R1086" i="1" s="1"/>
  <c r="P1083" i="1"/>
  <c r="S1083" i="1" s="1"/>
  <c r="R1083" i="1" s="1"/>
  <c r="P1082" i="1"/>
  <c r="S1082" i="1" s="1"/>
  <c r="R1082" i="1" s="1"/>
  <c r="P1080" i="1"/>
  <c r="S1080" i="1" s="1"/>
  <c r="R1080" i="1" s="1"/>
  <c r="P1079" i="1"/>
  <c r="S1079" i="1" s="1"/>
  <c r="R1079" i="1" s="1"/>
  <c r="P1078" i="1"/>
  <c r="S1078" i="1" s="1"/>
  <c r="R1078" i="1" s="1"/>
  <c r="P1077" i="1"/>
  <c r="S1077" i="1" s="1"/>
  <c r="R1077" i="1" s="1"/>
  <c r="P1076" i="1"/>
  <c r="S1076" i="1" s="1"/>
  <c r="R1076" i="1" s="1"/>
  <c r="P1072" i="1"/>
  <c r="S1072" i="1" s="1"/>
  <c r="R1072" i="1" s="1"/>
  <c r="P1069" i="1"/>
  <c r="S1069" i="1" s="1"/>
  <c r="R1069" i="1" s="1"/>
  <c r="P1066" i="1"/>
  <c r="S1066" i="1" s="1"/>
  <c r="R1066" i="1" s="1"/>
  <c r="P1065" i="1"/>
  <c r="S1065" i="1" s="1"/>
  <c r="R1065" i="1" s="1"/>
  <c r="P1064" i="1"/>
  <c r="S1064" i="1" s="1"/>
  <c r="R1064" i="1" s="1"/>
  <c r="P1062" i="1"/>
  <c r="J1062" i="1"/>
  <c r="P1061" i="1"/>
  <c r="J1061" i="1"/>
  <c r="P1060" i="1"/>
  <c r="J1060" i="1"/>
  <c r="P1058" i="1"/>
  <c r="S1058" i="1" s="1"/>
  <c r="R1058" i="1" s="1"/>
  <c r="P1056" i="1"/>
  <c r="S1056" i="1" s="1"/>
  <c r="R1056" i="1" s="1"/>
  <c r="P1055" i="1"/>
  <c r="S1055" i="1" s="1"/>
  <c r="R1055" i="1" s="1"/>
  <c r="P1052" i="1"/>
  <c r="S1052" i="1" s="1"/>
  <c r="R1052" i="1" s="1"/>
  <c r="P1049" i="1"/>
  <c r="S1049" i="1" s="1"/>
  <c r="R1049" i="1" s="1"/>
  <c r="P1048" i="1"/>
  <c r="S1048" i="1" s="1"/>
  <c r="R1048" i="1" s="1"/>
  <c r="P1047" i="1"/>
  <c r="S1047" i="1" s="1"/>
  <c r="R1047" i="1" s="1"/>
  <c r="P1044" i="1"/>
  <c r="J1044" i="1"/>
  <c r="P1043" i="1"/>
  <c r="J1043" i="1"/>
  <c r="J1042" i="1"/>
  <c r="P1042" i="1"/>
  <c r="P1041" i="1"/>
  <c r="J1041" i="1"/>
  <c r="P1040" i="1"/>
  <c r="S1040" i="1" s="1"/>
  <c r="R1040" i="1" s="1"/>
  <c r="J1037" i="1"/>
  <c r="P1037" i="1"/>
  <c r="P1036" i="1"/>
  <c r="J1036" i="1"/>
  <c r="P1034" i="1"/>
  <c r="S1034" i="1" s="1"/>
  <c r="R1034" i="1" s="1"/>
  <c r="P1033" i="1"/>
  <c r="J1033" i="1"/>
  <c r="P1032" i="1"/>
  <c r="J1032" i="1"/>
  <c r="P1031" i="1"/>
  <c r="J1031" i="1"/>
  <c r="P1030" i="1"/>
  <c r="J1030" i="1"/>
  <c r="P1029" i="1"/>
  <c r="J1029" i="1"/>
  <c r="P1028" i="1"/>
  <c r="J1028" i="1"/>
  <c r="P1027" i="1"/>
  <c r="J1027" i="1"/>
  <c r="P1024" i="1"/>
  <c r="S1024" i="1" s="1"/>
  <c r="R1024" i="1" s="1"/>
  <c r="P1023" i="1"/>
  <c r="S1023" i="1" s="1"/>
  <c r="R1023" i="1" s="1"/>
  <c r="P1022" i="1"/>
  <c r="S1022" i="1" s="1"/>
  <c r="R1022" i="1" s="1"/>
  <c r="P1021" i="1"/>
  <c r="S1021" i="1" s="1"/>
  <c r="R1021" i="1" s="1"/>
  <c r="P1020" i="1"/>
  <c r="S1020" i="1" s="1"/>
  <c r="R1020" i="1" s="1"/>
  <c r="P1018" i="1"/>
  <c r="S1018" i="1" s="1"/>
  <c r="R1018" i="1" s="1"/>
  <c r="P1017" i="1"/>
  <c r="S1017" i="1" s="1"/>
  <c r="R1017" i="1" s="1"/>
  <c r="P1016" i="1"/>
  <c r="S1016" i="1" s="1"/>
  <c r="R1016" i="1" s="1"/>
  <c r="P1012" i="1"/>
  <c r="S1012" i="1" s="1"/>
  <c r="R1012" i="1" s="1"/>
  <c r="P1011" i="1"/>
  <c r="S1011" i="1" s="1"/>
  <c r="R1011" i="1" s="1"/>
  <c r="P1010" i="1"/>
  <c r="S1010" i="1" s="1"/>
  <c r="R1010" i="1" s="1"/>
  <c r="P1007" i="1"/>
  <c r="J1007" i="1"/>
  <c r="P1005" i="1"/>
  <c r="S1005" i="1" s="1"/>
  <c r="R1005" i="1" s="1"/>
  <c r="P1004" i="1"/>
  <c r="S1004" i="1" s="1"/>
  <c r="R1004" i="1" s="1"/>
  <c r="P995" i="1"/>
  <c r="J995" i="1"/>
  <c r="P994" i="1"/>
  <c r="J994" i="1"/>
  <c r="P992" i="1"/>
  <c r="S992" i="1" s="1"/>
  <c r="R992" i="1" s="1"/>
  <c r="P989" i="1"/>
  <c r="J989" i="1"/>
  <c r="P986" i="1"/>
  <c r="J986" i="1"/>
  <c r="P985" i="1"/>
  <c r="J985" i="1"/>
  <c r="P984" i="1"/>
  <c r="S984" i="1" s="1"/>
  <c r="R984" i="1" s="1"/>
  <c r="P983" i="1"/>
  <c r="S983" i="1" s="1"/>
  <c r="R983" i="1" s="1"/>
  <c r="P982" i="1"/>
  <c r="J982" i="1"/>
  <c r="P981" i="1"/>
  <c r="J981" i="1"/>
  <c r="P977" i="1"/>
  <c r="S977" i="1" s="1"/>
  <c r="R977" i="1" s="1"/>
  <c r="P966" i="1"/>
  <c r="S966" i="1" s="1"/>
  <c r="R966" i="1" s="1"/>
  <c r="P960" i="1"/>
  <c r="S960" i="1" s="1"/>
  <c r="R960" i="1" s="1"/>
  <c r="P959" i="1"/>
  <c r="J959" i="1"/>
  <c r="P958" i="1"/>
  <c r="J958" i="1"/>
  <c r="P956" i="1"/>
  <c r="S956" i="1" s="1"/>
  <c r="R956" i="1" s="1"/>
  <c r="P954" i="1"/>
  <c r="S954" i="1" s="1"/>
  <c r="R954" i="1" s="1"/>
  <c r="P947" i="1"/>
  <c r="J947" i="1"/>
  <c r="P946" i="1"/>
  <c r="J946" i="1"/>
  <c r="P945" i="1"/>
  <c r="J945" i="1"/>
  <c r="P943" i="1"/>
  <c r="J943" i="1"/>
  <c r="P942" i="1"/>
  <c r="J942" i="1"/>
  <c r="P941" i="1"/>
  <c r="J941" i="1"/>
  <c r="J940" i="1"/>
  <c r="P940" i="1"/>
  <c r="P939" i="1"/>
  <c r="J939" i="1"/>
  <c r="P937" i="1"/>
  <c r="S937" i="1" s="1"/>
  <c r="R937" i="1" s="1"/>
  <c r="P936" i="1"/>
  <c r="S936" i="1" s="1"/>
  <c r="R936" i="1" s="1"/>
  <c r="P934" i="1"/>
  <c r="S934" i="1" s="1"/>
  <c r="R934" i="1" s="1"/>
  <c r="P933" i="1"/>
  <c r="S933" i="1" s="1"/>
  <c r="R933" i="1" s="1"/>
  <c r="P927" i="1"/>
  <c r="J927" i="1"/>
  <c r="P925" i="1"/>
  <c r="S925" i="1" s="1"/>
  <c r="R925" i="1" s="1"/>
  <c r="P921" i="1"/>
  <c r="S921" i="1" s="1"/>
  <c r="R921" i="1" s="1"/>
  <c r="P920" i="1"/>
  <c r="S920" i="1" s="1"/>
  <c r="R920" i="1" s="1"/>
  <c r="P919" i="1"/>
  <c r="S919" i="1" s="1"/>
  <c r="R919" i="1" s="1"/>
  <c r="P918" i="1"/>
  <c r="S918" i="1" s="1"/>
  <c r="R918" i="1" s="1"/>
  <c r="P917" i="1"/>
  <c r="S917" i="1" s="1"/>
  <c r="R917" i="1" s="1"/>
  <c r="P907" i="1"/>
  <c r="S907" i="1" s="1"/>
  <c r="R907" i="1" s="1"/>
  <c r="P906" i="1"/>
  <c r="S906" i="1" s="1"/>
  <c r="R906" i="1" s="1"/>
  <c r="P905" i="1"/>
  <c r="S905" i="1" s="1"/>
  <c r="R905" i="1" s="1"/>
  <c r="P890" i="1"/>
  <c r="S890" i="1" s="1"/>
  <c r="R890" i="1" s="1"/>
  <c r="P889" i="1"/>
  <c r="S889" i="1" s="1"/>
  <c r="R889" i="1" s="1"/>
  <c r="P888" i="1"/>
  <c r="S888" i="1" s="1"/>
  <c r="R888" i="1" s="1"/>
  <c r="P886" i="1"/>
  <c r="J886" i="1"/>
  <c r="P883" i="1"/>
  <c r="S883" i="1" s="1"/>
  <c r="R883" i="1" s="1"/>
  <c r="P881" i="1"/>
  <c r="S881" i="1" s="1"/>
  <c r="R881" i="1" s="1"/>
  <c r="P866" i="1"/>
  <c r="S866" i="1" s="1"/>
  <c r="R866" i="1" s="1"/>
  <c r="P865" i="1"/>
  <c r="J865" i="1"/>
  <c r="P864" i="1"/>
  <c r="J864" i="1"/>
  <c r="P863" i="1"/>
  <c r="J863" i="1"/>
  <c r="P862" i="1"/>
  <c r="J862" i="1"/>
  <c r="P861" i="1"/>
  <c r="J861" i="1"/>
  <c r="P859" i="1"/>
  <c r="J859" i="1"/>
  <c r="P858" i="1"/>
  <c r="J858" i="1"/>
  <c r="J857" i="1"/>
  <c r="P857" i="1"/>
  <c r="P853" i="1"/>
  <c r="S853" i="1" s="1"/>
  <c r="R853" i="1" s="1"/>
  <c r="P852" i="1"/>
  <c r="S852" i="1" s="1"/>
  <c r="R852" i="1" s="1"/>
  <c r="P850" i="1"/>
  <c r="S850" i="1" s="1"/>
  <c r="R850" i="1" s="1"/>
  <c r="P849" i="1"/>
  <c r="S849" i="1" s="1"/>
  <c r="R849" i="1" s="1"/>
  <c r="P848" i="1"/>
  <c r="S848" i="1" s="1"/>
  <c r="R848" i="1" s="1"/>
  <c r="P846" i="1"/>
  <c r="S846" i="1" s="1"/>
  <c r="R846" i="1" s="1"/>
  <c r="P845" i="1"/>
  <c r="S845" i="1" s="1"/>
  <c r="R845" i="1" s="1"/>
  <c r="P844" i="1"/>
  <c r="S844" i="1" s="1"/>
  <c r="R844" i="1" s="1"/>
  <c r="P843" i="1"/>
  <c r="S843" i="1" s="1"/>
  <c r="R843" i="1" s="1"/>
  <c r="P842" i="1"/>
  <c r="S842" i="1" s="1"/>
  <c r="R842" i="1" s="1"/>
  <c r="P841" i="1"/>
  <c r="S841" i="1" s="1"/>
  <c r="R841" i="1" s="1"/>
  <c r="P840" i="1"/>
  <c r="S840" i="1" s="1"/>
  <c r="R840" i="1" s="1"/>
  <c r="P839" i="1"/>
  <c r="S839" i="1" s="1"/>
  <c r="R839" i="1" s="1"/>
  <c r="H835" i="1"/>
  <c r="P835" i="1" s="1"/>
  <c r="S835" i="1" s="1"/>
  <c r="R835" i="1" s="1"/>
  <c r="P831" i="1"/>
  <c r="J831" i="1"/>
  <c r="P829" i="1"/>
  <c r="S829" i="1" s="1"/>
  <c r="R829" i="1" s="1"/>
  <c r="P825" i="1"/>
  <c r="S825" i="1" s="1"/>
  <c r="R825" i="1" s="1"/>
  <c r="P824" i="1"/>
  <c r="S824" i="1" s="1"/>
  <c r="R824" i="1" s="1"/>
  <c r="P819" i="1"/>
  <c r="S819" i="1" s="1"/>
  <c r="R819" i="1" s="1"/>
  <c r="P818" i="1"/>
  <c r="S818" i="1" s="1"/>
  <c r="R818" i="1" s="1"/>
  <c r="P816" i="1"/>
  <c r="J816" i="1"/>
  <c r="P814" i="1"/>
  <c r="S814" i="1" s="1"/>
  <c r="R814" i="1" s="1"/>
  <c r="P810" i="1"/>
  <c r="S810" i="1" s="1"/>
  <c r="R810" i="1" s="1"/>
  <c r="P808" i="1"/>
  <c r="S808" i="1" s="1"/>
  <c r="R808" i="1" s="1"/>
  <c r="P807" i="1"/>
  <c r="S807" i="1" s="1"/>
  <c r="R807" i="1" s="1"/>
  <c r="P806" i="1"/>
  <c r="S806" i="1" s="1"/>
  <c r="R806" i="1" s="1"/>
  <c r="P805" i="1"/>
  <c r="S805" i="1" s="1"/>
  <c r="R805" i="1" s="1"/>
  <c r="P804" i="1"/>
  <c r="S804" i="1" s="1"/>
  <c r="R804" i="1" s="1"/>
  <c r="P801" i="1"/>
  <c r="S801" i="1" s="1"/>
  <c r="R801" i="1" s="1"/>
  <c r="P800" i="1"/>
  <c r="S800" i="1" s="1"/>
  <c r="R800" i="1" s="1"/>
  <c r="P797" i="1"/>
  <c r="S797" i="1" s="1"/>
  <c r="R797" i="1" s="1"/>
  <c r="P796" i="1"/>
  <c r="S796" i="1" s="1"/>
  <c r="R796" i="1" s="1"/>
  <c r="P795" i="1"/>
  <c r="S795" i="1" s="1"/>
  <c r="R795" i="1" s="1"/>
  <c r="P794" i="1"/>
  <c r="S794" i="1" s="1"/>
  <c r="R794" i="1" s="1"/>
  <c r="P793" i="1"/>
  <c r="S793" i="1" s="1"/>
  <c r="R793" i="1" s="1"/>
  <c r="P789" i="1"/>
  <c r="S789" i="1" s="1"/>
  <c r="R789" i="1" s="1"/>
  <c r="P787" i="1"/>
  <c r="J787" i="1"/>
  <c r="P786" i="1"/>
  <c r="J786" i="1"/>
  <c r="P785" i="1"/>
  <c r="J785" i="1"/>
  <c r="P783" i="1"/>
  <c r="J783" i="1"/>
  <c r="P782" i="1"/>
  <c r="J782" i="1"/>
  <c r="P781" i="1"/>
  <c r="J781" i="1"/>
  <c r="P779" i="1"/>
  <c r="J779" i="1"/>
  <c r="J778" i="1"/>
  <c r="P778" i="1"/>
  <c r="P777" i="1"/>
  <c r="J777" i="1"/>
  <c r="P776" i="1"/>
  <c r="S776" i="1" s="1"/>
  <c r="R776" i="1" s="1"/>
  <c r="P774" i="1"/>
  <c r="J774" i="1"/>
  <c r="P773" i="1"/>
  <c r="J773" i="1"/>
  <c r="J772" i="1"/>
  <c r="P772" i="1"/>
  <c r="J771" i="1"/>
  <c r="P771" i="1"/>
  <c r="P770" i="1"/>
  <c r="J770" i="1"/>
  <c r="P768" i="1"/>
  <c r="J768" i="1"/>
  <c r="P766" i="1"/>
  <c r="J766" i="1"/>
  <c r="P763" i="1"/>
  <c r="S763" i="1" s="1"/>
  <c r="R763" i="1" s="1"/>
  <c r="P762" i="1"/>
  <c r="S762" i="1" s="1"/>
  <c r="R762" i="1" s="1"/>
  <c r="P761" i="1"/>
  <c r="S761" i="1" s="1"/>
  <c r="R761" i="1" s="1"/>
  <c r="P760" i="1"/>
  <c r="S760" i="1" s="1"/>
  <c r="R760" i="1" s="1"/>
  <c r="P758" i="1"/>
  <c r="S758" i="1" s="1"/>
  <c r="R758" i="1" s="1"/>
  <c r="P756" i="1"/>
  <c r="S756" i="1" s="1"/>
  <c r="R756" i="1" s="1"/>
  <c r="P749" i="1"/>
  <c r="S749" i="1" s="1"/>
  <c r="R749" i="1" s="1"/>
  <c r="P748" i="1"/>
  <c r="S748" i="1" s="1"/>
  <c r="R748" i="1" s="1"/>
  <c r="P746" i="1"/>
  <c r="S746" i="1" s="1"/>
  <c r="R746" i="1" s="1"/>
  <c r="P742" i="1"/>
  <c r="S742" i="1" s="1"/>
  <c r="R742" i="1" s="1"/>
  <c r="P738" i="1"/>
  <c r="J738" i="1"/>
  <c r="P733" i="1"/>
  <c r="J733" i="1"/>
  <c r="P732" i="1"/>
  <c r="J732" i="1"/>
  <c r="P727" i="1"/>
  <c r="S727" i="1" s="1"/>
  <c r="R727" i="1" s="1"/>
  <c r="P725" i="1"/>
  <c r="J725" i="1"/>
  <c r="P724" i="1"/>
  <c r="P719" i="1"/>
  <c r="S719" i="1" s="1"/>
  <c r="R719" i="1" s="1"/>
  <c r="P717" i="1"/>
  <c r="S717" i="1" s="1"/>
  <c r="R717" i="1" s="1"/>
  <c r="P716" i="1"/>
  <c r="J716" i="1"/>
  <c r="P707" i="1"/>
  <c r="J707" i="1"/>
  <c r="P706" i="1"/>
  <c r="J706" i="1"/>
  <c r="P705" i="1"/>
  <c r="J705" i="1"/>
  <c r="P702" i="1"/>
  <c r="S702" i="1" s="1"/>
  <c r="R702" i="1" s="1"/>
  <c r="P699" i="1"/>
  <c r="J699" i="1"/>
  <c r="P698" i="1"/>
  <c r="J698" i="1"/>
  <c r="P696" i="1"/>
  <c r="S696" i="1" s="1"/>
  <c r="R696" i="1" s="1"/>
  <c r="P695" i="1"/>
  <c r="S695" i="1" s="1"/>
  <c r="R695" i="1" s="1"/>
  <c r="P694" i="1"/>
  <c r="S694" i="1" s="1"/>
  <c r="R694" i="1" s="1"/>
  <c r="P693" i="1"/>
  <c r="S693" i="1" s="1"/>
  <c r="R693" i="1" s="1"/>
  <c r="P692" i="1"/>
  <c r="S692" i="1" s="1"/>
  <c r="R692" i="1" s="1"/>
  <c r="P691" i="1"/>
  <c r="S691" i="1" s="1"/>
  <c r="R691" i="1" s="1"/>
  <c r="P684" i="1"/>
  <c r="S684" i="1" s="1"/>
  <c r="R684" i="1" s="1"/>
  <c r="P683" i="1"/>
  <c r="S683" i="1" s="1"/>
  <c r="R683" i="1" s="1"/>
  <c r="P673" i="1"/>
  <c r="J673" i="1"/>
  <c r="P672" i="1"/>
  <c r="S672" i="1" s="1"/>
  <c r="R672" i="1" s="1"/>
  <c r="P671" i="1"/>
  <c r="S671" i="1" s="1"/>
  <c r="R671" i="1" s="1"/>
  <c r="P670" i="1"/>
  <c r="S670" i="1" s="1"/>
  <c r="R670" i="1" s="1"/>
  <c r="P668" i="1"/>
  <c r="J668" i="1"/>
  <c r="P667" i="1"/>
  <c r="J667" i="1"/>
  <c r="P666" i="1"/>
  <c r="J666" i="1"/>
  <c r="J665" i="1"/>
  <c r="P665" i="1"/>
  <c r="P664" i="1"/>
  <c r="J664" i="1"/>
  <c r="P663" i="1"/>
  <c r="J663" i="1"/>
  <c r="P662" i="1"/>
  <c r="J662" i="1"/>
  <c r="P661" i="1"/>
  <c r="S661" i="1" s="1"/>
  <c r="R661" i="1" s="1"/>
  <c r="P660" i="1"/>
  <c r="J660" i="1"/>
  <c r="J659" i="1"/>
  <c r="P659" i="1"/>
  <c r="P656" i="1"/>
  <c r="J656" i="1"/>
  <c r="P655" i="1"/>
  <c r="J655" i="1"/>
  <c r="P654" i="1"/>
  <c r="J654" i="1"/>
  <c r="P650" i="1"/>
  <c r="J650" i="1"/>
  <c r="P648" i="1"/>
  <c r="J648" i="1"/>
  <c r="P647" i="1"/>
  <c r="J647" i="1"/>
  <c r="P646" i="1"/>
  <c r="J646" i="1"/>
  <c r="P645" i="1"/>
  <c r="J645" i="1"/>
  <c r="P644" i="1"/>
  <c r="S644" i="1" s="1"/>
  <c r="R644" i="1" s="1"/>
  <c r="P643" i="1"/>
  <c r="J643" i="1"/>
  <c r="P642" i="1"/>
  <c r="J642" i="1"/>
  <c r="P641" i="1"/>
  <c r="S641" i="1" s="1"/>
  <c r="R641" i="1" s="1"/>
  <c r="P639" i="1"/>
  <c r="S639" i="1" s="1"/>
  <c r="R639" i="1" s="1"/>
  <c r="P638" i="1"/>
  <c r="S638" i="1" s="1"/>
  <c r="R638" i="1" s="1"/>
  <c r="P636" i="1"/>
  <c r="S636" i="1" s="1"/>
  <c r="R636" i="1" s="1"/>
  <c r="P635" i="1"/>
  <c r="S635" i="1" s="1"/>
  <c r="R635" i="1" s="1"/>
  <c r="P633" i="1"/>
  <c r="S633" i="1" s="1"/>
  <c r="R633" i="1" s="1"/>
  <c r="P632" i="1"/>
  <c r="S632" i="1" s="1"/>
  <c r="R632" i="1" s="1"/>
  <c r="P629" i="1"/>
  <c r="S629" i="1" s="1"/>
  <c r="R629" i="1" s="1"/>
  <c r="P628" i="1"/>
  <c r="S628" i="1" s="1"/>
  <c r="R628" i="1" s="1"/>
  <c r="P627" i="1"/>
  <c r="S627" i="1" s="1"/>
  <c r="R627" i="1" s="1"/>
  <c r="P625" i="1"/>
  <c r="S625" i="1" s="1"/>
  <c r="R625" i="1" s="1"/>
  <c r="P624" i="1"/>
  <c r="S624" i="1" s="1"/>
  <c r="R624" i="1" s="1"/>
  <c r="P623" i="1"/>
  <c r="S623" i="1" s="1"/>
  <c r="R623" i="1" s="1"/>
  <c r="P622" i="1"/>
  <c r="S622" i="1" s="1"/>
  <c r="R622" i="1" s="1"/>
  <c r="P618" i="1"/>
  <c r="S618" i="1" s="1"/>
  <c r="R618" i="1" s="1"/>
  <c r="P617" i="1"/>
  <c r="S617" i="1" s="1"/>
  <c r="R617" i="1" s="1"/>
  <c r="P615" i="1"/>
  <c r="S615" i="1" s="1"/>
  <c r="R615" i="1" s="1"/>
  <c r="P614" i="1"/>
  <c r="S614" i="1" s="1"/>
  <c r="R614" i="1" s="1"/>
  <c r="P613" i="1"/>
  <c r="S613" i="1" s="1"/>
  <c r="R613" i="1" s="1"/>
  <c r="P612" i="1"/>
  <c r="S612" i="1" s="1"/>
  <c r="R612" i="1" s="1"/>
  <c r="P606" i="1"/>
  <c r="J606" i="1"/>
  <c r="P605" i="1"/>
  <c r="S605" i="1" s="1"/>
  <c r="R605" i="1" s="1"/>
  <c r="P604" i="1"/>
  <c r="J604" i="1"/>
  <c r="P603" i="1"/>
  <c r="S603" i="1" s="1"/>
  <c r="R603" i="1" s="1"/>
  <c r="P598" i="1"/>
  <c r="S598" i="1" s="1"/>
  <c r="R598" i="1" s="1"/>
  <c r="P597" i="1"/>
  <c r="S597" i="1" s="1"/>
  <c r="R597" i="1" s="1"/>
  <c r="P594" i="1"/>
  <c r="S594" i="1" s="1"/>
  <c r="R594" i="1" s="1"/>
  <c r="P592" i="1"/>
  <c r="S592" i="1" s="1"/>
  <c r="R592" i="1" s="1"/>
  <c r="P590" i="1"/>
  <c r="S590" i="1" s="1"/>
  <c r="R590" i="1" s="1"/>
  <c r="P589" i="1"/>
  <c r="S589" i="1" s="1"/>
  <c r="R589" i="1" s="1"/>
  <c r="P586" i="1"/>
  <c r="S586" i="1" s="1"/>
  <c r="R586" i="1" s="1"/>
  <c r="P582" i="1"/>
  <c r="J582" i="1"/>
  <c r="P581" i="1"/>
  <c r="J581" i="1"/>
  <c r="P575" i="1"/>
  <c r="S575" i="1" s="1"/>
  <c r="R575" i="1" s="1"/>
  <c r="P574" i="1"/>
  <c r="S574" i="1" s="1"/>
  <c r="R574" i="1" s="1"/>
  <c r="J565" i="1"/>
  <c r="P565" i="1"/>
  <c r="J564" i="1"/>
  <c r="P564" i="1"/>
  <c r="P563" i="1"/>
  <c r="J563" i="1"/>
  <c r="P561" i="1"/>
  <c r="S561" i="1" s="1"/>
  <c r="R561" i="1" s="1"/>
  <c r="P560" i="1"/>
  <c r="S560" i="1" s="1"/>
  <c r="R560" i="1" s="1"/>
  <c r="P557" i="1"/>
  <c r="S557" i="1" s="1"/>
  <c r="R557" i="1" s="1"/>
  <c r="J556" i="1"/>
  <c r="P556" i="1"/>
  <c r="J555" i="1"/>
  <c r="J554" i="1"/>
  <c r="P554" i="1"/>
  <c r="P551" i="1"/>
  <c r="S551" i="1" s="1"/>
  <c r="R551" i="1" s="1"/>
  <c r="P550" i="1"/>
  <c r="S550" i="1" s="1"/>
  <c r="R550" i="1" s="1"/>
  <c r="P549" i="1"/>
  <c r="S549" i="1" s="1"/>
  <c r="R549" i="1" s="1"/>
  <c r="P548" i="1"/>
  <c r="S548" i="1" s="1"/>
  <c r="R548" i="1" s="1"/>
  <c r="P547" i="1"/>
  <c r="S547" i="1" s="1"/>
  <c r="R547" i="1" s="1"/>
  <c r="P543" i="1"/>
  <c r="S543" i="1" s="1"/>
  <c r="R543" i="1" s="1"/>
  <c r="J540" i="1"/>
  <c r="P540" i="1"/>
  <c r="P539" i="1"/>
  <c r="J539" i="1"/>
  <c r="P538" i="1"/>
  <c r="J538" i="1"/>
  <c r="P537" i="1"/>
  <c r="J537" i="1"/>
  <c r="P535" i="1"/>
  <c r="S535" i="1" s="1"/>
  <c r="R535" i="1" s="1"/>
  <c r="P534" i="1"/>
  <c r="S534" i="1" s="1"/>
  <c r="R534" i="1" s="1"/>
  <c r="P533" i="1"/>
  <c r="S533" i="1" s="1"/>
  <c r="R533" i="1" s="1"/>
  <c r="P532" i="1"/>
  <c r="S532" i="1" s="1"/>
  <c r="R532" i="1" s="1"/>
  <c r="P531" i="1"/>
  <c r="S531" i="1" s="1"/>
  <c r="R531" i="1" s="1"/>
  <c r="P530" i="1"/>
  <c r="S530" i="1" s="1"/>
  <c r="R530" i="1" s="1"/>
  <c r="P527" i="1"/>
  <c r="S527" i="1" s="1"/>
  <c r="R527" i="1" s="1"/>
  <c r="P524" i="1"/>
  <c r="S524" i="1" s="1"/>
  <c r="R524" i="1" s="1"/>
  <c r="P522" i="1"/>
  <c r="S522" i="1" s="1"/>
  <c r="R522" i="1" s="1"/>
  <c r="J519" i="1"/>
  <c r="P519" i="1"/>
  <c r="J518" i="1"/>
  <c r="P518" i="1"/>
  <c r="P517" i="1"/>
  <c r="J517" i="1"/>
  <c r="J513" i="1"/>
  <c r="P513" i="1"/>
  <c r="P512" i="1"/>
  <c r="J512" i="1"/>
  <c r="P510" i="1"/>
  <c r="J510" i="1"/>
  <c r="P509" i="1"/>
  <c r="J509" i="1"/>
  <c r="J508" i="1"/>
  <c r="P508" i="1"/>
  <c r="P507" i="1"/>
  <c r="J507" i="1"/>
  <c r="R506" i="1"/>
  <c r="P501" i="1"/>
  <c r="J501" i="1"/>
  <c r="P500" i="1"/>
  <c r="J500" i="1"/>
  <c r="J499" i="1"/>
  <c r="P499" i="1"/>
  <c r="P497" i="1"/>
  <c r="J497" i="1"/>
  <c r="P495" i="1"/>
  <c r="J495" i="1"/>
  <c r="P494" i="1"/>
  <c r="J494" i="1"/>
  <c r="P493" i="1"/>
  <c r="J493" i="1"/>
  <c r="P486" i="1"/>
  <c r="J486" i="1"/>
  <c r="P483" i="1"/>
  <c r="S483" i="1" s="1"/>
  <c r="R483" i="1" s="1"/>
  <c r="P480" i="1"/>
  <c r="J480" i="1"/>
  <c r="P479" i="1"/>
  <c r="J479" i="1"/>
  <c r="P478" i="1"/>
  <c r="J478" i="1"/>
  <c r="P471" i="1"/>
  <c r="J471" i="1"/>
  <c r="P470" i="1"/>
  <c r="J470" i="1"/>
  <c r="P468" i="1"/>
  <c r="S468" i="1" s="1"/>
  <c r="R468" i="1" s="1"/>
  <c r="P467" i="1"/>
  <c r="S467" i="1" s="1"/>
  <c r="R467" i="1" s="1"/>
  <c r="P466" i="1"/>
  <c r="S466" i="1" s="1"/>
  <c r="R466" i="1" s="1"/>
  <c r="P465" i="1"/>
  <c r="S465" i="1" s="1"/>
  <c r="R465" i="1" s="1"/>
  <c r="P464" i="1"/>
  <c r="S464" i="1" s="1"/>
  <c r="R464" i="1" s="1"/>
  <c r="P463" i="1"/>
  <c r="S463" i="1" s="1"/>
  <c r="R463" i="1" s="1"/>
  <c r="P462" i="1"/>
  <c r="S462" i="1" s="1"/>
  <c r="R462" i="1" s="1"/>
  <c r="P460" i="1"/>
  <c r="S460" i="1" s="1"/>
  <c r="R460" i="1" s="1"/>
  <c r="P459" i="1"/>
  <c r="S459" i="1" s="1"/>
  <c r="R459" i="1" s="1"/>
  <c r="P441" i="1"/>
  <c r="S441" i="1" s="1"/>
  <c r="R441" i="1" s="1"/>
  <c r="P439" i="1"/>
  <c r="S439" i="1" s="1"/>
  <c r="R439" i="1" s="1"/>
  <c r="P438" i="1"/>
  <c r="S438" i="1" s="1"/>
  <c r="R438" i="1" s="1"/>
  <c r="P437" i="1"/>
  <c r="S437" i="1" s="1"/>
  <c r="R437" i="1" s="1"/>
  <c r="P436" i="1"/>
  <c r="S436" i="1" s="1"/>
  <c r="R436" i="1" s="1"/>
  <c r="P435" i="1"/>
  <c r="S435" i="1" s="1"/>
  <c r="R435" i="1" s="1"/>
  <c r="P432" i="1"/>
  <c r="S432" i="1" s="1"/>
  <c r="R432" i="1" s="1"/>
  <c r="P431" i="1"/>
  <c r="S431" i="1" s="1"/>
  <c r="R431" i="1" s="1"/>
  <c r="P429" i="1"/>
  <c r="S429" i="1" s="1"/>
  <c r="R429" i="1" s="1"/>
  <c r="P420" i="1"/>
  <c r="S420" i="1" s="1"/>
  <c r="R420" i="1" s="1"/>
  <c r="P417" i="1"/>
  <c r="J417" i="1"/>
  <c r="P412" i="1"/>
  <c r="J412" i="1"/>
  <c r="P411" i="1"/>
  <c r="J411" i="1"/>
  <c r="P408" i="1"/>
  <c r="J408" i="1"/>
  <c r="P407" i="1"/>
  <c r="J407" i="1"/>
  <c r="P406" i="1"/>
  <c r="J406" i="1"/>
  <c r="P405" i="1"/>
  <c r="J405" i="1"/>
  <c r="P403" i="1"/>
  <c r="S403" i="1" s="1"/>
  <c r="R403" i="1" s="1"/>
  <c r="P402" i="1"/>
  <c r="S402" i="1" s="1"/>
  <c r="R402" i="1" s="1"/>
  <c r="P401" i="1"/>
  <c r="S401" i="1" s="1"/>
  <c r="R401" i="1" s="1"/>
  <c r="P400" i="1"/>
  <c r="S400" i="1" s="1"/>
  <c r="R400" i="1" s="1"/>
  <c r="P399" i="1"/>
  <c r="S399" i="1" s="1"/>
  <c r="R399" i="1" s="1"/>
  <c r="P398" i="1"/>
  <c r="S398" i="1" s="1"/>
  <c r="R398" i="1" s="1"/>
  <c r="P387" i="1"/>
  <c r="J387" i="1"/>
  <c r="P386" i="1"/>
  <c r="J386" i="1"/>
  <c r="P383" i="1"/>
  <c r="J383" i="1"/>
  <c r="P382" i="1"/>
  <c r="J382" i="1"/>
  <c r="P377" i="1"/>
  <c r="S377" i="1" s="1"/>
  <c r="R377" i="1" s="1"/>
  <c r="P376" i="1"/>
  <c r="S376" i="1" s="1"/>
  <c r="R376" i="1" s="1"/>
  <c r="P374" i="1"/>
  <c r="S374" i="1" s="1"/>
  <c r="R374" i="1" s="1"/>
  <c r="P372" i="1"/>
  <c r="S372" i="1" s="1"/>
  <c r="R372" i="1" s="1"/>
  <c r="P370" i="1"/>
  <c r="S370" i="1" s="1"/>
  <c r="R370" i="1" s="1"/>
  <c r="P369" i="1"/>
  <c r="S369" i="1" s="1"/>
  <c r="R369" i="1" s="1"/>
  <c r="P368" i="1"/>
  <c r="S368" i="1" s="1"/>
  <c r="R368" i="1" s="1"/>
  <c r="P367" i="1"/>
  <c r="S367" i="1" s="1"/>
  <c r="R367" i="1" s="1"/>
  <c r="P366" i="1"/>
  <c r="S366" i="1" s="1"/>
  <c r="R366" i="1" s="1"/>
  <c r="P364" i="1"/>
  <c r="J364" i="1"/>
  <c r="P349" i="1"/>
  <c r="J349" i="1"/>
  <c r="P346" i="1"/>
  <c r="J346" i="1"/>
  <c r="P345" i="1"/>
  <c r="J345" i="1"/>
  <c r="P343" i="1"/>
  <c r="J343" i="1"/>
  <c r="P342" i="1"/>
  <c r="J342" i="1"/>
  <c r="P336" i="1"/>
  <c r="S336" i="1" s="1"/>
  <c r="R336" i="1" s="1"/>
  <c r="P333" i="1"/>
  <c r="S333" i="1" s="1"/>
  <c r="R333" i="1" s="1"/>
  <c r="P330" i="1"/>
  <c r="S330" i="1" s="1"/>
  <c r="R330" i="1" s="1"/>
  <c r="P326" i="1"/>
  <c r="J326" i="1"/>
  <c r="P325" i="1"/>
  <c r="J325" i="1"/>
  <c r="P321" i="1"/>
  <c r="S321" i="1" s="1"/>
  <c r="R321" i="1" s="1"/>
  <c r="P320" i="1"/>
  <c r="S320" i="1" s="1"/>
  <c r="R320" i="1" s="1"/>
  <c r="P317" i="1"/>
  <c r="S317" i="1" s="1"/>
  <c r="R317" i="1" s="1"/>
  <c r="P314" i="1"/>
  <c r="J314" i="1"/>
  <c r="P312" i="1"/>
  <c r="J312" i="1"/>
  <c r="P310" i="1"/>
  <c r="S310" i="1" s="1"/>
  <c r="R310" i="1" s="1"/>
  <c r="P309" i="1"/>
  <c r="S309" i="1" s="1"/>
  <c r="R309" i="1" s="1"/>
  <c r="P308" i="1"/>
  <c r="S308" i="1" s="1"/>
  <c r="R308" i="1" s="1"/>
  <c r="P307" i="1"/>
  <c r="S307" i="1" s="1"/>
  <c r="R307" i="1" s="1"/>
  <c r="P301" i="1"/>
  <c r="S301" i="1" s="1"/>
  <c r="R301" i="1" s="1"/>
  <c r="P300" i="1"/>
  <c r="S300" i="1" s="1"/>
  <c r="R300" i="1" s="1"/>
  <c r="P297" i="1"/>
  <c r="J297" i="1"/>
  <c r="P296" i="1"/>
  <c r="S296" i="1" s="1"/>
  <c r="R296" i="1" s="1"/>
  <c r="P293" i="1"/>
  <c r="S293" i="1" s="1"/>
  <c r="R293" i="1" s="1"/>
  <c r="J291" i="1"/>
  <c r="P291" i="1"/>
  <c r="J290" i="1"/>
  <c r="J289" i="1"/>
  <c r="P289" i="1"/>
  <c r="P287" i="1"/>
  <c r="S287" i="1" s="1"/>
  <c r="R287" i="1" s="1"/>
  <c r="J286" i="1"/>
  <c r="H286" i="1"/>
  <c r="P286" i="1" s="1"/>
  <c r="P284" i="1"/>
  <c r="S284" i="1" s="1"/>
  <c r="R284" i="1" s="1"/>
  <c r="P283" i="1"/>
  <c r="S283" i="1" s="1"/>
  <c r="R283" i="1" s="1"/>
  <c r="P281" i="1"/>
  <c r="S281" i="1" s="1"/>
  <c r="R281" i="1" s="1"/>
  <c r="P274" i="1"/>
  <c r="S274" i="1" s="1"/>
  <c r="R274" i="1" s="1"/>
  <c r="P273" i="1"/>
  <c r="S273" i="1" s="1"/>
  <c r="R273" i="1" s="1"/>
  <c r="P271" i="1"/>
  <c r="S271" i="1" s="1"/>
  <c r="R271" i="1" s="1"/>
  <c r="P268" i="1"/>
  <c r="S268" i="1" s="1"/>
  <c r="R268" i="1" s="1"/>
  <c r="P265" i="1"/>
  <c r="S265" i="1" s="1"/>
  <c r="R265" i="1" s="1"/>
  <c r="P264" i="1"/>
  <c r="J264" i="1"/>
  <c r="P261" i="1"/>
  <c r="S261" i="1" s="1"/>
  <c r="R261" i="1" s="1"/>
  <c r="P259" i="1"/>
  <c r="S259" i="1" s="1"/>
  <c r="R259" i="1" s="1"/>
  <c r="P257" i="1"/>
  <c r="S257" i="1" s="1"/>
  <c r="R257" i="1" s="1"/>
  <c r="P254" i="1"/>
  <c r="J254" i="1"/>
  <c r="P253" i="1"/>
  <c r="J253" i="1"/>
  <c r="J252" i="1"/>
  <c r="P252" i="1"/>
  <c r="J251" i="1"/>
  <c r="P251" i="1"/>
  <c r="P250" i="1"/>
  <c r="J250" i="1"/>
  <c r="P249" i="1"/>
  <c r="J249" i="1"/>
  <c r="P248" i="1"/>
  <c r="S248" i="1" s="1"/>
  <c r="R248" i="1" s="1"/>
  <c r="P247" i="1"/>
  <c r="S247" i="1" s="1"/>
  <c r="R247" i="1" s="1"/>
  <c r="P243" i="1"/>
  <c r="J243" i="1"/>
  <c r="P242" i="1"/>
  <c r="J242" i="1"/>
  <c r="P239" i="1"/>
  <c r="S239" i="1" s="1"/>
  <c r="R239" i="1" s="1"/>
  <c r="P238" i="1"/>
  <c r="S238" i="1" s="1"/>
  <c r="R238" i="1" s="1"/>
  <c r="P236" i="1"/>
  <c r="S236" i="1" s="1"/>
  <c r="R236" i="1" s="1"/>
  <c r="P235" i="1"/>
  <c r="S235" i="1" s="1"/>
  <c r="R235" i="1" s="1"/>
  <c r="P233" i="1"/>
  <c r="S233" i="1" s="1"/>
  <c r="R233" i="1" s="1"/>
  <c r="P231" i="1"/>
  <c r="S231" i="1" s="1"/>
  <c r="R231" i="1" s="1"/>
  <c r="J228" i="1"/>
  <c r="P228" i="1"/>
  <c r="P227" i="1"/>
  <c r="J227" i="1"/>
  <c r="P223" i="1"/>
  <c r="J223" i="1"/>
  <c r="P222" i="1"/>
  <c r="P218" i="1"/>
  <c r="J218" i="1"/>
  <c r="P217" i="1"/>
  <c r="J217" i="1"/>
  <c r="P216" i="1"/>
  <c r="J216" i="1"/>
  <c r="P212" i="1"/>
  <c r="J212" i="1"/>
  <c r="P208" i="1"/>
  <c r="J208" i="1"/>
  <c r="P207" i="1"/>
  <c r="J207" i="1"/>
  <c r="P204" i="1"/>
  <c r="J204" i="1"/>
  <c r="P203" i="1"/>
  <c r="J203" i="1"/>
  <c r="P202" i="1"/>
  <c r="J202" i="1"/>
  <c r="J200" i="1"/>
  <c r="H200" i="1"/>
  <c r="P200" i="1" s="1"/>
  <c r="J199" i="1"/>
  <c r="H199" i="1"/>
  <c r="P199" i="1" s="1"/>
  <c r="P195" i="1"/>
  <c r="J195" i="1"/>
  <c r="P193" i="1"/>
  <c r="J193" i="1"/>
  <c r="P189" i="1"/>
  <c r="J189" i="1"/>
  <c r="P183" i="1"/>
  <c r="J183" i="1"/>
  <c r="J182" i="1"/>
  <c r="P182" i="1"/>
  <c r="P181" i="1"/>
  <c r="J181" i="1"/>
  <c r="P178" i="1"/>
  <c r="J178" i="1"/>
  <c r="J177" i="1"/>
  <c r="P177" i="1"/>
  <c r="P176" i="1"/>
  <c r="J176" i="1"/>
  <c r="P175" i="1"/>
  <c r="J175" i="1"/>
  <c r="J174" i="1"/>
  <c r="P174" i="1"/>
  <c r="J173" i="1"/>
  <c r="P172" i="1"/>
  <c r="J172" i="1"/>
  <c r="P171" i="1"/>
  <c r="J171" i="1"/>
  <c r="P156" i="1"/>
  <c r="S156" i="1" s="1"/>
  <c r="R156" i="1" s="1"/>
  <c r="P167" i="1"/>
  <c r="J167" i="1"/>
  <c r="P166" i="1"/>
  <c r="S166" i="1" s="1"/>
  <c r="R166" i="1" s="1"/>
  <c r="P165" i="1"/>
  <c r="J165" i="1"/>
  <c r="P164" i="1"/>
  <c r="J164" i="1"/>
  <c r="P162" i="1"/>
  <c r="S162" i="1" s="1"/>
  <c r="R162" i="1" s="1"/>
  <c r="P160" i="1"/>
  <c r="S160" i="1" s="1"/>
  <c r="R160" i="1" s="1"/>
  <c r="P159" i="1"/>
  <c r="S159" i="1" s="1"/>
  <c r="R159" i="1" s="1"/>
  <c r="P157" i="1"/>
  <c r="S157" i="1" s="1"/>
  <c r="R157" i="1" s="1"/>
  <c r="P155" i="1"/>
  <c r="S155" i="1" s="1"/>
  <c r="R155" i="1" s="1"/>
  <c r="P153" i="1"/>
  <c r="S153" i="1" s="1"/>
  <c r="R153" i="1" s="1"/>
  <c r="P152" i="1"/>
  <c r="S152" i="1" s="1"/>
  <c r="R152" i="1" s="1"/>
  <c r="P151" i="1"/>
  <c r="S151" i="1" s="1"/>
  <c r="R151" i="1" s="1"/>
  <c r="P147" i="1"/>
  <c r="J147" i="1"/>
  <c r="J146" i="1"/>
  <c r="P146" i="1"/>
  <c r="P145" i="1"/>
  <c r="J145" i="1"/>
  <c r="P144" i="1"/>
  <c r="J144" i="1"/>
  <c r="P142" i="1"/>
  <c r="S142" i="1" s="1"/>
  <c r="R142" i="1" s="1"/>
  <c r="P141" i="1"/>
  <c r="S141" i="1" s="1"/>
  <c r="R141" i="1" s="1"/>
  <c r="P140" i="1"/>
  <c r="S140" i="1" s="1"/>
  <c r="R140" i="1" s="1"/>
  <c r="P139" i="1"/>
  <c r="S139" i="1" s="1"/>
  <c r="R139" i="1" s="1"/>
  <c r="P135" i="1"/>
  <c r="J135" i="1"/>
  <c r="J134" i="1"/>
  <c r="P133" i="1"/>
  <c r="J133" i="1"/>
  <c r="J132" i="1"/>
  <c r="P132" i="1"/>
  <c r="J131" i="1"/>
  <c r="J130" i="1"/>
  <c r="P130" i="1"/>
  <c r="J129" i="1"/>
  <c r="P125" i="1"/>
  <c r="J125" i="1"/>
  <c r="P124" i="1"/>
  <c r="S124" i="1" s="1"/>
  <c r="R124" i="1" s="1"/>
  <c r="P123" i="1"/>
  <c r="S123" i="1" s="1"/>
  <c r="R123" i="1" s="1"/>
  <c r="P122" i="1"/>
  <c r="S122" i="1" s="1"/>
  <c r="R122" i="1" s="1"/>
  <c r="P120" i="1"/>
  <c r="S120" i="1" s="1"/>
  <c r="R120" i="1" s="1"/>
  <c r="P118" i="1"/>
  <c r="S118" i="1" s="1"/>
  <c r="R118" i="1" s="1"/>
  <c r="P117" i="1"/>
  <c r="S117" i="1" s="1"/>
  <c r="R117" i="1" s="1"/>
  <c r="P116" i="1"/>
  <c r="S116" i="1" s="1"/>
  <c r="R116" i="1" s="1"/>
  <c r="P115" i="1"/>
  <c r="S115" i="1" s="1"/>
  <c r="R115" i="1" s="1"/>
  <c r="P114" i="1"/>
  <c r="S114" i="1" s="1"/>
  <c r="R114" i="1" s="1"/>
  <c r="P113" i="1"/>
  <c r="S113" i="1" s="1"/>
  <c r="R113" i="1" s="1"/>
  <c r="P112" i="1"/>
  <c r="S112" i="1" s="1"/>
  <c r="R112" i="1" s="1"/>
  <c r="P111" i="1"/>
  <c r="S111" i="1" s="1"/>
  <c r="R111" i="1" s="1"/>
  <c r="P110" i="1"/>
  <c r="S110" i="1" s="1"/>
  <c r="R110" i="1" s="1"/>
  <c r="P106" i="1"/>
  <c r="S106" i="1" s="1"/>
  <c r="R106" i="1" s="1"/>
  <c r="P105" i="1"/>
  <c r="S105" i="1" s="1"/>
  <c r="R105" i="1" s="1"/>
  <c r="P97" i="1"/>
  <c r="S97" i="1" s="1"/>
  <c r="R97" i="1" s="1"/>
  <c r="P96" i="1"/>
  <c r="S96" i="1" s="1"/>
  <c r="R96" i="1" s="1"/>
  <c r="P83" i="1"/>
  <c r="S83" i="1" s="1"/>
  <c r="R83" i="1" s="1"/>
  <c r="P81" i="1"/>
  <c r="S81" i="1" s="1"/>
  <c r="R81" i="1" s="1"/>
  <c r="P80" i="1"/>
  <c r="S80" i="1" s="1"/>
  <c r="R80" i="1" s="1"/>
  <c r="P77" i="1"/>
  <c r="S77" i="1" s="1"/>
  <c r="R77" i="1" s="1"/>
  <c r="P75" i="1"/>
  <c r="S75" i="1" s="1"/>
  <c r="R75" i="1" s="1"/>
  <c r="S73" i="1"/>
  <c r="R73" i="1" s="1"/>
  <c r="P71" i="1"/>
  <c r="S71" i="1" s="1"/>
  <c r="R71" i="1" s="1"/>
  <c r="P68" i="1"/>
  <c r="S68" i="1" s="1"/>
  <c r="R68" i="1" s="1"/>
  <c r="P61" i="1"/>
  <c r="S61" i="1" s="1"/>
  <c r="R61" i="1" s="1"/>
  <c r="P60" i="1"/>
  <c r="S60" i="1" s="1"/>
  <c r="R60" i="1" s="1"/>
  <c r="P59" i="1"/>
  <c r="S59" i="1" s="1"/>
  <c r="R59" i="1" s="1"/>
  <c r="J55" i="1"/>
  <c r="S55" i="1" s="1"/>
  <c r="R55" i="1" s="1"/>
  <c r="P54" i="1"/>
  <c r="J54" i="1"/>
  <c r="P52" i="1"/>
  <c r="J52" i="1"/>
  <c r="P50" i="1"/>
  <c r="S50" i="1" s="1"/>
  <c r="R50" i="1" s="1"/>
  <c r="P38" i="1"/>
  <c r="J38" i="1"/>
  <c r="P33" i="1"/>
  <c r="S33" i="1" s="1"/>
  <c r="R33" i="1" s="1"/>
  <c r="P31" i="1"/>
  <c r="S31" i="1" s="1"/>
  <c r="R31" i="1" s="1"/>
  <c r="P29" i="1"/>
  <c r="S29" i="1" s="1"/>
  <c r="R29" i="1" s="1"/>
  <c r="P24" i="1"/>
  <c r="S24" i="1" s="1"/>
  <c r="R24" i="1" s="1"/>
  <c r="P23" i="1"/>
  <c r="S23" i="1" s="1"/>
  <c r="R23" i="1" s="1"/>
  <c r="P22" i="1"/>
  <c r="S22" i="1" s="1"/>
  <c r="R22" i="1" s="1"/>
  <c r="P21" i="1"/>
  <c r="J21" i="1"/>
  <c r="P20" i="1"/>
  <c r="S20" i="1" s="1"/>
  <c r="R20" i="1" s="1"/>
  <c r="P19" i="1"/>
  <c r="J19" i="1"/>
  <c r="P18" i="1"/>
  <c r="S18" i="1" s="1"/>
  <c r="R18" i="1" s="1"/>
  <c r="P11" i="1"/>
  <c r="S11" i="1" s="1"/>
  <c r="R11" i="1" s="1"/>
  <c r="P10" i="1"/>
  <c r="S10" i="1" s="1"/>
  <c r="R10" i="1" s="1"/>
  <c r="P9" i="1"/>
  <c r="S9" i="1" s="1"/>
  <c r="R9" i="1" s="1"/>
  <c r="P8" i="1"/>
  <c r="S8" i="1" s="1"/>
  <c r="R8" i="1" s="1"/>
  <c r="P6" i="1"/>
  <c r="S6" i="1" s="1"/>
  <c r="R6" i="1" l="1"/>
  <c r="S125" i="1"/>
  <c r="R125" i="1" s="1"/>
  <c r="S555" i="1"/>
  <c r="R555" i="1" s="1"/>
  <c r="S1151" i="1"/>
  <c r="R1151" i="1" s="1"/>
  <c r="S1153" i="1"/>
  <c r="R1153" i="1" s="1"/>
  <c r="S1121" i="1"/>
  <c r="R1121" i="1" s="1"/>
  <c r="S1128" i="1"/>
  <c r="R1128" i="1" s="1"/>
  <c r="S1157" i="1"/>
  <c r="R1157" i="1" s="1"/>
  <c r="S1159" i="1"/>
  <c r="R1159" i="1" s="1"/>
  <c r="S1111" i="1"/>
  <c r="R1111" i="1" s="1"/>
  <c r="S1044" i="1"/>
  <c r="R1044" i="1" s="1"/>
  <c r="S1096" i="1"/>
  <c r="R1096" i="1" s="1"/>
  <c r="S958" i="1"/>
  <c r="R958" i="1" s="1"/>
  <c r="S985" i="1"/>
  <c r="R985" i="1" s="1"/>
  <c r="S989" i="1"/>
  <c r="R989" i="1" s="1"/>
  <c r="S582" i="1"/>
  <c r="R582" i="1" s="1"/>
  <c r="S698" i="1"/>
  <c r="R698" i="1" s="1"/>
  <c r="S816" i="1"/>
  <c r="R816" i="1" s="1"/>
  <c r="S508" i="1"/>
  <c r="R508" i="1" s="1"/>
  <c r="S518" i="1"/>
  <c r="R518" i="1" s="1"/>
  <c r="S556" i="1"/>
  <c r="R556" i="1" s="1"/>
  <c r="S563" i="1"/>
  <c r="R563" i="1" s="1"/>
  <c r="S581" i="1"/>
  <c r="R581" i="1" s="1"/>
  <c r="S606" i="1"/>
  <c r="R606" i="1" s="1"/>
  <c r="S959" i="1"/>
  <c r="R959" i="1" s="1"/>
  <c r="S986" i="1"/>
  <c r="R986" i="1" s="1"/>
  <c r="S642" i="1"/>
  <c r="R642" i="1" s="1"/>
  <c r="S861" i="1"/>
  <c r="R861" i="1" s="1"/>
  <c r="S195" i="1"/>
  <c r="R195" i="1" s="1"/>
  <c r="S291" i="1"/>
  <c r="R291" i="1" s="1"/>
  <c r="S655" i="1"/>
  <c r="R655" i="1" s="1"/>
  <c r="S405" i="1"/>
  <c r="R405" i="1" s="1"/>
  <c r="S406" i="1"/>
  <c r="R406" i="1" s="1"/>
  <c r="S408" i="1"/>
  <c r="R408" i="1" s="1"/>
  <c r="S412" i="1"/>
  <c r="R412" i="1" s="1"/>
  <c r="S656" i="1"/>
  <c r="R656" i="1" s="1"/>
  <c r="S286" i="1"/>
  <c r="R286" i="1" s="1"/>
  <c r="S325" i="1"/>
  <c r="R325" i="1" s="1"/>
  <c r="S774" i="1"/>
  <c r="R774" i="1" s="1"/>
  <c r="S132" i="1"/>
  <c r="R132" i="1" s="1"/>
  <c r="S222" i="1"/>
  <c r="R222" i="1" s="1"/>
  <c r="S227" i="1"/>
  <c r="R227" i="1" s="1"/>
  <c r="S493" i="1"/>
  <c r="R493" i="1" s="1"/>
  <c r="S495" i="1"/>
  <c r="R495" i="1" s="1"/>
  <c r="S193" i="1"/>
  <c r="R193" i="1" s="1"/>
  <c r="S407" i="1"/>
  <c r="R407" i="1" s="1"/>
  <c r="S411" i="1"/>
  <c r="R411" i="1" s="1"/>
  <c r="S417" i="1"/>
  <c r="R417" i="1" s="1"/>
  <c r="S716" i="1"/>
  <c r="R716" i="1" s="1"/>
  <c r="S724" i="1"/>
  <c r="R724" i="1" s="1"/>
  <c r="S733" i="1"/>
  <c r="R733" i="1" s="1"/>
  <c r="S771" i="1"/>
  <c r="R771" i="1" s="1"/>
  <c r="S778" i="1"/>
  <c r="R778" i="1" s="1"/>
  <c r="S144" i="1"/>
  <c r="R144" i="1" s="1"/>
  <c r="S135" i="1"/>
  <c r="R135" i="1" s="1"/>
  <c r="S145" i="1"/>
  <c r="R145" i="1" s="1"/>
  <c r="S200" i="1"/>
  <c r="R200" i="1" s="1"/>
  <c r="S228" i="1"/>
  <c r="R228" i="1" s="1"/>
  <c r="S342" i="1"/>
  <c r="R342" i="1" s="1"/>
  <c r="S494" i="1"/>
  <c r="R494" i="1" s="1"/>
  <c r="S497" i="1"/>
  <c r="R497" i="1" s="1"/>
  <c r="S513" i="1"/>
  <c r="R513" i="1" s="1"/>
  <c r="S519" i="1"/>
  <c r="R519" i="1" s="1"/>
  <c r="S772" i="1"/>
  <c r="R772" i="1" s="1"/>
  <c r="S19" i="1"/>
  <c r="R19" i="1" s="1"/>
  <c r="S176" i="1"/>
  <c r="R176" i="1" s="1"/>
  <c r="S178" i="1"/>
  <c r="R178" i="1" s="1"/>
  <c r="S202" i="1"/>
  <c r="R202" i="1" s="1"/>
  <c r="S204" i="1"/>
  <c r="R204" i="1" s="1"/>
  <c r="S554" i="1"/>
  <c r="R554" i="1" s="1"/>
  <c r="S707" i="1"/>
  <c r="R707" i="1" s="1"/>
  <c r="S732" i="1"/>
  <c r="R732" i="1" s="1"/>
  <c r="S738" i="1"/>
  <c r="R738" i="1" s="1"/>
  <c r="S785" i="1"/>
  <c r="R785" i="1" s="1"/>
  <c r="S862" i="1"/>
  <c r="R862" i="1" s="1"/>
  <c r="S864" i="1"/>
  <c r="R864" i="1" s="1"/>
  <c r="S927" i="1"/>
  <c r="R927" i="1" s="1"/>
  <c r="S941" i="1"/>
  <c r="R941" i="1" s="1"/>
  <c r="S995" i="1"/>
  <c r="R995" i="1" s="1"/>
  <c r="S1007" i="1"/>
  <c r="R1007" i="1" s="1"/>
  <c r="S1110" i="1"/>
  <c r="R1110" i="1" s="1"/>
  <c r="S1122" i="1"/>
  <c r="R1122" i="1" s="1"/>
  <c r="S1127" i="1"/>
  <c r="R1127" i="1" s="1"/>
  <c r="S1129" i="1"/>
  <c r="R1129" i="1" s="1"/>
  <c r="S1131" i="1"/>
  <c r="R1131" i="1" s="1"/>
  <c r="S643" i="1"/>
  <c r="R643" i="1" s="1"/>
  <c r="S699" i="1"/>
  <c r="R699" i="1" s="1"/>
  <c r="S706" i="1"/>
  <c r="R706" i="1" s="1"/>
  <c r="S857" i="1"/>
  <c r="R857" i="1" s="1"/>
  <c r="S1041" i="1"/>
  <c r="R1041" i="1" s="1"/>
  <c r="S1043" i="1"/>
  <c r="R1043" i="1" s="1"/>
  <c r="S1095" i="1"/>
  <c r="R1095" i="1" s="1"/>
  <c r="S175" i="1"/>
  <c r="R175" i="1" s="1"/>
  <c r="S181" i="1"/>
  <c r="R181" i="1" s="1"/>
  <c r="S199" i="1"/>
  <c r="R199" i="1" s="1"/>
  <c r="S203" i="1"/>
  <c r="R203" i="1" s="1"/>
  <c r="S252" i="1"/>
  <c r="R252" i="1" s="1"/>
  <c r="S264" i="1"/>
  <c r="R264" i="1" s="1"/>
  <c r="S486" i="1"/>
  <c r="R486" i="1" s="1"/>
  <c r="S665" i="1"/>
  <c r="R665" i="1" s="1"/>
  <c r="S781" i="1"/>
  <c r="R781" i="1" s="1"/>
  <c r="S863" i="1"/>
  <c r="R863" i="1" s="1"/>
  <c r="S865" i="1"/>
  <c r="R865" i="1" s="1"/>
  <c r="S942" i="1"/>
  <c r="R942" i="1" s="1"/>
  <c r="S945" i="1"/>
  <c r="R945" i="1" s="1"/>
  <c r="S994" i="1"/>
  <c r="R994" i="1" s="1"/>
  <c r="S21" i="1"/>
  <c r="R21" i="1" s="1"/>
  <c r="S133" i="1"/>
  <c r="R133" i="1" s="1"/>
  <c r="S146" i="1"/>
  <c r="R146" i="1" s="1"/>
  <c r="S165" i="1"/>
  <c r="R165" i="1" s="1"/>
  <c r="S171" i="1"/>
  <c r="R171" i="1" s="1"/>
  <c r="S174" i="1"/>
  <c r="R174" i="1" s="1"/>
  <c r="S182" i="1"/>
  <c r="R182" i="1" s="1"/>
  <c r="S189" i="1"/>
  <c r="R189" i="1" s="1"/>
  <c r="S207" i="1"/>
  <c r="R207" i="1" s="1"/>
  <c r="S212" i="1"/>
  <c r="R212" i="1" s="1"/>
  <c r="S217" i="1"/>
  <c r="R217" i="1" s="1"/>
  <c r="S250" i="1"/>
  <c r="R250" i="1" s="1"/>
  <c r="S254" i="1"/>
  <c r="R254" i="1" s="1"/>
  <c r="S289" i="1"/>
  <c r="R289" i="1" s="1"/>
  <c r="S312" i="1"/>
  <c r="R312" i="1" s="1"/>
  <c r="S314" i="1"/>
  <c r="R314" i="1" s="1"/>
  <c r="S343" i="1"/>
  <c r="R343" i="1" s="1"/>
  <c r="S346" i="1"/>
  <c r="R346" i="1" s="1"/>
  <c r="S364" i="1"/>
  <c r="R364" i="1" s="1"/>
  <c r="S382" i="1"/>
  <c r="R382" i="1" s="1"/>
  <c r="S386" i="1"/>
  <c r="R386" i="1" s="1"/>
  <c r="S499" i="1"/>
  <c r="R499" i="1" s="1"/>
  <c r="S501" i="1"/>
  <c r="R501" i="1" s="1"/>
  <c r="S507" i="1"/>
  <c r="R507" i="1" s="1"/>
  <c r="S517" i="1"/>
  <c r="R517" i="1" s="1"/>
  <c r="S538" i="1"/>
  <c r="R538" i="1" s="1"/>
  <c r="S565" i="1"/>
  <c r="R565" i="1" s="1"/>
  <c r="S647" i="1"/>
  <c r="R647" i="1" s="1"/>
  <c r="S650" i="1"/>
  <c r="R650" i="1" s="1"/>
  <c r="S659" i="1"/>
  <c r="R659" i="1" s="1"/>
  <c r="S663" i="1"/>
  <c r="R663" i="1" s="1"/>
  <c r="S667" i="1"/>
  <c r="R667" i="1" s="1"/>
  <c r="S668" i="1"/>
  <c r="R668" i="1" s="1"/>
  <c r="S768" i="1"/>
  <c r="R768" i="1" s="1"/>
  <c r="S786" i="1"/>
  <c r="R786" i="1" s="1"/>
  <c r="S859" i="1"/>
  <c r="R859" i="1" s="1"/>
  <c r="S940" i="1"/>
  <c r="R940" i="1" s="1"/>
  <c r="S946" i="1"/>
  <c r="R946" i="1" s="1"/>
  <c r="S1028" i="1"/>
  <c r="R1028" i="1" s="1"/>
  <c r="S1030" i="1"/>
  <c r="R1030" i="1" s="1"/>
  <c r="S1032" i="1"/>
  <c r="R1032" i="1" s="1"/>
  <c r="S1037" i="1"/>
  <c r="R1037" i="1" s="1"/>
  <c r="S1042" i="1"/>
  <c r="R1042" i="1" s="1"/>
  <c r="S1060" i="1"/>
  <c r="R1060" i="1" s="1"/>
  <c r="S1062" i="1"/>
  <c r="R1062" i="1" s="1"/>
  <c r="S1099" i="1"/>
  <c r="R1099" i="1" s="1"/>
  <c r="S1156" i="1"/>
  <c r="R1156" i="1" s="1"/>
  <c r="S1158" i="1"/>
  <c r="R1158" i="1" s="1"/>
  <c r="S1152" i="1"/>
  <c r="R1152" i="1" s="1"/>
  <c r="S1154" i="1"/>
  <c r="R1154" i="1" s="1"/>
  <c r="S54" i="1"/>
  <c r="R54" i="1" s="1"/>
  <c r="S130" i="1"/>
  <c r="R130" i="1" s="1"/>
  <c r="S164" i="1"/>
  <c r="R164" i="1" s="1"/>
  <c r="S172" i="1"/>
  <c r="R172" i="1" s="1"/>
  <c r="S177" i="1"/>
  <c r="R177" i="1" s="1"/>
  <c r="S208" i="1"/>
  <c r="R208" i="1" s="1"/>
  <c r="S216" i="1"/>
  <c r="R216" i="1" s="1"/>
  <c r="S218" i="1"/>
  <c r="R218" i="1" s="1"/>
  <c r="S249" i="1"/>
  <c r="R249" i="1" s="1"/>
  <c r="S253" i="1"/>
  <c r="R253" i="1" s="1"/>
  <c r="S349" i="1"/>
  <c r="R349" i="1" s="1"/>
  <c r="S383" i="1"/>
  <c r="R383" i="1" s="1"/>
  <c r="S387" i="1"/>
  <c r="R387" i="1" s="1"/>
  <c r="S470" i="1"/>
  <c r="R470" i="1" s="1"/>
  <c r="S471" i="1"/>
  <c r="R471" i="1" s="1"/>
  <c r="S537" i="1"/>
  <c r="R537" i="1" s="1"/>
  <c r="S539" i="1"/>
  <c r="R539" i="1" s="1"/>
  <c r="S648" i="1"/>
  <c r="R648" i="1" s="1"/>
  <c r="S654" i="1"/>
  <c r="R654" i="1" s="1"/>
  <c r="S662" i="1"/>
  <c r="R662" i="1" s="1"/>
  <c r="S664" i="1"/>
  <c r="R664" i="1" s="1"/>
  <c r="S666" i="1"/>
  <c r="R666" i="1" s="1"/>
  <c r="S705" i="1"/>
  <c r="R705" i="1" s="1"/>
  <c r="S770" i="1"/>
  <c r="R770" i="1" s="1"/>
  <c r="S777" i="1"/>
  <c r="R777" i="1" s="1"/>
  <c r="S779" i="1"/>
  <c r="R779" i="1" s="1"/>
  <c r="S858" i="1"/>
  <c r="R858" i="1" s="1"/>
  <c r="S947" i="1"/>
  <c r="R947" i="1" s="1"/>
  <c r="S1027" i="1"/>
  <c r="R1027" i="1" s="1"/>
  <c r="S1031" i="1"/>
  <c r="R1031" i="1" s="1"/>
  <c r="S1033" i="1"/>
  <c r="R1033" i="1" s="1"/>
  <c r="S1061" i="1"/>
  <c r="R1061" i="1" s="1"/>
  <c r="S1092" i="1"/>
  <c r="R1092" i="1" s="1"/>
  <c r="S886" i="1"/>
  <c r="R886" i="1" s="1"/>
  <c r="S147" i="1"/>
  <c r="R147" i="1" s="1"/>
  <c r="S509" i="1"/>
  <c r="R509" i="1" s="1"/>
  <c r="S660" i="1"/>
  <c r="R660" i="1" s="1"/>
  <c r="S242" i="1"/>
  <c r="R242" i="1" s="1"/>
  <c r="S981" i="1"/>
  <c r="R981" i="1" s="1"/>
  <c r="S1036" i="1"/>
  <c r="R1036" i="1" s="1"/>
  <c r="S500" i="1"/>
  <c r="R500" i="1" s="1"/>
  <c r="S38" i="1"/>
  <c r="R38" i="1" s="1"/>
  <c r="S167" i="1"/>
  <c r="R167" i="1" s="1"/>
  <c r="S183" i="1"/>
  <c r="R183" i="1" s="1"/>
  <c r="S510" i="1"/>
  <c r="R510" i="1" s="1"/>
  <c r="S512" i="1"/>
  <c r="R512" i="1" s="1"/>
  <c r="S223" i="1"/>
  <c r="R223" i="1" s="1"/>
  <c r="S243" i="1"/>
  <c r="R243" i="1" s="1"/>
  <c r="S326" i="1"/>
  <c r="R326" i="1" s="1"/>
  <c r="S478" i="1"/>
  <c r="R478" i="1" s="1"/>
  <c r="S480" i="1"/>
  <c r="R480" i="1" s="1"/>
  <c r="S766" i="1"/>
  <c r="R766" i="1" s="1"/>
  <c r="S782" i="1"/>
  <c r="R782" i="1" s="1"/>
  <c r="S939" i="1"/>
  <c r="R939" i="1" s="1"/>
  <c r="S982" i="1"/>
  <c r="R982" i="1" s="1"/>
  <c r="S297" i="1"/>
  <c r="R297" i="1" s="1"/>
  <c r="S479" i="1"/>
  <c r="R479" i="1" s="1"/>
  <c r="S604" i="1"/>
  <c r="R604" i="1" s="1"/>
  <c r="S773" i="1"/>
  <c r="R773" i="1" s="1"/>
  <c r="S783" i="1"/>
  <c r="R783" i="1" s="1"/>
  <c r="S787" i="1"/>
  <c r="R787" i="1" s="1"/>
  <c r="P173" i="1"/>
  <c r="S173" i="1" s="1"/>
  <c r="R173" i="1" s="1"/>
  <c r="S251" i="1"/>
  <c r="R251" i="1" s="1"/>
  <c r="P129" i="1"/>
  <c r="S129" i="1" s="1"/>
  <c r="R129" i="1" s="1"/>
  <c r="P290" i="1"/>
  <c r="S290" i="1" s="1"/>
  <c r="R290" i="1" s="1"/>
  <c r="S52" i="1"/>
  <c r="R52" i="1" s="1"/>
  <c r="P131" i="1"/>
  <c r="S131" i="1" s="1"/>
  <c r="R131" i="1" s="1"/>
  <c r="P134" i="1"/>
  <c r="S134" i="1" s="1"/>
  <c r="R134" i="1" s="1"/>
  <c r="S345" i="1"/>
  <c r="R345" i="1" s="1"/>
  <c r="P474" i="1"/>
  <c r="S474" i="1" s="1"/>
  <c r="R474" i="1" s="1"/>
  <c r="S564" i="1"/>
  <c r="R564" i="1" s="1"/>
  <c r="S540" i="1"/>
  <c r="R540" i="1" s="1"/>
  <c r="S646" i="1"/>
  <c r="R646" i="1" s="1"/>
  <c r="S645" i="1"/>
  <c r="R645" i="1" s="1"/>
  <c r="P755" i="1"/>
  <c r="S755" i="1" s="1"/>
  <c r="R755" i="1" s="1"/>
  <c r="S831" i="1"/>
  <c r="R831" i="1" s="1"/>
  <c r="S943" i="1"/>
  <c r="R943" i="1" s="1"/>
  <c r="S673" i="1"/>
  <c r="R673" i="1" s="1"/>
  <c r="S725" i="1"/>
  <c r="R725" i="1" s="1"/>
  <c r="S1091" i="1"/>
  <c r="R1091" i="1" s="1"/>
  <c r="S1029" i="1"/>
  <c r="R1029" i="1" s="1"/>
  <c r="P1081" i="1"/>
  <c r="S1081" i="1" s="1"/>
  <c r="R1081" i="1" s="1"/>
  <c r="S1183" i="1" l="1"/>
  <c r="R1183" i="1"/>
</calcChain>
</file>

<file path=xl/sharedStrings.xml><?xml version="1.0" encoding="utf-8"?>
<sst xmlns="http://schemas.openxmlformats.org/spreadsheetml/2006/main" count="7284" uniqueCount="1045">
  <si>
    <t>NAMA BARANG</t>
  </si>
  <si>
    <t>SUPLIER</t>
  </si>
  <si>
    <t>STOCK AWAL</t>
  </si>
  <si>
    <t>HARGA SATUAN</t>
  </si>
  <si>
    <t>JUMLAH TERJUAL</t>
  </si>
  <si>
    <t>SISA STOCK</t>
  </si>
  <si>
    <t>JUMLAH AKHIR BAHAN</t>
  </si>
  <si>
    <t>JMLH DPP (11%) AKHIR BAHAN</t>
  </si>
  <si>
    <t>M</t>
  </si>
  <si>
    <t>S</t>
  </si>
  <si>
    <t>+PPN</t>
  </si>
  <si>
    <t>UNIT</t>
  </si>
  <si>
    <t>DISK 1 (%)</t>
  </si>
  <si>
    <t>DISK 2 (%)</t>
  </si>
  <si>
    <t>ASAHAN / SHARPENER</t>
  </si>
  <si>
    <t>ASAHAN MEJA</t>
  </si>
  <si>
    <t>ASAHAN MEJA JOYKO A-5M</t>
  </si>
  <si>
    <t>PT ATALI MAKMUR</t>
  </si>
  <si>
    <t>PC</t>
  </si>
  <si>
    <t>C</t>
  </si>
  <si>
    <t>ASAHAN MEJA JOYKO A-19 KERETA KECIL</t>
  </si>
  <si>
    <t>ASAHAN MEJA JOYKO A-20 RUMAH</t>
  </si>
  <si>
    <t>ASAHAN MEJA JOYKO A-30 KUCING</t>
  </si>
  <si>
    <t>ASAHAN MEJA KENKO A-1</t>
  </si>
  <si>
    <t>PT KENKO SINAR INDONESIA</t>
  </si>
  <si>
    <t>ASAHAN MEJA KENKO A-2</t>
  </si>
  <si>
    <t>ASAHAN MEJA KENKO A-3</t>
  </si>
  <si>
    <t>ASAHAN MEJA KENKO A-5B</t>
  </si>
  <si>
    <t>ASAHAN MEJA KENKO F-4 FT</t>
  </si>
  <si>
    <t>ASAHAN MEJA KENKO F-4T</t>
  </si>
  <si>
    <t>ASAHAN TANGAN</t>
  </si>
  <si>
    <t>ASAHAN JOYKO B-23 (isi 12 pc) TONG 1 LOBANG</t>
  </si>
  <si>
    <t>BOX</t>
  </si>
  <si>
    <t>ASAHAN JOYKO SP-362 (isi 24 pc)</t>
  </si>
  <si>
    <t>ASAHAN JOYKO B-153 (isi 36 pc)</t>
  </si>
  <si>
    <t>BUKU</t>
  </si>
  <si>
    <t>BUKU TAMU</t>
  </si>
  <si>
    <t>BUKU TAMU JOYART GB-2833 R-7 (BATIK)</t>
  </si>
  <si>
    <t>BUKU TAMU KENKO BT-2920-01/03 (BUNGA)</t>
  </si>
  <si>
    <t>LS</t>
  </si>
  <si>
    <t>BUKU TAMU KENKO BT-2920-BTK02/03 (BATIK)</t>
  </si>
  <si>
    <t>BUKU TAMU KENKO BT-3224-BTK (BATIK)</t>
  </si>
  <si>
    <t>CALCULATOR</t>
  </si>
  <si>
    <t>CALCULATOR JOYKO CC-6</t>
  </si>
  <si>
    <t>PT KALINDO SUKSES</t>
  </si>
  <si>
    <t>CALCULATOR JOYKO CC-8A</t>
  </si>
  <si>
    <t>CALCULATOR JOYKO CC-8CO (Br,Hj,Or)</t>
  </si>
  <si>
    <t>CALCULATOR JOYKO CC-11A</t>
  </si>
  <si>
    <t>CALCULATOR JOYKO CC-12CO</t>
  </si>
  <si>
    <t>CALCULATOR JOYKO CC-15A</t>
  </si>
  <si>
    <t>CALCULATOR JOYKO CC-21 WARNA (Ung,Kn,Br)</t>
  </si>
  <si>
    <t>CALCULATOR JOYKO CC-23</t>
  </si>
  <si>
    <t>CALCULATOR JOYKO CC-25</t>
  </si>
  <si>
    <t>CALCULATOR JOYKO CC-33</t>
  </si>
  <si>
    <t>CALCULATOR JOYKO CC-35</t>
  </si>
  <si>
    <t>CALCULATOR JOYKO CC-36 WARNA (Br,Kn,Hj)</t>
  </si>
  <si>
    <t>CALCULATOR JOYKO CC-37</t>
  </si>
  <si>
    <t>CALCULATOR JOYKO CC-38</t>
  </si>
  <si>
    <t>CALCULATOR JOYKO CC-40</t>
  </si>
  <si>
    <t>CALCULATOR JOYKO CC-41</t>
  </si>
  <si>
    <t>CALCULATOR JOYKO CC-46</t>
  </si>
  <si>
    <t>CALCULATOR JOYKO CC-47CO</t>
  </si>
  <si>
    <t>CALCULATOR JOYKO CC-800</t>
  </si>
  <si>
    <t>CALCULATOR JOYKO CC-800CH</t>
  </si>
  <si>
    <t>CALCULATOR JOYKO CC-810CH</t>
  </si>
  <si>
    <t>CALCULATOR JOYKO CC-868</t>
  </si>
  <si>
    <t>CALCULATOR JOYKO DTC-1313CH</t>
  </si>
  <si>
    <t>CALCULATOR JOYKO DTC-1516</t>
  </si>
  <si>
    <t>CALCULATOR JOYKO PKC-0711HC</t>
  </si>
  <si>
    <t>CASH BOX</t>
  </si>
  <si>
    <t>CASH BOX JOYKO CB-27A</t>
  </si>
  <si>
    <t>CASH BOX JOYKO CB-32A</t>
  </si>
  <si>
    <t>CLIP</t>
  </si>
  <si>
    <t>CLIP BINDER</t>
  </si>
  <si>
    <t>BINDER CLIP JOYKO NO. 105 CD (isi 60pc)</t>
  </si>
  <si>
    <t>DRM</t>
  </si>
  <si>
    <t>BINDER CLIP JOYKO NO. 107 CD (isi 40 pc)</t>
  </si>
  <si>
    <t>BINDER CLIP JOYKO NO. 111 CD (isi 48 pc)</t>
  </si>
  <si>
    <t>BINDER CLIP JOYKO NO. 155 CD (isi 24 pc)</t>
  </si>
  <si>
    <t>BINDER CLIP JOYKO NO. 200 CD (isi 24 pc)</t>
  </si>
  <si>
    <t>BINDER CLIP JOYKO NO. 260 CD (isi 12 pc)</t>
  </si>
  <si>
    <t>BINDER CLIP JOYKO 105</t>
  </si>
  <si>
    <t>GRS</t>
  </si>
  <si>
    <t>BINDER CLIP JOYKO 107</t>
  </si>
  <si>
    <t>BINDER CLIP JOYKO 111</t>
  </si>
  <si>
    <t>BINDER CLIP JOYKO 155</t>
  </si>
  <si>
    <t>BINDER CLIP JOYKO 200</t>
  </si>
  <si>
    <t>BINDER CLIP JOYKO 260</t>
  </si>
  <si>
    <t>BINDER CLIP JOYKO 280</t>
  </si>
  <si>
    <t>BINDER CLIP KENKO NO. 105</t>
  </si>
  <si>
    <t>BINDER CLIP KENKO NO. 107</t>
  </si>
  <si>
    <t>BINDER CLIP KENKO NO. 111</t>
  </si>
  <si>
    <t>BINDER CLIP KENKO NO. 155</t>
  </si>
  <si>
    <t>BINDER CLIP KENKO NO. 200</t>
  </si>
  <si>
    <t>BINDER CLIP KENKO NO. 260</t>
  </si>
  <si>
    <t>CLIP PAPER</t>
  </si>
  <si>
    <t>PAPER TRIGONAL CLIP JOYKO NO. 1</t>
  </si>
  <si>
    <t>PAK</t>
  </si>
  <si>
    <t>PAPER TRIGONAL CLIP JOYKO NO. 3</t>
  </si>
  <si>
    <t>PAPER JUMBO CLIP JOYKO NO. 5</t>
  </si>
  <si>
    <t>PAPER CLIP WARNA JOYKO C-3100</t>
  </si>
  <si>
    <t>CAD</t>
  </si>
  <si>
    <t>PAPER TRIGONAL CLIP KENKO NO. 1</t>
  </si>
  <si>
    <t>PAPER TRIGONAL CLIP KENKO NO. 3</t>
  </si>
  <si>
    <t>PAPER JUMBO CLIP KENKO NO. 5</t>
  </si>
  <si>
    <t>PAPER CLIP WARNA KENKO 3100</t>
  </si>
  <si>
    <t>CORRECTION</t>
  </si>
  <si>
    <t>CORRECTION FLUID</t>
  </si>
  <si>
    <t>CORRECTION FLUID JOYKO JK-01</t>
  </si>
  <si>
    <t>CORRECTION FLUID JOYKO JK-101</t>
  </si>
  <si>
    <t>CORRECTION FLUID JOYKO CF-P231</t>
  </si>
  <si>
    <t>CORRECTION FLUID JOYKO CF-S201PT BESI</t>
  </si>
  <si>
    <t>CORRECTION FLUID JOYKO CF-S203A</t>
  </si>
  <si>
    <t>CORRECTION FLUID JOYKO CF-S209</t>
  </si>
  <si>
    <t>CORRECTION FLUID JOYKO CF-S209A</t>
  </si>
  <si>
    <t>CORRECTION FLUID JOYKO CF-S221</t>
  </si>
  <si>
    <t>CORRECTION FLUID JOYKO CF-S224</t>
  </si>
  <si>
    <t>CORRECTION FLUID JOYKO CF-S225</t>
  </si>
  <si>
    <t>CORRECTION FLUID JOYKO CF-S227</t>
  </si>
  <si>
    <t>CORRECTION FLUID JOYKO CF-S233</t>
  </si>
  <si>
    <t>CORRECTION FLUID KENKO BTK-01 BATIK</t>
  </si>
  <si>
    <t>CORRECTION FLUID KENKO FANCY-01 (CB/KR/UR/GP/HH)</t>
  </si>
  <si>
    <t>CORRECTION FLUID KENKO KE-01</t>
  </si>
  <si>
    <t>CORRECTION FLUID KENKO KE-107M</t>
  </si>
  <si>
    <t>CORRECTION FLUID KENKO KE-108</t>
  </si>
  <si>
    <t>CORRECTION FLUID KENKO KE-301</t>
  </si>
  <si>
    <t>CORRECTION FLUID KENKO KE-823M</t>
  </si>
  <si>
    <t>CORRECTION FLUID KENKO KE-826M</t>
  </si>
  <si>
    <t>CORRECTION TAPE</t>
  </si>
  <si>
    <t>CORRECTION TAPE JOYKO CT-507</t>
  </si>
  <si>
    <t>CORRECTION TAPE JOYKO CT-508</t>
  </si>
  <si>
    <t>CORRECTION TAPE JOYKO CT-510A</t>
  </si>
  <si>
    <t>CORRECTION TAPE JOYKO CT-522</t>
  </si>
  <si>
    <t>CORRECTION TAPE JOYKO CT-531</t>
  </si>
  <si>
    <t>CORRECTION TAPE JOYKO CT-533</t>
  </si>
  <si>
    <t>CORRECTION TAPE JOYKO CT-547 (22M)</t>
  </si>
  <si>
    <t>CORRECTION TAPE KENKO CT-202N (6M x 5MM)</t>
  </si>
  <si>
    <t>CORRECTION TAPE KENKO CT-306 (6M x 5MM)</t>
  </si>
  <si>
    <t>CORRECTION TAPE KENKO CT-309 (12M x 5MM)</t>
  </si>
  <si>
    <t>CORRECTION TAPE KENKO CT-363 BTK (6M x 5MM)</t>
  </si>
  <si>
    <t>CORRECTION TAPE KENKO CT-802N (8M x 5MM)</t>
  </si>
  <si>
    <t>CORRECTION TAPE KENKO CT-821N i PUSH (6M x 5MM)</t>
  </si>
  <si>
    <t>CORRECTION TAPE KENKO CT-828 BTK (8M x 5MM)</t>
  </si>
  <si>
    <t>CORRECTION TAPE KENKO CT-831 (8M x 5MM)</t>
  </si>
  <si>
    <t>CORRECTION TAPE KENKO CT-902P (12M x 5MM) TRANSPARAN</t>
  </si>
  <si>
    <t>CORRECTION TAPE KENKO CT-903 (12M x 5MM)</t>
  </si>
  <si>
    <t>CORRECTION TAPE KENKO CT-905 (12M x 5MM)</t>
  </si>
  <si>
    <t>CORRECTION TAPE KENKO CT-906 (12M x 5MM)</t>
  </si>
  <si>
    <t>CRAYON / OIL PASTEL</t>
  </si>
  <si>
    <t>CRAYON / OIL PASTEL JOYKO OP-12CHC COMPACT</t>
  </si>
  <si>
    <t>SET</t>
  </si>
  <si>
    <t>CRAYON / OIL PASTEL JOYKO OP-12CR ROUND (MINI)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</si>
  <si>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</si>
  <si>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</si>
  <si>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</si>
  <si>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</si>
  <si>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</si>
  <si>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CRAYON / OIL PASTEL JOYKO OP-55S PP CASE SEA WORLD</t>
  </si>
  <si>
    <t>CRAYON / OIL PASTEL KENKO 12W GARDEN</t>
  </si>
  <si>
    <t>CRAYON / OIL PASTEL KENKO 18W GARDEN</t>
  </si>
  <si>
    <t>CRAYON / OIL PASTEL TITI PL-12NM NEON METALLIC</t>
  </si>
  <si>
    <t>CRAYON / OIL PASTEL TITI OP-12CHC COMPACT/HEXAGONAL</t>
  </si>
  <si>
    <t>CRAYON / OIL PASTEL TITI TI-P-12S</t>
  </si>
  <si>
    <t>CRAYON / OIL PASTEL TITI TI-P-18S</t>
  </si>
  <si>
    <t>CRAYON / OIL PASTEL TITI TI-P-24S</t>
  </si>
  <si>
    <t>CRAYON / OIL PASTEL TITI TI-P-36S</t>
  </si>
  <si>
    <t>CRAYON / OIL PASTEL TITI TI-P-48S</t>
  </si>
  <si>
    <t>CRAYON / OIL PASTEL TITI TI-P-55S</t>
  </si>
  <si>
    <t>CRAYON PUTAR</t>
  </si>
  <si>
    <t>CRAYON / OIL PASTEL PUTAR 1012-L PANJANG MIX</t>
  </si>
  <si>
    <t>CV SAMUDERA ANGKASA JAYA</t>
  </si>
  <si>
    <t>CRAYON / OIL PASTEL PUTAR JOYKO TWCR-12MINI (PENDEK)</t>
  </si>
  <si>
    <t>CRAYON / OIL PASTEL PUTAR JOYKO TWCR-12S (PANJANG)</t>
  </si>
  <si>
    <t>CRAYON / OIL PASTEL PUTAR JOYKO TWCR-24S (PANJANG)</t>
  </si>
  <si>
    <t>CRAYON / OIL PASTEL PUTAR KENKO 12 MINI TWIST</t>
  </si>
  <si>
    <t>CRAYON / OIL PASTEL PUTAR KENKO 12C TWIST</t>
  </si>
  <si>
    <t>CRAYON / OIL PASTEL PUTAR TITI TI-CP-12T TWIST</t>
  </si>
  <si>
    <t>CRAYON / OIL PASTEL PUTAR TITI TI-CP-12 MINI</t>
  </si>
  <si>
    <t>COLORING</t>
  </si>
  <si>
    <t>CAT ACRYLIC MARIES 12C (12 ML)</t>
  </si>
  <si>
    <t>PT LAUTAN MAS ASIA</t>
  </si>
  <si>
    <t>CAT POSTER / POSTER COLOR JOYKO POC-10ML-12 BOTOL</t>
  </si>
  <si>
    <t>CUTTER &amp; ISI</t>
  </si>
  <si>
    <t>CUTTER</t>
  </si>
  <si>
    <t>CUTTER JOYKO CU-15BC</t>
  </si>
  <si>
    <t>CUTTER 9 MM JOYKO K-200 (KECIL)</t>
  </si>
  <si>
    <t>CUTTER 9 MM JOYKO A-300A AUTOLOCK (KECIL)</t>
  </si>
  <si>
    <t>CUTTER 18 MM JOYKO L-500 + ISI (BESAR)</t>
  </si>
  <si>
    <t>CUTTER 9 MM KENKO K-200 (KECIL)</t>
  </si>
  <si>
    <t>CUTTER 9 MM KENKO A-300 (KECIL)</t>
  </si>
  <si>
    <t>CUTTER 18 MM KENKO L-500 (BESAR)</t>
  </si>
  <si>
    <t>ISI CUTTER</t>
  </si>
  <si>
    <t>ISI CUTTER 9 MM KENKO A-100 (KECIL)</t>
  </si>
  <si>
    <t>ISI CUTTER 18 MM KENKO L-150 (BESAR)</t>
  </si>
  <si>
    <t>PAPER CUTTER</t>
  </si>
  <si>
    <t>PAPER CUTTER JOYKO PC-2638 (BESI FOLIO)</t>
  </si>
  <si>
    <t>PAPER CUTTER JOYKO PC-3038 (BESI B4)</t>
  </si>
  <si>
    <t>PAPER CUTTER JOYKO PC-3846 (BESI A3)</t>
  </si>
  <si>
    <t>PAPER TRIMMER KENKO 10"X15" (FC BESI)</t>
  </si>
  <si>
    <t>PAPER TRIMMER KENKO 12"X15" (B4 BESI)</t>
  </si>
  <si>
    <t>PAPER TRIMMER KENKO 18"X15" (A3 BESI)</t>
  </si>
  <si>
    <t>DESK SET</t>
  </si>
  <si>
    <t>DESK SET JOYKO DS-1015</t>
  </si>
  <si>
    <t>DESK SET JOYKO DS-338</t>
  </si>
  <si>
    <t>DESK SET KENKO K-238</t>
  </si>
  <si>
    <t>DESK SET KENKO K-8312 ORGANIZER</t>
  </si>
  <si>
    <t>DOKUMEN</t>
  </si>
  <si>
    <t>EXPANDING FILE</t>
  </si>
  <si>
    <t>EXPANDING FILE JOYKO EF-2638 (Folio)</t>
  </si>
  <si>
    <t>MAP</t>
  </si>
  <si>
    <t>GARISAN</t>
  </si>
  <si>
    <t>GARISAN BESI</t>
  </si>
  <si>
    <t>GARISAN BESI (STAINLESS STEEL) KENKO 15 CM</t>
  </si>
  <si>
    <t>GARISAN BESI (STAINLESS STEEL) KENKO 30 CM</t>
  </si>
  <si>
    <t>GARISAN BESI (STAINLESS STEEL) KENKO 40 CM</t>
  </si>
  <si>
    <t>GARISAN BESI (STAINLESS STEEL) KENKO 50 CM</t>
  </si>
  <si>
    <t>GARISAN BESI (STAINLESS STEEL) KENKO 60 CM</t>
  </si>
  <si>
    <t>GARISAN BESI (STAINLESS STEEL) KENKO 100 CM / 1 M</t>
  </si>
  <si>
    <t>GUNTING / SCISSOR</t>
  </si>
  <si>
    <t>GUNTING JOYART SC-09</t>
  </si>
  <si>
    <t>GUNTING JOYKO SC-13</t>
  </si>
  <si>
    <t>GUNTING JOYKO SC-14</t>
  </si>
  <si>
    <t>GUNTING JOYKO SC-828</t>
  </si>
  <si>
    <t>GUNTING JOYKO SC-838</t>
  </si>
  <si>
    <t>GUNTING JOYKO SC-848</t>
  </si>
  <si>
    <t>GUNTING JOYKO SC-868</t>
  </si>
  <si>
    <t>GUNTING JOYKO SC-828 SG</t>
  </si>
  <si>
    <t>GUNTING JOYKO SC-838 SG</t>
  </si>
  <si>
    <t>GUNTING JOYKO SC-848 SG</t>
  </si>
  <si>
    <t>GUNTING JOYKO ZZ-65 (6.5" GERIGI)</t>
  </si>
  <si>
    <t>GUNTING JOYKO ZZ-85 (8.5" GERIGI)</t>
  </si>
  <si>
    <t>GUNTING KENKO SC-828</t>
  </si>
  <si>
    <t>GUNTING KENKO SC-838N</t>
  </si>
  <si>
    <t>GUNTING KENKO SC-848N</t>
  </si>
  <si>
    <t>GUNTING KENKO SC-848SG</t>
  </si>
  <si>
    <t>HAND TALLY COUNTER</t>
  </si>
  <si>
    <t>HAND TALLY COUNTER KENKO HT-302</t>
  </si>
  <si>
    <t>HAND TALLY COUNTER KENKO HT-303</t>
  </si>
  <si>
    <t>JANGKA</t>
  </si>
  <si>
    <t>JANGKA (MATH SET) JOYKO MS-25</t>
  </si>
  <si>
    <t>JANGKA (MATH SET) JOYKO MS-55</t>
  </si>
  <si>
    <t>JANGKA (MATH SET) JOYKO MS-75</t>
  </si>
  <si>
    <t>JANGKA (MATH SET) JOYKO MS-402</t>
  </si>
  <si>
    <t>JANGKA (MATH SET) JOYKO MS-403</t>
  </si>
  <si>
    <t>JANGKA (MATH SET) JOYKO MS-404</t>
  </si>
  <si>
    <t>JANGKA (MATH SET) JOYKO MS-405</t>
  </si>
  <si>
    <t>JANGKA (MATH SET) JOYKO MS-406</t>
  </si>
  <si>
    <t>JANGKA (MATH SET) JOYKO MS-410</t>
  </si>
  <si>
    <t>JANGKA (COMPASS SET) KENKO C-168 / MS-75</t>
  </si>
  <si>
    <t>JANGKA (COMPASS SET) KENKO C-288 / MS-25</t>
  </si>
  <si>
    <t>KACA PEMBESAR / MAGNIFIER</t>
  </si>
  <si>
    <t>KACA PEMBESAR (MAGNIFIER) JOYKO MF-50</t>
  </si>
  <si>
    <t>KACA PEMBESAR (MAGNIFIER) JOYKO MF-60</t>
  </si>
  <si>
    <t>KERTAS</t>
  </si>
  <si>
    <t>KERTAS FOTO</t>
  </si>
  <si>
    <t>GLOSSY PHOTO PAPER KENKO 230 GSM A4 (isi 100 pc)</t>
  </si>
  <si>
    <t>KARBON</t>
  </si>
  <si>
    <t>KERTAS KARBON DOUBLE BIRU E-1021</t>
  </si>
  <si>
    <t>PT SEMBILAN-SEMBILAN JAYA UTAMA</t>
  </si>
  <si>
    <t>KEY RING</t>
  </si>
  <si>
    <t>KEY RING JOYKO KR-6</t>
  </si>
  <si>
    <t>KEY RING JOYKO KR-8 ISI 50 PC</t>
  </si>
  <si>
    <t>KEY RING JOYKO KR-9 ISI 50 PC</t>
  </si>
  <si>
    <t>KEY RING KENKO KR-6 ISI 6 PC</t>
  </si>
  <si>
    <t>KEY RING KENKO KR-50 ISI 50 PC</t>
  </si>
  <si>
    <t>KUAS / BRUSH</t>
  </si>
  <si>
    <t>KUAS SET JOYKO BR-1</t>
  </si>
  <si>
    <t>KUAS SET JOYKO BR-2</t>
  </si>
  <si>
    <t>KUAS SET JOYKO BR-3</t>
  </si>
  <si>
    <t>KUAS SET JOYKO BR-4 (FLAT)</t>
  </si>
  <si>
    <t>KUAS SET JOYKO BR-5</t>
  </si>
  <si>
    <t>KUAS SET JOYKO BR-8</t>
  </si>
  <si>
    <t>LABEL &amp; LABELLER (MESIN)</t>
  </si>
  <si>
    <t>LABEL</t>
  </si>
  <si>
    <t>LABEL HARGA JOYKO LB-2RL (1 LINE PUTIH)</t>
  </si>
  <si>
    <t>ROL</t>
  </si>
  <si>
    <t>LABEL HARGA JOYKO LB-1LY (1 LINE KUNING)</t>
  </si>
  <si>
    <t>LABEL HARGA JOYKO LB-P2LN (2 LINE PUTIH)</t>
  </si>
  <si>
    <t>LABEL HARGA JOYKO LB-P2CY (2 LINE KUNING)</t>
  </si>
  <si>
    <t>LABEL HARGA JOYKO LB-3 (2 LINE KUNING FLUOR)</t>
  </si>
  <si>
    <t>LABEL HARGA JOYKO LB-6 (1 LINE KUNING FLUOR)</t>
  </si>
  <si>
    <t>LABEL HARGA JOYKO LB-9 (1 LINE HIJAU FLUOR)</t>
  </si>
  <si>
    <t>LABEL HARGA JOYKO LB-10 (2 LINE HIJAU FLUOR)</t>
  </si>
  <si>
    <t>LABEL STICKER PAPER JOYKO LSP-09</t>
  </si>
  <si>
    <t>LABEL HARGA KENKO 6001-2R (1 LINE) isi 10 rol</t>
  </si>
  <si>
    <t>SLOP</t>
  </si>
  <si>
    <t>LABEL HARGA KENKO 5002-2R (2 LINE) isi 10 rol</t>
  </si>
  <si>
    <t>MESIN LABEL</t>
  </si>
  <si>
    <t>MESIN LABEL HARGA JOYKO MX-5500M (8 DIGITS, 1 LINE)</t>
  </si>
  <si>
    <t>MESIN LABEL HARGA KENKO MX-5500 (8 DIGITS, 1 LINE)</t>
  </si>
  <si>
    <t>MESIN LABEL HARGA KENKO MX-5500EOS (8 DIGITS, 1 LINE)</t>
  </si>
  <si>
    <t>MESIN LABEL HARGA KENKO MX-6600N (10 Dgt, 2 Line, A/N-N)</t>
  </si>
  <si>
    <t>LAMINATING FILM</t>
  </si>
  <si>
    <t>LAMINATING FILM JOYKO LF100-2234 (F4)</t>
  </si>
  <si>
    <t>LAMINATING FILM KENKO LF100-2234 (FC)</t>
  </si>
  <si>
    <t>LEM / GLUE</t>
  </si>
  <si>
    <t>LEM CAIR / LIQUID</t>
  </si>
  <si>
    <t>LEM LIQUID (CAIR) JOYKO GL-30</t>
  </si>
  <si>
    <t>LEM LIQUID (CAIR) JOYKO GL-R35 (35 ML)</t>
  </si>
  <si>
    <t>LEM LIQUID (CAIR) JOYKO GL-R50 (50 ML)</t>
  </si>
  <si>
    <t>LEM LIQUID (CAIR) JOYKO GL-W02</t>
  </si>
  <si>
    <t>LEM CAIR 35 ML KENKO LG-35</t>
  </si>
  <si>
    <t>LEM CAIR 50 ML KENKO LG-50</t>
  </si>
  <si>
    <t>LEM CAIR 50 ML KENKO LG-50A</t>
  </si>
  <si>
    <t>LEM STICK</t>
  </si>
  <si>
    <t>LEM STICK JOYKO 8 GR GS-09 isi 12 pc</t>
  </si>
  <si>
    <t>LEM STICK JOYKO 15 GR GS-15 isi 12 pc</t>
  </si>
  <si>
    <t>LEM STICK JOYKO 8 GR GS-100 isi 24 pc</t>
  </si>
  <si>
    <t>LEM STICK JOYKO 15 GR GS-104 TG (ANIMAL KINGDOM) isi 24 pc</t>
  </si>
  <si>
    <t>LEM STICK KENKO 8 GR (KECIL) isi 30 pc</t>
  </si>
  <si>
    <t>LEM STICK KENKO 15 GR (TANGGUNG) isi 20 pc</t>
  </si>
  <si>
    <t>LEM STICK KENKO 25 GR (BESAR) isi 12 pc</t>
  </si>
  <si>
    <t>LEM SUPER 3 GR KENKO SG-03A (isi 12 pc)</t>
  </si>
  <si>
    <t>LEM TEMBAK / BAKAR</t>
  </si>
  <si>
    <t>LEM TEMBAK/BAKAR KECIL ADETECK</t>
  </si>
  <si>
    <t>PT ERA LARIS ABADI</t>
  </si>
  <si>
    <t>KG</t>
  </si>
  <si>
    <t>LOOSE LEAF</t>
  </si>
  <si>
    <t>LOOSE LEAF JOYART A5-2070 (50S)</t>
  </si>
  <si>
    <t>LOOSE LEAF JOYART B5-2670 (50S)</t>
  </si>
  <si>
    <t>LOOSE LEAF JOYKO A5-7020 (50S)</t>
  </si>
  <si>
    <t>LOOSE LEAF JOYKO A5-7020 (100S)</t>
  </si>
  <si>
    <t>LOOSE LEAF JOYKO B5-7026 (100S)</t>
  </si>
  <si>
    <t>LOOSE LEAF KENKO A5-LL 50-2070</t>
  </si>
  <si>
    <t>LOOSE LEAF KENKO A5-LL 100-2070</t>
  </si>
  <si>
    <t>LOOSE LEAF KENKO B5-LL 50-2670</t>
  </si>
  <si>
    <t>LOOSE LEAF KENKO B5-LL 100-2670</t>
  </si>
  <si>
    <t>NOTE</t>
  </si>
  <si>
    <t>NOTE BINDER</t>
  </si>
  <si>
    <t>BINDER COMPUTER JOYKO SC-1301</t>
  </si>
  <si>
    <t>BINDER NOTE JOYKO A5 (CAMPUS/CLASSIC)</t>
  </si>
  <si>
    <t>BINDER NOTE JOYKO A5 (FANCY)</t>
  </si>
  <si>
    <t>BINDER NOTE JOYKO B5 (CAMPUS/CLASSIC)</t>
  </si>
  <si>
    <t>BINDER NOTE JOYKO B5 (FANCY)</t>
  </si>
  <si>
    <t>BINDER NOTE KENKO A5 (CAMPUS/CLASSIC)</t>
  </si>
  <si>
    <t>BINDER NOTE KENKO B5 (CAMPUS/CLASSIC)</t>
  </si>
  <si>
    <t>BINDER RING NOTE KENKO A5-RNPP</t>
  </si>
  <si>
    <t>NOTE BOOK</t>
  </si>
  <si>
    <t>NOTEBOOK JOYKO A5 NB-661 (Br,Or,Mrh,Kn)</t>
  </si>
  <si>
    <t>POCKET NOTE SPIRAL KENKO PN-403</t>
  </si>
  <si>
    <t>POCKET NOTE SPIRAL KENKO PN-404</t>
  </si>
  <si>
    <t>POCKET NOTE SPIRAL KENKO PN-501</t>
  </si>
  <si>
    <t>NOTE STICK</t>
  </si>
  <si>
    <t>INDEX MEMO STICK JOYKO IM-43 (Plastik Kotak)</t>
  </si>
  <si>
    <t>INDEX MEMO STICK JOYKO IM-45 (Kertas Kotak)</t>
  </si>
  <si>
    <t>PAPER FASTENER / ACCO</t>
  </si>
  <si>
    <t>PAPER FASTENER (ACCO) KENKO PF-508 ISI 50 PC PUTIH</t>
  </si>
  <si>
    <t>PAPER FASTENER (ACCO) KENKO PF-508 ISI 50 PC WARNA</t>
  </si>
  <si>
    <t>PAPER FASTENER (ACCO) JOYKO PF-50 PUTIH</t>
  </si>
  <si>
    <t>PAPER FASTENER (ACCO) JOYKO PF-50 WARNA</t>
  </si>
  <si>
    <t>PEN</t>
  </si>
  <si>
    <t>PEN BALL</t>
  </si>
  <si>
    <t>BALLPEN JOYKO BP-184 CULTURE</t>
  </si>
  <si>
    <t>BALLPEN JOYKO BP-248 SUMA</t>
  </si>
  <si>
    <t>BALLPEN JOYKO BP-249 LINO</t>
  </si>
  <si>
    <t>BALLPEN JOYKO BP-251 FRODO</t>
  </si>
  <si>
    <t>BALLPEN JOYKO BP-327 MAZE</t>
  </si>
  <si>
    <t>BALLPEN JOYKO BP-338 VOCUS</t>
  </si>
  <si>
    <t>BALLPEN KENKO EASY FLOW 6</t>
  </si>
  <si>
    <t>BALLPEN KENKO NK-7 / 7B</t>
  </si>
  <si>
    <t>BALLPEN KENKO NOJI N-9</t>
  </si>
  <si>
    <t>PEN GEL</t>
  </si>
  <si>
    <t>GEL PEN AODEMI MASTONA 010 LOL</t>
  </si>
  <si>
    <t>GEL PEN AODEMI MASTONA 011 PONY</t>
  </si>
  <si>
    <t>GEL PEN AODEMI MASTONA 021 AVENGER</t>
  </si>
  <si>
    <t>GEL PEN AODEMI MASTONA 022 BTS-KARAKTER</t>
  </si>
  <si>
    <t>GEL PEN JOYKO GP-100</t>
  </si>
  <si>
    <t>GEL PEN JOYKO GP-100NT</t>
  </si>
  <si>
    <t>GEL PEN JOYKO GP-190 PINO</t>
  </si>
  <si>
    <t>GEL PEN JOYKO GP-237 X-TECH</t>
  </si>
  <si>
    <t>GEL PEN JOYKO GP-243 WHIZ GEL</t>
  </si>
  <si>
    <t>GEL PEN JOYKO GP-265 Q-GEL</t>
  </si>
  <si>
    <t>GEL PEN JOYKO GP-266 ITECH 2</t>
  </si>
  <si>
    <t>GEL PEN JOYKO GP-279 ERASABLE</t>
  </si>
  <si>
    <t>GEL PEN JOYKO GP-330</t>
  </si>
  <si>
    <t>GEL PEN JOYKO JK-100 KING JELLER</t>
  </si>
  <si>
    <t>GEL PEN KENKO BG-16 (BATIK)</t>
  </si>
  <si>
    <t>GEL PEN KENKO BG-20 (BATIK)</t>
  </si>
  <si>
    <t>GEL PEN KENKO EASY GEL</t>
  </si>
  <si>
    <t>GEL PEN KENKO FUN GEL</t>
  </si>
  <si>
    <t>GEL PEN KENKO INDO GEL</t>
  </si>
  <si>
    <t>GEL PEN KENKO HI-TECH-H 0.28 MM</t>
  </si>
  <si>
    <t>GEL PEN KENKO HI-TECH-H 0.28 MM FUN COLOR</t>
  </si>
  <si>
    <t>GEL PEN KENKO HI-TECH-H 0.4 MM (Hj,Or,Pink,Ungu)</t>
  </si>
  <si>
    <t>GEL PEN KENKO K-1</t>
  </si>
  <si>
    <t>GEL PEN KENKO KE-100</t>
  </si>
  <si>
    <t>GEL PEN KENKO KE-100 TJ (Tip Jarum)</t>
  </si>
  <si>
    <t>GEL PEN KENKO KE-100BTK (Batik)</t>
  </si>
  <si>
    <t>GEL PEN KENKO KE-20 ZOO N ZOO</t>
  </si>
  <si>
    <t>GEL PEN KENKO KE-200</t>
  </si>
  <si>
    <t>GEL PEN KENKO KE-303 T-GEL TRIANGULAR</t>
  </si>
  <si>
    <t>GEL PEN KENKO KE-600 WINJELLER</t>
  </si>
  <si>
    <t>GEL PEN KENKO SAHARA (HITAM/BIRU/MERAH)</t>
  </si>
  <si>
    <t>GEL PEN DEBOZZ 0.5 MM DB-G05</t>
  </si>
  <si>
    <t>GEL INK TIANJIAO TZ-501</t>
  </si>
  <si>
    <t>GEL PEN TIZO 0.7 MM TG-395-B/D</t>
  </si>
  <si>
    <t>GEL PEN TIZO 1.0 MM TG-340</t>
  </si>
  <si>
    <t>GEL PEN ZUI ZHUA HY-1020</t>
  </si>
  <si>
    <t>PEN SET</t>
  </si>
  <si>
    <t>GEL PEN SET JOYKO GPC-296 (isi 8 pc)</t>
  </si>
  <si>
    <t>GEL PEN SET WARNA JOYKO GPC-316 RETRO GEL</t>
  </si>
  <si>
    <t>GEL PEN SET WARNA JOYKO GPC-325 (I Tech 3)</t>
  </si>
  <si>
    <t>GEL PEN SET JOYKO GPC-309S DIAMOND ART</t>
  </si>
  <si>
    <t>GEL PEN SET JOYKO GPC-310S DIAMOND ART</t>
  </si>
  <si>
    <t>GEL PEN SET KENKO K-1/CS6 (isi 6 pc)</t>
  </si>
  <si>
    <t>PEN STAND</t>
  </si>
  <si>
    <t>STAND PEN JOYKO PSGP-147</t>
  </si>
  <si>
    <t>REFILL / ISI PEN</t>
  </si>
  <si>
    <t>REFILL / ISI GEL PEN JOYKO GPR-263 isi 3pc/24set</t>
  </si>
  <si>
    <t>REFILL / ISI GEL PEN JOYKO GPR-267 isi 24 pc</t>
  </si>
  <si>
    <t>REFILL / ISI GEL INK TIANJIAO TZ-501R</t>
  </si>
  <si>
    <t>REFILL / ISI GEL PEN KENKO K-1</t>
  </si>
  <si>
    <t>REFILL / ISI GEL PEN KENKO EASY GEL / KE-SERIES</t>
  </si>
  <si>
    <t>REFILL / ISI GEL PEN AODEMI MASTONA 613-OFFC isi 20 pc</t>
  </si>
  <si>
    <t>PENSIL</t>
  </si>
  <si>
    <t>PENSIL JOYKO 2B P-88</t>
  </si>
  <si>
    <t>PENSIL JOYKO 2B P-91</t>
  </si>
  <si>
    <t>PENSIL JOYKO 2B P-93</t>
  </si>
  <si>
    <t>PENSIL JOYKO 2B P-94</t>
  </si>
  <si>
    <t>PENSIL KENKO 2B-0810 FLOURESCENT</t>
  </si>
  <si>
    <t>PENSIL KENKO 2B-3181 TRIANGULAR  HITAM CAP MERAH</t>
  </si>
  <si>
    <t>PENSIL KENKO 2B-3282 TRIANGULAR HITAM CAP BINTANG</t>
  </si>
  <si>
    <t>PENSIL KENKO 2B-3663 WARNA</t>
  </si>
  <si>
    <t>PENSIL KENKO 2B-6019 ANTIBACTERIAL</t>
  </si>
  <si>
    <t>PENSIL KENKO HB-6151 MERAH HITAM + ERASER</t>
  </si>
  <si>
    <t>PENSIL KENKO 2B-6161 BIRU STRIP HITAM</t>
  </si>
  <si>
    <t>PENSIL KENKO 2B-6181 BIRU CAP HITAM</t>
  </si>
  <si>
    <t>PENSIL KENKO 2B-6191 HIJAU CAP HITAM</t>
  </si>
  <si>
    <t>PENSIL KENKO 2B-6371 SILVER CAP BIRU</t>
  </si>
  <si>
    <t>PENSIL KENKO 2B-6373 METALLIC</t>
  </si>
  <si>
    <t>PENSIL KENKO 2B-6800 PLATINUM</t>
  </si>
  <si>
    <t>PENSIL KENKO 2B-6900 FUN COLOR</t>
  </si>
  <si>
    <t>PENSIL ZHONG HUA M/B CARPENTER 120 KECIL</t>
  </si>
  <si>
    <t>PENSIL BENSIA</t>
  </si>
  <si>
    <t>BENSIA SF-9925 A ISI 42 PC (PELUIT)</t>
  </si>
  <si>
    <t>BENSIA SF-9925 B ISI 42 PC (TANGAN)</t>
  </si>
  <si>
    <t>BENSIA SF-9925 C ISI 42 PC (SENDOK GARPU)</t>
  </si>
  <si>
    <t>BENSIA SF-9927 W ISI 42 PC (KIPAS/KINCIR)</t>
  </si>
  <si>
    <t>BENSIA SF-9939 A ISI 32 PC (LOVE DADU)</t>
  </si>
  <si>
    <t>PENSIL KACA (PENCIL GLASS)</t>
  </si>
  <si>
    <t>PENCIL GLASS JOYKO PG-100</t>
  </si>
  <si>
    <t>PENCIL GLASS MITSUKO</t>
  </si>
  <si>
    <t>PENSIL MECHANICAL</t>
  </si>
  <si>
    <t>MECHANICAL PENCIL 0.5 MM JOYKO MP-01</t>
  </si>
  <si>
    <t>MECHANICAL PENCIL 0.5 MM JOYKO MP-07</t>
  </si>
  <si>
    <t>MECHANICAL PENCIL 0.5 MM JOYKO MP-15 CRISTAL</t>
  </si>
  <si>
    <t>MECHANICAL PENCIL 0.5 MM JOYKO MP-19</t>
  </si>
  <si>
    <t>MECHANICAL PENCIL 2.0 MM JOYKO MP-21</t>
  </si>
  <si>
    <t>MECHANICAL PENCIL 0.5 MM KENKO MP-01</t>
  </si>
  <si>
    <t>MECHANICAL PENCIL 0.5 MM KENKO MP-07</t>
  </si>
  <si>
    <t>MECHANICAL PENCIL 0.5 MM KENKO NOJI MP-07-OJ</t>
  </si>
  <si>
    <t>MECHANICAL PENCIL 0.5 MM KENKO MP-070</t>
  </si>
  <si>
    <t>MECHANICAL PENCIL 0.5 MM KENKO MP-707</t>
  </si>
  <si>
    <t>PENSIL WARNA</t>
  </si>
  <si>
    <t>PENSIL WARNA JOYKO CP-S12 MINI (PENDEK)</t>
  </si>
  <si>
    <t>PENSIL WARNA JOYKO CP-S24 MINI (PENDEK)</t>
  </si>
  <si>
    <t>PENSIL WARNA JOYKO CP-12PB (PANJANG)</t>
  </si>
  <si>
    <t>PENSIL WARNA JOYKO CP-24PB (PANJANG)</t>
  </si>
  <si>
    <t>PENSIL WARNA JOYKO CP-36PB (PANJANG)</t>
  </si>
  <si>
    <t>PENSIL WARNA JOYKO CP-100 (12W PANJANG)</t>
  </si>
  <si>
    <t>PENSIL WARNA JOYKO CP-101 (24W PANJANG)</t>
  </si>
  <si>
    <t>PENSIL WARNA JOYKO CP-102 (PENDEK)</t>
  </si>
  <si>
    <t>PENSIL WARNA JOYKO CP-103 (12W)</t>
  </si>
  <si>
    <t>PENSIL WARNA JOYKO CP-105 (12W)</t>
  </si>
  <si>
    <t>PENSIL WARNA JOYKO CP-107 (12W)</t>
  </si>
  <si>
    <t>PENSIL WARNA KALENG JOYKO CP-12TC (PANJANG)</t>
  </si>
  <si>
    <t>PENSIL WARNA KALENG JOYKO CP-24TC (PANJANG)</t>
  </si>
  <si>
    <t>PENSIL WARNA KENKO CP-12HALF CLASSIC (PENDEK)</t>
  </si>
  <si>
    <t>PENSIL WARNA KENKO CP-12F CLASSIC (PANJANG)</t>
  </si>
  <si>
    <t>PENSIL WARNA KENKO CP-24F CLASSIC (PANJANG)</t>
  </si>
  <si>
    <t>PENSIL WARNA KENKO CP-12FNW (NON WOOD)</t>
  </si>
  <si>
    <t>PENSIL WARNA KENKO CP-12FNWE (NON WOOD ERASABLE)</t>
  </si>
  <si>
    <t>PENSIL WARNA KALENG KENKO CP-12F TIN CASE CLASSIC</t>
  </si>
  <si>
    <t>PENSIL WARNA KALENG KENKO CP-24F TIN CASE CLASSIC</t>
  </si>
  <si>
    <t>PENSIL WARNA KENKO BI-COLOR CP-12FBC (12/24) CLASSIC</t>
  </si>
  <si>
    <t>PENSIL WARNA KENKO BI-COLOR CP-18FBC (18/36) CLASSIC</t>
  </si>
  <si>
    <t>PENSIL WARNA KENKO BI-COLOR CP-24 FBC (24/48)</t>
  </si>
  <si>
    <t>PENCIL CASE</t>
  </si>
  <si>
    <t>PENCIL CASE JOYKO PC-0717</t>
  </si>
  <si>
    <t>PENCIL CASE JOYKO PC-0618</t>
  </si>
  <si>
    <t>PENCIL CASE JOYKO PC-0719</t>
  </si>
  <si>
    <t>PENCIL CASE KENKO PC-0719</t>
  </si>
  <si>
    <t>PENCIL CASE KLG F-39 MOBIL SUSUN 3 (22x9)</t>
  </si>
  <si>
    <t>PENCIL CASE KRT 3320 + LAMPU SUSUN 3</t>
  </si>
  <si>
    <t>PIN</t>
  </si>
  <si>
    <t>PUSH PIN</t>
  </si>
  <si>
    <t>PUNCH / PEMBOLONG</t>
  </si>
  <si>
    <t>PUNCH JOYKO 30XL</t>
  </si>
  <si>
    <t>PUNCH JOYKO 40XL</t>
  </si>
  <si>
    <t>PUNCH JOYKO 85</t>
  </si>
  <si>
    <t>PUNCH JOYKO 85B</t>
  </si>
  <si>
    <t>PUNCH NOJI KENKO NO. 30-OJ</t>
  </si>
  <si>
    <t>PUNCH KENKO NO. 30</t>
  </si>
  <si>
    <t>PUNCH KENKO NO. 30DL</t>
  </si>
  <si>
    <t>PUNCH KENKO NO. 30XL</t>
  </si>
  <si>
    <t>PUNCH KENKO NO. 40</t>
  </si>
  <si>
    <t>PUNCH KENKO NO. 40XL</t>
  </si>
  <si>
    <t>PUNCH KENKO NO. 85</t>
  </si>
  <si>
    <t>PUNCH KENKO NO. 85N</t>
  </si>
  <si>
    <t>PUNCH KENKO NO. 85XL</t>
  </si>
  <si>
    <t>SPIDOL PERMANEN / PERMANENT MARKER</t>
  </si>
  <si>
    <t>SPIDOL PERMANEN KENKO PM-100</t>
  </si>
  <si>
    <t>SPIDOL PERMANEN KENKO KE-10 (KECIL)</t>
  </si>
  <si>
    <t>SPIDOL WHITEBOARD / WHITEBOARD MARKER</t>
  </si>
  <si>
    <t>SPIDOL WHITEBOARD KENKO WM-100</t>
  </si>
  <si>
    <t>SPIDOL WARNA / COLOR MARKER</t>
  </si>
  <si>
    <t>COLOR BRUSH PEN JOYKO CLP-04 (12 WARNA)</t>
  </si>
  <si>
    <t>COLOR BRUSH PEN JOYKO CLP-05 (24 WARNA)</t>
  </si>
  <si>
    <t>COLOR BRUSH PEN JOYKO CLP-06 (12 WARNA)</t>
  </si>
  <si>
    <t>COLOR BRUSH PEN JOYKO CLP-07 (24 WARNA)</t>
  </si>
  <si>
    <t>COLOR BRUSH PEN JOYKO CLP-08 (12 WARNA)</t>
  </si>
  <si>
    <t>STABILLO / HIGHLIGHTER</t>
  </si>
  <si>
    <t>HIGHLIGHTER / STABILLO JOYKO HL-1/2/3/4/5 (Kn/Hj/Br/Pink/Or)</t>
  </si>
  <si>
    <t>HIGHLIGHTER / STABILLO JOYKO HL-46 (isi 5 pc)</t>
  </si>
  <si>
    <t>HIGHLIGHTER / STABILO KENKO HL-100 (Br,Hj,Or,Pink,Ungu,Kn)</t>
  </si>
  <si>
    <t>HIGHLIGHTER / STABILO KENKO PHL-100 PASTEL</t>
  </si>
  <si>
    <t>HIGHLIGHTER / STABILO KENKO WINLINER</t>
  </si>
  <si>
    <t>HIGHLIGHTER / STABILLO TIZO TF-610 (isi 54 pc)</t>
  </si>
  <si>
    <t>HIGHLIGHTER / STABILLO VANCO HL-510</t>
  </si>
  <si>
    <t>STAMP</t>
  </si>
  <si>
    <t>STAMP DATE</t>
  </si>
  <si>
    <t>DATE STAMP JOYKO D-3</t>
  </si>
  <si>
    <t>DATE STAMP JOYKO S-68 (Lunas)</t>
  </si>
  <si>
    <t>DATE STAMP KENKO D-3 (Cap Tanggal 5 Mm)</t>
  </si>
  <si>
    <t>DATE STAMP KENKO D-4 (Cap Tanggal 4 Mm)</t>
  </si>
  <si>
    <t>NUMERING MACHINE 45 KENKO (6 Digits)</t>
  </si>
  <si>
    <t>NUMERING MACHINE 51 KENKO (7 Digits)</t>
  </si>
  <si>
    <t>STAMP PLATE NUMBER KENKO N-38 (Cap Nomer)</t>
  </si>
  <si>
    <t>STAMP PLATE DATER KENKO S-68 (Cap Lunas)</t>
  </si>
  <si>
    <t>STAMP PAD</t>
  </si>
  <si>
    <t>STAMP PAD JOYKO NO. 0</t>
  </si>
  <si>
    <t>STAMP PAD JOYKO NO. 00</t>
  </si>
  <si>
    <t>STAMP PAD JOYKO NO. 1</t>
  </si>
  <si>
    <t>STAMP PAD JOYKO NO. 2</t>
  </si>
  <si>
    <t>STAMP PAD KENKO NO. 0</t>
  </si>
  <si>
    <t>STAMP PAD KENKO NO. 1</t>
  </si>
  <si>
    <t>STAPLER &amp; STAPLES (ISI)</t>
  </si>
  <si>
    <t>GUNTACKER</t>
  </si>
  <si>
    <t>STAPLER GUNTACKER JOYKO GT-701</t>
  </si>
  <si>
    <t>STAPLER GUNTACKER KENKO GT-801</t>
  </si>
  <si>
    <t>STAPLER</t>
  </si>
  <si>
    <t>STAPLER JOYKO HD-10</t>
  </si>
  <si>
    <t>STAPLER JOYKO HD-10D</t>
  </si>
  <si>
    <t>STAPLER JOYKO HD-10M (Mini)</t>
  </si>
  <si>
    <t>STAPLER JOYKO HD-10CL</t>
  </si>
  <si>
    <t>STAPLER JOYKO HD-50</t>
  </si>
  <si>
    <t>STAPLER JOYKO HD-50CL</t>
  </si>
  <si>
    <t>STAPLER JOYKO HS-6</t>
  </si>
  <si>
    <t>STAPLER LONG REACH JOYKO HD-35LA</t>
  </si>
  <si>
    <t>STAPLER HEAVY DUTY JOYKO HD-12A/13</t>
  </si>
  <si>
    <t>STAPLER HEAVY DUTY JOYKO HD-12N/13</t>
  </si>
  <si>
    <t>STAPLER HEAVY DUTY JOYKO HD-12N/24</t>
  </si>
  <si>
    <t>STAPLER HEAVY DUTY JOYKO HD-12L/24</t>
  </si>
  <si>
    <t>STAPLER KENKO HD-10</t>
  </si>
  <si>
    <t>STAPLER KENKO HD-10 NEW COLOR</t>
  </si>
  <si>
    <t>STAPLER KENKO HD-10 PASTEL COLOR</t>
  </si>
  <si>
    <t>STAPLER KENKO HD-10D</t>
  </si>
  <si>
    <t>STAPLER KENKO HD-10D PASTEL COLOR</t>
  </si>
  <si>
    <t>STAPLER KENKO HD-10MP (MINI PLASTIK)</t>
  </si>
  <si>
    <t>STAPLER KENKO HD-10N</t>
  </si>
  <si>
    <t>STAPLER KENKO HD-10S (MINI)</t>
  </si>
  <si>
    <t>STAPLER NOJI KENKO HD-50 OJ</t>
  </si>
  <si>
    <t>STAPLER KENKO HD-50</t>
  </si>
  <si>
    <t>STAPLER KENKO HD-50 PASTEL COLOR</t>
  </si>
  <si>
    <t>STAPLER KENKO HD-50 NEW COLOR</t>
  </si>
  <si>
    <t>STAPLER KENKO HD-50N</t>
  </si>
  <si>
    <t>STAPLER HEAVY DUTY KENKO HD-12L/24</t>
  </si>
  <si>
    <t>STAPLER HEAVY DUTY KENKO HD-12N/24</t>
  </si>
  <si>
    <t>STAPLER HEAVY DUTY KENKO HD-12N/13</t>
  </si>
  <si>
    <t>STAPLER HEAVY DUTY KENKO HD-120YF/PS</t>
  </si>
  <si>
    <t>STAPLER SDI 1102 NO.10 (HD-10)</t>
  </si>
  <si>
    <t>PT MITRA GLOBAL NIAGA</t>
  </si>
  <si>
    <t>STAPLER SDI 1104</t>
  </si>
  <si>
    <t>STAPLER SDI 1105</t>
  </si>
  <si>
    <t>STAPLER SDI 1106</t>
  </si>
  <si>
    <t>STAPLER SDI 1123</t>
  </si>
  <si>
    <t>STAPLER YUAN CHANG 414</t>
  </si>
  <si>
    <t>STAPLES (ISI STAPLER)</t>
  </si>
  <si>
    <t>ISI STAPLER (STAPLES) JOYKO NO. 10S</t>
  </si>
  <si>
    <t>ISI STAPLER (STAPLES) GREATWALL GW-NO. 10 (KECIL)</t>
  </si>
  <si>
    <t>ISI STAPLER (STAPLES) GREATWALL GW-369 (BESAR)</t>
  </si>
  <si>
    <t>ISI STAPLER (STAPLES) KENKO NO. 10 - 1M PREMIUM</t>
  </si>
  <si>
    <t>ISI STAPLER (STAPLES) KENKO 1210 PREMIUM (23/10)</t>
  </si>
  <si>
    <t>ISI STAPLER (STAPLES) KENKO NO.3 (isi 20 box)</t>
  </si>
  <si>
    <t>ISI STAPLER (STAPLES) SDI 1210 (23/10)</t>
  </si>
  <si>
    <t>PT DWI TUNGGAL INDAH JAYA</t>
  </si>
  <si>
    <t>STIP / PENGHAPUS / ERASER</t>
  </si>
  <si>
    <t>STIP / PENGHAPUS GOZTAR B-24 WARNA BESAR</t>
  </si>
  <si>
    <t>STIP / PENGHAPUS JOYKO 526-B20 PUTIH</t>
  </si>
  <si>
    <t>STIP / PENGHAPUS JOYKO ER-B20BL HITAM</t>
  </si>
  <si>
    <t>STIP / PENGHAPUS JOYKO EB-30 HITAM</t>
  </si>
  <si>
    <t>STIP / PENGHAPUS JOYKO ER-30W PUTIH</t>
  </si>
  <si>
    <t>STIP / PENGHAPUS JOYKO ER-107 ANIMAL (isi 30 pc)</t>
  </si>
  <si>
    <t>STIP / PENGHAPUS JOYKO ER-109 (isi 30 pc)</t>
  </si>
  <si>
    <t>STIP / PENGHAPUS JOYKO ER-116 (isi 20 pc)</t>
  </si>
  <si>
    <t>STIP / PENGHAPUS JOYKO 526-B40P PUTIH</t>
  </si>
  <si>
    <t>STIP / PENGHAPUS JOYKO 526-B40BL HITAM</t>
  </si>
  <si>
    <t>STIP / PENGHAPUS JOYKO 526-B40CO WARNA</t>
  </si>
  <si>
    <t>STIP / PENGHAPUS KENKO ERW-20SQ PUTIH</t>
  </si>
  <si>
    <t>STIP / PENGHAPUS KENKO ERB-20SQ HITAM</t>
  </si>
  <si>
    <t>STIP / PENGHAPUS KENKO ER-30F FAUNA</t>
  </si>
  <si>
    <t>STIP / PENGHAPUS KENKO ERW-40SQ PUTIH</t>
  </si>
  <si>
    <t>STIP / PENGHAPUS KENKO ERB-40SQ HITAM</t>
  </si>
  <si>
    <t>TAPE (SELOTIP/PLAKBAND)</t>
  </si>
  <si>
    <t>DOUBLE TAPE / FOAM</t>
  </si>
  <si>
    <t>DOUBLE FOAM POLAR BEAR SP-015</t>
  </si>
  <si>
    <t>DOUBLE FOAM POLAR BEAR SP-016</t>
  </si>
  <si>
    <t>DOUBLE FOAM POLAR BEAR SP-017</t>
  </si>
  <si>
    <t>DOUBLE TAPE JOYKO 12 MM x 15 YARDS - CORE BLUE (1/2")</t>
  </si>
  <si>
    <t>DOUBLE TAPE JOYKO  24 MM x 15 YARDS - CORE BLUE (1")</t>
  </si>
  <si>
    <t>DOUBLE TAPE KENKO 6 MM - BLUE CORE (1/4")</t>
  </si>
  <si>
    <t>DOUBLE TAPE KENKO 12 MM - BLUE CORE (1/2")</t>
  </si>
  <si>
    <t>DOUBLE TAPE KENKO 24 MM - BLUE CORE (1")</t>
  </si>
  <si>
    <t>DOUBLE TAPE KENKO 48 MM - BLUE CORE (2")</t>
  </si>
  <si>
    <t>PLAKBAND / OPP TAPE</t>
  </si>
  <si>
    <t>PLAKBAND COKLAT 80 M KENKO 48 MM RED CORE</t>
  </si>
  <si>
    <t>PLAKBAND KAIN / CLOTH TAPE</t>
  </si>
  <si>
    <t>PLAKBAND KAIN HITAM KENKO 36 MM (1,5") BLUE CORE</t>
  </si>
  <si>
    <t>PLAKBAND KAIN HITAM KENKO 48 MM (2") RED CORE SQ</t>
  </si>
  <si>
    <t>TAPE DISPENSER / CUTTER</t>
  </si>
  <si>
    <t>TAPE CUTTER JOYKO TC-114</t>
  </si>
  <si>
    <t>TAPE CUTTER JOYKO TD-09N</t>
  </si>
  <si>
    <t>TAPE CUTTER JOYKO TD-101</t>
  </si>
  <si>
    <t>TAPE CUTTER JOYKO TD-102</t>
  </si>
  <si>
    <t>TAPE CUTTER JOYKO TD-103</t>
  </si>
  <si>
    <t>TAPE CUTTER 2" JOYKO TD-2 PLASTIK</t>
  </si>
  <si>
    <t>TAPE CUTTER 2" JOYKO TD-2H HANDLE</t>
  </si>
  <si>
    <t>TAPE CUTTER 2" JOYKO TD-2S BESI</t>
  </si>
  <si>
    <t>TAPE DISPENSER KENKO TD-321 (1" &amp; 3" CORE)</t>
  </si>
  <si>
    <t>TAPE DISPENSER KENKO TD-323 (1" &amp; 3" CORE)</t>
  </si>
  <si>
    <t>TAPE DISPENSER NOJI KENKO TD-323 OJ (1" &amp; 3" CORE)</t>
  </si>
  <si>
    <t>TAPE DISPENSER KENKO TD-503 (3" CORE)</t>
  </si>
  <si>
    <t>TAPE DISPENSER KENKO TD-505 (3" CORE)</t>
  </si>
  <si>
    <t>TAPE DISPENSER POLAR BEAR MN-305 @12pc</t>
  </si>
  <si>
    <t>TAPE DISPENSER ZRM 2066</t>
  </si>
  <si>
    <t>TAPE CUTTER JOYKO TC-117</t>
  </si>
  <si>
    <t>CL / KRT</t>
  </si>
  <si>
    <t>BALLPEN JOYKO BP-273 ZETO</t>
  </si>
  <si>
    <t>TAS</t>
  </si>
  <si>
    <t>TAS SHOPING BAG JOYKO SPB-3029CT-29A/B CULTURE</t>
  </si>
  <si>
    <t>STAPLER KENKO HD-10D NEW COLOR</t>
  </si>
  <si>
    <t>PLAKBAND KAIN HITAM KENKO 36 MM (1,5") RED CORE SQ</t>
  </si>
  <si>
    <t>PENSIL JOYKO 2B P-90</t>
  </si>
  <si>
    <t>JANGKA (MATH SET) JOYKO MS-28</t>
  </si>
  <si>
    <t>HANDY TAPE DISPENSER KENKO TDB-2 (BESI)</t>
  </si>
  <si>
    <t>PENSIL KENKO 2B-3030 TRIANGULAR</t>
  </si>
  <si>
    <t>GEL PEN JOYKO GP-147</t>
  </si>
  <si>
    <t>PUNCH JOYKO 30</t>
  </si>
  <si>
    <t>PUNCH JOYKO 30-2T</t>
  </si>
  <si>
    <t>ISI STAPLER (STAPLES) SDI 1213 (23/13)</t>
  </si>
  <si>
    <t>CUTTER 9 MM ZRM A-300 A.LOCK (KECIL)</t>
  </si>
  <si>
    <t>HIGHLIGHTER / STABILLO ZRM ZH-103 (Br,Hj,Or,Pink,Ungu,Kn)</t>
  </si>
  <si>
    <t>GARISAN MIKA</t>
  </si>
  <si>
    <t>PENSIL LEAD (ISI PENSIL)</t>
  </si>
  <si>
    <t>ISI PENSIL 2B 0.5 MM JOYKO PL-05</t>
  </si>
  <si>
    <t>ISI PENSIL 2B 0.7 MM JOYKO PL-07</t>
  </si>
  <si>
    <t>ISI PENSIL 2B 2.0 MM JOYKO PL-10</t>
  </si>
  <si>
    <t>ISI PENSIL 2B 2.0 MM JOYKO PL-11</t>
  </si>
  <si>
    <t>ISI PENSIL 2B 2.0 MM JOYKO PL-16</t>
  </si>
  <si>
    <t>ISI PENSIL 2,0 MM 2B KENKO PL-209</t>
  </si>
  <si>
    <t>GEL PEN KENKO KE-16 DOT N DOT</t>
  </si>
  <si>
    <t>GEL PEN SET KENKO DM-100S DIAMOND (isi 8 pc)</t>
  </si>
  <si>
    <t>TAPE DISPENSER KENKO TD-201 (1" CORE)</t>
  </si>
  <si>
    <t>PENSIL WARNA KENKO CP-36F CLASSIC (PANJANG)</t>
  </si>
  <si>
    <t>GUNTING KENKO SC-838SG</t>
  </si>
  <si>
    <t>ASAHAN KENKO SP-818 1 HOLE (isi 24 pc)</t>
  </si>
  <si>
    <t>PENSIL WARNA KENKO CP-24FNW (NON WOOD)</t>
  </si>
  <si>
    <t>PENCIL CASE / TEMPAT PENSIL MAGNET B-35145</t>
  </si>
  <si>
    <t>PENCIL CASE / TEMPAT PENSIL MAGNET OGGY O-022</t>
  </si>
  <si>
    <t>PENCIL CASE / TEMPAT PENSIL MAGNET B-3513-15</t>
  </si>
  <si>
    <t>PENCIL CASE / TEMPAT PENSIL MAGNET B-35165</t>
  </si>
  <si>
    <t>PENCIL CASE / TEMPAT PENSIL MAGNET B-35138-21</t>
  </si>
  <si>
    <t>CORRECTION FLUID JOYKO CF-P235</t>
  </si>
  <si>
    <t>PENCIL CASE 22 x 7.5 MAGNET LC-1059</t>
  </si>
  <si>
    <t>PENCIL CASE 22 x 7.5 MAGNET TC-1057 (LC-10)</t>
  </si>
  <si>
    <t>PENCIL CASE 22 x 7.5 MAGNET TC-1756</t>
  </si>
  <si>
    <t>PT RAPINAN BROTHER</t>
  </si>
  <si>
    <t>CUTTER JOYKO CU-10BC</t>
  </si>
  <si>
    <t>CORRECTION FLUID JOYKO CF-S205PT BESI</t>
  </si>
  <si>
    <t>CORRECTION TAPE JOYKO CT-509</t>
  </si>
  <si>
    <t>ASAHAN JOYKO B-75 (isi 24 pc) KAPAL</t>
  </si>
  <si>
    <t>BALLPEN JOYKO BP-275 TRIS</t>
  </si>
  <si>
    <t>CRAYON / OIL PASTEL JOYKO OP-72S PP CASE SEA WORLD</t>
  </si>
  <si>
    <t>BUKU ADMINISTRASI</t>
  </si>
  <si>
    <t>BUKU PERSEDIAAN BARANG (BPB) FOLIO</t>
  </si>
  <si>
    <t>BUKU NOTA PEMBELIAN DAN PENJUALAN (BNPP) FOLIO</t>
  </si>
  <si>
    <t>LIE ARMAND (KUNCI MATAHARI)</t>
  </si>
  <si>
    <t>GEL PEN JOYKO GP-337 PASPEM</t>
  </si>
  <si>
    <t>CRAYON / OIL PASTEL JOYKO OP-12CH HEXAGONAL</t>
  </si>
  <si>
    <t>STAPLER GUNTACKER JOYKO GT-700</t>
  </si>
  <si>
    <t>GEL PEN TRIFELLO HI-TECH TF-1190 (Hitam, Biru)</t>
  </si>
  <si>
    <t>PLAKBAND BENING 80 M KENKO 48 MM RED CORE</t>
  </si>
  <si>
    <t>ASAHAN MEJA KENKO A-5</t>
  </si>
  <si>
    <t>BINDER CLIP KENKO NO. 280 (isi 6 pc)</t>
  </si>
  <si>
    <t>TAPE DISPENSER KENKO TD-323 NC (1" &amp; 3" CORE)</t>
  </si>
  <si>
    <t>GEL PEN KENKO KS-97 SIGN PEN HITAM</t>
  </si>
  <si>
    <t>PENSIL KENKO 2B-6388 ZOO N ZOO</t>
  </si>
  <si>
    <t>TAPE DISPENSER KENKO TD-501 (1" CORE)</t>
  </si>
  <si>
    <t>CUTTER 18 MM JOYKO L-500-CU</t>
  </si>
  <si>
    <t>CAT AIR / WATER COLOR JOYKO WAC-6ML-12C SCREW TYPE</t>
  </si>
  <si>
    <t>GEL PEN JOYKO GP-212 I-DIAMOND</t>
  </si>
  <si>
    <t>GEL PEN TIZO TG-30103</t>
  </si>
  <si>
    <t>PENCIL CASE KRT KK-2C 8D S 2 BD</t>
  </si>
  <si>
    <t>LEM STICK JOYKO 25 GR GS-25 isi 12 pc</t>
  </si>
  <si>
    <t>CORRECTION TAPE JOYKO CT-520</t>
  </si>
  <si>
    <t>BALLPEN JOYKO BP-254 MORA</t>
  </si>
  <si>
    <t>LEM STICK JOYART 8 GR GS-108 isi 12 pc</t>
  </si>
  <si>
    <t>LEM STICK JOYKO 8 GR GS-103 (BATIK) isi 24 pc</t>
  </si>
  <si>
    <t>LEM LIQUID (CAIR) JOYKO GL-50</t>
  </si>
  <si>
    <t>STIP / PENGHAPUS JOYKO ER-110 (isi 40 pc)</t>
  </si>
  <si>
    <t>CORRECTION FLUID JOYKO JK-101A (BESI)</t>
  </si>
  <si>
    <t>CORRECTION TAPE KENKO CT-2001 (20M X 5MM)</t>
  </si>
  <si>
    <t>STIP / PENGHAPUS KENKO ER-36BTK BATIK</t>
  </si>
  <si>
    <t>TAPE CUTTER JOYKO TC-111</t>
  </si>
  <si>
    <t>TAPE CUTTER JOYKO TC-106</t>
  </si>
  <si>
    <t>ISI CUTTER 18 MM JOYKO L-150 AM/MH (BESAR)</t>
  </si>
  <si>
    <t>NOTEBOOK JOYKO A6 NB-665</t>
  </si>
  <si>
    <t>ASAHAN MEJA JOYKO A-18 PENGUIN</t>
  </si>
  <si>
    <t>PENSIL JOYKO 2B P-101 ANIMAL KINGDOM 2</t>
  </si>
  <si>
    <t>MECHANICAL PENCIL 0.5 MM JOYKO MP-47 SAFARI</t>
  </si>
  <si>
    <t>ISI PENSIL 2B 2.0 MM JOYKO PL-17</t>
  </si>
  <si>
    <t>KUAS SET JOYKO BR-9</t>
  </si>
  <si>
    <t>STAPLES REMOVER</t>
  </si>
  <si>
    <t>STAPLES REMOVER SDI 1164</t>
  </si>
  <si>
    <t>SPIDOL WHITEBOARD SDI S530VP - BIRU</t>
  </si>
  <si>
    <t>CUTTING MAT</t>
  </si>
  <si>
    <t>CUTTING MAT SDI 1007 (A3/18"X12")</t>
  </si>
  <si>
    <t>GEL PEN DEBOZZ 0.7 MM DB-530 + REFILL</t>
  </si>
  <si>
    <t>GEL PEN VANCO GP-559 HI-TOUCH</t>
  </si>
  <si>
    <t>PENSIL KENKO 2B-0820 PELANGI</t>
  </si>
  <si>
    <t>PENSIL KENKO 2B-6906 BATIK</t>
  </si>
  <si>
    <t>GEL PEN KENKO MICROTECH 0.28 MM</t>
  </si>
  <si>
    <t>GEL PEN KENKO MICROTECH 0.4 MM</t>
  </si>
  <si>
    <t>GARISAN BESI (STAINLESS STEEL) KENKO 20 CM</t>
  </si>
  <si>
    <t>CORRECTION TAPE KENKO CT-310SL (12M x 5MM)</t>
  </si>
  <si>
    <t>CORRECTION TAPE KENKO CT-210SL (6M x 5MM)</t>
  </si>
  <si>
    <t>ASAHAN KENKO SP-71 1 HOLE (isi 12 pc)</t>
  </si>
  <si>
    <t>PENSIL KENKO 2B-0192 PEARL</t>
  </si>
  <si>
    <t>BALLPEN JOYKO BP-250 BRIZ</t>
  </si>
  <si>
    <t>LOOSE LEAF JOYKO B5-7026 (50S)</t>
  </si>
  <si>
    <t>STAPLER JOYKO HS-7</t>
  </si>
  <si>
    <t>TALI</t>
  </si>
  <si>
    <t>BUKU KAS FOLIO</t>
  </si>
  <si>
    <t>TALI CANTOL PLASTIK 1.0 / TALI JEPITAN PEONY (Mr, Br, Hj)</t>
  </si>
  <si>
    <t>GARISAN MIKA VANCO VC-084 OFFICE 30 CM</t>
  </si>
  <si>
    <t>BUSINESS FILE</t>
  </si>
  <si>
    <t>BUSINESS FILE KENKO FP320HG-A4 (Br,Hj,Kn,Abu,Mrh)</t>
  </si>
  <si>
    <t>ASAHAN KENKO SP-61  (isi 24 pc)</t>
  </si>
  <si>
    <t>LEM STICK JOYKO 15 GR GS-102 isi 24 pc</t>
  </si>
  <si>
    <t>PUSH PIN JOYKO PP-30</t>
  </si>
  <si>
    <t>PUSH PIN KENKO PN-30</t>
  </si>
  <si>
    <t>CALCULATOR JOYKO CC-31</t>
  </si>
  <si>
    <t>CALCULATOR JOYKO CC-23CO</t>
  </si>
  <si>
    <t>CUTTER 128 ISI 12 PC TRANSPARAN (KECIL)</t>
  </si>
  <si>
    <t>LEM TUBE / RENTENG</t>
  </si>
  <si>
    <t>LEM RENTENG 1588 15 ML (isi 12 pc)</t>
  </si>
  <si>
    <t>STAND PEN SPIRAL KENKO STP-18M2 SMILE</t>
  </si>
  <si>
    <t>STAND PEN SPIRAL KENKO STP-100SG</t>
  </si>
  <si>
    <t>STAND PEN SPIRAL KENKO STP-300SG</t>
  </si>
  <si>
    <t>CUTTER VANCO V-750 (BESAR)</t>
  </si>
  <si>
    <t>MEJA</t>
  </si>
  <si>
    <t>MEJA LIPAT HANDLE WARNA</t>
  </si>
  <si>
    <t>ISI BENSIA LANTU LT 11-32 (40 SET)</t>
  </si>
  <si>
    <t>GEL PEN KENKO ERASO 16</t>
  </si>
  <si>
    <t>STAPLER KENKO HD-10L</t>
  </si>
  <si>
    <t>GEL PEN KENKO KE-303ER T-GEL ERASABLE</t>
  </si>
  <si>
    <t>BINDER NOTE KENKO A5-BNPC/BNPP (BASIC/POLOS)</t>
  </si>
  <si>
    <t>CORRECTION TAPE KENKO CT-3001 (30M X 5MM)</t>
  </si>
  <si>
    <t>JANGKA (COMPASS SET) KENKO C-528 / MS-55</t>
  </si>
  <si>
    <t>JANGKA (COMPASS SET) KENKO C-2011</t>
  </si>
  <si>
    <t>PLAKBAND KAIN HITAM JOYKO 48 MM (2") ORANGE</t>
  </si>
  <si>
    <t>LAMINATING FILM JOYKO LF100-2231 (A4)</t>
  </si>
  <si>
    <t>PLAKBAND KERTAS / MASKING TAPE</t>
  </si>
  <si>
    <t>PLAKBAND KERTAS JOYKO 24 MM x 20 M (1")</t>
  </si>
  <si>
    <t>GEL PEN JOYKO GP-157</t>
  </si>
  <si>
    <t>PAPER CUTTER JOYKO PC-1938 (A4)</t>
  </si>
  <si>
    <t>CORRECTION TAPE JOYKO CT-545</t>
  </si>
  <si>
    <t>CORRECTION TAPE JOYKO CT-572</t>
  </si>
  <si>
    <t>CORRECTION TAPE JOYKO CT-573</t>
  </si>
  <si>
    <t>MECHANICAL PENCIL 2.0 MM JOYKO MP-50</t>
  </si>
  <si>
    <t>BINDER CLIP JOYKO NO. 105 PTL (isi 60pc)</t>
  </si>
  <si>
    <t>BINDER CLIP JOYKO NO. 107 FC2 (isi 40 pc)</t>
  </si>
  <si>
    <t>GEL PEN JOYKO JK-100SN</t>
  </si>
  <si>
    <t>GEL PEN SET WARNA JOYKO GPC-315</t>
  </si>
  <si>
    <t>DESK SET JOYKO DS-16 CO (Mr, Hj, Br)</t>
  </si>
  <si>
    <t>TIMBANGAN / SCALE</t>
  </si>
  <si>
    <t>ISI STAPLER (STAPLES) SDI 1204 NO. 3</t>
  </si>
  <si>
    <t>PENSIL WARNA JOYKO CP-104 (24W)</t>
  </si>
  <si>
    <t>PLAKBAND BENING KENKO 45 MM x 100 Y GREEN CORE</t>
  </si>
  <si>
    <t>PLAKBAND COKLAT KENKO 45 MM x 100 Y GREEN CORE</t>
  </si>
  <si>
    <t>PLAKBAND KAIN HITAM KENKO 24 MM (1") BLUE CORE</t>
  </si>
  <si>
    <t>PLAKBAND KAIN HITAM KENKO 48 MM (2") BLUE CORE</t>
  </si>
  <si>
    <t>BUKU TAMU JOYKO GB-2833 R-5 (BATIK)</t>
  </si>
  <si>
    <t>CALCULATOR JOYKO CC-19A</t>
  </si>
  <si>
    <t>CALCULATOR JOYKO CC-56</t>
  </si>
  <si>
    <t>CALCULATOR JOYKO CC-57</t>
  </si>
  <si>
    <t>CORRECTION TAPE JOYKO CT-549</t>
  </si>
  <si>
    <t>CRAYON / OIL PASTEL KENKO 24W GARDEN</t>
  </si>
  <si>
    <t>CRAYON / OIL PASTEL KENKO 36W GARDEN</t>
  </si>
  <si>
    <t>CORRECTION TAPE KENKO CT-1505FC (15M X 5MM)</t>
  </si>
  <si>
    <t>CORRECTION TAPE KENKO CT-909 (12M x 5MM)</t>
  </si>
  <si>
    <t>GUNTING JOYKO SC-12</t>
  </si>
  <si>
    <t>LEM LIQUID (CAIR) JOYKO GL-W01</t>
  </si>
  <si>
    <t>TAPE CUTTER JOYKO TC-113</t>
  </si>
  <si>
    <t>ASAHAN JOYKO B-24 PTL (isi 12 pc)</t>
  </si>
  <si>
    <t>CASH BOX JOYKO CB-21A</t>
  </si>
  <si>
    <t>CASH BOX JOYKO CB-26A</t>
  </si>
  <si>
    <t>PENCIL CASE 22 x 7.5 MAGNET C-1758</t>
  </si>
  <si>
    <t>HIGHLIGHTER / STABILLO VANCO HL-520</t>
  </si>
  <si>
    <t>PCS</t>
  </si>
  <si>
    <t>PENCIL CASE 22 x 7.5 MAGNET C-1756</t>
  </si>
  <si>
    <t>ASAHAN JOYKO B-82 BERUANG (isi 24 pc)</t>
  </si>
  <si>
    <t>DESK SET JOYKO DS-0812</t>
  </si>
  <si>
    <t>STAPLER JOYKO HD-10MP</t>
  </si>
  <si>
    <t>LEM CAIR F-5036 (50 ML)</t>
  </si>
  <si>
    <t>ASAHAN JOYKO B-72 (isi 24 pc)</t>
  </si>
  <si>
    <t>ASAHAN KENKO SP-71S 1 HOLE KECIL (isi 12 pc)</t>
  </si>
  <si>
    <t>ASAHAN KENKO SP-72 2 HOLE (isi 12 pc)</t>
  </si>
  <si>
    <t>BUKU KAS KWARTO</t>
  </si>
  <si>
    <t>KARTU STOCK</t>
  </si>
  <si>
    <t>KARTU STOCK KWARTO</t>
  </si>
  <si>
    <t>KARTU STOCK FOLIO</t>
  </si>
  <si>
    <t>CORRECTION TAPE JOYKO CT-522-02</t>
  </si>
  <si>
    <t>CORRECTION TAPE JOYKO CT-534</t>
  </si>
  <si>
    <t>CORRECTION TAPE JOYKO CT-540</t>
  </si>
  <si>
    <t>CORRECTION TAPE JOYKO CT-546</t>
  </si>
  <si>
    <t>CORRECTION TAPE KENKO CT-634 / N / DT (8M x 5MM)</t>
  </si>
  <si>
    <t>CORRECTION TAPE KENKO CT-809 (8M x 5MM)</t>
  </si>
  <si>
    <t>CORRECTION TAPE KENKO CT-902 CL / DT (12M x 5MM)</t>
  </si>
  <si>
    <t>KUAS SET JOYKO BR-6 NO.0</t>
  </si>
  <si>
    <t>KUAS SET JOYKO BR-6 NO.1</t>
  </si>
  <si>
    <t>KUAS SET JOYKO BR-6 NO.2</t>
  </si>
  <si>
    <t>KUAS SET JOYKO BR-6 NO.3</t>
  </si>
  <si>
    <t>KUAS SET JOYKO BR-6 NO.4</t>
  </si>
  <si>
    <t>KUAS SET JOYKO BR-6 NO.5</t>
  </si>
  <si>
    <t>KUAS SET JOYKO BR-6 NO.6</t>
  </si>
  <si>
    <t>KUAS SET JOYKO BR-6 NO.7</t>
  </si>
  <si>
    <t>KUAS SET JOYKO BR-6 NO.8</t>
  </si>
  <si>
    <t>KUAS SET JOYKO BR-6 NO.9</t>
  </si>
  <si>
    <t>KUAS SET JOYKO BR-6 NO.10</t>
  </si>
  <si>
    <t>KUAS SET JOYKO BR-6 NO.11</t>
  </si>
  <si>
    <t>KUAS SET JOYKO BR-6 NO.12</t>
  </si>
  <si>
    <t>MESIN LABEL HARGA JOYKO MX-6600A (10 DIGITS, 2 LINE)</t>
  </si>
  <si>
    <t>GEL PEN KENKO HIGHLIGHTER GP-20 HL</t>
  </si>
  <si>
    <t>KACA PEMBESAR (MAGNIFIER) JOYKO MF-90</t>
  </si>
  <si>
    <t>COLOR BRUSH PEN KENKO DBP-12 DUAL TIP  (12 WARNA)</t>
  </si>
  <si>
    <t>CORRECTION TAPE JOYKO CT-562</t>
  </si>
  <si>
    <t>DATE STAMP JOYKO D-4</t>
  </si>
  <si>
    <t>HIGHLIGHTER / STABILLO TIZO TF-616 (isi 24 pc)</t>
  </si>
  <si>
    <t>REFILL/ ISI GEL 1.0 TG308-AR</t>
  </si>
  <si>
    <t>TAPE CUTTER JOYKO TC-116</t>
  </si>
  <si>
    <t>PENSIL WARNA KAYAGI KY-CP0724</t>
  </si>
  <si>
    <t>PENSIL WARNA KAYAGI KY-CP1210 PANJANG</t>
  </si>
  <si>
    <t>PENSIL WARNA KAYAGI KY-CP1224 TWIN</t>
  </si>
  <si>
    <t>LABEL HARGA JOYKO LB-P2CC (2 LINE)</t>
  </si>
  <si>
    <t>CORRECTION TAPE KENKO CT-819 (8M x 5MM)</t>
  </si>
  <si>
    <t>CORRECTION TAPE KENKO CT-919 (12M x 5MM)</t>
  </si>
  <si>
    <t>GEL PEN ZHIXIN G-5016 L + ISI</t>
  </si>
  <si>
    <t>PENCIL CASE 22 x 7.5 MAGNET FC-1757</t>
  </si>
  <si>
    <t>PENCIL CASE 22 x 7.5 MAGNET FC-1758</t>
  </si>
  <si>
    <t>CORRECTION TAPE JOYKO CT-553</t>
  </si>
  <si>
    <t>CORRECTION TAPE KENKO CT-606 (6M x 5MM)</t>
  </si>
  <si>
    <t>CORRECTION TAPE KENKO CT-608FC (6M x 5MM)</t>
  </si>
  <si>
    <t>CORRECTION TAPE KENKO CT-818 (8M x 5MM)</t>
  </si>
  <si>
    <t>STIP / PENGHAPUS JOYKO ER-102 (isi 36 pc)</t>
  </si>
  <si>
    <t>BUKU TAMU KENKO BT-3224-01/02 (BUNGA/KEMBANG)</t>
  </si>
  <si>
    <t>CALCULATOR JOYKO CC-868CH</t>
  </si>
  <si>
    <t>BULLDOG CLIP JOYKO 6-145</t>
  </si>
  <si>
    <t>BINDER CLIP JOYKO 300</t>
  </si>
  <si>
    <t>CALCULATOR JOYKO CC-27</t>
  </si>
  <si>
    <t>CAT AIR / WATER COLOR JOYKO WC-4-12</t>
  </si>
  <si>
    <t>CAT AIR / WATER COLOR JOYKO WC-4-24</t>
  </si>
  <si>
    <t>COLOR BRUSH PEN KENKO DBP-24 DUAL TIP  (24 WARNA)</t>
  </si>
  <si>
    <t>CORRECTION FLUID JOYKO CF-S210</t>
  </si>
  <si>
    <t>CORRECTION TAPE JOYKO CT-522 PTL</t>
  </si>
  <si>
    <t>CRAYON / OIL PASTEL PUTAR JOYKO TWCR-24MINI (PENDEK)</t>
  </si>
  <si>
    <t>FLASHLIGHT</t>
  </si>
  <si>
    <t>GEL PEN JOYKO GP-182 ITECH</t>
  </si>
  <si>
    <t>GUNTING JOYKO SC-858</t>
  </si>
  <si>
    <t>GEL PEN JOYKO GP-285 TRIGO</t>
  </si>
  <si>
    <t>GEL PEN KENKO K-1 MINI</t>
  </si>
  <si>
    <t>JANGKA (MATH SET) JOYKO MS-18</t>
  </si>
  <si>
    <t>JANGKA (MATH SET) JOYKO MS-85</t>
  </si>
  <si>
    <t>JANGKA (MATH SET) JOYKO MS-87</t>
  </si>
  <si>
    <t>KUAS SET JOYKO BR-6 NO.00</t>
  </si>
  <si>
    <t>LEM STICK JOYKO 8 GR GS-105 isi 24 pc</t>
  </si>
  <si>
    <t>PENCIL CASE JOYKO PC-0719PL-32</t>
  </si>
  <si>
    <t>PENSIL JOYKO 2B 6161</t>
  </si>
  <si>
    <t>PENSIL WARNA JOYKO CP-8 (12W)</t>
  </si>
  <si>
    <t>TAPE CUTTER JOYKO TC-110</t>
  </si>
  <si>
    <t>LSN</t>
  </si>
  <si>
    <t>PENCIL CASE 22 x 7.5 MAGNET FC-1760 (TIMBUL)</t>
  </si>
  <si>
    <t>PENCIL CASE 22 x 7.5 MAGNET FC-1761 (3D)</t>
  </si>
  <si>
    <t>PENCIL CASE 22 x 7.5 MAGNET FX-2275 (METALIK)</t>
  </si>
  <si>
    <t>PENCIL CASE 22 x 7.5 MAGNET FX-2276 (METALIK)</t>
  </si>
  <si>
    <t>PREMIUM OIL COLOR PENCIL CP-TC126-48 JK (Bonus)</t>
  </si>
  <si>
    <t>KAOS</t>
  </si>
  <si>
    <t>KAOS JOYKO (Bonus)</t>
  </si>
  <si>
    <t>TINTA HERO K 1054</t>
  </si>
  <si>
    <t>JANGKA (MATH SET) JOYKO MS-100</t>
  </si>
  <si>
    <t>PENSIL ZHONG HUA 6925-2B/B OVAL</t>
  </si>
  <si>
    <t>GEL PEN ZHIXIN MINI COLOR G-212C + ISI</t>
  </si>
  <si>
    <t>ASAHAN JOYKO A-18 PENGUIN</t>
  </si>
  <si>
    <t>ASAHAN JOYKO A-30 PENGUIN</t>
  </si>
  <si>
    <t>ASAHAN JOYKO A-71 MIRING</t>
  </si>
  <si>
    <t>BALLPEN JOYKO BP-288 QUACO 3 (4 WARNA)</t>
  </si>
  <si>
    <t>BINDER NOTE JOYKO A5-TP-P519</t>
  </si>
  <si>
    <t>CORRECTION FLUID JOYKO CF-P211</t>
  </si>
  <si>
    <t>CORRECTION FLUID JOYKO CF-S203</t>
  </si>
  <si>
    <t>CORRECTION FLUID JOYKO CF-S232</t>
  </si>
  <si>
    <t>CORRECTION TAPE KENKO CT-309 NR (8M x 5MM)</t>
  </si>
  <si>
    <t>GARISAN SET PVC ZO-235</t>
  </si>
  <si>
    <t>GEL PEN DEBOZZ 0.7 MM DB-G07</t>
  </si>
  <si>
    <t>GEL PEN TECHJOB TG-313</t>
  </si>
  <si>
    <t>GEL PEN VC-1609</t>
  </si>
  <si>
    <t>HIGHLIGHTER / STABILO KENKO OVALINER</t>
  </si>
  <si>
    <t>MECHANICAL PENCIL 2.0 MM TIZO TM-030</t>
  </si>
  <si>
    <t xml:space="preserve">PENCIL CASE 21 x 6.5 KALENG TY-552 (MOBIL + ANAK) </t>
  </si>
  <si>
    <t>PENCIL CASE 22 x 10 MAGNET FX-2210 METALIK LEBAR</t>
  </si>
  <si>
    <t>PENCIL CASE 22 x 7.5 MAGNET AC-1762</t>
  </si>
  <si>
    <t>PENCIL CASE 22 x 7.5 MAGNET C-1755-1</t>
  </si>
  <si>
    <t>PENCIL CASE 22 x 8 MAGNET B-511-1</t>
  </si>
  <si>
    <t>PENCIL CASE 23 x 10 MAGNET FC-6295</t>
  </si>
  <si>
    <t>PENCIL CASE 23 x 8 MAGNET LPY-6</t>
  </si>
  <si>
    <t>PENCIL CASE 23 x 8.5 MAGNET 3D C-5212</t>
  </si>
  <si>
    <t>PENCIL CASE 23 x 8.5 MAGNET 3D FC-5223</t>
  </si>
  <si>
    <t>PENCIL CASE 23 x 8.5 MAGNET FY-6823</t>
  </si>
  <si>
    <t>PENSIL JOYKO 2B P-92 (BLACK WOOD)</t>
  </si>
  <si>
    <t>PENSIL WARNA CP-12L PANJANG</t>
  </si>
  <si>
    <t>STAND PEN JOYKO PSGP-300</t>
  </si>
  <si>
    <t>STAPLER JOYKO HD-30</t>
  </si>
  <si>
    <t>STIP / PENGHAPUS JOYKO ERT-117 CAKE (isi 32 pc)</t>
  </si>
  <si>
    <t>STIP / PENGHAPUS JOYKO ERT-118 ICE CREAM (isi 24 pc)</t>
  </si>
  <si>
    <t>TAPE CUTTER JOYKO TC-107</t>
  </si>
  <si>
    <t xml:space="preserve">PENCIL CASE/ STUDY SET 20.5 x 7 KALENG K-597 MOBIL </t>
  </si>
  <si>
    <t>GARISAN SET PVC PS-9810</t>
  </si>
  <si>
    <t>HOOK</t>
  </si>
  <si>
    <t>ADHESIVE HOOK JOYKO ADHK-3010</t>
  </si>
  <si>
    <t>ADHESIVE HOOK JOYKO ADHK-3020</t>
  </si>
  <si>
    <t>ASAHAN JOYKO A-63 ROBOT</t>
  </si>
  <si>
    <t>ASAHAN JOYKO B-24 (isi 12 pc)</t>
  </si>
  <si>
    <t>BALLPEN JOYKO BP-336 MY PASTEL</t>
  </si>
  <si>
    <t>BALLPEN JOYKO BP-342 VOKUS PTL</t>
  </si>
  <si>
    <t>BALLPEN JOYKO BP-363 VOCUS TRANS PTL HITAM</t>
  </si>
  <si>
    <t>BALLPEN KENKO BP-39 N HITAM</t>
  </si>
  <si>
    <t>CRAYON / OIL PASTEL PUTAR TITI TI-CP-24T TWIST</t>
  </si>
  <si>
    <t>CUTTER 18 MM ZRM L-500 (BESAR)</t>
  </si>
  <si>
    <t>GLUPEN KENKO GLP-01</t>
  </si>
  <si>
    <t>HIGHLIGHTER / STABILLO JOYKO HL-14 GREY</t>
  </si>
  <si>
    <t>PENCIL CASE 22 x 7.5 MAGNET C-2755</t>
  </si>
  <si>
    <t>PENCIL CASE 22 x 7.5 MAGNET FY-6822</t>
  </si>
  <si>
    <t>PENCIL CASE 23 x 8.5 MAGNET JH-220A</t>
  </si>
  <si>
    <t>PENSIL KAYAGI KY-OF122B-2 2B COKLAT</t>
  </si>
  <si>
    <t>PENSIL KAYAGI KY-PF2025 2B SKIN</t>
  </si>
  <si>
    <t>PENSIL KAYAGI KY-PF3051 2B FANCY</t>
  </si>
  <si>
    <t>PENSIL KAYAGI KY-PF3060 2B FANCY</t>
  </si>
  <si>
    <t>PENSIL KAYAGI KY-PF3063 2B FANCY</t>
  </si>
  <si>
    <t>PENSIL KAYAGI KY-PF3065 2B FANCY</t>
  </si>
  <si>
    <t>PENSIL KENKO 2B-6120 DOODLE</t>
  </si>
  <si>
    <t>PENSIL KENKO 2B-6393 FLUORESCENT</t>
  </si>
  <si>
    <t>SAMPUL</t>
  </si>
  <si>
    <t>SAMPUL SAMSON BOXY BATIK</t>
  </si>
  <si>
    <t>SAMPUL SAMSON KWARTO BATIK</t>
  </si>
  <si>
    <t>SPIDOL P.MARKER P500-VP</t>
  </si>
  <si>
    <t>CTN</t>
  </si>
  <si>
    <t>ASAHAN JOYKO A-33</t>
  </si>
  <si>
    <t>TINTA STAMP PAD JOYKO SPI-12</t>
  </si>
  <si>
    <t>CUTTER 9 MM JOYKO A-300 SG (KECIL)</t>
  </si>
  <si>
    <t>GARISAN SET PVC HZ-5012</t>
  </si>
  <si>
    <t>GARISAN SET PVC HZ-5013</t>
  </si>
  <si>
    <t>GARISAN SET PVC ZO-239</t>
  </si>
  <si>
    <t>GARISAN SET PVC ZX-6116</t>
  </si>
  <si>
    <t>GEL PEN EG-V (MIKA) (EG-225)</t>
  </si>
  <si>
    <t>GEL PEN IPEN VC-8100 VANCO</t>
  </si>
  <si>
    <t>GEL PEN JOYKO GP-346 MY TEAM</t>
  </si>
  <si>
    <t>GEL PEN KLIK GP-96129 (9W/ PVC)</t>
  </si>
  <si>
    <t>HIGHLIGHTER / STABILLO VANCO HL-521</t>
  </si>
  <si>
    <t>BALON</t>
  </si>
  <si>
    <t>BALON MACARON 1022 20 X 5 LKM 2200</t>
  </si>
  <si>
    <t>NATURAL CAHAYA LESTARI</t>
  </si>
  <si>
    <t>LPG</t>
  </si>
  <si>
    <t>PENSIL WARNA JOYKO CP-812</t>
  </si>
  <si>
    <t>BALLPEN JOYKO BP-199 TRICO (3 COLOR)</t>
  </si>
  <si>
    <t>KERTAS LIPAT</t>
  </si>
  <si>
    <t>ORIGAMI FLUORESCENT ALFA 14X14</t>
  </si>
  <si>
    <t>ORIGAMI FLUORESCENT ALFA 16X16</t>
  </si>
  <si>
    <t>BALLPEN VANCO 4W VC-6201</t>
  </si>
  <si>
    <t>ASAHAN MEJA JOYKO A-5L</t>
  </si>
  <si>
    <t>ASAHAN MEJA KLM-873 ROBOT</t>
  </si>
  <si>
    <t>BINDER CLIP JOYKO 111 CO</t>
  </si>
  <si>
    <t>GEL PEN DEBOZZ CLICK 0.28 DB-G028</t>
  </si>
  <si>
    <t>GEL PEN TRIFELLO HI-TECH TF-1191</t>
  </si>
  <si>
    <t>MESIN LABEL HARGA JOYKO MX-6600N (10 DIGITS, 2 LINE)</t>
  </si>
  <si>
    <t>MIKA LAMINATING VANCO LF-100 (225 X 340)</t>
  </si>
  <si>
    <t>PAKU PAYUNG JOYKO TT-11</t>
  </si>
  <si>
    <t>PENSIL JOYKO 2B P-99 ANIMAL KINGDOM</t>
  </si>
  <si>
    <t>PENSIL KENKO 2B-6363 HITAM MATTE</t>
  </si>
  <si>
    <t>PENSIL KENKO 2B-2282 HITAM BINTANG</t>
  </si>
  <si>
    <t>SPIDOL / MARKER WB JOYKO WM-65 (BONUS)</t>
  </si>
  <si>
    <t>STIP/ PENGHAPUS B-24 M MACARON</t>
  </si>
  <si>
    <t>TAPE CUTTER JOYKO TC-119</t>
  </si>
  <si>
    <t>TAS KARUNG</t>
  </si>
  <si>
    <t>TAS KARUNG V (35 X 40)</t>
  </si>
  <si>
    <t>PEN ULIR</t>
  </si>
  <si>
    <t>PEN ULIR KENKO PU-1</t>
  </si>
  <si>
    <t>PEN ULIR KENKO PU-2</t>
  </si>
  <si>
    <t>PEN ULIR KENKO PU-3</t>
  </si>
  <si>
    <t>PEN ULIR KENKO PU-4</t>
  </si>
  <si>
    <t>TAS KARUNG V (45 X 50)</t>
  </si>
  <si>
    <t>TAS KARUNG V (55 X 65)</t>
  </si>
  <si>
    <t>VACUUM</t>
  </si>
  <si>
    <t>ISI GEL / REFILL GP-559</t>
  </si>
  <si>
    <t>CV. SAMUDERA ANGKASA JAYA</t>
  </si>
  <si>
    <t>CALCULATOR JOYKO CC-45</t>
  </si>
  <si>
    <t>ISI CUTTER 18 MM JOYKO A-100 AM/MH (KECIL)</t>
  </si>
  <si>
    <t>BALLPEN JOYKO BP-349-12 VOKUS TRANS HITAM</t>
  </si>
  <si>
    <t>CV PARAMA CREATIVINDO</t>
  </si>
  <si>
    <t>STAMP INK / TINTA</t>
  </si>
  <si>
    <t>TAS BELANJA</t>
  </si>
  <si>
    <t>BALLPEN KENKO NK-7 / 7B  BATIK / DOTS / LOLLIPOP / SOCUTE</t>
  </si>
  <si>
    <t>GEL PEN KENKO HI-TECH-H 0.4 MM HITAM / BIRU</t>
  </si>
  <si>
    <t>GEL PEN KENKO SAHARA DOTS / SNACK (HITAM/BIRU/MERAH)</t>
  </si>
  <si>
    <t>GEL PEN TIZO TG-SERIES / FANCY</t>
  </si>
  <si>
    <t>GEL PEN ZHIXIN G-SERIES / FANCY + ISI</t>
  </si>
  <si>
    <t>JML /KARTON</t>
  </si>
  <si>
    <t>Stok 2024</t>
  </si>
  <si>
    <t>SPIDOL PERMANENT JOYKO PM-34 (bonus)</t>
  </si>
  <si>
    <t>TIMBANGAN / DIGITAL SCALE JOYKO DSL-A3 (Kitchen Scale) (bonus)</t>
  </si>
  <si>
    <t>MINI DESK VACUUM JOYKO MDV-9701 (Bonus)</t>
  </si>
  <si>
    <t>FLASHLIGHT FL-91 JK (Bonus)</t>
  </si>
  <si>
    <t>NOTEBOOK KANCING 32K1008-21 (A5)</t>
  </si>
  <si>
    <t>NOTEBOOK KANCING 32K1008-22 (A5)</t>
  </si>
  <si>
    <t>NOTEBOOK SPIRAL 016-19 (80L) (A5) PVC</t>
  </si>
  <si>
    <t>NOTEBOOK SPIRAL 016-20 (80L) (A5)</t>
  </si>
  <si>
    <t>NOTEBOOK SPIRAL 016-21 (80L) (A5) PVC</t>
  </si>
  <si>
    <t>HIGHLIGHTER HOLDER TY-SP 28</t>
  </si>
  <si>
    <t>HIGHLIGHTER TY-SP 25</t>
  </si>
  <si>
    <t>MECHANICAL PENCIL 0.5 MM TIZO G-9003 A</t>
  </si>
  <si>
    <t>MECHANICAL PENCIL 0.5 MM TIZO G-9001</t>
  </si>
  <si>
    <t>MECHANICAL PENCIL 0.5 MM TIZO G-9004</t>
  </si>
  <si>
    <t>ISI PENSIL 0.5 MM 2B KENKO PL-05 HI-POLYMER</t>
  </si>
  <si>
    <t>ISI PENSIL 2,0 MM 2B KENKO PL-212</t>
  </si>
  <si>
    <t>BINDER CLIP KENKO NO. 300 (isi 6 pc)</t>
  </si>
  <si>
    <t>GEL PEN KENKO K-5 OIL GEL</t>
  </si>
  <si>
    <t>MAP TAS / DOCUMEN BAG JOYKO B-2637-3 (Br,Mrh,Pth,Kn)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</si>
</sst>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"/>
    <numFmt numFmtId="165" formatCode="0.0"/>
    <numFmt numFmtId="166" formatCode="0.000%"/>
    <numFmt numFmtId="167" formatCode="#,##0.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FFFF00"/>
      <name val="Arial Narrow"/>
      <family val="2"/>
    </font>
    <font>
      <sz val="8"/>
      <color rgb="FFFFFF00"/>
      <name val="Arial Narrow"/>
      <family val="2"/>
    </font>
    <font>
      <b/>
      <sz val="2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0" xfId="0" applyFont="1" applyFill="1" applyBorder="1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/>
    <xf numFmtId="0" fontId="2" fillId="0" borderId="0" xfId="0" applyFont="1" applyFill="1" applyAlignment="1"/>
    <xf numFmtId="4" fontId="2" fillId="0" borderId="0" xfId="0" applyNumberFormat="1" applyFont="1" applyFill="1"/>
    <xf numFmtId="10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/>
    <xf numFmtId="0" fontId="2" fillId="0" borderId="0" xfId="1" applyFont="1" applyFill="1" applyBorder="1"/>
    <xf numFmtId="0" fontId="2" fillId="0" borderId="9" xfId="0" applyFont="1" applyFill="1" applyBorder="1" applyAlignment="1"/>
    <xf numFmtId="0" fontId="2" fillId="0" borderId="0" xfId="1" applyFont="1" applyFill="1" applyBorder="1" applyAlignment="1">
      <alignment horizontal="left"/>
    </xf>
    <xf numFmtId="0" fontId="2" fillId="0" borderId="9" xfId="1" applyFont="1" applyFill="1" applyBorder="1"/>
    <xf numFmtId="0" fontId="2" fillId="0" borderId="9" xfId="0" applyFont="1" applyFill="1" applyBorder="1" applyAlignment="1">
      <alignment vertical="center"/>
    </xf>
    <xf numFmtId="0" fontId="2" fillId="0" borderId="0" xfId="0" applyFont="1" applyFill="1" applyBorder="1" applyAlignment="1"/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/>
    <xf numFmtId="4" fontId="2" fillId="0" borderId="0" xfId="0" applyNumberFormat="1" applyFont="1" applyFill="1" applyBorder="1"/>
    <xf numFmtId="1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43" fontId="2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/>
    <xf numFmtId="168" fontId="2" fillId="0" borderId="0" xfId="0" applyNumberFormat="1" applyFont="1" applyFill="1"/>
    <xf numFmtId="167" fontId="2" fillId="0" borderId="0" xfId="0" applyNumberFormat="1" applyFont="1" applyFill="1"/>
    <xf numFmtId="164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/>
    <xf numFmtId="164" fontId="2" fillId="0" borderId="0" xfId="0" applyNumberFormat="1" applyFont="1" applyFill="1" applyAlignment="1"/>
    <xf numFmtId="166" fontId="2" fillId="0" borderId="0" xfId="0" applyNumberFormat="1" applyFont="1" applyFill="1" applyAlignment="1">
      <alignment horizontal="center"/>
    </xf>
    <xf numFmtId="3" fontId="2" fillId="0" borderId="0" xfId="0" quotePrefix="1" applyNumberFormat="1" applyFont="1" applyFill="1"/>
    <xf numFmtId="0" fontId="4" fillId="0" borderId="0" xfId="0" applyFont="1" applyFill="1"/>
    <xf numFmtId="3" fontId="4" fillId="0" borderId="0" xfId="0" applyNumberFormat="1" applyFont="1" applyFill="1"/>
    <xf numFmtId="0" fontId="4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/>
    <xf numFmtId="0" fontId="4" fillId="0" borderId="0" xfId="0" applyFont="1" applyFill="1" applyAlignment="1"/>
    <xf numFmtId="4" fontId="4" fillId="0" borderId="0" xfId="0" applyNumberFormat="1" applyFont="1" applyFill="1"/>
    <xf numFmtId="10" fontId="4" fillId="0" borderId="0" xfId="0" applyNumberFormat="1" applyFont="1" applyFill="1" applyAlignment="1">
      <alignment horizontal="center"/>
    </xf>
    <xf numFmtId="0" fontId="4" fillId="0" borderId="0" xfId="0" applyFont="1" applyFill="1" applyBorder="1"/>
    <xf numFmtId="4" fontId="6" fillId="2" borderId="2" xfId="0" quotePrefix="1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0" fontId="7" fillId="2" borderId="2" xfId="0" applyNumberFormat="1" applyFont="1" applyFill="1" applyBorder="1" applyAlignment="1">
      <alignment horizontal="center" vertical="center"/>
    </xf>
    <xf numFmtId="0" fontId="8" fillId="0" borderId="0" xfId="0" quotePrefix="1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4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464"/>
      <color rgb="FFFF3232"/>
      <color rgb="FFFF00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3"/>
  <sheetViews>
    <sheetView tabSelected="1" zoomScaleNormal="100" workbookViewId="0">
      <pane xSplit="1" ySplit="3" topLeftCell="B412" activePane="bottomRight" state="frozen"/>
      <selection pane="topRight" activeCell="B1" sqref="B1"/>
      <selection pane="bottomLeft" activeCell="A4" sqref="A4"/>
      <selection pane="bottomRight" activeCell="A415" sqref="A415"/>
    </sheetView>
  </sheetViews>
  <sheetFormatPr defaultRowHeight="12.75" x14ac:dyDescent="0.2"/>
  <cols>
    <col min="1" max="1" width="51.85546875" style="1" bestFit="1" customWidth="1"/>
    <col min="2" max="2" width="30.140625" style="2" bestFit="1" customWidth="1"/>
    <col min="3" max="3" width="6.5703125" style="3" bestFit="1" customWidth="1"/>
    <col min="4" max="4" width="5" style="4" bestFit="1" customWidth="1"/>
    <col min="5" max="5" width="4.7109375" style="5" customWidth="1"/>
    <col min="6" max="6" width="4.7109375" style="6" customWidth="1"/>
    <col min="7" max="7" width="5" style="7" bestFit="1" customWidth="1"/>
    <col min="8" max="8" width="4.7109375" style="6" customWidth="1"/>
    <col min="9" max="9" width="5" style="7" bestFit="1" customWidth="1"/>
    <col min="10" max="10" width="9.7109375" style="8" customWidth="1"/>
    <col min="11" max="11" width="5.5703125" style="4" bestFit="1" customWidth="1"/>
    <col min="12" max="12" width="7.28515625" style="9" bestFit="1" customWidth="1"/>
    <col min="13" max="13" width="7.5703125" style="9" bestFit="1" customWidth="1"/>
    <col min="14" max="14" width="6.5703125" style="6" customWidth="1"/>
    <col min="15" max="15" width="5" style="7" customWidth="1"/>
    <col min="16" max="16" width="5.7109375" style="3" bestFit="1" customWidth="1"/>
    <col min="17" max="17" width="5" style="7" bestFit="1" customWidth="1"/>
    <col min="18" max="19" width="16.7109375" style="8" customWidth="1"/>
    <col min="20" max="20" width="11.28515625" style="2" bestFit="1" customWidth="1"/>
    <col min="21" max="21" width="15" style="2" bestFit="1" customWidth="1"/>
    <col min="22" max="16384" width="9.140625" style="2"/>
  </cols>
  <sheetData>
    <row r="1" spans="1:19" ht="25.5" x14ac:dyDescent="0.35">
      <c r="A1" s="49" t="s">
        <v>1025</v>
      </c>
    </row>
    <row r="2" spans="1:19" x14ac:dyDescent="0.2">
      <c r="A2" s="50" t="s">
        <v>0</v>
      </c>
      <c r="B2" s="51" t="s">
        <v>1</v>
      </c>
      <c r="C2" s="52" t="s">
        <v>2</v>
      </c>
      <c r="D2" s="52"/>
      <c r="E2" s="53" t="s">
        <v>636</v>
      </c>
      <c r="F2" s="54" t="s">
        <v>1024</v>
      </c>
      <c r="G2" s="54"/>
      <c r="H2" s="54"/>
      <c r="I2" s="54"/>
      <c r="J2" s="60" t="s">
        <v>3</v>
      </c>
      <c r="K2" s="61"/>
      <c r="L2" s="61"/>
      <c r="M2" s="51"/>
      <c r="N2" s="55" t="s">
        <v>4</v>
      </c>
      <c r="O2" s="56"/>
      <c r="P2" s="52" t="s">
        <v>5</v>
      </c>
      <c r="Q2" s="52"/>
      <c r="R2" s="59" t="s">
        <v>7</v>
      </c>
      <c r="S2" s="59" t="s">
        <v>6</v>
      </c>
    </row>
    <row r="3" spans="1:19" x14ac:dyDescent="0.2">
      <c r="A3" s="50"/>
      <c r="B3" s="51"/>
      <c r="C3" s="52"/>
      <c r="D3" s="52"/>
      <c r="E3" s="53"/>
      <c r="F3" s="54" t="s">
        <v>8</v>
      </c>
      <c r="G3" s="54"/>
      <c r="H3" s="54" t="s">
        <v>9</v>
      </c>
      <c r="I3" s="54"/>
      <c r="J3" s="46" t="s">
        <v>10</v>
      </c>
      <c r="K3" s="47" t="s">
        <v>11</v>
      </c>
      <c r="L3" s="48" t="s">
        <v>12</v>
      </c>
      <c r="M3" s="48" t="s">
        <v>13</v>
      </c>
      <c r="N3" s="57"/>
      <c r="O3" s="58"/>
      <c r="P3" s="52"/>
      <c r="Q3" s="52"/>
      <c r="R3" s="59"/>
      <c r="S3" s="59"/>
    </row>
    <row r="4" spans="1:19" x14ac:dyDescent="0.2">
      <c r="A4" s="24" t="s">
        <v>14</v>
      </c>
    </row>
    <row r="5" spans="1:19" x14ac:dyDescent="0.2">
      <c r="A5" s="24" t="s">
        <v>15</v>
      </c>
    </row>
    <row r="6" spans="1:19" x14ac:dyDescent="0.2">
      <c r="A6" s="1" t="s">
        <v>16</v>
      </c>
      <c r="B6" s="2" t="s">
        <v>17</v>
      </c>
      <c r="D6" s="4" t="s">
        <v>18</v>
      </c>
      <c r="F6" s="6">
        <v>1</v>
      </c>
      <c r="G6" s="7" t="s">
        <v>19</v>
      </c>
      <c r="H6" s="6">
        <v>60</v>
      </c>
      <c r="I6" s="7" t="s">
        <v>18</v>
      </c>
      <c r="J6" s="8">
        <v>45500</v>
      </c>
      <c r="K6" s="4" t="s">
        <v>18</v>
      </c>
      <c r="L6" s="9">
        <v>0.125</v>
      </c>
      <c r="M6" s="9">
        <v>0.05</v>
      </c>
      <c r="O6" s="7" t="s">
        <v>18</v>
      </c>
      <c r="P6" s="3">
        <f t="shared" ref="P6:P11" si="0">(C6+(E6*F6*H6))-N6</f>
        <v>0</v>
      </c>
      <c r="Q6" s="7" t="s">
        <v>18</v>
      </c>
      <c r="R6" s="8">
        <f t="shared" ref="R6:R16" si="1">S6/1.11</f>
        <v>0</v>
      </c>
      <c r="S6" s="8">
        <f t="shared" ref="S6:S11" si="2">P6*(J6-(J6*L6)-((J6-(J6*L6))*M6))</f>
        <v>0</v>
      </c>
    </row>
    <row r="7" spans="1:19" x14ac:dyDescent="0.2">
      <c r="A7" s="1" t="s">
        <v>987</v>
      </c>
      <c r="B7" s="2" t="s">
        <v>17</v>
      </c>
      <c r="D7" s="4" t="s">
        <v>18</v>
      </c>
      <c r="F7" s="6">
        <v>1</v>
      </c>
      <c r="G7" s="7" t="s">
        <v>19</v>
      </c>
      <c r="H7" s="6">
        <v>60</v>
      </c>
      <c r="I7" s="7" t="s">
        <v>18</v>
      </c>
      <c r="J7" s="8">
        <v>60000</v>
      </c>
      <c r="K7" s="4" t="s">
        <v>18</v>
      </c>
      <c r="L7" s="9">
        <v>0.125</v>
      </c>
      <c r="M7" s="9">
        <v>0.05</v>
      </c>
      <c r="O7" s="7" t="s">
        <v>18</v>
      </c>
      <c r="P7" s="3">
        <f t="shared" si="0"/>
        <v>0</v>
      </c>
      <c r="Q7" s="7" t="s">
        <v>18</v>
      </c>
      <c r="R7" s="8">
        <f t="shared" si="1"/>
        <v>0</v>
      </c>
      <c r="S7" s="8">
        <f t="shared" si="2"/>
        <v>0</v>
      </c>
    </row>
    <row r="8" spans="1:19" x14ac:dyDescent="0.2">
      <c r="A8" s="1" t="s">
        <v>717</v>
      </c>
      <c r="B8" s="2" t="s">
        <v>17</v>
      </c>
      <c r="D8" s="4" t="s">
        <v>18</v>
      </c>
      <c r="F8" s="6">
        <v>1</v>
      </c>
      <c r="G8" s="7" t="s">
        <v>19</v>
      </c>
      <c r="H8" s="6">
        <v>48</v>
      </c>
      <c r="I8" s="7" t="s">
        <v>18</v>
      </c>
      <c r="J8" s="8">
        <v>26000</v>
      </c>
      <c r="K8" s="4" t="s">
        <v>18</v>
      </c>
      <c r="L8" s="9">
        <v>0.125</v>
      </c>
      <c r="M8" s="9">
        <v>0.05</v>
      </c>
      <c r="O8" s="7" t="s">
        <v>18</v>
      </c>
      <c r="P8" s="3">
        <f t="shared" si="0"/>
        <v>0</v>
      </c>
      <c r="Q8" s="7" t="s">
        <v>18</v>
      </c>
      <c r="R8" s="8">
        <f t="shared" si="1"/>
        <v>0</v>
      </c>
      <c r="S8" s="8">
        <f t="shared" si="2"/>
        <v>0</v>
      </c>
    </row>
    <row r="9" spans="1:19" x14ac:dyDescent="0.2">
      <c r="A9" s="1" t="s">
        <v>20</v>
      </c>
      <c r="B9" s="2" t="s">
        <v>17</v>
      </c>
      <c r="D9" s="4" t="s">
        <v>18</v>
      </c>
      <c r="F9" s="6">
        <v>1</v>
      </c>
      <c r="G9" s="7" t="s">
        <v>19</v>
      </c>
      <c r="H9" s="6">
        <v>48</v>
      </c>
      <c r="I9" s="7" t="s">
        <v>18</v>
      </c>
      <c r="J9" s="8">
        <v>28000</v>
      </c>
      <c r="K9" s="4" t="s">
        <v>18</v>
      </c>
      <c r="L9" s="9">
        <v>0.125</v>
      </c>
      <c r="M9" s="9">
        <v>0.05</v>
      </c>
      <c r="O9" s="7" t="s">
        <v>18</v>
      </c>
      <c r="P9" s="3">
        <f t="shared" si="0"/>
        <v>0</v>
      </c>
      <c r="Q9" s="7" t="s">
        <v>18</v>
      </c>
      <c r="R9" s="8">
        <f t="shared" si="1"/>
        <v>0</v>
      </c>
      <c r="S9" s="8">
        <f t="shared" si="2"/>
        <v>0</v>
      </c>
    </row>
    <row r="10" spans="1:19" x14ac:dyDescent="0.2">
      <c r="A10" s="1" t="s">
        <v>21</v>
      </c>
      <c r="B10" s="2" t="s">
        <v>17</v>
      </c>
      <c r="D10" s="4" t="s">
        <v>18</v>
      </c>
      <c r="F10" s="6">
        <v>1</v>
      </c>
      <c r="G10" s="7" t="s">
        <v>19</v>
      </c>
      <c r="H10" s="6">
        <v>48</v>
      </c>
      <c r="I10" s="7" t="s">
        <v>18</v>
      </c>
      <c r="J10" s="8">
        <v>31700</v>
      </c>
      <c r="K10" s="4" t="s">
        <v>18</v>
      </c>
      <c r="L10" s="9">
        <v>0.125</v>
      </c>
      <c r="M10" s="9">
        <v>0.05</v>
      </c>
      <c r="O10" s="7" t="s">
        <v>18</v>
      </c>
      <c r="P10" s="3">
        <f t="shared" si="0"/>
        <v>0</v>
      </c>
      <c r="Q10" s="7" t="s">
        <v>18</v>
      </c>
      <c r="R10" s="8">
        <f t="shared" si="1"/>
        <v>0</v>
      </c>
      <c r="S10" s="8">
        <f t="shared" si="2"/>
        <v>0</v>
      </c>
    </row>
    <row r="11" spans="1:19" x14ac:dyDescent="0.2">
      <c r="A11" s="1" t="s">
        <v>22</v>
      </c>
      <c r="B11" s="2" t="s">
        <v>17</v>
      </c>
      <c r="D11" s="4" t="s">
        <v>18</v>
      </c>
      <c r="F11" s="6">
        <v>1</v>
      </c>
      <c r="G11" s="7" t="s">
        <v>19</v>
      </c>
      <c r="H11" s="6">
        <v>48</v>
      </c>
      <c r="I11" s="7" t="s">
        <v>18</v>
      </c>
      <c r="J11" s="8">
        <v>25000</v>
      </c>
      <c r="K11" s="4" t="s">
        <v>18</v>
      </c>
      <c r="L11" s="9">
        <v>0.125</v>
      </c>
      <c r="M11" s="9">
        <v>0.05</v>
      </c>
      <c r="O11" s="7" t="s">
        <v>18</v>
      </c>
      <c r="P11" s="3">
        <f t="shared" si="0"/>
        <v>0</v>
      </c>
      <c r="Q11" s="7" t="s">
        <v>18</v>
      </c>
      <c r="R11" s="8">
        <f t="shared" si="1"/>
        <v>0</v>
      </c>
      <c r="S11" s="8">
        <f t="shared" si="2"/>
        <v>0</v>
      </c>
    </row>
    <row r="12" spans="1:19" x14ac:dyDescent="0.2">
      <c r="A12" s="1" t="s">
        <v>902</v>
      </c>
      <c r="B12" s="2" t="s">
        <v>17</v>
      </c>
      <c r="D12" s="4" t="s">
        <v>18</v>
      </c>
      <c r="F12" s="6">
        <v>1</v>
      </c>
      <c r="G12" s="7" t="s">
        <v>19</v>
      </c>
      <c r="H12" s="6">
        <v>48</v>
      </c>
      <c r="I12" s="7" t="s">
        <v>18</v>
      </c>
      <c r="J12" s="8">
        <v>27500</v>
      </c>
      <c r="K12" s="4" t="s">
        <v>18</v>
      </c>
      <c r="L12" s="9">
        <v>0.125</v>
      </c>
      <c r="M12" s="9">
        <v>0.05</v>
      </c>
      <c r="O12" s="7" t="s">
        <v>18</v>
      </c>
      <c r="P12" s="3">
        <f t="shared" ref="P12:P15" si="3">(C12+(E12*F12*H12))-N12</f>
        <v>0</v>
      </c>
      <c r="Q12" s="7" t="s">
        <v>18</v>
      </c>
      <c r="R12" s="8">
        <f t="shared" si="1"/>
        <v>0</v>
      </c>
      <c r="S12" s="8">
        <f t="shared" ref="S12:S15" si="4">P12*(J12-(J12*L12)-((J12-(J12*L12))*M12))</f>
        <v>0</v>
      </c>
    </row>
    <row r="13" spans="1:19" x14ac:dyDescent="0.2">
      <c r="A13" s="1" t="s">
        <v>903</v>
      </c>
      <c r="B13" s="2" t="s">
        <v>17</v>
      </c>
      <c r="D13" s="4" t="s">
        <v>18</v>
      </c>
      <c r="F13" s="6">
        <v>1</v>
      </c>
      <c r="G13" s="7" t="s">
        <v>19</v>
      </c>
      <c r="H13" s="6">
        <v>48</v>
      </c>
      <c r="I13" s="7" t="s">
        <v>18</v>
      </c>
      <c r="J13" s="8">
        <v>26600</v>
      </c>
      <c r="K13" s="4" t="s">
        <v>18</v>
      </c>
      <c r="L13" s="9">
        <v>0.125</v>
      </c>
      <c r="M13" s="9">
        <v>0.05</v>
      </c>
      <c r="O13" s="7" t="s">
        <v>18</v>
      </c>
      <c r="P13" s="3">
        <f t="shared" si="3"/>
        <v>0</v>
      </c>
      <c r="Q13" s="7" t="s">
        <v>18</v>
      </c>
      <c r="R13" s="8">
        <f t="shared" si="1"/>
        <v>0</v>
      </c>
      <c r="S13" s="8">
        <f t="shared" si="4"/>
        <v>0</v>
      </c>
    </row>
    <row r="14" spans="1:19" x14ac:dyDescent="0.2">
      <c r="A14" s="1" t="s">
        <v>965</v>
      </c>
      <c r="B14" s="2" t="s">
        <v>17</v>
      </c>
      <c r="D14" s="4" t="s">
        <v>18</v>
      </c>
      <c r="F14" s="6">
        <v>1</v>
      </c>
      <c r="G14" s="7" t="s">
        <v>19</v>
      </c>
      <c r="H14" s="6">
        <v>60</v>
      </c>
      <c r="I14" s="7" t="s">
        <v>18</v>
      </c>
      <c r="J14" s="8">
        <v>27500</v>
      </c>
      <c r="K14" s="4" t="s">
        <v>18</v>
      </c>
      <c r="L14" s="9">
        <v>0.125</v>
      </c>
      <c r="M14" s="9">
        <v>0.05</v>
      </c>
      <c r="O14" s="7" t="s">
        <v>18</v>
      </c>
      <c r="P14" s="3">
        <f t="shared" ref="P14" si="5">(C14+(E14*F14*H14))-N14</f>
        <v>0</v>
      </c>
      <c r="Q14" s="7" t="s">
        <v>18</v>
      </c>
      <c r="R14" s="8">
        <f t="shared" si="1"/>
        <v>0</v>
      </c>
      <c r="S14" s="8">
        <f t="shared" ref="S14" si="6">P14*(J14-(J14*L14)-((J14-(J14*L14))*M14))</f>
        <v>0</v>
      </c>
    </row>
    <row r="15" spans="1:19" x14ac:dyDescent="0.2">
      <c r="A15" s="1" t="s">
        <v>904</v>
      </c>
      <c r="B15" s="2" t="s">
        <v>17</v>
      </c>
      <c r="D15" s="4" t="s">
        <v>18</v>
      </c>
      <c r="F15" s="6">
        <v>1</v>
      </c>
      <c r="G15" s="7" t="s">
        <v>19</v>
      </c>
      <c r="H15" s="6">
        <v>96</v>
      </c>
      <c r="I15" s="7" t="s">
        <v>18</v>
      </c>
      <c r="J15" s="8">
        <v>26500</v>
      </c>
      <c r="K15" s="4" t="s">
        <v>18</v>
      </c>
      <c r="L15" s="9">
        <v>0.125</v>
      </c>
      <c r="M15" s="9">
        <v>0.05</v>
      </c>
      <c r="O15" s="7" t="s">
        <v>18</v>
      </c>
      <c r="P15" s="3">
        <f t="shared" si="3"/>
        <v>0</v>
      </c>
      <c r="Q15" s="7" t="s">
        <v>18</v>
      </c>
      <c r="R15" s="8">
        <f t="shared" si="1"/>
        <v>0</v>
      </c>
      <c r="S15" s="8">
        <f t="shared" si="4"/>
        <v>0</v>
      </c>
    </row>
    <row r="16" spans="1:19" x14ac:dyDescent="0.2">
      <c r="A16" s="1" t="s">
        <v>939</v>
      </c>
      <c r="B16" s="2" t="s">
        <v>17</v>
      </c>
      <c r="D16" s="4" t="s">
        <v>18</v>
      </c>
      <c r="F16" s="6">
        <v>1</v>
      </c>
      <c r="G16" s="7" t="s">
        <v>19</v>
      </c>
      <c r="H16" s="6">
        <v>72</v>
      </c>
      <c r="I16" s="7" t="s">
        <v>18</v>
      </c>
      <c r="J16" s="8">
        <v>46000</v>
      </c>
      <c r="K16" s="4" t="s">
        <v>18</v>
      </c>
      <c r="L16" s="9">
        <v>0.125</v>
      </c>
      <c r="M16" s="9">
        <v>0.05</v>
      </c>
      <c r="O16" s="7" t="s">
        <v>18</v>
      </c>
      <c r="P16" s="3">
        <f t="shared" ref="P16" si="7">(C16+(E16*F16*H16))-N16</f>
        <v>0</v>
      </c>
      <c r="Q16" s="7" t="s">
        <v>18</v>
      </c>
      <c r="R16" s="8">
        <f t="shared" si="1"/>
        <v>0</v>
      </c>
      <c r="S16" s="8">
        <f t="shared" ref="S16" si="8">P16*(J16-(J16*L16)-((J16-(J16*L16))*M16))</f>
        <v>0</v>
      </c>
    </row>
    <row r="18" spans="1:19" x14ac:dyDescent="0.2">
      <c r="A18" s="1" t="s">
        <v>23</v>
      </c>
      <c r="B18" s="2" t="s">
        <v>24</v>
      </c>
      <c r="D18" s="4" t="s">
        <v>18</v>
      </c>
      <c r="F18" s="6">
        <v>1</v>
      </c>
      <c r="G18" s="7" t="s">
        <v>19</v>
      </c>
      <c r="H18" s="6">
        <v>60</v>
      </c>
      <c r="I18" s="7" t="s">
        <v>18</v>
      </c>
      <c r="J18" s="8">
        <v>23800</v>
      </c>
      <c r="K18" s="4" t="s">
        <v>18</v>
      </c>
      <c r="M18" s="9">
        <v>0.17</v>
      </c>
      <c r="O18" s="7" t="s">
        <v>18</v>
      </c>
      <c r="P18" s="3">
        <f t="shared" ref="P18:P24" si="9">(C18+(E18*F18*H18))-N18</f>
        <v>0</v>
      </c>
      <c r="Q18" s="7" t="s">
        <v>18</v>
      </c>
      <c r="R18" s="8">
        <f t="shared" ref="R18:R24" si="10">S18/1.11</f>
        <v>0</v>
      </c>
      <c r="S18" s="8">
        <f t="shared" ref="S18:S24" si="11">P18*(J18-(J18*L18)-((J18-(J18*L18))*M18))</f>
        <v>0</v>
      </c>
    </row>
    <row r="19" spans="1:19" x14ac:dyDescent="0.2">
      <c r="A19" s="1" t="s">
        <v>25</v>
      </c>
      <c r="B19" s="2" t="s">
        <v>24</v>
      </c>
      <c r="D19" s="4" t="s">
        <v>18</v>
      </c>
      <c r="F19" s="6">
        <v>1</v>
      </c>
      <c r="G19" s="7" t="s">
        <v>19</v>
      </c>
      <c r="H19" s="6">
        <v>60</v>
      </c>
      <c r="I19" s="7" t="s">
        <v>18</v>
      </c>
      <c r="J19" s="8">
        <f>1500000/60</f>
        <v>25000</v>
      </c>
      <c r="K19" s="4" t="s">
        <v>18</v>
      </c>
      <c r="M19" s="9">
        <v>0.17</v>
      </c>
      <c r="O19" s="7" t="s">
        <v>18</v>
      </c>
      <c r="P19" s="3">
        <f t="shared" si="9"/>
        <v>0</v>
      </c>
      <c r="Q19" s="7" t="s">
        <v>18</v>
      </c>
      <c r="R19" s="8">
        <f t="shared" si="10"/>
        <v>0</v>
      </c>
      <c r="S19" s="8">
        <f t="shared" si="11"/>
        <v>0</v>
      </c>
    </row>
    <row r="20" spans="1:19" x14ac:dyDescent="0.2">
      <c r="A20" s="1" t="s">
        <v>26</v>
      </c>
      <c r="B20" s="2" t="s">
        <v>24</v>
      </c>
      <c r="D20" s="4" t="s">
        <v>18</v>
      </c>
      <c r="F20" s="6">
        <v>1</v>
      </c>
      <c r="G20" s="7" t="s">
        <v>19</v>
      </c>
      <c r="H20" s="6">
        <v>60</v>
      </c>
      <c r="I20" s="7" t="s">
        <v>18</v>
      </c>
      <c r="J20" s="8">
        <v>27500</v>
      </c>
      <c r="K20" s="4" t="s">
        <v>18</v>
      </c>
      <c r="M20" s="9">
        <v>0.17</v>
      </c>
      <c r="O20" s="7" t="s">
        <v>18</v>
      </c>
      <c r="P20" s="3">
        <f t="shared" si="9"/>
        <v>0</v>
      </c>
      <c r="Q20" s="7" t="s">
        <v>18</v>
      </c>
      <c r="R20" s="8">
        <f t="shared" si="10"/>
        <v>0</v>
      </c>
      <c r="S20" s="8">
        <f t="shared" si="11"/>
        <v>0</v>
      </c>
    </row>
    <row r="21" spans="1:19" x14ac:dyDescent="0.2">
      <c r="A21" s="1" t="s">
        <v>692</v>
      </c>
      <c r="B21" s="2" t="s">
        <v>24</v>
      </c>
      <c r="D21" s="4" t="s">
        <v>18</v>
      </c>
      <c r="F21" s="6">
        <v>1</v>
      </c>
      <c r="G21" s="7" t="s">
        <v>19</v>
      </c>
      <c r="H21" s="6">
        <v>36</v>
      </c>
      <c r="I21" s="7" t="s">
        <v>18</v>
      </c>
      <c r="J21" s="8">
        <f>2520000/36</f>
        <v>70000</v>
      </c>
      <c r="K21" s="4" t="s">
        <v>18</v>
      </c>
      <c r="M21" s="9">
        <v>0.17</v>
      </c>
      <c r="O21" s="7" t="s">
        <v>18</v>
      </c>
      <c r="P21" s="3">
        <f t="shared" si="9"/>
        <v>0</v>
      </c>
      <c r="Q21" s="7" t="s">
        <v>18</v>
      </c>
      <c r="R21" s="8">
        <f t="shared" si="10"/>
        <v>0</v>
      </c>
      <c r="S21" s="8">
        <f t="shared" si="11"/>
        <v>0</v>
      </c>
    </row>
    <row r="22" spans="1:19" x14ac:dyDescent="0.2">
      <c r="A22" s="1" t="s">
        <v>27</v>
      </c>
      <c r="B22" s="2" t="s">
        <v>24</v>
      </c>
      <c r="D22" s="4" t="s">
        <v>18</v>
      </c>
      <c r="F22" s="6">
        <v>1</v>
      </c>
      <c r="G22" s="7" t="s">
        <v>19</v>
      </c>
      <c r="H22" s="6">
        <v>36</v>
      </c>
      <c r="I22" s="7" t="s">
        <v>18</v>
      </c>
      <c r="J22" s="8">
        <v>50500</v>
      </c>
      <c r="K22" s="4" t="s">
        <v>18</v>
      </c>
      <c r="M22" s="9">
        <v>0.17</v>
      </c>
      <c r="O22" s="7" t="s">
        <v>18</v>
      </c>
      <c r="P22" s="3">
        <f t="shared" si="9"/>
        <v>0</v>
      </c>
      <c r="Q22" s="7" t="s">
        <v>18</v>
      </c>
      <c r="R22" s="8">
        <f t="shared" si="10"/>
        <v>0</v>
      </c>
      <c r="S22" s="8">
        <f t="shared" si="11"/>
        <v>0</v>
      </c>
    </row>
    <row r="23" spans="1:19" x14ac:dyDescent="0.2">
      <c r="A23" s="1" t="s">
        <v>28</v>
      </c>
      <c r="B23" s="2" t="s">
        <v>24</v>
      </c>
      <c r="D23" s="4" t="s">
        <v>18</v>
      </c>
      <c r="F23" s="6">
        <v>1</v>
      </c>
      <c r="G23" s="7" t="s">
        <v>19</v>
      </c>
      <c r="H23" s="6">
        <v>72</v>
      </c>
      <c r="I23" s="7" t="s">
        <v>18</v>
      </c>
      <c r="J23" s="8">
        <v>37000</v>
      </c>
      <c r="K23" s="4" t="s">
        <v>18</v>
      </c>
      <c r="M23" s="9">
        <v>0.17</v>
      </c>
      <c r="O23" s="7" t="s">
        <v>18</v>
      </c>
      <c r="P23" s="3">
        <f t="shared" si="9"/>
        <v>0</v>
      </c>
      <c r="Q23" s="7" t="s">
        <v>18</v>
      </c>
      <c r="R23" s="8">
        <f t="shared" si="10"/>
        <v>0</v>
      </c>
      <c r="S23" s="8">
        <f t="shared" si="11"/>
        <v>0</v>
      </c>
    </row>
    <row r="24" spans="1:19" x14ac:dyDescent="0.2">
      <c r="A24" s="1" t="s">
        <v>29</v>
      </c>
      <c r="B24" s="2" t="s">
        <v>24</v>
      </c>
      <c r="D24" s="4" t="s">
        <v>18</v>
      </c>
      <c r="F24" s="6">
        <v>1</v>
      </c>
      <c r="G24" s="7" t="s">
        <v>19</v>
      </c>
      <c r="H24" s="6">
        <v>72</v>
      </c>
      <c r="I24" s="7" t="s">
        <v>18</v>
      </c>
      <c r="J24" s="8">
        <v>30000</v>
      </c>
      <c r="K24" s="4" t="s">
        <v>18</v>
      </c>
      <c r="M24" s="9">
        <v>0.17</v>
      </c>
      <c r="O24" s="7" t="s">
        <v>18</v>
      </c>
      <c r="P24" s="3">
        <f t="shared" si="9"/>
        <v>0</v>
      </c>
      <c r="Q24" s="7" t="s">
        <v>18</v>
      </c>
      <c r="R24" s="8">
        <f t="shared" si="10"/>
        <v>0</v>
      </c>
      <c r="S24" s="8">
        <f t="shared" si="11"/>
        <v>0</v>
      </c>
    </row>
    <row r="26" spans="1:19" x14ac:dyDescent="0.2">
      <c r="A26" s="1" t="s">
        <v>988</v>
      </c>
      <c r="B26" s="2" t="s">
        <v>170</v>
      </c>
      <c r="D26" s="4" t="s">
        <v>18</v>
      </c>
      <c r="F26" s="6">
        <v>1</v>
      </c>
      <c r="G26" s="7" t="s">
        <v>19</v>
      </c>
      <c r="H26" s="6">
        <v>84</v>
      </c>
      <c r="I26" s="7" t="s">
        <v>18</v>
      </c>
      <c r="J26" s="8">
        <v>23500</v>
      </c>
      <c r="K26" s="4" t="s">
        <v>18</v>
      </c>
      <c r="L26" s="9">
        <v>7.0000000000000007E-2</v>
      </c>
      <c r="O26" s="7" t="s">
        <v>18</v>
      </c>
      <c r="P26" s="3">
        <f>(C26+(E26*F26*H26))-N26</f>
        <v>0</v>
      </c>
      <c r="Q26" s="7" t="s">
        <v>18</v>
      </c>
      <c r="R26" s="8">
        <f>S26/1.11</f>
        <v>0</v>
      </c>
      <c r="S26" s="8">
        <f>P26*(J26-(J26*L26)-((J26-(J26*L26))*M26))</f>
        <v>0</v>
      </c>
    </row>
    <row r="28" spans="1:19" x14ac:dyDescent="0.2">
      <c r="A28" s="24" t="s">
        <v>30</v>
      </c>
    </row>
    <row r="29" spans="1:19" x14ac:dyDescent="0.2">
      <c r="A29" s="1" t="s">
        <v>31</v>
      </c>
      <c r="B29" s="2" t="s">
        <v>17</v>
      </c>
      <c r="D29" s="4" t="s">
        <v>32</v>
      </c>
      <c r="F29" s="6">
        <v>1</v>
      </c>
      <c r="G29" s="7" t="s">
        <v>19</v>
      </c>
      <c r="H29" s="6">
        <v>60</v>
      </c>
      <c r="I29" s="7" t="s">
        <v>32</v>
      </c>
      <c r="J29" s="8">
        <v>22200</v>
      </c>
      <c r="K29" s="4" t="s">
        <v>32</v>
      </c>
      <c r="L29" s="9">
        <v>0.125</v>
      </c>
      <c r="M29" s="9">
        <v>0.05</v>
      </c>
      <c r="O29" s="7" t="s">
        <v>32</v>
      </c>
      <c r="P29" s="3">
        <f t="shared" ref="P29:P36" si="12">(C29+(E29*F29*H29))-N29</f>
        <v>0</v>
      </c>
      <c r="Q29" s="7" t="s">
        <v>32</v>
      </c>
      <c r="R29" s="8">
        <f t="shared" ref="R29:R36" si="13">S29/1.11</f>
        <v>0</v>
      </c>
      <c r="S29" s="8">
        <f t="shared" ref="S29:S36" si="14">P29*(J29-(J29*L29)-((J29-(J29*L29))*M29))</f>
        <v>0</v>
      </c>
    </row>
    <row r="30" spans="1:19" x14ac:dyDescent="0.2">
      <c r="A30" s="1" t="s">
        <v>940</v>
      </c>
      <c r="B30" s="2" t="s">
        <v>17</v>
      </c>
      <c r="D30" s="4" t="s">
        <v>32</v>
      </c>
      <c r="F30" s="6">
        <v>1</v>
      </c>
      <c r="G30" s="7" t="s">
        <v>19</v>
      </c>
      <c r="H30" s="6">
        <v>60</v>
      </c>
      <c r="I30" s="7" t="s">
        <v>32</v>
      </c>
      <c r="J30" s="8">
        <v>31500</v>
      </c>
      <c r="K30" s="4" t="s">
        <v>32</v>
      </c>
      <c r="L30" s="9">
        <v>0.125</v>
      </c>
      <c r="M30" s="9">
        <v>0.05</v>
      </c>
      <c r="O30" s="7" t="s">
        <v>32</v>
      </c>
      <c r="P30" s="3">
        <f t="shared" ref="P30" si="15">(C30+(E30*F30*H30))-N30</f>
        <v>0</v>
      </c>
      <c r="Q30" s="7" t="s">
        <v>32</v>
      </c>
      <c r="R30" s="8">
        <f t="shared" si="13"/>
        <v>0</v>
      </c>
      <c r="S30" s="8">
        <f t="shared" ref="S30" si="16">P30*(J30-(J30*L30)-((J30-(J30*L30))*M30))</f>
        <v>0</v>
      </c>
    </row>
    <row r="31" spans="1:19" x14ac:dyDescent="0.2">
      <c r="A31" s="1" t="s">
        <v>804</v>
      </c>
      <c r="B31" s="2" t="s">
        <v>17</v>
      </c>
      <c r="D31" s="4" t="s">
        <v>32</v>
      </c>
      <c r="F31" s="6">
        <v>1</v>
      </c>
      <c r="G31" s="7" t="s">
        <v>19</v>
      </c>
      <c r="H31" s="6">
        <v>60</v>
      </c>
      <c r="I31" s="7" t="s">
        <v>32</v>
      </c>
      <c r="J31" s="8">
        <v>31500</v>
      </c>
      <c r="K31" s="4" t="s">
        <v>32</v>
      </c>
      <c r="L31" s="9">
        <v>0.125</v>
      </c>
      <c r="M31" s="9">
        <v>0.05</v>
      </c>
      <c r="O31" s="7" t="s">
        <v>32</v>
      </c>
      <c r="P31" s="3">
        <f t="shared" si="12"/>
        <v>0</v>
      </c>
      <c r="Q31" s="7" t="s">
        <v>32</v>
      </c>
      <c r="R31" s="8">
        <f t="shared" si="13"/>
        <v>0</v>
      </c>
      <c r="S31" s="8">
        <f t="shared" si="14"/>
        <v>0</v>
      </c>
    </row>
    <row r="32" spans="1:19" x14ac:dyDescent="0.2">
      <c r="A32" s="1" t="s">
        <v>815</v>
      </c>
      <c r="B32" s="2" t="s">
        <v>17</v>
      </c>
      <c r="D32" s="4" t="s">
        <v>32</v>
      </c>
      <c r="F32" s="6">
        <v>1</v>
      </c>
      <c r="G32" s="7" t="s">
        <v>19</v>
      </c>
      <c r="H32" s="6">
        <v>60</v>
      </c>
      <c r="I32" s="7" t="s">
        <v>32</v>
      </c>
      <c r="J32" s="8">
        <v>31200</v>
      </c>
      <c r="K32" s="4" t="s">
        <v>32</v>
      </c>
      <c r="L32" s="9">
        <v>0.125</v>
      </c>
      <c r="M32" s="9">
        <v>0.05</v>
      </c>
      <c r="O32" s="7" t="s">
        <v>32</v>
      </c>
      <c r="P32" s="3">
        <f t="shared" si="12"/>
        <v>0</v>
      </c>
      <c r="Q32" s="7" t="s">
        <v>32</v>
      </c>
      <c r="R32" s="8">
        <f t="shared" si="13"/>
        <v>0</v>
      </c>
      <c r="S32" s="8">
        <f t="shared" si="14"/>
        <v>0</v>
      </c>
    </row>
    <row r="33" spans="1:21" x14ac:dyDescent="0.2">
      <c r="A33" s="1" t="s">
        <v>680</v>
      </c>
      <c r="B33" s="2" t="s">
        <v>17</v>
      </c>
      <c r="D33" s="4" t="s">
        <v>32</v>
      </c>
      <c r="F33" s="6">
        <v>1</v>
      </c>
      <c r="G33" s="7" t="s">
        <v>19</v>
      </c>
      <c r="H33" s="6">
        <v>50</v>
      </c>
      <c r="I33" s="7" t="s">
        <v>32</v>
      </c>
      <c r="J33" s="8">
        <v>66000</v>
      </c>
      <c r="K33" s="4" t="s">
        <v>32</v>
      </c>
      <c r="L33" s="9">
        <v>0.125</v>
      </c>
      <c r="M33" s="9">
        <v>0.05</v>
      </c>
      <c r="O33" s="7" t="s">
        <v>32</v>
      </c>
      <c r="P33" s="3">
        <f t="shared" si="12"/>
        <v>0</v>
      </c>
      <c r="Q33" s="7" t="s">
        <v>32</v>
      </c>
      <c r="R33" s="8">
        <f t="shared" si="13"/>
        <v>0</v>
      </c>
      <c r="S33" s="8">
        <f t="shared" si="14"/>
        <v>0</v>
      </c>
    </row>
    <row r="34" spans="1:21" x14ac:dyDescent="0.2">
      <c r="A34" s="1" t="s">
        <v>811</v>
      </c>
      <c r="B34" s="2" t="s">
        <v>17</v>
      </c>
      <c r="D34" s="4" t="s">
        <v>32</v>
      </c>
      <c r="F34" s="6">
        <v>1</v>
      </c>
      <c r="G34" s="7" t="s">
        <v>19</v>
      </c>
      <c r="H34" s="6">
        <v>60</v>
      </c>
      <c r="I34" s="7" t="s">
        <v>32</v>
      </c>
      <c r="J34" s="8">
        <v>31800</v>
      </c>
      <c r="K34" s="4" t="s">
        <v>32</v>
      </c>
      <c r="L34" s="9">
        <v>0.125</v>
      </c>
      <c r="M34" s="9">
        <v>0.05</v>
      </c>
      <c r="O34" s="7" t="s">
        <v>32</v>
      </c>
      <c r="P34" s="3">
        <f t="shared" ref="P34" si="17">(C34+(E34*F34*H34))-N34</f>
        <v>0</v>
      </c>
      <c r="Q34" s="7" t="s">
        <v>32</v>
      </c>
      <c r="R34" s="8">
        <f t="shared" si="13"/>
        <v>0</v>
      </c>
      <c r="S34" s="8">
        <f t="shared" ref="S34" si="18">P34*(J34-(J34*L34)-((J34-(J34*L34))*M34))</f>
        <v>0</v>
      </c>
    </row>
    <row r="35" spans="1:21" x14ac:dyDescent="0.2">
      <c r="A35" s="1" t="s">
        <v>33</v>
      </c>
      <c r="B35" s="2" t="s">
        <v>17</v>
      </c>
      <c r="D35" s="4" t="s">
        <v>32</v>
      </c>
      <c r="F35" s="6">
        <v>1</v>
      </c>
      <c r="G35" s="7" t="s">
        <v>19</v>
      </c>
      <c r="H35" s="6">
        <v>180</v>
      </c>
      <c r="I35" s="7" t="s">
        <v>32</v>
      </c>
      <c r="J35" s="8">
        <v>9000</v>
      </c>
      <c r="K35" s="4" t="s">
        <v>32</v>
      </c>
      <c r="L35" s="9">
        <v>0.125</v>
      </c>
      <c r="M35" s="9">
        <v>0.05</v>
      </c>
      <c r="O35" s="7" t="s">
        <v>32</v>
      </c>
      <c r="P35" s="3">
        <f t="shared" ref="P35" si="19">(C35+(E35*F35*H35))-N35</f>
        <v>0</v>
      </c>
      <c r="Q35" s="7" t="s">
        <v>32</v>
      </c>
      <c r="R35" s="8">
        <f t="shared" si="13"/>
        <v>0</v>
      </c>
      <c r="S35" s="8">
        <f t="shared" ref="S35" si="20">P35*(J35-(J35*L35)-((J35-(J35*L35))*M35))</f>
        <v>0</v>
      </c>
    </row>
    <row r="36" spans="1:21" x14ac:dyDescent="0.2">
      <c r="A36" s="1" t="s">
        <v>34</v>
      </c>
      <c r="B36" s="2" t="s">
        <v>17</v>
      </c>
      <c r="D36" s="4" t="s">
        <v>32</v>
      </c>
      <c r="F36" s="6">
        <v>1</v>
      </c>
      <c r="G36" s="7" t="s">
        <v>19</v>
      </c>
      <c r="H36" s="6">
        <v>32</v>
      </c>
      <c r="I36" s="7" t="s">
        <v>32</v>
      </c>
      <c r="J36" s="8">
        <v>64800</v>
      </c>
      <c r="K36" s="4" t="s">
        <v>32</v>
      </c>
      <c r="L36" s="9">
        <v>0.125</v>
      </c>
      <c r="M36" s="9">
        <v>0.05</v>
      </c>
      <c r="O36" s="7" t="s">
        <v>32</v>
      </c>
      <c r="P36" s="3">
        <f t="shared" si="12"/>
        <v>0</v>
      </c>
      <c r="Q36" s="7" t="s">
        <v>32</v>
      </c>
      <c r="R36" s="8">
        <f t="shared" si="13"/>
        <v>0</v>
      </c>
      <c r="S36" s="8">
        <f t="shared" si="14"/>
        <v>0</v>
      </c>
    </row>
    <row r="38" spans="1:21" x14ac:dyDescent="0.2">
      <c r="A38" s="1" t="s">
        <v>747</v>
      </c>
      <c r="B38" s="2" t="s">
        <v>24</v>
      </c>
      <c r="D38" s="4" t="s">
        <v>32</v>
      </c>
      <c r="F38" s="6">
        <v>2</v>
      </c>
      <c r="G38" s="7" t="s">
        <v>97</v>
      </c>
      <c r="H38" s="6">
        <v>30</v>
      </c>
      <c r="I38" s="7" t="s">
        <v>32</v>
      </c>
      <c r="J38" s="8">
        <f>1800000/2/30</f>
        <v>30000</v>
      </c>
      <c r="K38" s="4" t="s">
        <v>32</v>
      </c>
      <c r="M38" s="9">
        <v>0.17</v>
      </c>
      <c r="O38" s="7" t="s">
        <v>32</v>
      </c>
      <c r="P38" s="3">
        <f t="shared" ref="P38:P42" si="21">(C38+(E38*F38*H38))-N38</f>
        <v>0</v>
      </c>
      <c r="Q38" s="7" t="s">
        <v>32</v>
      </c>
      <c r="R38" s="8">
        <f>S38/1.11</f>
        <v>0</v>
      </c>
      <c r="S38" s="8">
        <f t="shared" ref="S38:S42" si="22">P38*(J38-(J38*L38)-((J38-(J38*L38))*M38))</f>
        <v>0</v>
      </c>
    </row>
    <row r="39" spans="1:21" x14ac:dyDescent="0.2">
      <c r="A39" s="1" t="s">
        <v>736</v>
      </c>
      <c r="B39" s="2" t="s">
        <v>24</v>
      </c>
      <c r="D39" s="4" t="s">
        <v>39</v>
      </c>
      <c r="F39" s="6">
        <v>1</v>
      </c>
      <c r="G39" s="7" t="s">
        <v>19</v>
      </c>
      <c r="H39" s="6">
        <v>60</v>
      </c>
      <c r="I39" s="7" t="s">
        <v>39</v>
      </c>
      <c r="J39" s="8">
        <v>19200</v>
      </c>
      <c r="K39" s="4" t="s">
        <v>39</v>
      </c>
      <c r="M39" s="9">
        <v>0.17</v>
      </c>
      <c r="O39" s="7" t="s">
        <v>32</v>
      </c>
      <c r="P39" s="3">
        <f t="shared" si="21"/>
        <v>0</v>
      </c>
      <c r="Q39" s="7" t="s">
        <v>39</v>
      </c>
      <c r="R39" s="8">
        <f>S39/1.11</f>
        <v>0</v>
      </c>
      <c r="S39" s="8">
        <f t="shared" si="22"/>
        <v>0</v>
      </c>
    </row>
    <row r="40" spans="1:21" x14ac:dyDescent="0.2">
      <c r="A40" s="1" t="s">
        <v>816</v>
      </c>
      <c r="B40" s="2" t="s">
        <v>24</v>
      </c>
      <c r="D40" s="4" t="s">
        <v>39</v>
      </c>
      <c r="F40" s="6">
        <v>1</v>
      </c>
      <c r="G40" s="7" t="s">
        <v>19</v>
      </c>
      <c r="H40" s="6">
        <v>120</v>
      </c>
      <c r="I40" s="7" t="s">
        <v>39</v>
      </c>
      <c r="J40" s="8">
        <f>1908000/120</f>
        <v>15900</v>
      </c>
      <c r="K40" s="4" t="s">
        <v>39</v>
      </c>
      <c r="M40" s="9">
        <v>0.17</v>
      </c>
      <c r="O40" s="7" t="s">
        <v>32</v>
      </c>
      <c r="P40" s="3">
        <f t="shared" si="21"/>
        <v>0</v>
      </c>
      <c r="Q40" s="7" t="s">
        <v>39</v>
      </c>
      <c r="R40" s="8">
        <f>S40/1.11</f>
        <v>0</v>
      </c>
      <c r="S40" s="8">
        <f t="shared" si="22"/>
        <v>0</v>
      </c>
    </row>
    <row r="41" spans="1:21" x14ac:dyDescent="0.2">
      <c r="A41" s="1" t="s">
        <v>817</v>
      </c>
      <c r="B41" s="2" t="s">
        <v>24</v>
      </c>
      <c r="D41" s="4" t="s">
        <v>39</v>
      </c>
      <c r="F41" s="6">
        <v>1</v>
      </c>
      <c r="G41" s="7" t="s">
        <v>19</v>
      </c>
      <c r="H41" s="6">
        <v>60</v>
      </c>
      <c r="I41" s="7" t="s">
        <v>39</v>
      </c>
      <c r="J41" s="8">
        <f>1728000/60</f>
        <v>28800</v>
      </c>
      <c r="K41" s="4" t="s">
        <v>39</v>
      </c>
      <c r="M41" s="9">
        <v>0.17</v>
      </c>
      <c r="O41" s="7" t="s">
        <v>32</v>
      </c>
      <c r="P41" s="3">
        <f t="shared" si="21"/>
        <v>0</v>
      </c>
      <c r="Q41" s="7" t="s">
        <v>39</v>
      </c>
      <c r="R41" s="8">
        <f>S41/1.11</f>
        <v>0</v>
      </c>
      <c r="S41" s="8">
        <f t="shared" si="22"/>
        <v>0</v>
      </c>
    </row>
    <row r="42" spans="1:21" x14ac:dyDescent="0.2">
      <c r="A42" s="1" t="s">
        <v>665</v>
      </c>
      <c r="B42" s="2" t="s">
        <v>24</v>
      </c>
      <c r="D42" s="4" t="s">
        <v>32</v>
      </c>
      <c r="F42" s="6">
        <v>1</v>
      </c>
      <c r="G42" s="7" t="s">
        <v>19</v>
      </c>
      <c r="H42" s="6">
        <v>32</v>
      </c>
      <c r="I42" s="7" t="s">
        <v>32</v>
      </c>
      <c r="J42" s="8">
        <f>1113600/32</f>
        <v>34800</v>
      </c>
      <c r="K42" s="4" t="s">
        <v>32</v>
      </c>
      <c r="M42" s="9">
        <v>0.17</v>
      </c>
      <c r="O42" s="7" t="s">
        <v>32</v>
      </c>
      <c r="P42" s="3">
        <f t="shared" si="21"/>
        <v>0</v>
      </c>
      <c r="Q42" s="7" t="s">
        <v>32</v>
      </c>
      <c r="R42" s="8">
        <f>S42/1.11</f>
        <v>0</v>
      </c>
      <c r="S42" s="8">
        <f t="shared" si="22"/>
        <v>0</v>
      </c>
    </row>
    <row r="43" spans="1:21" x14ac:dyDescent="0.2">
      <c r="R43" s="25"/>
      <c r="S43" s="21"/>
      <c r="U43" s="25"/>
    </row>
    <row r="44" spans="1:21" x14ac:dyDescent="0.2">
      <c r="A44" s="24" t="s">
        <v>977</v>
      </c>
    </row>
    <row r="45" spans="1:21" x14ac:dyDescent="0.2">
      <c r="A45" s="1" t="s">
        <v>978</v>
      </c>
      <c r="B45" s="2" t="s">
        <v>979</v>
      </c>
      <c r="D45" s="4" t="s">
        <v>980</v>
      </c>
      <c r="F45" s="6">
        <v>1</v>
      </c>
      <c r="G45" s="7" t="s">
        <v>19</v>
      </c>
      <c r="H45" s="6">
        <v>60</v>
      </c>
      <c r="I45" s="7" t="s">
        <v>980</v>
      </c>
      <c r="J45" s="8">
        <v>60811</v>
      </c>
      <c r="K45" s="4" t="s">
        <v>809</v>
      </c>
      <c r="L45" s="9">
        <v>0.2</v>
      </c>
      <c r="O45" s="7" t="s">
        <v>980</v>
      </c>
      <c r="P45" s="3">
        <f>(C45+(E45*F45*H45))-N45</f>
        <v>0</v>
      </c>
      <c r="Q45" s="7" t="s">
        <v>809</v>
      </c>
      <c r="R45" s="8">
        <f>S45/1.11</f>
        <v>0</v>
      </c>
      <c r="S45" s="8">
        <f>P45*(J45-(J45*L45)-((J45-(J45*L45))*M45))</f>
        <v>0</v>
      </c>
    </row>
    <row r="47" spans="1:21" x14ac:dyDescent="0.2">
      <c r="A47" s="24" t="s">
        <v>35</v>
      </c>
    </row>
    <row r="48" spans="1:21" x14ac:dyDescent="0.2">
      <c r="A48" s="24" t="s">
        <v>36</v>
      </c>
    </row>
    <row r="49" spans="1:19" x14ac:dyDescent="0.2">
      <c r="A49" s="1" t="s">
        <v>792</v>
      </c>
      <c r="B49" s="2" t="s">
        <v>17</v>
      </c>
      <c r="D49" s="4" t="s">
        <v>18</v>
      </c>
      <c r="F49" s="6">
        <v>1</v>
      </c>
      <c r="G49" s="7" t="s">
        <v>19</v>
      </c>
      <c r="H49" s="6">
        <v>60</v>
      </c>
      <c r="I49" s="7" t="s">
        <v>18</v>
      </c>
      <c r="J49" s="8">
        <v>20800</v>
      </c>
      <c r="K49" s="4" t="s">
        <v>18</v>
      </c>
      <c r="L49" s="9">
        <v>0.125</v>
      </c>
      <c r="M49" s="9">
        <v>0.05</v>
      </c>
      <c r="O49" s="7" t="s">
        <v>18</v>
      </c>
      <c r="P49" s="3">
        <f>(C49+(E49*F49*H49))-N49</f>
        <v>0</v>
      </c>
      <c r="Q49" s="7" t="s">
        <v>18</v>
      </c>
      <c r="R49" s="8">
        <f>S49/1.11</f>
        <v>0</v>
      </c>
      <c r="S49" s="8">
        <f>P49*(J49-(J49*L49)-((J49-(J49*L49))*M49))</f>
        <v>0</v>
      </c>
    </row>
    <row r="50" spans="1:19" x14ac:dyDescent="0.2">
      <c r="A50" s="1" t="s">
        <v>37</v>
      </c>
      <c r="B50" s="2" t="s">
        <v>17</v>
      </c>
      <c r="D50" s="4" t="s">
        <v>18</v>
      </c>
      <c r="F50" s="6">
        <v>1</v>
      </c>
      <c r="G50" s="7" t="s">
        <v>19</v>
      </c>
      <c r="H50" s="6">
        <v>60</v>
      </c>
      <c r="I50" s="7" t="s">
        <v>18</v>
      </c>
      <c r="J50" s="8">
        <v>18500</v>
      </c>
      <c r="K50" s="4" t="s">
        <v>18</v>
      </c>
      <c r="L50" s="9">
        <v>0.125</v>
      </c>
      <c r="M50" s="9">
        <v>0.05</v>
      </c>
      <c r="O50" s="7" t="s">
        <v>18</v>
      </c>
      <c r="P50" s="3">
        <f>(C50+(E50*F50*H50))-N50</f>
        <v>0</v>
      </c>
      <c r="Q50" s="7" t="s">
        <v>18</v>
      </c>
      <c r="R50" s="8">
        <f>S50/1.11</f>
        <v>0</v>
      </c>
      <c r="S50" s="8">
        <f>P50*(J50-(J50*L50)-((J50-(J50*L50))*M50))</f>
        <v>0</v>
      </c>
    </row>
    <row r="52" spans="1:19" x14ac:dyDescent="0.2">
      <c r="A52" s="1" t="s">
        <v>38</v>
      </c>
      <c r="B52" s="2" t="s">
        <v>24</v>
      </c>
      <c r="D52" s="4" t="s">
        <v>39</v>
      </c>
      <c r="F52" s="6">
        <v>1</v>
      </c>
      <c r="G52" s="7" t="s">
        <v>19</v>
      </c>
      <c r="H52" s="6">
        <v>5</v>
      </c>
      <c r="I52" s="7" t="s">
        <v>39</v>
      </c>
      <c r="J52" s="8">
        <f>780000/5</f>
        <v>156000</v>
      </c>
      <c r="K52" s="4" t="s">
        <v>39</v>
      </c>
      <c r="M52" s="9">
        <v>0.17</v>
      </c>
      <c r="O52" s="10" t="s">
        <v>39</v>
      </c>
      <c r="P52" s="3">
        <f t="shared" ref="P52:P54" si="23">(C52+(E52*F52*H52))-N52</f>
        <v>0</v>
      </c>
      <c r="Q52" s="7" t="s">
        <v>39</v>
      </c>
      <c r="R52" s="8">
        <f>S52/1.11</f>
        <v>0</v>
      </c>
      <c r="S52" s="8">
        <f t="shared" ref="S52:S54" si="24">P52*(J52-(J52*L52)-((J52-(J52*L52))*M52))</f>
        <v>0</v>
      </c>
    </row>
    <row r="53" spans="1:19" x14ac:dyDescent="0.2">
      <c r="A53" s="1" t="s">
        <v>40</v>
      </c>
      <c r="B53" s="2" t="s">
        <v>24</v>
      </c>
      <c r="D53" s="4" t="s">
        <v>39</v>
      </c>
      <c r="F53" s="6">
        <v>1</v>
      </c>
      <c r="G53" s="7" t="s">
        <v>19</v>
      </c>
      <c r="H53" s="6">
        <v>5</v>
      </c>
      <c r="I53" s="7" t="s">
        <v>39</v>
      </c>
      <c r="J53" s="8">
        <v>153600</v>
      </c>
      <c r="K53" s="4" t="s">
        <v>39</v>
      </c>
      <c r="M53" s="9">
        <v>0.17</v>
      </c>
      <c r="O53" s="10" t="s">
        <v>39</v>
      </c>
      <c r="P53" s="3">
        <f t="shared" ref="P53" si="25">(C53+(E53*F53*H53))-N53</f>
        <v>0</v>
      </c>
      <c r="Q53" s="7" t="s">
        <v>39</v>
      </c>
      <c r="R53" s="8">
        <f>S53/1.11</f>
        <v>0</v>
      </c>
      <c r="S53" s="8">
        <f t="shared" ref="S53" si="26">P53*(J53-(J53*L53)-((J53-(J53*L53))*M53))</f>
        <v>0</v>
      </c>
    </row>
    <row r="54" spans="1:19" x14ac:dyDescent="0.2">
      <c r="A54" s="1" t="s">
        <v>865</v>
      </c>
      <c r="B54" s="2" t="s">
        <v>24</v>
      </c>
      <c r="D54" s="4" t="s">
        <v>39</v>
      </c>
      <c r="F54" s="6">
        <v>1</v>
      </c>
      <c r="G54" s="7" t="s">
        <v>19</v>
      </c>
      <c r="H54" s="6">
        <v>5</v>
      </c>
      <c r="I54" s="7" t="s">
        <v>39</v>
      </c>
      <c r="J54" s="8">
        <f>990000/5</f>
        <v>198000</v>
      </c>
      <c r="K54" s="4" t="s">
        <v>39</v>
      </c>
      <c r="M54" s="9">
        <v>0.17</v>
      </c>
      <c r="O54" s="10" t="s">
        <v>39</v>
      </c>
      <c r="P54" s="3">
        <f t="shared" si="23"/>
        <v>0</v>
      </c>
      <c r="Q54" s="7" t="s">
        <v>39</v>
      </c>
      <c r="R54" s="8">
        <f>S54/1.11</f>
        <v>0</v>
      </c>
      <c r="S54" s="8">
        <f t="shared" si="24"/>
        <v>0</v>
      </c>
    </row>
    <row r="55" spans="1:19" x14ac:dyDescent="0.2">
      <c r="A55" s="1" t="s">
        <v>41</v>
      </c>
      <c r="B55" s="2" t="s">
        <v>24</v>
      </c>
      <c r="D55" s="4" t="s">
        <v>39</v>
      </c>
      <c r="F55" s="6">
        <v>1</v>
      </c>
      <c r="G55" s="7" t="s">
        <v>19</v>
      </c>
      <c r="H55" s="6">
        <v>5</v>
      </c>
      <c r="I55" s="7" t="s">
        <v>39</v>
      </c>
      <c r="J55" s="8">
        <f>975000/5</f>
        <v>195000</v>
      </c>
      <c r="K55" s="4" t="s">
        <v>39</v>
      </c>
      <c r="M55" s="9">
        <v>0.17</v>
      </c>
      <c r="O55" s="10" t="s">
        <v>39</v>
      </c>
      <c r="P55" s="3">
        <f t="shared" ref="P55" si="27">(C55+(E55*F55*H55))-N55</f>
        <v>0</v>
      </c>
      <c r="Q55" s="7" t="s">
        <v>39</v>
      </c>
      <c r="R55" s="8">
        <f>S55/1.11</f>
        <v>0</v>
      </c>
      <c r="S55" s="8">
        <f t="shared" ref="S55" si="28">P55*(J55-(J55*L55)-((J55-(J55*L55))*M55))</f>
        <v>0</v>
      </c>
    </row>
    <row r="56" spans="1:19" x14ac:dyDescent="0.2">
      <c r="O56" s="10"/>
    </row>
    <row r="57" spans="1:19" x14ac:dyDescent="0.2">
      <c r="A57" s="24" t="s">
        <v>683</v>
      </c>
    </row>
    <row r="58" spans="1:19" x14ac:dyDescent="0.2">
      <c r="A58" s="1" t="s">
        <v>818</v>
      </c>
      <c r="B58" s="2" t="s">
        <v>686</v>
      </c>
      <c r="C58" s="3">
        <v>600</v>
      </c>
      <c r="D58" s="4" t="s">
        <v>18</v>
      </c>
      <c r="F58" s="6">
        <v>1</v>
      </c>
      <c r="G58" s="7" t="s">
        <v>19</v>
      </c>
      <c r="H58" s="6">
        <v>100</v>
      </c>
      <c r="I58" s="7" t="s">
        <v>18</v>
      </c>
      <c r="J58" s="8">
        <v>6610</v>
      </c>
      <c r="K58" s="4" t="s">
        <v>18</v>
      </c>
      <c r="O58" s="7" t="s">
        <v>18</v>
      </c>
      <c r="P58" s="3">
        <f>(C58+(E58*F58*H58))-N58</f>
        <v>600</v>
      </c>
      <c r="Q58" s="7" t="s">
        <v>18</v>
      </c>
      <c r="R58" s="8">
        <f>S58/1.11</f>
        <v>3572972.9729729728</v>
      </c>
      <c r="S58" s="8">
        <f>P58*(J58-(J58*L58)-((J58-(J58*L58))*M58))</f>
        <v>3966000</v>
      </c>
    </row>
    <row r="59" spans="1:19" x14ac:dyDescent="0.2">
      <c r="A59" s="1" t="s">
        <v>742</v>
      </c>
      <c r="B59" s="2" t="s">
        <v>686</v>
      </c>
      <c r="C59" s="3">
        <v>250</v>
      </c>
      <c r="D59" s="4" t="s">
        <v>18</v>
      </c>
      <c r="F59" s="6">
        <v>1</v>
      </c>
      <c r="G59" s="7" t="s">
        <v>19</v>
      </c>
      <c r="H59" s="6">
        <v>50</v>
      </c>
      <c r="I59" s="7" t="s">
        <v>18</v>
      </c>
      <c r="J59" s="8">
        <v>12870</v>
      </c>
      <c r="K59" s="4" t="s">
        <v>18</v>
      </c>
      <c r="O59" s="7" t="s">
        <v>18</v>
      </c>
      <c r="P59" s="3">
        <f>(C59+(E59*F59*H59))-N59</f>
        <v>250</v>
      </c>
      <c r="Q59" s="7" t="s">
        <v>18</v>
      </c>
      <c r="R59" s="8">
        <f>S59/1.11</f>
        <v>2898648.6486486485</v>
      </c>
      <c r="S59" s="8">
        <f>P59*(J59-(J59*L59)-((J59-(J59*L59))*M59))</f>
        <v>3217500</v>
      </c>
    </row>
    <row r="60" spans="1:19" x14ac:dyDescent="0.2">
      <c r="A60" s="1" t="s">
        <v>684</v>
      </c>
      <c r="B60" s="2" t="s">
        <v>686</v>
      </c>
      <c r="D60" s="4" t="s">
        <v>18</v>
      </c>
      <c r="F60" s="6">
        <v>1</v>
      </c>
      <c r="G60" s="7" t="s">
        <v>19</v>
      </c>
      <c r="H60" s="6">
        <v>50</v>
      </c>
      <c r="I60" s="7" t="s">
        <v>18</v>
      </c>
      <c r="J60" s="8">
        <v>12870</v>
      </c>
      <c r="K60" s="4" t="s">
        <v>18</v>
      </c>
      <c r="O60" s="7" t="s">
        <v>18</v>
      </c>
      <c r="P60" s="3">
        <f>(C60+(E60*F60*H60))-N60</f>
        <v>0</v>
      </c>
      <c r="Q60" s="7" t="s">
        <v>18</v>
      </c>
      <c r="R60" s="8">
        <f>S60/1.11</f>
        <v>0</v>
      </c>
      <c r="S60" s="8">
        <f>P60*(J60-(J60*L60)-((J60-(J60*L60))*M60))</f>
        <v>0</v>
      </c>
    </row>
    <row r="61" spans="1:19" x14ac:dyDescent="0.2">
      <c r="A61" s="1" t="s">
        <v>685</v>
      </c>
      <c r="B61" s="2" t="s">
        <v>686</v>
      </c>
      <c r="D61" s="4" t="s">
        <v>18</v>
      </c>
      <c r="F61" s="6">
        <v>1</v>
      </c>
      <c r="G61" s="7" t="s">
        <v>19</v>
      </c>
      <c r="H61" s="6">
        <v>50</v>
      </c>
      <c r="I61" s="7" t="s">
        <v>18</v>
      </c>
      <c r="J61" s="8">
        <v>12870</v>
      </c>
      <c r="K61" s="4" t="s">
        <v>18</v>
      </c>
      <c r="O61" s="7" t="s">
        <v>18</v>
      </c>
      <c r="P61" s="3">
        <f>(C61+(E61*F61*H61))-N61</f>
        <v>0</v>
      </c>
      <c r="Q61" s="7" t="s">
        <v>18</v>
      </c>
      <c r="R61" s="8">
        <f>S61/1.11</f>
        <v>0</v>
      </c>
      <c r="S61" s="8">
        <f>P61*(J61-(J61*L61)-((J61-(J61*L61))*M61))</f>
        <v>0</v>
      </c>
    </row>
    <row r="62" spans="1:19" x14ac:dyDescent="0.2">
      <c r="O62" s="10"/>
    </row>
    <row r="63" spans="1:19" x14ac:dyDescent="0.2">
      <c r="A63" s="24" t="s">
        <v>819</v>
      </c>
    </row>
    <row r="64" spans="1:19" x14ac:dyDescent="0.2">
      <c r="A64" s="1" t="s">
        <v>820</v>
      </c>
      <c r="B64" s="2" t="s">
        <v>686</v>
      </c>
      <c r="C64" s="3">
        <v>160</v>
      </c>
      <c r="D64" s="4" t="s">
        <v>97</v>
      </c>
      <c r="F64" s="6">
        <v>1</v>
      </c>
      <c r="G64" s="7" t="s">
        <v>19</v>
      </c>
      <c r="H64" s="6">
        <v>20</v>
      </c>
      <c r="I64" s="7" t="s">
        <v>97</v>
      </c>
      <c r="J64" s="8">
        <v>14900</v>
      </c>
      <c r="K64" s="4" t="s">
        <v>97</v>
      </c>
      <c r="O64" s="7" t="s">
        <v>97</v>
      </c>
      <c r="P64" s="3">
        <f>(C64+(E64*F64*H64))-N64</f>
        <v>160</v>
      </c>
      <c r="Q64" s="7" t="s">
        <v>97</v>
      </c>
      <c r="R64" s="8">
        <f>S64/1.11</f>
        <v>2147747.7477477477</v>
      </c>
      <c r="S64" s="8">
        <f>P64*(J64-(J64*L64)-((J64-(J64*L64))*M64))</f>
        <v>2384000</v>
      </c>
    </row>
    <row r="65" spans="1:19" x14ac:dyDescent="0.2">
      <c r="A65" s="1" t="s">
        <v>821</v>
      </c>
      <c r="B65" s="2" t="s">
        <v>686</v>
      </c>
      <c r="C65" s="3">
        <v>510</v>
      </c>
      <c r="D65" s="4" t="s">
        <v>97</v>
      </c>
      <c r="F65" s="6">
        <v>1</v>
      </c>
      <c r="G65" s="7" t="s">
        <v>19</v>
      </c>
      <c r="H65" s="6">
        <v>10</v>
      </c>
      <c r="I65" s="7" t="s">
        <v>97</v>
      </c>
      <c r="J65" s="8">
        <v>29900</v>
      </c>
      <c r="K65" s="4" t="s">
        <v>97</v>
      </c>
      <c r="O65" s="7" t="s">
        <v>97</v>
      </c>
      <c r="P65" s="3">
        <f>(C65+(E65*F65*H65))-N65</f>
        <v>510</v>
      </c>
      <c r="Q65" s="7" t="s">
        <v>97</v>
      </c>
      <c r="R65" s="8">
        <f>S65/1.11</f>
        <v>13737837.837837836</v>
      </c>
      <c r="S65" s="8">
        <f>P65*(J65-(J65*L65)-((J65-(J65*L65))*M65))</f>
        <v>15249000</v>
      </c>
    </row>
    <row r="67" spans="1:19" x14ac:dyDescent="0.2">
      <c r="A67" s="24" t="s">
        <v>42</v>
      </c>
    </row>
    <row r="68" spans="1:19" x14ac:dyDescent="0.2">
      <c r="A68" s="1" t="s">
        <v>43</v>
      </c>
      <c r="B68" s="2" t="s">
        <v>44</v>
      </c>
      <c r="D68" s="4" t="s">
        <v>18</v>
      </c>
      <c r="F68" s="6">
        <v>2</v>
      </c>
      <c r="G68" s="7" t="s">
        <v>32</v>
      </c>
      <c r="H68" s="6">
        <v>20</v>
      </c>
      <c r="I68" s="7" t="s">
        <v>18</v>
      </c>
      <c r="J68" s="8">
        <v>64000</v>
      </c>
      <c r="K68" s="4" t="s">
        <v>18</v>
      </c>
      <c r="L68" s="9">
        <v>0.125</v>
      </c>
      <c r="M68" s="9">
        <v>0.05</v>
      </c>
      <c r="O68" s="7" t="s">
        <v>18</v>
      </c>
      <c r="P68" s="3">
        <f t="shared" ref="P68:P100" si="29">(C68+(E68*F68*H68))-N68</f>
        <v>0</v>
      </c>
      <c r="Q68" s="7" t="s">
        <v>18</v>
      </c>
      <c r="R68" s="8">
        <f t="shared" ref="R68:R100" si="30">S68/1.11</f>
        <v>0</v>
      </c>
      <c r="S68" s="8">
        <f t="shared" ref="S68:S100" si="31">P68*(J68-(J68*L68)-((J68-(J68*L68))*M68))</f>
        <v>0</v>
      </c>
    </row>
    <row r="69" spans="1:19" x14ac:dyDescent="0.2">
      <c r="A69" s="1" t="s">
        <v>45</v>
      </c>
      <c r="B69" s="2" t="s">
        <v>44</v>
      </c>
      <c r="C69" s="3">
        <v>120</v>
      </c>
      <c r="D69" s="4" t="s">
        <v>18</v>
      </c>
      <c r="F69" s="6">
        <v>6</v>
      </c>
      <c r="G69" s="7" t="s">
        <v>32</v>
      </c>
      <c r="H69" s="6">
        <v>20</v>
      </c>
      <c r="I69" s="7" t="s">
        <v>18</v>
      </c>
      <c r="J69" s="8">
        <v>47000</v>
      </c>
      <c r="K69" s="4" t="s">
        <v>18</v>
      </c>
      <c r="L69" s="9">
        <v>0.125</v>
      </c>
      <c r="M69" s="9">
        <v>0.1</v>
      </c>
      <c r="O69" s="7" t="s">
        <v>18</v>
      </c>
      <c r="P69" s="3">
        <f t="shared" ref="P69" si="32">(C69+(E69*F69*H69))-N69</f>
        <v>120</v>
      </c>
      <c r="Q69" s="7" t="s">
        <v>18</v>
      </c>
      <c r="R69" s="8">
        <f t="shared" si="30"/>
        <v>4001351.351351351</v>
      </c>
      <c r="S69" s="8">
        <f t="shared" ref="S69" si="33">P69*(J69-(J69*L69)-((J69-(J69*L69))*M69))</f>
        <v>4441500</v>
      </c>
    </row>
    <row r="70" spans="1:19" x14ac:dyDescent="0.2">
      <c r="A70" s="1" t="s">
        <v>46</v>
      </c>
      <c r="B70" s="2" t="s">
        <v>44</v>
      </c>
      <c r="D70" s="4" t="s">
        <v>18</v>
      </c>
      <c r="F70" s="6">
        <v>6</v>
      </c>
      <c r="G70" s="7" t="s">
        <v>32</v>
      </c>
      <c r="H70" s="6">
        <v>20</v>
      </c>
      <c r="I70" s="7" t="s">
        <v>18</v>
      </c>
      <c r="J70" s="8">
        <v>47000</v>
      </c>
      <c r="K70" s="4" t="s">
        <v>18</v>
      </c>
      <c r="L70" s="9">
        <v>0.125</v>
      </c>
      <c r="M70" s="9">
        <v>0.1</v>
      </c>
      <c r="O70" s="7" t="s">
        <v>18</v>
      </c>
      <c r="P70" s="3">
        <f t="shared" si="29"/>
        <v>0</v>
      </c>
      <c r="Q70" s="7" t="s">
        <v>18</v>
      </c>
      <c r="R70" s="8">
        <f t="shared" si="30"/>
        <v>0</v>
      </c>
      <c r="S70" s="8">
        <f t="shared" si="31"/>
        <v>0</v>
      </c>
    </row>
    <row r="71" spans="1:19" x14ac:dyDescent="0.2">
      <c r="A71" s="1" t="s">
        <v>47</v>
      </c>
      <c r="B71" s="2" t="s">
        <v>44</v>
      </c>
      <c r="D71" s="4" t="s">
        <v>18</v>
      </c>
      <c r="F71" s="6">
        <v>6</v>
      </c>
      <c r="G71" s="7" t="s">
        <v>32</v>
      </c>
      <c r="H71" s="6">
        <v>20</v>
      </c>
      <c r="I71" s="7" t="s">
        <v>18</v>
      </c>
      <c r="J71" s="8">
        <v>49000</v>
      </c>
      <c r="K71" s="4" t="s">
        <v>18</v>
      </c>
      <c r="L71" s="9">
        <v>0.125</v>
      </c>
      <c r="M71" s="9">
        <v>0.05</v>
      </c>
      <c r="O71" s="7" t="s">
        <v>18</v>
      </c>
      <c r="P71" s="3">
        <f t="shared" si="29"/>
        <v>0</v>
      </c>
      <c r="Q71" s="7" t="s">
        <v>18</v>
      </c>
      <c r="R71" s="8">
        <f t="shared" si="30"/>
        <v>0</v>
      </c>
      <c r="S71" s="8">
        <f t="shared" si="31"/>
        <v>0</v>
      </c>
    </row>
    <row r="72" spans="1:19" x14ac:dyDescent="0.2">
      <c r="A72" s="1" t="s">
        <v>48</v>
      </c>
      <c r="B72" s="2" t="s">
        <v>44</v>
      </c>
      <c r="C72" s="3">
        <v>80</v>
      </c>
      <c r="D72" s="4" t="s">
        <v>18</v>
      </c>
      <c r="F72" s="6">
        <v>4</v>
      </c>
      <c r="G72" s="7" t="s">
        <v>32</v>
      </c>
      <c r="H72" s="6">
        <v>20</v>
      </c>
      <c r="I72" s="7" t="s">
        <v>18</v>
      </c>
      <c r="J72" s="8">
        <v>56000</v>
      </c>
      <c r="K72" s="4" t="s">
        <v>18</v>
      </c>
      <c r="L72" s="9">
        <v>0.125</v>
      </c>
      <c r="M72" s="9">
        <v>0.1</v>
      </c>
      <c r="O72" s="7" t="s">
        <v>18</v>
      </c>
      <c r="P72" s="3">
        <f t="shared" si="29"/>
        <v>80</v>
      </c>
      <c r="Q72" s="7" t="s">
        <v>18</v>
      </c>
      <c r="R72" s="8">
        <f t="shared" si="30"/>
        <v>3178378.3783783782</v>
      </c>
      <c r="S72" s="8">
        <f t="shared" si="31"/>
        <v>3528000</v>
      </c>
    </row>
    <row r="73" spans="1:19" x14ac:dyDescent="0.2">
      <c r="A73" s="1" t="s">
        <v>49</v>
      </c>
      <c r="B73" s="2" t="s">
        <v>44</v>
      </c>
      <c r="C73" s="3">
        <v>120</v>
      </c>
      <c r="D73" s="4" t="s">
        <v>18</v>
      </c>
      <c r="F73" s="6">
        <v>6</v>
      </c>
      <c r="G73" s="7" t="s">
        <v>32</v>
      </c>
      <c r="H73" s="6">
        <v>20</v>
      </c>
      <c r="I73" s="7" t="s">
        <v>18</v>
      </c>
      <c r="J73" s="8">
        <v>47000</v>
      </c>
      <c r="K73" s="4" t="s">
        <v>18</v>
      </c>
      <c r="L73" s="9">
        <v>0.125</v>
      </c>
      <c r="M73" s="9">
        <v>0.05</v>
      </c>
      <c r="O73" s="7" t="s">
        <v>18</v>
      </c>
      <c r="P73" s="3">
        <f t="shared" si="29"/>
        <v>120</v>
      </c>
      <c r="Q73" s="7" t="s">
        <v>18</v>
      </c>
      <c r="R73" s="8">
        <f t="shared" si="30"/>
        <v>4223648.6486486485</v>
      </c>
      <c r="S73" s="8">
        <f t="shared" si="31"/>
        <v>4688250</v>
      </c>
    </row>
    <row r="74" spans="1:19" x14ac:dyDescent="0.2">
      <c r="A74" s="1" t="s">
        <v>793</v>
      </c>
      <c r="B74" s="2" t="s">
        <v>44</v>
      </c>
      <c r="D74" s="4" t="s">
        <v>18</v>
      </c>
      <c r="F74" s="6">
        <v>4</v>
      </c>
      <c r="G74" s="7" t="s">
        <v>32</v>
      </c>
      <c r="H74" s="6">
        <v>20</v>
      </c>
      <c r="I74" s="7" t="s">
        <v>18</v>
      </c>
      <c r="J74" s="8">
        <v>60000</v>
      </c>
      <c r="K74" s="4" t="s">
        <v>18</v>
      </c>
      <c r="L74" s="9">
        <v>0.125</v>
      </c>
      <c r="M74" s="9">
        <v>0.1</v>
      </c>
      <c r="O74" s="7" t="s">
        <v>18</v>
      </c>
      <c r="P74" s="3">
        <f t="shared" si="29"/>
        <v>0</v>
      </c>
      <c r="Q74" s="7" t="s">
        <v>18</v>
      </c>
      <c r="R74" s="8">
        <f t="shared" si="30"/>
        <v>0</v>
      </c>
      <c r="S74" s="8">
        <f t="shared" si="31"/>
        <v>0</v>
      </c>
    </row>
    <row r="75" spans="1:19" x14ac:dyDescent="0.2">
      <c r="A75" s="1" t="s">
        <v>50</v>
      </c>
      <c r="B75" s="2" t="s">
        <v>44</v>
      </c>
      <c r="D75" s="4" t="s">
        <v>18</v>
      </c>
      <c r="F75" s="6">
        <v>4</v>
      </c>
      <c r="G75" s="7" t="s">
        <v>32</v>
      </c>
      <c r="H75" s="6">
        <v>40</v>
      </c>
      <c r="I75" s="7" t="s">
        <v>18</v>
      </c>
      <c r="J75" s="8">
        <v>37000</v>
      </c>
      <c r="K75" s="4" t="s">
        <v>18</v>
      </c>
      <c r="L75" s="9">
        <v>0.125</v>
      </c>
      <c r="M75" s="9">
        <v>0.05</v>
      </c>
      <c r="O75" s="7" t="s">
        <v>18</v>
      </c>
      <c r="P75" s="3">
        <f t="shared" si="29"/>
        <v>0</v>
      </c>
      <c r="Q75" s="7" t="s">
        <v>18</v>
      </c>
      <c r="R75" s="8">
        <f t="shared" si="30"/>
        <v>0</v>
      </c>
      <c r="S75" s="8">
        <f t="shared" si="31"/>
        <v>0</v>
      </c>
    </row>
    <row r="76" spans="1:19" x14ac:dyDescent="0.2">
      <c r="A76" s="1" t="s">
        <v>51</v>
      </c>
      <c r="B76" s="2" t="s">
        <v>44</v>
      </c>
      <c r="C76" s="3">
        <v>160</v>
      </c>
      <c r="D76" s="4" t="s">
        <v>18</v>
      </c>
      <c r="F76" s="6">
        <v>4</v>
      </c>
      <c r="G76" s="7" t="s">
        <v>32</v>
      </c>
      <c r="H76" s="6">
        <v>20</v>
      </c>
      <c r="I76" s="7" t="s">
        <v>18</v>
      </c>
      <c r="J76" s="8">
        <v>50000</v>
      </c>
      <c r="K76" s="4" t="s">
        <v>18</v>
      </c>
      <c r="L76" s="9">
        <v>0.125</v>
      </c>
      <c r="M76" s="9">
        <v>0.1</v>
      </c>
      <c r="O76" s="7" t="s">
        <v>18</v>
      </c>
      <c r="P76" s="3">
        <f t="shared" si="29"/>
        <v>160</v>
      </c>
      <c r="Q76" s="7" t="s">
        <v>18</v>
      </c>
      <c r="R76" s="8">
        <f t="shared" si="30"/>
        <v>5675675.6756756753</v>
      </c>
      <c r="S76" s="8">
        <f t="shared" si="31"/>
        <v>6300000</v>
      </c>
    </row>
    <row r="77" spans="1:19" x14ac:dyDescent="0.2">
      <c r="A77" s="1" t="s">
        <v>752</v>
      </c>
      <c r="B77" s="2" t="s">
        <v>44</v>
      </c>
      <c r="C77" s="3">
        <v>80</v>
      </c>
      <c r="D77" s="4" t="s">
        <v>18</v>
      </c>
      <c r="F77" s="6">
        <v>4</v>
      </c>
      <c r="G77" s="7" t="s">
        <v>32</v>
      </c>
      <c r="H77" s="6">
        <v>20</v>
      </c>
      <c r="I77" s="7" t="s">
        <v>18</v>
      </c>
      <c r="J77" s="8">
        <v>50000</v>
      </c>
      <c r="K77" s="4" t="s">
        <v>18</v>
      </c>
      <c r="L77" s="9">
        <v>0.125</v>
      </c>
      <c r="M77" s="9">
        <v>0.05</v>
      </c>
      <c r="O77" s="7" t="s">
        <v>18</v>
      </c>
      <c r="P77" s="3">
        <f t="shared" si="29"/>
        <v>80</v>
      </c>
      <c r="Q77" s="7" t="s">
        <v>18</v>
      </c>
      <c r="R77" s="8">
        <f t="shared" si="30"/>
        <v>2995495.4954954954</v>
      </c>
      <c r="S77" s="8">
        <f t="shared" si="31"/>
        <v>3325000</v>
      </c>
    </row>
    <row r="78" spans="1:19" x14ac:dyDescent="0.2">
      <c r="A78" s="1" t="s">
        <v>52</v>
      </c>
      <c r="B78" s="2" t="s">
        <v>44</v>
      </c>
      <c r="C78" s="3">
        <v>160</v>
      </c>
      <c r="D78" s="4" t="s">
        <v>18</v>
      </c>
      <c r="F78" s="6">
        <v>4</v>
      </c>
      <c r="G78" s="7" t="s">
        <v>32</v>
      </c>
      <c r="H78" s="6">
        <v>20</v>
      </c>
      <c r="I78" s="7" t="s">
        <v>18</v>
      </c>
      <c r="J78" s="8">
        <v>67000</v>
      </c>
      <c r="K78" s="4" t="s">
        <v>18</v>
      </c>
      <c r="L78" s="9">
        <v>0.125</v>
      </c>
      <c r="M78" s="9">
        <v>0.1</v>
      </c>
      <c r="O78" s="7" t="s">
        <v>18</v>
      </c>
      <c r="P78" s="3">
        <f t="shared" ref="P78" si="34">(C78+(E78*F78*H78))-N78</f>
        <v>160</v>
      </c>
      <c r="Q78" s="7" t="s">
        <v>18</v>
      </c>
      <c r="R78" s="8">
        <f t="shared" si="30"/>
        <v>7605405.405405405</v>
      </c>
      <c r="S78" s="8">
        <f t="shared" ref="S78" si="35">P78*(J78-(J78*L78)-((J78-(J78*L78))*M78))</f>
        <v>8442000</v>
      </c>
    </row>
    <row r="79" spans="1:19" x14ac:dyDescent="0.2">
      <c r="A79" s="1" t="s">
        <v>869</v>
      </c>
      <c r="B79" s="2" t="s">
        <v>44</v>
      </c>
      <c r="D79" s="4" t="s">
        <v>18</v>
      </c>
      <c r="F79" s="6">
        <v>4</v>
      </c>
      <c r="G79" s="7" t="s">
        <v>32</v>
      </c>
      <c r="H79" s="6">
        <v>20</v>
      </c>
      <c r="I79" s="7" t="s">
        <v>18</v>
      </c>
      <c r="J79" s="8">
        <v>50000</v>
      </c>
      <c r="K79" s="4" t="s">
        <v>18</v>
      </c>
      <c r="L79" s="9">
        <v>0.125</v>
      </c>
      <c r="M79" s="9">
        <v>0.05</v>
      </c>
      <c r="O79" s="7" t="s">
        <v>18</v>
      </c>
      <c r="P79" s="3">
        <f t="shared" ref="P79" si="36">(C79+(E79*F79*H79))-N79</f>
        <v>0</v>
      </c>
      <c r="Q79" s="7" t="s">
        <v>18</v>
      </c>
      <c r="R79" s="8">
        <f t="shared" si="30"/>
        <v>0</v>
      </c>
      <c r="S79" s="8">
        <f t="shared" ref="S79" si="37">P79*(J79-(J79*L79)-((J79-(J79*L79))*M79))</f>
        <v>0</v>
      </c>
    </row>
    <row r="80" spans="1:19" x14ac:dyDescent="0.2">
      <c r="A80" s="1" t="s">
        <v>751</v>
      </c>
      <c r="B80" s="2" t="s">
        <v>44</v>
      </c>
      <c r="D80" s="4" t="s">
        <v>18</v>
      </c>
      <c r="F80" s="6">
        <v>6</v>
      </c>
      <c r="G80" s="7" t="s">
        <v>32</v>
      </c>
      <c r="H80" s="6">
        <v>10</v>
      </c>
      <c r="I80" s="7" t="s">
        <v>18</v>
      </c>
      <c r="J80" s="8">
        <v>77000</v>
      </c>
      <c r="K80" s="4" t="s">
        <v>18</v>
      </c>
      <c r="L80" s="9">
        <v>0.125</v>
      </c>
      <c r="M80" s="9">
        <v>0.05</v>
      </c>
      <c r="O80" s="7" t="s">
        <v>18</v>
      </c>
      <c r="P80" s="3">
        <f t="shared" si="29"/>
        <v>0</v>
      </c>
      <c r="Q80" s="7" t="s">
        <v>18</v>
      </c>
      <c r="R80" s="8">
        <f t="shared" si="30"/>
        <v>0</v>
      </c>
      <c r="S80" s="8">
        <f t="shared" si="31"/>
        <v>0</v>
      </c>
    </row>
    <row r="81" spans="1:19" x14ac:dyDescent="0.2">
      <c r="A81" s="1" t="s">
        <v>53</v>
      </c>
      <c r="B81" s="2" t="s">
        <v>44</v>
      </c>
      <c r="D81" s="4" t="s">
        <v>18</v>
      </c>
      <c r="F81" s="6">
        <v>6</v>
      </c>
      <c r="G81" s="7" t="s">
        <v>32</v>
      </c>
      <c r="H81" s="6">
        <v>10</v>
      </c>
      <c r="I81" s="7" t="s">
        <v>18</v>
      </c>
      <c r="J81" s="8">
        <v>73000</v>
      </c>
      <c r="K81" s="4" t="s">
        <v>18</v>
      </c>
      <c r="L81" s="9">
        <v>0.125</v>
      </c>
      <c r="M81" s="9">
        <v>0.05</v>
      </c>
      <c r="O81" s="7" t="s">
        <v>18</v>
      </c>
      <c r="P81" s="3">
        <f t="shared" si="29"/>
        <v>0</v>
      </c>
      <c r="Q81" s="7" t="s">
        <v>18</v>
      </c>
      <c r="R81" s="8">
        <f t="shared" si="30"/>
        <v>0</v>
      </c>
      <c r="S81" s="8">
        <f t="shared" si="31"/>
        <v>0</v>
      </c>
    </row>
    <row r="82" spans="1:19" x14ac:dyDescent="0.2">
      <c r="A82" s="1" t="s">
        <v>54</v>
      </c>
      <c r="B82" s="2" t="s">
        <v>44</v>
      </c>
      <c r="D82" s="4" t="s">
        <v>18</v>
      </c>
      <c r="F82" s="6">
        <v>8</v>
      </c>
      <c r="G82" s="7" t="s">
        <v>32</v>
      </c>
      <c r="H82" s="6">
        <v>10</v>
      </c>
      <c r="I82" s="7" t="s">
        <v>18</v>
      </c>
      <c r="J82" s="8">
        <v>58000</v>
      </c>
      <c r="K82" s="4" t="s">
        <v>18</v>
      </c>
      <c r="L82" s="9">
        <v>0.125</v>
      </c>
      <c r="M82" s="9">
        <v>0.05</v>
      </c>
      <c r="O82" s="7" t="s">
        <v>18</v>
      </c>
      <c r="P82" s="3">
        <f t="shared" ref="P82" si="38">(C82+(E82*F82*H82))-N82</f>
        <v>0</v>
      </c>
      <c r="Q82" s="7" t="s">
        <v>18</v>
      </c>
      <c r="R82" s="8">
        <f t="shared" si="30"/>
        <v>0</v>
      </c>
      <c r="S82" s="8">
        <f t="shared" ref="S82" si="39">P82*(J82-(J82*L82)-((J82-(J82*L82))*M82))</f>
        <v>0</v>
      </c>
    </row>
    <row r="83" spans="1:19" x14ac:dyDescent="0.2">
      <c r="A83" s="1" t="s">
        <v>55</v>
      </c>
      <c r="B83" s="2" t="s">
        <v>44</v>
      </c>
      <c r="D83" s="4" t="s">
        <v>18</v>
      </c>
      <c r="F83" s="6">
        <v>6</v>
      </c>
      <c r="G83" s="7" t="s">
        <v>32</v>
      </c>
      <c r="H83" s="6">
        <v>20</v>
      </c>
      <c r="I83" s="7" t="s">
        <v>18</v>
      </c>
      <c r="J83" s="8">
        <v>47000</v>
      </c>
      <c r="K83" s="4" t="s">
        <v>18</v>
      </c>
      <c r="L83" s="9">
        <v>0.125</v>
      </c>
      <c r="M83" s="9">
        <v>0.05</v>
      </c>
      <c r="O83" s="7" t="s">
        <v>18</v>
      </c>
      <c r="P83" s="3">
        <f t="shared" si="29"/>
        <v>0</v>
      </c>
      <c r="Q83" s="7" t="s">
        <v>18</v>
      </c>
      <c r="R83" s="8">
        <f t="shared" si="30"/>
        <v>0</v>
      </c>
      <c r="S83" s="8">
        <f t="shared" si="31"/>
        <v>0</v>
      </c>
    </row>
    <row r="84" spans="1:19" x14ac:dyDescent="0.2">
      <c r="A84" s="1" t="s">
        <v>56</v>
      </c>
      <c r="B84" s="2" t="s">
        <v>44</v>
      </c>
      <c r="D84" s="4" t="s">
        <v>18</v>
      </c>
      <c r="F84" s="6">
        <v>8</v>
      </c>
      <c r="G84" s="7" t="s">
        <v>32</v>
      </c>
      <c r="H84" s="6">
        <v>20</v>
      </c>
      <c r="I84" s="7" t="s">
        <v>18</v>
      </c>
      <c r="J84" s="8">
        <v>32000</v>
      </c>
      <c r="K84" s="4" t="s">
        <v>18</v>
      </c>
      <c r="L84" s="9">
        <v>0.125</v>
      </c>
      <c r="M84" s="9">
        <v>0.05</v>
      </c>
      <c r="O84" s="7" t="s">
        <v>18</v>
      </c>
      <c r="P84" s="3">
        <f t="shared" si="29"/>
        <v>0</v>
      </c>
      <c r="Q84" s="7" t="s">
        <v>18</v>
      </c>
      <c r="R84" s="8">
        <f t="shared" si="30"/>
        <v>0</v>
      </c>
      <c r="S84" s="8">
        <f t="shared" si="31"/>
        <v>0</v>
      </c>
    </row>
    <row r="85" spans="1:19" x14ac:dyDescent="0.2">
      <c r="A85" s="1" t="s">
        <v>57</v>
      </c>
      <c r="B85" s="2" t="s">
        <v>44</v>
      </c>
      <c r="D85" s="4" t="s">
        <v>18</v>
      </c>
      <c r="F85" s="6">
        <v>8</v>
      </c>
      <c r="G85" s="7" t="s">
        <v>32</v>
      </c>
      <c r="H85" s="6">
        <v>20</v>
      </c>
      <c r="I85" s="7" t="s">
        <v>18</v>
      </c>
      <c r="J85" s="8">
        <v>27500</v>
      </c>
      <c r="K85" s="4" t="s">
        <v>18</v>
      </c>
      <c r="L85" s="9">
        <v>0.125</v>
      </c>
      <c r="M85" s="9">
        <v>0.05</v>
      </c>
      <c r="O85" s="7" t="s">
        <v>18</v>
      </c>
      <c r="P85" s="3">
        <f t="shared" si="29"/>
        <v>0</v>
      </c>
      <c r="Q85" s="7" t="s">
        <v>18</v>
      </c>
      <c r="R85" s="8">
        <f t="shared" si="30"/>
        <v>0</v>
      </c>
      <c r="S85" s="8">
        <f t="shared" si="31"/>
        <v>0</v>
      </c>
    </row>
    <row r="86" spans="1:19" x14ac:dyDescent="0.2">
      <c r="A86" s="1" t="s">
        <v>58</v>
      </c>
      <c r="B86" s="2" t="s">
        <v>44</v>
      </c>
      <c r="D86" s="4" t="s">
        <v>18</v>
      </c>
      <c r="F86" s="6">
        <v>4</v>
      </c>
      <c r="G86" s="7" t="s">
        <v>32</v>
      </c>
      <c r="H86" s="6">
        <v>20</v>
      </c>
      <c r="I86" s="7" t="s">
        <v>18</v>
      </c>
      <c r="J86" s="8">
        <v>55000</v>
      </c>
      <c r="K86" s="4" t="s">
        <v>18</v>
      </c>
      <c r="L86" s="9">
        <v>0.125</v>
      </c>
      <c r="M86" s="9">
        <v>0.05</v>
      </c>
      <c r="O86" s="7" t="s">
        <v>18</v>
      </c>
      <c r="P86" s="3">
        <f t="shared" si="29"/>
        <v>0</v>
      </c>
      <c r="Q86" s="7" t="s">
        <v>18</v>
      </c>
      <c r="R86" s="8">
        <f t="shared" si="30"/>
        <v>0</v>
      </c>
      <c r="S86" s="8">
        <f t="shared" si="31"/>
        <v>0</v>
      </c>
    </row>
    <row r="87" spans="1:19" x14ac:dyDescent="0.2">
      <c r="A87" s="1" t="s">
        <v>59</v>
      </c>
      <c r="B87" s="2" t="s">
        <v>44</v>
      </c>
      <c r="D87" s="4" t="s">
        <v>18</v>
      </c>
      <c r="F87" s="6">
        <v>6</v>
      </c>
      <c r="G87" s="7" t="s">
        <v>32</v>
      </c>
      <c r="H87" s="6">
        <v>10</v>
      </c>
      <c r="I87" s="7" t="s">
        <v>18</v>
      </c>
      <c r="J87" s="8">
        <v>74000</v>
      </c>
      <c r="K87" s="4" t="s">
        <v>18</v>
      </c>
      <c r="L87" s="9">
        <v>0.125</v>
      </c>
      <c r="M87" s="9">
        <v>0.1</v>
      </c>
      <c r="O87" s="7" t="s">
        <v>18</v>
      </c>
      <c r="P87" s="3">
        <f t="shared" si="29"/>
        <v>0</v>
      </c>
      <c r="Q87" s="7" t="s">
        <v>18</v>
      </c>
      <c r="R87" s="8">
        <f t="shared" si="30"/>
        <v>0</v>
      </c>
      <c r="S87" s="8">
        <f t="shared" si="31"/>
        <v>0</v>
      </c>
    </row>
    <row r="88" spans="1:19" x14ac:dyDescent="0.2">
      <c r="A88" s="1" t="s">
        <v>1013</v>
      </c>
      <c r="B88" s="2" t="s">
        <v>44</v>
      </c>
      <c r="D88" s="4" t="s">
        <v>18</v>
      </c>
      <c r="F88" s="6">
        <v>6</v>
      </c>
      <c r="G88" s="7" t="s">
        <v>32</v>
      </c>
      <c r="H88" s="6">
        <v>20</v>
      </c>
      <c r="I88" s="7" t="s">
        <v>18</v>
      </c>
      <c r="J88" s="8">
        <v>44000</v>
      </c>
      <c r="K88" s="4" t="s">
        <v>18</v>
      </c>
      <c r="L88" s="9">
        <v>0.125</v>
      </c>
      <c r="M88" s="9">
        <v>0.1</v>
      </c>
      <c r="O88" s="7" t="s">
        <v>18</v>
      </c>
      <c r="P88" s="3">
        <f t="shared" ref="P88" si="40">(C88+(E88*F88*H88))-N88</f>
        <v>0</v>
      </c>
      <c r="Q88" s="7" t="s">
        <v>18</v>
      </c>
      <c r="R88" s="8">
        <f t="shared" si="30"/>
        <v>0</v>
      </c>
      <c r="S88" s="8">
        <f t="shared" ref="S88" si="41">P88*(J88-(J88*L88)-((J88-(J88*L88))*M88))</f>
        <v>0</v>
      </c>
    </row>
    <row r="89" spans="1:19" x14ac:dyDescent="0.2">
      <c r="A89" s="1" t="s">
        <v>60</v>
      </c>
      <c r="B89" s="2" t="s">
        <v>44</v>
      </c>
      <c r="D89" s="4" t="s">
        <v>18</v>
      </c>
      <c r="F89" s="6">
        <v>6</v>
      </c>
      <c r="G89" s="7" t="s">
        <v>32</v>
      </c>
      <c r="H89" s="6">
        <v>20</v>
      </c>
      <c r="I89" s="7" t="s">
        <v>18</v>
      </c>
      <c r="J89" s="8">
        <v>52000</v>
      </c>
      <c r="K89" s="4" t="s">
        <v>18</v>
      </c>
      <c r="L89" s="9">
        <v>0.125</v>
      </c>
      <c r="M89" s="9">
        <v>0.05</v>
      </c>
      <c r="O89" s="7" t="s">
        <v>18</v>
      </c>
      <c r="P89" s="3">
        <f t="shared" si="29"/>
        <v>0</v>
      </c>
      <c r="Q89" s="7" t="s">
        <v>18</v>
      </c>
      <c r="R89" s="8">
        <f t="shared" si="30"/>
        <v>0</v>
      </c>
      <c r="S89" s="8">
        <f t="shared" si="31"/>
        <v>0</v>
      </c>
    </row>
    <row r="90" spans="1:19" x14ac:dyDescent="0.2">
      <c r="A90" s="1" t="s">
        <v>61</v>
      </c>
      <c r="B90" s="2" t="s">
        <v>44</v>
      </c>
      <c r="C90" s="3">
        <v>120</v>
      </c>
      <c r="D90" s="4" t="s">
        <v>18</v>
      </c>
      <c r="F90" s="6">
        <v>6</v>
      </c>
      <c r="G90" s="7" t="s">
        <v>32</v>
      </c>
      <c r="H90" s="6">
        <v>20</v>
      </c>
      <c r="I90" s="7" t="s">
        <v>18</v>
      </c>
      <c r="J90" s="8">
        <v>32500</v>
      </c>
      <c r="K90" s="4" t="s">
        <v>18</v>
      </c>
      <c r="L90" s="9">
        <v>0.125</v>
      </c>
      <c r="M90" s="9">
        <v>0.1</v>
      </c>
      <c r="O90" s="7" t="s">
        <v>18</v>
      </c>
      <c r="P90" s="3">
        <f t="shared" si="29"/>
        <v>120</v>
      </c>
      <c r="Q90" s="7" t="s">
        <v>18</v>
      </c>
      <c r="R90" s="8">
        <f t="shared" si="30"/>
        <v>2766891.8918918916</v>
      </c>
      <c r="S90" s="8">
        <f t="shared" si="31"/>
        <v>3071250</v>
      </c>
    </row>
    <row r="91" spans="1:19" x14ac:dyDescent="0.2">
      <c r="A91" s="1" t="s">
        <v>794</v>
      </c>
      <c r="B91" s="2" t="s">
        <v>44</v>
      </c>
      <c r="D91" s="4" t="s">
        <v>18</v>
      </c>
      <c r="F91" s="6">
        <v>8</v>
      </c>
      <c r="G91" s="7" t="s">
        <v>32</v>
      </c>
      <c r="H91" s="6">
        <v>10</v>
      </c>
      <c r="I91" s="7" t="s">
        <v>18</v>
      </c>
      <c r="J91" s="8">
        <v>62000</v>
      </c>
      <c r="K91" s="4" t="s">
        <v>18</v>
      </c>
      <c r="L91" s="9">
        <v>0.125</v>
      </c>
      <c r="M91" s="9">
        <v>0.1</v>
      </c>
      <c r="O91" s="7" t="s">
        <v>18</v>
      </c>
      <c r="P91" s="3">
        <f t="shared" si="29"/>
        <v>0</v>
      </c>
      <c r="Q91" s="7" t="s">
        <v>18</v>
      </c>
      <c r="R91" s="8">
        <f t="shared" si="30"/>
        <v>0</v>
      </c>
      <c r="S91" s="8">
        <f t="shared" si="31"/>
        <v>0</v>
      </c>
    </row>
    <row r="92" spans="1:19" x14ac:dyDescent="0.2">
      <c r="A92" s="1" t="s">
        <v>795</v>
      </c>
      <c r="B92" s="2" t="s">
        <v>44</v>
      </c>
      <c r="D92" s="4" t="s">
        <v>18</v>
      </c>
      <c r="F92" s="6">
        <v>6</v>
      </c>
      <c r="G92" s="7" t="s">
        <v>32</v>
      </c>
      <c r="H92" s="6">
        <v>10</v>
      </c>
      <c r="I92" s="7" t="s">
        <v>18</v>
      </c>
      <c r="J92" s="8">
        <v>88000</v>
      </c>
      <c r="K92" s="4" t="s">
        <v>18</v>
      </c>
      <c r="L92" s="9">
        <v>0.125</v>
      </c>
      <c r="M92" s="9">
        <v>0.1</v>
      </c>
      <c r="O92" s="7" t="s">
        <v>18</v>
      </c>
      <c r="P92" s="3">
        <f t="shared" si="29"/>
        <v>0</v>
      </c>
      <c r="Q92" s="7" t="s">
        <v>18</v>
      </c>
      <c r="R92" s="8">
        <f t="shared" si="30"/>
        <v>0</v>
      </c>
      <c r="S92" s="8">
        <f t="shared" si="31"/>
        <v>0</v>
      </c>
    </row>
    <row r="93" spans="1:19" x14ac:dyDescent="0.2">
      <c r="A93" s="1" t="s">
        <v>62</v>
      </c>
      <c r="B93" s="2" t="s">
        <v>44</v>
      </c>
      <c r="D93" s="4" t="s">
        <v>18</v>
      </c>
      <c r="F93" s="6">
        <v>6</v>
      </c>
      <c r="G93" s="7" t="s">
        <v>32</v>
      </c>
      <c r="H93" s="6">
        <v>10</v>
      </c>
      <c r="I93" s="7" t="s">
        <v>18</v>
      </c>
      <c r="J93" s="8">
        <v>75000</v>
      </c>
      <c r="K93" s="4" t="s">
        <v>18</v>
      </c>
      <c r="L93" s="9">
        <v>0.125</v>
      </c>
      <c r="M93" s="9">
        <v>0.1</v>
      </c>
      <c r="O93" s="7" t="s">
        <v>18</v>
      </c>
      <c r="P93" s="3">
        <f t="shared" ref="P93" si="42">(C93+(E93*F93*H93))-N93</f>
        <v>0</v>
      </c>
      <c r="Q93" s="7" t="s">
        <v>18</v>
      </c>
      <c r="R93" s="8">
        <f t="shared" si="30"/>
        <v>0</v>
      </c>
      <c r="S93" s="8">
        <f t="shared" ref="S93" si="43">P93*(J93-(J93*L93)-((J93-(J93*L93))*M93))</f>
        <v>0</v>
      </c>
    </row>
    <row r="94" spans="1:19" x14ac:dyDescent="0.2">
      <c r="A94" s="1" t="s">
        <v>63</v>
      </c>
      <c r="B94" s="2" t="s">
        <v>44</v>
      </c>
      <c r="D94" s="4" t="s">
        <v>18</v>
      </c>
      <c r="F94" s="6">
        <v>6</v>
      </c>
      <c r="G94" s="7" t="s">
        <v>32</v>
      </c>
      <c r="H94" s="6">
        <v>10</v>
      </c>
      <c r="I94" s="7" t="s">
        <v>18</v>
      </c>
      <c r="J94" s="8">
        <v>79000</v>
      </c>
      <c r="K94" s="4" t="s">
        <v>18</v>
      </c>
      <c r="L94" s="9">
        <v>0.125</v>
      </c>
      <c r="M94" s="9">
        <v>0.1</v>
      </c>
      <c r="O94" s="7" t="s">
        <v>18</v>
      </c>
      <c r="P94" s="3">
        <f t="shared" si="29"/>
        <v>0</v>
      </c>
      <c r="Q94" s="7" t="s">
        <v>18</v>
      </c>
      <c r="R94" s="8">
        <f t="shared" si="30"/>
        <v>0</v>
      </c>
      <c r="S94" s="8">
        <f t="shared" si="31"/>
        <v>0</v>
      </c>
    </row>
    <row r="95" spans="1:19" x14ac:dyDescent="0.2">
      <c r="A95" s="1" t="s">
        <v>64</v>
      </c>
      <c r="B95" s="2" t="s">
        <v>44</v>
      </c>
      <c r="C95" s="3">
        <v>60</v>
      </c>
      <c r="D95" s="4" t="s">
        <v>18</v>
      </c>
      <c r="F95" s="6">
        <v>6</v>
      </c>
      <c r="G95" s="7" t="s">
        <v>32</v>
      </c>
      <c r="H95" s="6">
        <v>10</v>
      </c>
      <c r="I95" s="7" t="s">
        <v>18</v>
      </c>
      <c r="J95" s="8">
        <v>82000</v>
      </c>
      <c r="K95" s="4" t="s">
        <v>18</v>
      </c>
      <c r="L95" s="9">
        <v>0.125</v>
      </c>
      <c r="M95" s="9">
        <v>0.05</v>
      </c>
      <c r="O95" s="7" t="s">
        <v>18</v>
      </c>
      <c r="P95" s="3">
        <f t="shared" si="29"/>
        <v>60</v>
      </c>
      <c r="Q95" s="7" t="s">
        <v>18</v>
      </c>
      <c r="R95" s="8">
        <f t="shared" si="30"/>
        <v>3684459.4594594589</v>
      </c>
      <c r="S95" s="8">
        <f t="shared" si="31"/>
        <v>4089750</v>
      </c>
    </row>
    <row r="96" spans="1:19" x14ac:dyDescent="0.2">
      <c r="A96" s="1" t="s">
        <v>65</v>
      </c>
      <c r="B96" s="2" t="s">
        <v>44</v>
      </c>
      <c r="D96" s="4" t="s">
        <v>18</v>
      </c>
      <c r="F96" s="6">
        <v>6</v>
      </c>
      <c r="G96" s="7" t="s">
        <v>32</v>
      </c>
      <c r="H96" s="6">
        <v>10</v>
      </c>
      <c r="I96" s="7" t="s">
        <v>18</v>
      </c>
      <c r="J96" s="8">
        <v>54000</v>
      </c>
      <c r="K96" s="4" t="s">
        <v>18</v>
      </c>
      <c r="L96" s="9">
        <v>0.125</v>
      </c>
      <c r="M96" s="9">
        <v>0.05</v>
      </c>
      <c r="O96" s="7" t="s">
        <v>18</v>
      </c>
      <c r="P96" s="3">
        <f t="shared" si="29"/>
        <v>0</v>
      </c>
      <c r="Q96" s="7" t="s">
        <v>18</v>
      </c>
      <c r="R96" s="8">
        <f t="shared" si="30"/>
        <v>0</v>
      </c>
      <c r="S96" s="8">
        <f t="shared" si="31"/>
        <v>0</v>
      </c>
    </row>
    <row r="97" spans="1:19" x14ac:dyDescent="0.2">
      <c r="A97" s="1" t="s">
        <v>866</v>
      </c>
      <c r="B97" s="2" t="s">
        <v>44</v>
      </c>
      <c r="D97" s="4" t="s">
        <v>18</v>
      </c>
      <c r="F97" s="6">
        <v>6</v>
      </c>
      <c r="G97" s="7" t="s">
        <v>32</v>
      </c>
      <c r="H97" s="6">
        <v>10</v>
      </c>
      <c r="I97" s="7" t="s">
        <v>18</v>
      </c>
      <c r="J97" s="8">
        <v>56000</v>
      </c>
      <c r="K97" s="4" t="s">
        <v>18</v>
      </c>
      <c r="L97" s="9">
        <v>0.125</v>
      </c>
      <c r="M97" s="9">
        <v>0.05</v>
      </c>
      <c r="O97" s="7" t="s">
        <v>18</v>
      </c>
      <c r="P97" s="3">
        <f t="shared" si="29"/>
        <v>0</v>
      </c>
      <c r="Q97" s="7" t="s">
        <v>18</v>
      </c>
      <c r="R97" s="8">
        <f t="shared" si="30"/>
        <v>0</v>
      </c>
      <c r="S97" s="8">
        <f t="shared" si="31"/>
        <v>0</v>
      </c>
    </row>
    <row r="98" spans="1:19" x14ac:dyDescent="0.2">
      <c r="A98" s="1" t="s">
        <v>66</v>
      </c>
      <c r="B98" s="2" t="s">
        <v>44</v>
      </c>
      <c r="D98" s="4" t="s">
        <v>18</v>
      </c>
      <c r="F98" s="6">
        <v>6</v>
      </c>
      <c r="G98" s="7" t="s">
        <v>32</v>
      </c>
      <c r="H98" s="6">
        <v>20</v>
      </c>
      <c r="I98" s="7" t="s">
        <v>18</v>
      </c>
      <c r="J98" s="8">
        <v>40000</v>
      </c>
      <c r="K98" s="4" t="s">
        <v>18</v>
      </c>
      <c r="L98" s="9">
        <v>0.125</v>
      </c>
      <c r="M98" s="9">
        <v>0.1</v>
      </c>
      <c r="O98" s="7" t="s">
        <v>18</v>
      </c>
      <c r="P98" s="3">
        <f t="shared" si="29"/>
        <v>0</v>
      </c>
      <c r="Q98" s="7" t="s">
        <v>18</v>
      </c>
      <c r="R98" s="8">
        <f t="shared" si="30"/>
        <v>0</v>
      </c>
      <c r="S98" s="8">
        <f t="shared" si="31"/>
        <v>0</v>
      </c>
    </row>
    <row r="99" spans="1:19" x14ac:dyDescent="0.2">
      <c r="A99" s="1" t="s">
        <v>67</v>
      </c>
      <c r="B99" s="2" t="s">
        <v>44</v>
      </c>
      <c r="C99" s="3">
        <v>120</v>
      </c>
      <c r="D99" s="4" t="s">
        <v>18</v>
      </c>
      <c r="F99" s="6">
        <v>1</v>
      </c>
      <c r="G99" s="7" t="s">
        <v>19</v>
      </c>
      <c r="H99" s="6">
        <v>60</v>
      </c>
      <c r="I99" s="7" t="s">
        <v>18</v>
      </c>
      <c r="J99" s="8">
        <v>74000</v>
      </c>
      <c r="K99" s="4" t="s">
        <v>18</v>
      </c>
      <c r="L99" s="9">
        <v>0.125</v>
      </c>
      <c r="M99" s="9">
        <v>0.1</v>
      </c>
      <c r="O99" s="7" t="s">
        <v>18</v>
      </c>
      <c r="P99" s="3">
        <f t="shared" si="29"/>
        <v>120</v>
      </c>
      <c r="Q99" s="7" t="s">
        <v>18</v>
      </c>
      <c r="R99" s="8">
        <f t="shared" si="30"/>
        <v>6299999.9999999991</v>
      </c>
      <c r="S99" s="8">
        <f t="shared" si="31"/>
        <v>6993000</v>
      </c>
    </row>
    <row r="100" spans="1:19" x14ac:dyDescent="0.2">
      <c r="A100" s="1" t="s">
        <v>68</v>
      </c>
      <c r="B100" s="2" t="s">
        <v>44</v>
      </c>
      <c r="C100" s="3">
        <v>160</v>
      </c>
      <c r="D100" s="4" t="s">
        <v>18</v>
      </c>
      <c r="F100" s="6">
        <v>4</v>
      </c>
      <c r="G100" s="7" t="s">
        <v>32</v>
      </c>
      <c r="H100" s="6">
        <v>40</v>
      </c>
      <c r="I100" s="7" t="s">
        <v>18</v>
      </c>
      <c r="J100" s="8">
        <v>28000</v>
      </c>
      <c r="K100" s="4" t="s">
        <v>18</v>
      </c>
      <c r="L100" s="9">
        <v>0.125</v>
      </c>
      <c r="M100" s="9">
        <v>0.1</v>
      </c>
      <c r="O100" s="7" t="s">
        <v>18</v>
      </c>
      <c r="P100" s="3">
        <f t="shared" si="29"/>
        <v>160</v>
      </c>
      <c r="Q100" s="7" t="s">
        <v>18</v>
      </c>
      <c r="R100" s="8">
        <f t="shared" si="30"/>
        <v>3178378.3783783782</v>
      </c>
      <c r="S100" s="8">
        <f t="shared" si="31"/>
        <v>3528000</v>
      </c>
    </row>
    <row r="102" spans="1:19" x14ac:dyDescent="0.2">
      <c r="A102" s="24" t="s">
        <v>69</v>
      </c>
    </row>
    <row r="103" spans="1:19" x14ac:dyDescent="0.2">
      <c r="A103" s="1" t="s">
        <v>805</v>
      </c>
      <c r="B103" s="2" t="s">
        <v>17</v>
      </c>
      <c r="D103" s="4" t="s">
        <v>18</v>
      </c>
      <c r="F103" s="6">
        <v>1</v>
      </c>
      <c r="G103" s="7" t="s">
        <v>19</v>
      </c>
      <c r="H103" s="6">
        <v>20</v>
      </c>
      <c r="I103" s="7" t="s">
        <v>18</v>
      </c>
      <c r="J103" s="8">
        <v>160000</v>
      </c>
      <c r="K103" s="4" t="s">
        <v>18</v>
      </c>
      <c r="L103" s="9">
        <v>0.125</v>
      </c>
      <c r="M103" s="9">
        <v>0.05</v>
      </c>
      <c r="O103" s="7" t="s">
        <v>18</v>
      </c>
      <c r="P103" s="3">
        <f t="shared" ref="P103:P104" si="44">(C103+(E103*F103*H103))-N103</f>
        <v>0</v>
      </c>
      <c r="Q103" s="7" t="s">
        <v>18</v>
      </c>
      <c r="R103" s="8">
        <f>S103/1.11</f>
        <v>0</v>
      </c>
      <c r="S103" s="8">
        <f t="shared" ref="S103:S104" si="45">P103*(J103-(J103*L103)-((J103-(J103*L103))*M103))</f>
        <v>0</v>
      </c>
    </row>
    <row r="104" spans="1:19" x14ac:dyDescent="0.2">
      <c r="A104" s="1" t="s">
        <v>806</v>
      </c>
      <c r="B104" s="2" t="s">
        <v>17</v>
      </c>
      <c r="D104" s="4" t="s">
        <v>18</v>
      </c>
      <c r="F104" s="6">
        <v>1</v>
      </c>
      <c r="G104" s="7" t="s">
        <v>19</v>
      </c>
      <c r="H104" s="6">
        <v>16</v>
      </c>
      <c r="I104" s="7" t="s">
        <v>18</v>
      </c>
      <c r="J104" s="8">
        <v>187000</v>
      </c>
      <c r="K104" s="4" t="s">
        <v>18</v>
      </c>
      <c r="L104" s="9">
        <v>0.125</v>
      </c>
      <c r="M104" s="9">
        <v>0.05</v>
      </c>
      <c r="O104" s="7" t="s">
        <v>18</v>
      </c>
      <c r="P104" s="3">
        <f t="shared" si="44"/>
        <v>0</v>
      </c>
      <c r="Q104" s="7" t="s">
        <v>18</v>
      </c>
      <c r="R104" s="8">
        <f>S104/1.11</f>
        <v>0</v>
      </c>
      <c r="S104" s="8">
        <f t="shared" si="45"/>
        <v>0</v>
      </c>
    </row>
    <row r="105" spans="1:19" x14ac:dyDescent="0.2">
      <c r="A105" s="1" t="s">
        <v>70</v>
      </c>
      <c r="B105" s="2" t="s">
        <v>17</v>
      </c>
      <c r="D105" s="4" t="s">
        <v>18</v>
      </c>
      <c r="F105" s="6">
        <v>1</v>
      </c>
      <c r="G105" s="7" t="s">
        <v>19</v>
      </c>
      <c r="H105" s="6">
        <v>6</v>
      </c>
      <c r="I105" s="7" t="s">
        <v>18</v>
      </c>
      <c r="J105" s="8">
        <v>390000</v>
      </c>
      <c r="K105" s="4" t="s">
        <v>18</v>
      </c>
      <c r="L105" s="9">
        <v>0.125</v>
      </c>
      <c r="M105" s="9">
        <v>0.05</v>
      </c>
      <c r="O105" s="7" t="s">
        <v>18</v>
      </c>
      <c r="P105" s="3">
        <f>(C105+(E105*F105*H105))-N105</f>
        <v>0</v>
      </c>
      <c r="Q105" s="7" t="s">
        <v>18</v>
      </c>
      <c r="R105" s="8">
        <f>S105/1.11</f>
        <v>0</v>
      </c>
      <c r="S105" s="8">
        <f>P105*(J105-(J105*L105)-((J105-(J105*L105))*M105))</f>
        <v>0</v>
      </c>
    </row>
    <row r="106" spans="1:19" x14ac:dyDescent="0.2">
      <c r="A106" s="1" t="s">
        <v>71</v>
      </c>
      <c r="B106" s="2" t="s">
        <v>17</v>
      </c>
      <c r="D106" s="4" t="s">
        <v>18</v>
      </c>
      <c r="F106" s="6">
        <v>1</v>
      </c>
      <c r="G106" s="7" t="s">
        <v>19</v>
      </c>
      <c r="H106" s="6">
        <v>6</v>
      </c>
      <c r="I106" s="7" t="s">
        <v>18</v>
      </c>
      <c r="J106" s="8">
        <v>500000</v>
      </c>
      <c r="K106" s="4" t="s">
        <v>18</v>
      </c>
      <c r="L106" s="9">
        <v>0.125</v>
      </c>
      <c r="M106" s="9">
        <v>0.05</v>
      </c>
      <c r="O106" s="7" t="s">
        <v>18</v>
      </c>
      <c r="P106" s="3">
        <f>(C106+(E106*F106*H106))-N106</f>
        <v>0</v>
      </c>
      <c r="Q106" s="7" t="s">
        <v>18</v>
      </c>
      <c r="R106" s="8">
        <f>S106/1.11</f>
        <v>0</v>
      </c>
      <c r="S106" s="8">
        <f>P106*(J106-(J106*L106)-((J106-(J106*L106))*M106))</f>
        <v>0</v>
      </c>
    </row>
    <row r="108" spans="1:19" x14ac:dyDescent="0.2">
      <c r="A108" s="24" t="s">
        <v>72</v>
      </c>
    </row>
    <row r="109" spans="1:19" x14ac:dyDescent="0.2">
      <c r="A109" s="24" t="s">
        <v>73</v>
      </c>
    </row>
    <row r="110" spans="1:19" x14ac:dyDescent="0.2">
      <c r="A110" s="13" t="s">
        <v>74</v>
      </c>
      <c r="B110" s="2" t="s">
        <v>17</v>
      </c>
      <c r="D110" s="4" t="s">
        <v>75</v>
      </c>
      <c r="F110" s="6">
        <v>1</v>
      </c>
      <c r="G110" s="7" t="s">
        <v>19</v>
      </c>
      <c r="H110" s="6">
        <v>48</v>
      </c>
      <c r="I110" s="7" t="s">
        <v>75</v>
      </c>
      <c r="J110" s="8">
        <v>14500</v>
      </c>
      <c r="K110" s="4" t="s">
        <v>75</v>
      </c>
      <c r="L110" s="9">
        <v>0.125</v>
      </c>
      <c r="M110" s="9">
        <v>0.05</v>
      </c>
      <c r="O110" s="7" t="s">
        <v>75</v>
      </c>
      <c r="P110" s="3">
        <f t="shared" ref="P110:P125" si="46">(C110+(E110*F110*H110))-N110</f>
        <v>0</v>
      </c>
      <c r="Q110" s="7" t="s">
        <v>75</v>
      </c>
      <c r="R110" s="8">
        <f t="shared" ref="R110:R127" si="47">S110/1.11</f>
        <v>0</v>
      </c>
      <c r="S110" s="8">
        <f t="shared" ref="S110:S120" si="48">P110*(J110-(J110*L110)-((J110-(J110*L110))*M110))</f>
        <v>0</v>
      </c>
    </row>
    <row r="111" spans="1:19" x14ac:dyDescent="0.2">
      <c r="A111" s="13" t="s">
        <v>780</v>
      </c>
      <c r="B111" s="2" t="s">
        <v>17</v>
      </c>
      <c r="D111" s="4" t="s">
        <v>75</v>
      </c>
      <c r="F111" s="6">
        <v>1</v>
      </c>
      <c r="G111" s="7" t="s">
        <v>19</v>
      </c>
      <c r="H111" s="6">
        <v>96</v>
      </c>
      <c r="I111" s="7" t="s">
        <v>75</v>
      </c>
      <c r="J111" s="8">
        <v>15500</v>
      </c>
      <c r="K111" s="4" t="s">
        <v>75</v>
      </c>
      <c r="L111" s="9">
        <v>0.125</v>
      </c>
      <c r="M111" s="9">
        <v>0.05</v>
      </c>
      <c r="O111" s="7" t="s">
        <v>75</v>
      </c>
      <c r="P111" s="3">
        <f t="shared" si="46"/>
        <v>0</v>
      </c>
      <c r="Q111" s="7" t="s">
        <v>75</v>
      </c>
      <c r="R111" s="8">
        <f t="shared" si="47"/>
        <v>0</v>
      </c>
      <c r="S111" s="8">
        <f t="shared" si="48"/>
        <v>0</v>
      </c>
    </row>
    <row r="112" spans="1:19" x14ac:dyDescent="0.2">
      <c r="A112" s="13" t="s">
        <v>76</v>
      </c>
      <c r="B112" s="2" t="s">
        <v>17</v>
      </c>
      <c r="D112" s="4" t="s">
        <v>75</v>
      </c>
      <c r="F112" s="6">
        <v>1</v>
      </c>
      <c r="G112" s="7" t="s">
        <v>19</v>
      </c>
      <c r="H112" s="6">
        <v>96</v>
      </c>
      <c r="I112" s="7" t="s">
        <v>75</v>
      </c>
      <c r="J112" s="8">
        <v>12000</v>
      </c>
      <c r="K112" s="4" t="s">
        <v>75</v>
      </c>
      <c r="L112" s="9">
        <v>0.125</v>
      </c>
      <c r="M112" s="9">
        <v>0.05</v>
      </c>
      <c r="O112" s="7" t="s">
        <v>75</v>
      </c>
      <c r="P112" s="3">
        <f t="shared" si="46"/>
        <v>0</v>
      </c>
      <c r="Q112" s="7" t="s">
        <v>75</v>
      </c>
      <c r="R112" s="8">
        <f t="shared" si="47"/>
        <v>0</v>
      </c>
      <c r="S112" s="8">
        <f t="shared" si="48"/>
        <v>0</v>
      </c>
    </row>
    <row r="113" spans="1:19" x14ac:dyDescent="0.2">
      <c r="A113" s="13" t="s">
        <v>77</v>
      </c>
      <c r="B113" s="2" t="s">
        <v>17</v>
      </c>
      <c r="D113" s="4" t="s">
        <v>75</v>
      </c>
      <c r="F113" s="6">
        <v>1</v>
      </c>
      <c r="G113" s="7" t="s">
        <v>19</v>
      </c>
      <c r="H113" s="6">
        <v>48</v>
      </c>
      <c r="I113" s="7" t="s">
        <v>75</v>
      </c>
      <c r="J113" s="8">
        <v>19500</v>
      </c>
      <c r="K113" s="4" t="s">
        <v>75</v>
      </c>
      <c r="L113" s="9">
        <v>0.125</v>
      </c>
      <c r="M113" s="9">
        <v>0.05</v>
      </c>
      <c r="O113" s="7" t="s">
        <v>75</v>
      </c>
      <c r="P113" s="3">
        <f t="shared" si="46"/>
        <v>0</v>
      </c>
      <c r="Q113" s="7" t="s">
        <v>75</v>
      </c>
      <c r="R113" s="8">
        <f t="shared" si="47"/>
        <v>0</v>
      </c>
      <c r="S113" s="8">
        <f t="shared" si="48"/>
        <v>0</v>
      </c>
    </row>
    <row r="114" spans="1:19" x14ac:dyDescent="0.2">
      <c r="A114" s="13" t="s">
        <v>78</v>
      </c>
      <c r="B114" s="2" t="s">
        <v>17</v>
      </c>
      <c r="D114" s="4" t="s">
        <v>75</v>
      </c>
      <c r="F114" s="6">
        <v>1</v>
      </c>
      <c r="G114" s="7" t="s">
        <v>19</v>
      </c>
      <c r="H114" s="6">
        <v>48</v>
      </c>
      <c r="I114" s="7" t="s">
        <v>75</v>
      </c>
      <c r="J114" s="8">
        <v>14800</v>
      </c>
      <c r="K114" s="4" t="s">
        <v>75</v>
      </c>
      <c r="L114" s="9">
        <v>0.125</v>
      </c>
      <c r="M114" s="9">
        <v>0.05</v>
      </c>
      <c r="O114" s="7" t="s">
        <v>75</v>
      </c>
      <c r="P114" s="3">
        <f t="shared" si="46"/>
        <v>0</v>
      </c>
      <c r="Q114" s="7" t="s">
        <v>75</v>
      </c>
      <c r="R114" s="8">
        <f t="shared" si="47"/>
        <v>0</v>
      </c>
      <c r="S114" s="8">
        <f t="shared" si="48"/>
        <v>0</v>
      </c>
    </row>
    <row r="115" spans="1:19" x14ac:dyDescent="0.2">
      <c r="A115" s="16" t="s">
        <v>79</v>
      </c>
      <c r="B115" s="2" t="s">
        <v>17</v>
      </c>
      <c r="D115" s="4" t="s">
        <v>75</v>
      </c>
      <c r="F115" s="6">
        <v>1</v>
      </c>
      <c r="G115" s="7" t="s">
        <v>19</v>
      </c>
      <c r="H115" s="6">
        <v>24</v>
      </c>
      <c r="I115" s="7" t="s">
        <v>75</v>
      </c>
      <c r="J115" s="8">
        <v>25200</v>
      </c>
      <c r="K115" s="4" t="s">
        <v>75</v>
      </c>
      <c r="L115" s="9">
        <v>0.125</v>
      </c>
      <c r="M115" s="9">
        <v>0.05</v>
      </c>
      <c r="O115" s="7" t="s">
        <v>75</v>
      </c>
      <c r="P115" s="3">
        <f t="shared" si="46"/>
        <v>0</v>
      </c>
      <c r="Q115" s="7" t="s">
        <v>75</v>
      </c>
      <c r="R115" s="8">
        <f t="shared" si="47"/>
        <v>0</v>
      </c>
      <c r="S115" s="8">
        <f t="shared" si="48"/>
        <v>0</v>
      </c>
    </row>
    <row r="116" spans="1:19" x14ac:dyDescent="0.2">
      <c r="A116" s="16" t="s">
        <v>80</v>
      </c>
      <c r="B116" s="2" t="s">
        <v>17</v>
      </c>
      <c r="D116" s="4" t="s">
        <v>75</v>
      </c>
      <c r="F116" s="6">
        <v>1</v>
      </c>
      <c r="G116" s="7" t="s">
        <v>19</v>
      </c>
      <c r="H116" s="6">
        <v>24</v>
      </c>
      <c r="I116" s="7" t="s">
        <v>75</v>
      </c>
      <c r="J116" s="8">
        <v>20200</v>
      </c>
      <c r="K116" s="4" t="s">
        <v>75</v>
      </c>
      <c r="L116" s="9">
        <v>0.125</v>
      </c>
      <c r="M116" s="9">
        <v>0.05</v>
      </c>
      <c r="O116" s="7" t="s">
        <v>75</v>
      </c>
      <c r="P116" s="3">
        <f t="shared" si="46"/>
        <v>0</v>
      </c>
      <c r="Q116" s="7" t="s">
        <v>75</v>
      </c>
      <c r="R116" s="8">
        <f t="shared" si="47"/>
        <v>0</v>
      </c>
      <c r="S116" s="8">
        <f t="shared" si="48"/>
        <v>0</v>
      </c>
    </row>
    <row r="117" spans="1:19" x14ac:dyDescent="0.2">
      <c r="A117" s="13" t="s">
        <v>781</v>
      </c>
      <c r="B117" s="2" t="s">
        <v>17</v>
      </c>
      <c r="D117" s="4" t="s">
        <v>75</v>
      </c>
      <c r="F117" s="6">
        <v>1</v>
      </c>
      <c r="G117" s="7" t="s">
        <v>19</v>
      </c>
      <c r="H117" s="6">
        <v>96</v>
      </c>
      <c r="I117" s="7" t="s">
        <v>75</v>
      </c>
      <c r="J117" s="8">
        <v>16500</v>
      </c>
      <c r="K117" s="4" t="s">
        <v>75</v>
      </c>
      <c r="L117" s="9">
        <v>0.125</v>
      </c>
      <c r="M117" s="9">
        <v>0.05</v>
      </c>
      <c r="O117" s="7" t="s">
        <v>75</v>
      </c>
      <c r="P117" s="3">
        <f t="shared" si="46"/>
        <v>0</v>
      </c>
      <c r="Q117" s="7" t="s">
        <v>75</v>
      </c>
      <c r="R117" s="8">
        <f t="shared" si="47"/>
        <v>0</v>
      </c>
      <c r="S117" s="8">
        <f t="shared" si="48"/>
        <v>0</v>
      </c>
    </row>
    <row r="118" spans="1:19" x14ac:dyDescent="0.2">
      <c r="A118" s="1" t="s">
        <v>81</v>
      </c>
      <c r="B118" s="2" t="s">
        <v>17</v>
      </c>
      <c r="C118" s="3">
        <v>60</v>
      </c>
      <c r="D118" s="4" t="s">
        <v>82</v>
      </c>
      <c r="F118" s="6">
        <v>1</v>
      </c>
      <c r="G118" s="7" t="s">
        <v>19</v>
      </c>
      <c r="H118" s="6">
        <v>60</v>
      </c>
      <c r="I118" s="7" t="s">
        <v>82</v>
      </c>
      <c r="J118" s="8">
        <v>27600</v>
      </c>
      <c r="K118" s="4" t="s">
        <v>82</v>
      </c>
      <c r="L118" s="9">
        <v>0.125</v>
      </c>
      <c r="M118" s="9">
        <v>0.05</v>
      </c>
      <c r="O118" s="7" t="s">
        <v>82</v>
      </c>
      <c r="P118" s="3">
        <f t="shared" si="46"/>
        <v>60</v>
      </c>
      <c r="Q118" s="7" t="s">
        <v>82</v>
      </c>
      <c r="R118" s="8">
        <f t="shared" si="47"/>
        <v>1240135.1351351349</v>
      </c>
      <c r="S118" s="8">
        <f t="shared" si="48"/>
        <v>1376550</v>
      </c>
    </row>
    <row r="119" spans="1:19" x14ac:dyDescent="0.2">
      <c r="A119" s="1" t="s">
        <v>83</v>
      </c>
      <c r="B119" s="2" t="s">
        <v>17</v>
      </c>
      <c r="D119" s="4" t="s">
        <v>82</v>
      </c>
      <c r="F119" s="6">
        <v>1</v>
      </c>
      <c r="G119" s="7" t="s">
        <v>19</v>
      </c>
      <c r="H119" s="6">
        <v>50</v>
      </c>
      <c r="I119" s="7" t="s">
        <v>82</v>
      </c>
      <c r="J119" s="8">
        <v>31200</v>
      </c>
      <c r="K119" s="4" t="s">
        <v>82</v>
      </c>
      <c r="L119" s="9">
        <v>0.125</v>
      </c>
      <c r="M119" s="9">
        <v>0.05</v>
      </c>
      <c r="O119" s="7" t="s">
        <v>82</v>
      </c>
      <c r="P119" s="3">
        <f t="shared" ref="P119" si="49">(C119+(E119*F119*H119))-N119</f>
        <v>0</v>
      </c>
      <c r="Q119" s="7" t="s">
        <v>82</v>
      </c>
      <c r="R119" s="8">
        <f t="shared" si="47"/>
        <v>0</v>
      </c>
      <c r="S119" s="8">
        <f t="shared" ref="S119" si="50">P119*(J119-(J119*L119)-((J119-(J119*L119))*M119))</f>
        <v>0</v>
      </c>
    </row>
    <row r="120" spans="1:19" x14ac:dyDescent="0.2">
      <c r="A120" s="1" t="s">
        <v>84</v>
      </c>
      <c r="B120" s="2" t="s">
        <v>17</v>
      </c>
      <c r="D120" s="4" t="s">
        <v>82</v>
      </c>
      <c r="F120" s="6">
        <v>1</v>
      </c>
      <c r="G120" s="7" t="s">
        <v>19</v>
      </c>
      <c r="H120" s="6">
        <v>30</v>
      </c>
      <c r="I120" s="7" t="s">
        <v>82</v>
      </c>
      <c r="J120" s="8">
        <v>48600</v>
      </c>
      <c r="K120" s="4" t="s">
        <v>82</v>
      </c>
      <c r="L120" s="9">
        <v>0.125</v>
      </c>
      <c r="M120" s="9">
        <v>0.05</v>
      </c>
      <c r="O120" s="7" t="s">
        <v>82</v>
      </c>
      <c r="P120" s="3">
        <f t="shared" si="46"/>
        <v>0</v>
      </c>
      <c r="Q120" s="7" t="s">
        <v>82</v>
      </c>
      <c r="R120" s="8">
        <f t="shared" si="47"/>
        <v>0</v>
      </c>
      <c r="S120" s="8">
        <f t="shared" si="48"/>
        <v>0</v>
      </c>
    </row>
    <row r="121" spans="1:19" x14ac:dyDescent="0.2">
      <c r="A121" s="1" t="s">
        <v>989</v>
      </c>
      <c r="B121" s="2" t="s">
        <v>17</v>
      </c>
      <c r="D121" s="4" t="s">
        <v>75</v>
      </c>
      <c r="F121" s="6">
        <v>1</v>
      </c>
      <c r="G121" s="7" t="s">
        <v>19</v>
      </c>
      <c r="H121" s="6">
        <v>48</v>
      </c>
      <c r="I121" s="7" t="s">
        <v>75</v>
      </c>
      <c r="J121" s="8">
        <v>20300</v>
      </c>
      <c r="K121" s="4" t="s">
        <v>75</v>
      </c>
      <c r="L121" s="9">
        <v>0.125</v>
      </c>
      <c r="M121" s="9">
        <v>0.05</v>
      </c>
      <c r="O121" s="7" t="s">
        <v>75</v>
      </c>
      <c r="P121" s="3">
        <f t="shared" ref="P121" si="51">(C121+(E121*F121*H121))-N121</f>
        <v>0</v>
      </c>
      <c r="Q121" s="7" t="s">
        <v>75</v>
      </c>
      <c r="R121" s="8">
        <f t="shared" si="47"/>
        <v>0</v>
      </c>
      <c r="S121" s="8">
        <f t="shared" ref="S121" si="52">P121*(J121-(J121*L121)-((J121-(J121*L121))*M121))</f>
        <v>0</v>
      </c>
    </row>
    <row r="122" spans="1:19" x14ac:dyDescent="0.2">
      <c r="A122" s="1" t="s">
        <v>85</v>
      </c>
      <c r="B122" s="2" t="s">
        <v>17</v>
      </c>
      <c r="D122" s="4" t="s">
        <v>82</v>
      </c>
      <c r="F122" s="6">
        <v>1</v>
      </c>
      <c r="G122" s="7" t="s">
        <v>19</v>
      </c>
      <c r="H122" s="6">
        <v>20</v>
      </c>
      <c r="I122" s="7" t="s">
        <v>82</v>
      </c>
      <c r="J122" s="8">
        <v>67800</v>
      </c>
      <c r="K122" s="4" t="s">
        <v>82</v>
      </c>
      <c r="L122" s="9">
        <v>0.125</v>
      </c>
      <c r="M122" s="9">
        <v>0.05</v>
      </c>
      <c r="O122" s="7" t="s">
        <v>82</v>
      </c>
      <c r="P122" s="3">
        <f t="shared" si="46"/>
        <v>0</v>
      </c>
      <c r="Q122" s="7" t="s">
        <v>82</v>
      </c>
      <c r="R122" s="8">
        <f t="shared" si="47"/>
        <v>0</v>
      </c>
      <c r="S122" s="8">
        <f t="shared" ref="S122:S127" si="53">P122*(J122-(J122*L122)-((J122-(J122*L122))*M122))</f>
        <v>0</v>
      </c>
    </row>
    <row r="123" spans="1:19" x14ac:dyDescent="0.2">
      <c r="A123" s="1" t="s">
        <v>86</v>
      </c>
      <c r="B123" s="2" t="s">
        <v>17</v>
      </c>
      <c r="C123" s="3">
        <v>10</v>
      </c>
      <c r="D123" s="4" t="s">
        <v>82</v>
      </c>
      <c r="F123" s="6">
        <v>1</v>
      </c>
      <c r="G123" s="7" t="s">
        <v>19</v>
      </c>
      <c r="H123" s="6">
        <v>10</v>
      </c>
      <c r="I123" s="7" t="s">
        <v>82</v>
      </c>
      <c r="J123" s="8">
        <v>115800</v>
      </c>
      <c r="K123" s="4" t="s">
        <v>82</v>
      </c>
      <c r="L123" s="9">
        <v>0.125</v>
      </c>
      <c r="M123" s="9">
        <v>0.05</v>
      </c>
      <c r="O123" s="7" t="s">
        <v>82</v>
      </c>
      <c r="P123" s="3">
        <f t="shared" si="46"/>
        <v>10</v>
      </c>
      <c r="Q123" s="7" t="s">
        <v>82</v>
      </c>
      <c r="R123" s="8">
        <f t="shared" si="47"/>
        <v>867195.94594594592</v>
      </c>
      <c r="S123" s="8">
        <f t="shared" si="53"/>
        <v>962587.5</v>
      </c>
    </row>
    <row r="124" spans="1:19" x14ac:dyDescent="0.2">
      <c r="A124" s="1" t="s">
        <v>87</v>
      </c>
      <c r="B124" s="2" t="s">
        <v>17</v>
      </c>
      <c r="D124" s="4" t="s">
        <v>82</v>
      </c>
      <c r="F124" s="6">
        <v>1</v>
      </c>
      <c r="G124" s="7" t="s">
        <v>19</v>
      </c>
      <c r="H124" s="6">
        <v>5</v>
      </c>
      <c r="I124" s="7" t="s">
        <v>82</v>
      </c>
      <c r="J124" s="8">
        <v>177000</v>
      </c>
      <c r="K124" s="4" t="s">
        <v>82</v>
      </c>
      <c r="L124" s="9">
        <v>0.125</v>
      </c>
      <c r="M124" s="9">
        <v>0.05</v>
      </c>
      <c r="O124" s="7" t="s">
        <v>82</v>
      </c>
      <c r="P124" s="3">
        <f t="shared" si="46"/>
        <v>0</v>
      </c>
      <c r="Q124" s="7" t="s">
        <v>82</v>
      </c>
      <c r="R124" s="8">
        <f t="shared" si="47"/>
        <v>0</v>
      </c>
      <c r="S124" s="8">
        <f t="shared" si="53"/>
        <v>0</v>
      </c>
    </row>
    <row r="125" spans="1:19" x14ac:dyDescent="0.2">
      <c r="A125" s="1" t="s">
        <v>88</v>
      </c>
      <c r="B125" s="2" t="s">
        <v>17</v>
      </c>
      <c r="C125" s="3">
        <v>180</v>
      </c>
      <c r="D125" s="4" t="s">
        <v>39</v>
      </c>
      <c r="F125" s="6">
        <v>3</v>
      </c>
      <c r="G125" s="7" t="s">
        <v>82</v>
      </c>
      <c r="H125" s="6">
        <v>12</v>
      </c>
      <c r="I125" s="7" t="s">
        <v>39</v>
      </c>
      <c r="J125" s="8">
        <f>507600/12</f>
        <v>42300</v>
      </c>
      <c r="K125" s="4" t="s">
        <v>39</v>
      </c>
      <c r="L125" s="9">
        <v>0.125</v>
      </c>
      <c r="M125" s="9">
        <v>0.05</v>
      </c>
      <c r="O125" s="7" t="s">
        <v>39</v>
      </c>
      <c r="P125" s="3">
        <f t="shared" si="46"/>
        <v>180</v>
      </c>
      <c r="Q125" s="7" t="s">
        <v>39</v>
      </c>
      <c r="R125" s="8">
        <f t="shared" si="47"/>
        <v>5701925.6756756753</v>
      </c>
      <c r="S125" s="8">
        <f t="shared" si="53"/>
        <v>6329137.5</v>
      </c>
    </row>
    <row r="126" spans="1:19" x14ac:dyDescent="0.2">
      <c r="A126" s="1" t="s">
        <v>868</v>
      </c>
      <c r="B126" s="2" t="s">
        <v>17</v>
      </c>
      <c r="D126" s="4" t="s">
        <v>39</v>
      </c>
      <c r="F126" s="6">
        <v>2</v>
      </c>
      <c r="G126" s="7" t="s">
        <v>82</v>
      </c>
      <c r="H126" s="6">
        <v>12</v>
      </c>
      <c r="I126" s="7" t="s">
        <v>39</v>
      </c>
      <c r="J126" s="8">
        <v>85800</v>
      </c>
      <c r="K126" s="4" t="s">
        <v>39</v>
      </c>
      <c r="L126" s="9">
        <v>0.125</v>
      </c>
      <c r="M126" s="9">
        <v>0.05</v>
      </c>
      <c r="O126" s="7" t="s">
        <v>39</v>
      </c>
      <c r="P126" s="3">
        <f t="shared" ref="P126" si="54">(C126+(E126*F126*H126))-N126</f>
        <v>0</v>
      </c>
      <c r="Q126" s="7" t="s">
        <v>39</v>
      </c>
      <c r="R126" s="8">
        <f t="shared" si="47"/>
        <v>0</v>
      </c>
      <c r="S126" s="8">
        <f t="shared" ref="S126" si="55">P126*(J126-(J126*L126)-((J126-(J126*L126))*M126))</f>
        <v>0</v>
      </c>
    </row>
    <row r="127" spans="1:19" x14ac:dyDescent="0.2">
      <c r="A127" s="1" t="s">
        <v>867</v>
      </c>
      <c r="B127" s="2" t="s">
        <v>17</v>
      </c>
      <c r="D127" s="4" t="s">
        <v>39</v>
      </c>
      <c r="F127" s="6">
        <v>1</v>
      </c>
      <c r="G127" s="7" t="s">
        <v>19</v>
      </c>
      <c r="H127" s="6">
        <v>20</v>
      </c>
      <c r="I127" s="7" t="s">
        <v>39</v>
      </c>
      <c r="J127" s="8">
        <v>108900</v>
      </c>
      <c r="K127" s="4" t="s">
        <v>39</v>
      </c>
      <c r="L127" s="9">
        <v>0.125</v>
      </c>
      <c r="M127" s="9">
        <v>0.05</v>
      </c>
      <c r="O127" s="7" t="s">
        <v>39</v>
      </c>
      <c r="P127" s="3">
        <f t="shared" ref="P127" si="56">(C127+(E127*F127*H127))-N127</f>
        <v>0</v>
      </c>
      <c r="Q127" s="7" t="s">
        <v>39</v>
      </c>
      <c r="R127" s="8">
        <f t="shared" si="47"/>
        <v>0</v>
      </c>
      <c r="S127" s="8">
        <f t="shared" si="53"/>
        <v>0</v>
      </c>
    </row>
    <row r="129" spans="1:19" x14ac:dyDescent="0.2">
      <c r="A129" s="1" t="s">
        <v>89</v>
      </c>
      <c r="B129" s="2" t="s">
        <v>24</v>
      </c>
      <c r="D129" s="4" t="s">
        <v>82</v>
      </c>
      <c r="F129" s="6">
        <v>1</v>
      </c>
      <c r="G129" s="7" t="s">
        <v>19</v>
      </c>
      <c r="H129" s="6">
        <v>50</v>
      </c>
      <c r="I129" s="7" t="s">
        <v>82</v>
      </c>
      <c r="J129" s="8">
        <f>1440000/50</f>
        <v>28800</v>
      </c>
      <c r="K129" s="4" t="s">
        <v>82</v>
      </c>
      <c r="M129" s="9">
        <v>0.17</v>
      </c>
      <c r="O129" s="7" t="s">
        <v>82</v>
      </c>
      <c r="P129" s="3">
        <f t="shared" ref="P129:P135" si="57">(C129+(E129*F129*H129))-N129</f>
        <v>0</v>
      </c>
      <c r="Q129" s="7" t="s">
        <v>82</v>
      </c>
      <c r="R129" s="8">
        <f t="shared" ref="R129:R136" si="58">S129/1.11</f>
        <v>0</v>
      </c>
      <c r="S129" s="8">
        <f t="shared" ref="S129:S135" si="59">P129*(J129-(J129*L129)-((J129-(J129*L129))*M129))</f>
        <v>0</v>
      </c>
    </row>
    <row r="130" spans="1:19" x14ac:dyDescent="0.2">
      <c r="A130" s="1" t="s">
        <v>90</v>
      </c>
      <c r="B130" s="2" t="s">
        <v>24</v>
      </c>
      <c r="D130" s="4" t="s">
        <v>82</v>
      </c>
      <c r="F130" s="6">
        <v>1</v>
      </c>
      <c r="G130" s="7" t="s">
        <v>19</v>
      </c>
      <c r="H130" s="6">
        <v>50</v>
      </c>
      <c r="I130" s="7" t="s">
        <v>82</v>
      </c>
      <c r="J130" s="8">
        <f>1590000/50</f>
        <v>31800</v>
      </c>
      <c r="K130" s="4" t="s">
        <v>82</v>
      </c>
      <c r="M130" s="9">
        <v>0.17</v>
      </c>
      <c r="O130" s="7" t="s">
        <v>82</v>
      </c>
      <c r="P130" s="3">
        <f t="shared" si="57"/>
        <v>0</v>
      </c>
      <c r="Q130" s="7" t="s">
        <v>82</v>
      </c>
      <c r="R130" s="8">
        <f t="shared" si="58"/>
        <v>0</v>
      </c>
      <c r="S130" s="8">
        <f t="shared" si="59"/>
        <v>0</v>
      </c>
    </row>
    <row r="131" spans="1:19" x14ac:dyDescent="0.2">
      <c r="A131" s="1" t="s">
        <v>91</v>
      </c>
      <c r="B131" s="2" t="s">
        <v>24</v>
      </c>
      <c r="D131" s="4" t="s">
        <v>82</v>
      </c>
      <c r="F131" s="6">
        <v>1</v>
      </c>
      <c r="G131" s="7" t="s">
        <v>19</v>
      </c>
      <c r="H131" s="6">
        <v>30</v>
      </c>
      <c r="I131" s="7" t="s">
        <v>82</v>
      </c>
      <c r="J131" s="8">
        <f>1476000/30</f>
        <v>49200</v>
      </c>
      <c r="K131" s="4" t="s">
        <v>82</v>
      </c>
      <c r="M131" s="9">
        <v>0.17</v>
      </c>
      <c r="O131" s="7" t="s">
        <v>82</v>
      </c>
      <c r="P131" s="3">
        <f t="shared" si="57"/>
        <v>0</v>
      </c>
      <c r="Q131" s="7" t="s">
        <v>82</v>
      </c>
      <c r="R131" s="8">
        <f t="shared" si="58"/>
        <v>0</v>
      </c>
      <c r="S131" s="8">
        <f t="shared" si="59"/>
        <v>0</v>
      </c>
    </row>
    <row r="132" spans="1:19" x14ac:dyDescent="0.2">
      <c r="A132" s="1" t="s">
        <v>92</v>
      </c>
      <c r="B132" s="2" t="s">
        <v>24</v>
      </c>
      <c r="D132" s="4" t="s">
        <v>82</v>
      </c>
      <c r="F132" s="6">
        <v>1</v>
      </c>
      <c r="G132" s="7" t="s">
        <v>19</v>
      </c>
      <c r="H132" s="6">
        <v>20</v>
      </c>
      <c r="I132" s="7" t="s">
        <v>82</v>
      </c>
      <c r="J132" s="8">
        <f>1380000/20</f>
        <v>69000</v>
      </c>
      <c r="K132" s="4" t="s">
        <v>82</v>
      </c>
      <c r="M132" s="9">
        <v>0.17</v>
      </c>
      <c r="O132" s="7" t="s">
        <v>82</v>
      </c>
      <c r="P132" s="3">
        <f t="shared" si="57"/>
        <v>0</v>
      </c>
      <c r="Q132" s="7" t="s">
        <v>82</v>
      </c>
      <c r="R132" s="8">
        <f t="shared" si="58"/>
        <v>0</v>
      </c>
      <c r="S132" s="8">
        <f t="shared" si="59"/>
        <v>0</v>
      </c>
    </row>
    <row r="133" spans="1:19" x14ac:dyDescent="0.2">
      <c r="A133" s="1" t="s">
        <v>93</v>
      </c>
      <c r="B133" s="2" t="s">
        <v>24</v>
      </c>
      <c r="D133" s="4" t="s">
        <v>82</v>
      </c>
      <c r="F133" s="6">
        <v>1</v>
      </c>
      <c r="G133" s="7" t="s">
        <v>19</v>
      </c>
      <c r="H133" s="6">
        <v>10</v>
      </c>
      <c r="I133" s="7" t="s">
        <v>82</v>
      </c>
      <c r="J133" s="8">
        <f>1200000/10</f>
        <v>120000</v>
      </c>
      <c r="K133" s="4" t="s">
        <v>82</v>
      </c>
      <c r="M133" s="9">
        <v>0.17</v>
      </c>
      <c r="O133" s="7" t="s">
        <v>82</v>
      </c>
      <c r="P133" s="3">
        <f t="shared" si="57"/>
        <v>0</v>
      </c>
      <c r="Q133" s="7" t="s">
        <v>82</v>
      </c>
      <c r="R133" s="8">
        <f t="shared" si="58"/>
        <v>0</v>
      </c>
      <c r="S133" s="8">
        <f t="shared" si="59"/>
        <v>0</v>
      </c>
    </row>
    <row r="134" spans="1:19" x14ac:dyDescent="0.2">
      <c r="A134" s="1" t="s">
        <v>94</v>
      </c>
      <c r="B134" s="2" t="s">
        <v>24</v>
      </c>
      <c r="C134" s="3">
        <v>5</v>
      </c>
      <c r="D134" s="4" t="s">
        <v>82</v>
      </c>
      <c r="F134" s="6">
        <v>1</v>
      </c>
      <c r="G134" s="7" t="s">
        <v>19</v>
      </c>
      <c r="H134" s="6">
        <v>5</v>
      </c>
      <c r="I134" s="7" t="s">
        <v>82</v>
      </c>
      <c r="J134" s="8">
        <f>900000/5</f>
        <v>180000</v>
      </c>
      <c r="K134" s="4" t="s">
        <v>82</v>
      </c>
      <c r="M134" s="9">
        <v>0.17</v>
      </c>
      <c r="O134" s="7" t="s">
        <v>82</v>
      </c>
      <c r="P134" s="3">
        <f t="shared" si="57"/>
        <v>5</v>
      </c>
      <c r="Q134" s="7" t="s">
        <v>82</v>
      </c>
      <c r="R134" s="8">
        <f t="shared" si="58"/>
        <v>672972.9729729729</v>
      </c>
      <c r="S134" s="8">
        <f t="shared" si="59"/>
        <v>747000</v>
      </c>
    </row>
    <row r="135" spans="1:19" x14ac:dyDescent="0.2">
      <c r="A135" s="1" t="s">
        <v>693</v>
      </c>
      <c r="B135" s="2" t="s">
        <v>24</v>
      </c>
      <c r="D135" s="4" t="s">
        <v>32</v>
      </c>
      <c r="F135" s="6">
        <v>1</v>
      </c>
      <c r="G135" s="7" t="s">
        <v>19</v>
      </c>
      <c r="H135" s="6">
        <v>72</v>
      </c>
      <c r="I135" s="7" t="s">
        <v>32</v>
      </c>
      <c r="J135" s="8">
        <f>1548000/72</f>
        <v>21500</v>
      </c>
      <c r="K135" s="4" t="s">
        <v>32</v>
      </c>
      <c r="M135" s="9">
        <v>0.17</v>
      </c>
      <c r="O135" s="7" t="s">
        <v>32</v>
      </c>
      <c r="P135" s="3">
        <f t="shared" si="57"/>
        <v>0</v>
      </c>
      <c r="Q135" s="7" t="s">
        <v>32</v>
      </c>
      <c r="R135" s="8">
        <f t="shared" si="58"/>
        <v>0</v>
      </c>
      <c r="S135" s="8">
        <f t="shared" si="59"/>
        <v>0</v>
      </c>
    </row>
    <row r="136" spans="1:19" x14ac:dyDescent="0.2">
      <c r="A136" s="1" t="s">
        <v>1042</v>
      </c>
      <c r="B136" s="2" t="s">
        <v>24</v>
      </c>
      <c r="C136" s="3">
        <v>48</v>
      </c>
      <c r="D136" s="4" t="s">
        <v>32</v>
      </c>
      <c r="F136" s="6">
        <v>1</v>
      </c>
      <c r="G136" s="7" t="s">
        <v>19</v>
      </c>
      <c r="H136" s="6">
        <v>48</v>
      </c>
      <c r="I136" s="7" t="s">
        <v>32</v>
      </c>
      <c r="J136" s="8">
        <v>42900</v>
      </c>
      <c r="K136" s="4" t="s">
        <v>32</v>
      </c>
      <c r="M136" s="9">
        <v>0.17</v>
      </c>
      <c r="O136" s="7" t="s">
        <v>32</v>
      </c>
      <c r="P136" s="3">
        <f t="shared" ref="P136" si="60">(C136+(E136*F136*H136))-N136</f>
        <v>48</v>
      </c>
      <c r="Q136" s="7" t="s">
        <v>32</v>
      </c>
      <c r="R136" s="8">
        <f t="shared" si="58"/>
        <v>1539762.1621621621</v>
      </c>
      <c r="S136" s="8">
        <f t="shared" ref="S136" si="61">P136*(J136-(J136*L136)-((J136-(J136*L136))*M136))</f>
        <v>1709136</v>
      </c>
    </row>
    <row r="138" spans="1:19" x14ac:dyDescent="0.2">
      <c r="A138" s="24" t="s">
        <v>95</v>
      </c>
    </row>
    <row r="139" spans="1:19" x14ac:dyDescent="0.2">
      <c r="A139" s="1" t="s">
        <v>96</v>
      </c>
      <c r="B139" s="2" t="s">
        <v>17</v>
      </c>
      <c r="D139" s="4" t="s">
        <v>32</v>
      </c>
      <c r="F139" s="6">
        <v>50</v>
      </c>
      <c r="G139" s="7" t="s">
        <v>97</v>
      </c>
      <c r="H139" s="6">
        <v>10</v>
      </c>
      <c r="I139" s="7" t="s">
        <v>32</v>
      </c>
      <c r="J139" s="8">
        <v>1850</v>
      </c>
      <c r="K139" s="4" t="s">
        <v>32</v>
      </c>
      <c r="L139" s="9">
        <v>0.125</v>
      </c>
      <c r="M139" s="9">
        <v>0.05</v>
      </c>
      <c r="O139" s="7" t="s">
        <v>32</v>
      </c>
      <c r="P139" s="3">
        <f>(C139+(E139*F139*H139))-N139</f>
        <v>0</v>
      </c>
      <c r="Q139" s="7" t="s">
        <v>32</v>
      </c>
      <c r="R139" s="8">
        <f>S139/1.11</f>
        <v>0</v>
      </c>
      <c r="S139" s="8">
        <f>P139*(J139-(J139*L139)-((J139-(J139*L139))*M139))</f>
        <v>0</v>
      </c>
    </row>
    <row r="140" spans="1:19" x14ac:dyDescent="0.2">
      <c r="A140" s="1" t="s">
        <v>98</v>
      </c>
      <c r="B140" s="2" t="s">
        <v>17</v>
      </c>
      <c r="D140" s="4" t="s">
        <v>32</v>
      </c>
      <c r="F140" s="6">
        <v>50</v>
      </c>
      <c r="G140" s="7" t="s">
        <v>97</v>
      </c>
      <c r="H140" s="6">
        <v>10</v>
      </c>
      <c r="I140" s="7" t="s">
        <v>32</v>
      </c>
      <c r="J140" s="8">
        <v>1625</v>
      </c>
      <c r="K140" s="4" t="s">
        <v>32</v>
      </c>
      <c r="L140" s="9">
        <v>0.125</v>
      </c>
      <c r="M140" s="9">
        <v>0.05</v>
      </c>
      <c r="O140" s="7" t="s">
        <v>32</v>
      </c>
      <c r="P140" s="3">
        <f>(C140+(E140*F140*H140))-N140</f>
        <v>0</v>
      </c>
      <c r="Q140" s="7" t="s">
        <v>32</v>
      </c>
      <c r="R140" s="8">
        <f>S140/1.11</f>
        <v>0</v>
      </c>
      <c r="S140" s="8">
        <f>P140*(J140-(J140*L140)-((J140-(J140*L140))*M140))</f>
        <v>0</v>
      </c>
    </row>
    <row r="141" spans="1:19" x14ac:dyDescent="0.2">
      <c r="A141" s="1" t="s">
        <v>99</v>
      </c>
      <c r="B141" s="2" t="s">
        <v>17</v>
      </c>
      <c r="D141" s="4" t="s">
        <v>32</v>
      </c>
      <c r="F141" s="6">
        <v>20</v>
      </c>
      <c r="G141" s="7" t="s">
        <v>97</v>
      </c>
      <c r="H141" s="6">
        <v>10</v>
      </c>
      <c r="I141" s="7" t="s">
        <v>32</v>
      </c>
      <c r="J141" s="8">
        <v>4400</v>
      </c>
      <c r="K141" s="4" t="s">
        <v>32</v>
      </c>
      <c r="L141" s="9">
        <v>0.125</v>
      </c>
      <c r="M141" s="9">
        <v>0.05</v>
      </c>
      <c r="O141" s="7" t="s">
        <v>32</v>
      </c>
      <c r="P141" s="3">
        <f>(C141+(E141*F141*H141))-N141</f>
        <v>0</v>
      </c>
      <c r="Q141" s="7" t="s">
        <v>32</v>
      </c>
      <c r="R141" s="8">
        <f>S141/1.11</f>
        <v>0</v>
      </c>
      <c r="S141" s="8">
        <f>P141*(J141-(J141*L141)-((J141-(J141*L141))*M141))</f>
        <v>0</v>
      </c>
    </row>
    <row r="142" spans="1:19" x14ac:dyDescent="0.2">
      <c r="A142" s="1" t="s">
        <v>100</v>
      </c>
      <c r="B142" s="2" t="s">
        <v>17</v>
      </c>
      <c r="D142" s="4" t="s">
        <v>101</v>
      </c>
      <c r="F142" s="6">
        <v>24</v>
      </c>
      <c r="G142" s="7" t="s">
        <v>32</v>
      </c>
      <c r="H142" s="6">
        <v>12</v>
      </c>
      <c r="I142" s="7" t="s">
        <v>101</v>
      </c>
      <c r="J142" s="8">
        <v>3100</v>
      </c>
      <c r="K142" s="4" t="s">
        <v>101</v>
      </c>
      <c r="L142" s="9">
        <v>0.125</v>
      </c>
      <c r="M142" s="9">
        <v>0.05</v>
      </c>
      <c r="O142" s="7" t="s">
        <v>101</v>
      </c>
      <c r="P142" s="3">
        <f>(C142+(E142*F142*H142))-N142</f>
        <v>0</v>
      </c>
      <c r="Q142" s="7" t="s">
        <v>101</v>
      </c>
      <c r="R142" s="8">
        <f>S142/1.11</f>
        <v>0</v>
      </c>
      <c r="S142" s="8">
        <f>P142*(J142-(J142*L142)-((J142-(J142*L142))*M142))</f>
        <v>0</v>
      </c>
    </row>
    <row r="144" spans="1:19" x14ac:dyDescent="0.2">
      <c r="A144" s="1" t="s">
        <v>102</v>
      </c>
      <c r="B144" s="2" t="s">
        <v>24</v>
      </c>
      <c r="D144" s="4" t="s">
        <v>32</v>
      </c>
      <c r="F144" s="6">
        <v>50</v>
      </c>
      <c r="G144" s="7" t="s">
        <v>97</v>
      </c>
      <c r="H144" s="6">
        <v>10</v>
      </c>
      <c r="I144" s="7" t="s">
        <v>32</v>
      </c>
      <c r="J144" s="8">
        <f>850000/50/10</f>
        <v>1700</v>
      </c>
      <c r="K144" s="4" t="s">
        <v>32</v>
      </c>
      <c r="M144" s="9">
        <v>0.17</v>
      </c>
      <c r="O144" s="7" t="s">
        <v>32</v>
      </c>
      <c r="P144" s="3">
        <f>(C144+(E144*F144*H144))-N144</f>
        <v>0</v>
      </c>
      <c r="Q144" s="7" t="s">
        <v>32</v>
      </c>
      <c r="R144" s="8">
        <f>S144/1.11</f>
        <v>0</v>
      </c>
      <c r="S144" s="8">
        <f>P144*(J144-(J144*L144)-((J144-(J144*L144))*M144))</f>
        <v>0</v>
      </c>
    </row>
    <row r="145" spans="1:19" x14ac:dyDescent="0.2">
      <c r="A145" s="1" t="s">
        <v>103</v>
      </c>
      <c r="B145" s="2" t="s">
        <v>24</v>
      </c>
      <c r="D145" s="4" t="s">
        <v>32</v>
      </c>
      <c r="F145" s="6">
        <v>50</v>
      </c>
      <c r="G145" s="7" t="s">
        <v>97</v>
      </c>
      <c r="H145" s="6">
        <v>10</v>
      </c>
      <c r="I145" s="7" t="s">
        <v>32</v>
      </c>
      <c r="J145" s="8">
        <f>800000/50/10</f>
        <v>1600</v>
      </c>
      <c r="K145" s="4" t="s">
        <v>32</v>
      </c>
      <c r="M145" s="9">
        <v>0.17</v>
      </c>
      <c r="O145" s="7" t="s">
        <v>32</v>
      </c>
      <c r="P145" s="3">
        <f>(C145+(E145*F145*H145))-N145</f>
        <v>0</v>
      </c>
      <c r="Q145" s="7" t="s">
        <v>32</v>
      </c>
      <c r="R145" s="8">
        <f>S145/1.11</f>
        <v>0</v>
      </c>
      <c r="S145" s="8">
        <f>P145*(J145-(J145*L145)-((J145-(J145*L145))*M145))</f>
        <v>0</v>
      </c>
    </row>
    <row r="146" spans="1:19" x14ac:dyDescent="0.2">
      <c r="A146" s="1" t="s">
        <v>104</v>
      </c>
      <c r="B146" s="2" t="s">
        <v>24</v>
      </c>
      <c r="D146" s="4" t="s">
        <v>32</v>
      </c>
      <c r="F146" s="6">
        <v>20</v>
      </c>
      <c r="G146" s="7" t="s">
        <v>97</v>
      </c>
      <c r="H146" s="6">
        <v>10</v>
      </c>
      <c r="I146" s="7" t="s">
        <v>32</v>
      </c>
      <c r="J146" s="8">
        <f>860000/20/10</f>
        <v>4300</v>
      </c>
      <c r="K146" s="4" t="s">
        <v>32</v>
      </c>
      <c r="M146" s="9">
        <v>0.17</v>
      </c>
      <c r="O146" s="7" t="s">
        <v>32</v>
      </c>
      <c r="P146" s="3">
        <f>(C146+(E146*F146*H146))-N146</f>
        <v>0</v>
      </c>
      <c r="Q146" s="7" t="s">
        <v>32</v>
      </c>
      <c r="R146" s="8">
        <f>S146/1.11</f>
        <v>0</v>
      </c>
      <c r="S146" s="8">
        <f>P146*(J146-(J146*L146)-((J146-(J146*L146))*M146))</f>
        <v>0</v>
      </c>
    </row>
    <row r="147" spans="1:19" x14ac:dyDescent="0.2">
      <c r="A147" s="1" t="s">
        <v>105</v>
      </c>
      <c r="B147" s="2" t="s">
        <v>24</v>
      </c>
      <c r="D147" s="4" t="s">
        <v>39</v>
      </c>
      <c r="F147" s="6">
        <v>1</v>
      </c>
      <c r="G147" s="7" t="s">
        <v>19</v>
      </c>
      <c r="H147" s="6">
        <v>48</v>
      </c>
      <c r="I147" s="7" t="s">
        <v>39</v>
      </c>
      <c r="J147" s="8">
        <f>1987200/48</f>
        <v>41400</v>
      </c>
      <c r="K147" s="4" t="s">
        <v>39</v>
      </c>
      <c r="M147" s="9">
        <v>0.17</v>
      </c>
      <c r="O147" s="7" t="s">
        <v>39</v>
      </c>
      <c r="P147" s="3">
        <f>(C147+(E147*F147*H147))-N147</f>
        <v>0</v>
      </c>
      <c r="Q147" s="7" t="s">
        <v>39</v>
      </c>
      <c r="R147" s="8">
        <f>S147/1.11</f>
        <v>0</v>
      </c>
      <c r="S147" s="8">
        <f>P147*(J147-(J147*L147)-((J147-(J147*L147))*M147))</f>
        <v>0</v>
      </c>
    </row>
    <row r="149" spans="1:19" x14ac:dyDescent="0.2">
      <c r="A149" s="24" t="s">
        <v>106</v>
      </c>
    </row>
    <row r="150" spans="1:19" x14ac:dyDescent="0.2">
      <c r="A150" s="24" t="s">
        <v>107</v>
      </c>
    </row>
    <row r="151" spans="1:19" x14ac:dyDescent="0.2">
      <c r="A151" s="1" t="s">
        <v>108</v>
      </c>
      <c r="B151" s="2" t="s">
        <v>17</v>
      </c>
      <c r="C151" s="3">
        <v>96</v>
      </c>
      <c r="D151" s="4" t="s">
        <v>39</v>
      </c>
      <c r="F151" s="6">
        <v>1</v>
      </c>
      <c r="G151" s="7" t="s">
        <v>19</v>
      </c>
      <c r="H151" s="6">
        <v>48</v>
      </c>
      <c r="I151" s="7" t="s">
        <v>39</v>
      </c>
      <c r="J151" s="8">
        <v>36000</v>
      </c>
      <c r="K151" s="4" t="s">
        <v>39</v>
      </c>
      <c r="L151" s="9">
        <v>0.125</v>
      </c>
      <c r="M151" s="9">
        <v>0.1</v>
      </c>
      <c r="O151" s="7" t="s">
        <v>39</v>
      </c>
      <c r="P151" s="3">
        <f t="shared" ref="P151:P168" si="62">(C151+(E151*F151*H151))-N151</f>
        <v>96</v>
      </c>
      <c r="Q151" s="7" t="s">
        <v>39</v>
      </c>
      <c r="R151" s="8">
        <f t="shared" ref="R151:R169" si="63">S151/1.11</f>
        <v>2451891.8918918916</v>
      </c>
      <c r="S151" s="8">
        <f t="shared" ref="S151:S168" si="64">P151*(J151-(J151*L151)-((J151-(J151*L151))*M151))</f>
        <v>2721600</v>
      </c>
    </row>
    <row r="152" spans="1:19" x14ac:dyDescent="0.2">
      <c r="A152" s="1" t="s">
        <v>109</v>
      </c>
      <c r="B152" s="2" t="s">
        <v>17</v>
      </c>
      <c r="D152" s="4" t="s">
        <v>39</v>
      </c>
      <c r="F152" s="6">
        <v>1</v>
      </c>
      <c r="G152" s="7" t="s">
        <v>19</v>
      </c>
      <c r="H152" s="6">
        <v>48</v>
      </c>
      <c r="I152" s="7" t="s">
        <v>39</v>
      </c>
      <c r="J152" s="8">
        <v>36000</v>
      </c>
      <c r="K152" s="4" t="s">
        <v>39</v>
      </c>
      <c r="L152" s="9">
        <v>0.125</v>
      </c>
      <c r="M152" s="9">
        <v>0.05</v>
      </c>
      <c r="O152" s="7" t="s">
        <v>39</v>
      </c>
      <c r="P152" s="3">
        <f>(C152+(E152*F152*H152))-N152</f>
        <v>0</v>
      </c>
      <c r="Q152" s="7" t="s">
        <v>39</v>
      </c>
      <c r="R152" s="8">
        <f t="shared" si="63"/>
        <v>0</v>
      </c>
      <c r="S152" s="8">
        <f>P152*(J152-(J152*L152)-((J152-(J152*L152))*M152))</f>
        <v>0</v>
      </c>
    </row>
    <row r="153" spans="1:19" x14ac:dyDescent="0.2">
      <c r="A153" s="1" t="s">
        <v>710</v>
      </c>
      <c r="B153" s="2" t="s">
        <v>17</v>
      </c>
      <c r="D153" s="4" t="s">
        <v>39</v>
      </c>
      <c r="F153" s="6">
        <v>1</v>
      </c>
      <c r="G153" s="7" t="s">
        <v>19</v>
      </c>
      <c r="H153" s="6">
        <v>48</v>
      </c>
      <c r="I153" s="7" t="s">
        <v>39</v>
      </c>
      <c r="J153" s="8">
        <v>36000</v>
      </c>
      <c r="K153" s="4" t="s">
        <v>39</v>
      </c>
      <c r="L153" s="9">
        <v>0.125</v>
      </c>
      <c r="M153" s="9">
        <v>0.05</v>
      </c>
      <c r="O153" s="7" t="s">
        <v>39</v>
      </c>
      <c r="P153" s="3">
        <f t="shared" si="62"/>
        <v>0</v>
      </c>
      <c r="Q153" s="7" t="s">
        <v>39</v>
      </c>
      <c r="R153" s="8">
        <f t="shared" si="63"/>
        <v>0</v>
      </c>
      <c r="S153" s="8">
        <f t="shared" si="64"/>
        <v>0</v>
      </c>
    </row>
    <row r="154" spans="1:19" x14ac:dyDescent="0.2">
      <c r="A154" s="1" t="s">
        <v>907</v>
      </c>
      <c r="B154" s="2" t="s">
        <v>17</v>
      </c>
      <c r="C154" s="2"/>
      <c r="D154" s="4" t="s">
        <v>39</v>
      </c>
      <c r="F154" s="6">
        <v>48</v>
      </c>
      <c r="G154" s="7" t="s">
        <v>32</v>
      </c>
      <c r="H154" s="6">
        <v>1</v>
      </c>
      <c r="I154" s="7" t="s">
        <v>39</v>
      </c>
      <c r="J154" s="8">
        <v>37200</v>
      </c>
      <c r="K154" s="4" t="s">
        <v>39</v>
      </c>
      <c r="L154" s="9">
        <v>0.125</v>
      </c>
      <c r="M154" s="9">
        <v>0.05</v>
      </c>
      <c r="O154" s="7" t="s">
        <v>39</v>
      </c>
      <c r="P154" s="3">
        <f t="shared" ref="P154" si="65">(C154+(E154*F154*H154))-N154</f>
        <v>0</v>
      </c>
      <c r="Q154" s="7" t="s">
        <v>39</v>
      </c>
      <c r="R154" s="8">
        <f>S154/1.11</f>
        <v>0</v>
      </c>
      <c r="S154" s="8">
        <f t="shared" ref="S154" si="66">P154*(J154-(J154*L154)-((J154-(J154*L154))*M154))</f>
        <v>0</v>
      </c>
    </row>
    <row r="155" spans="1:19" x14ac:dyDescent="0.2">
      <c r="A155" s="1" t="s">
        <v>110</v>
      </c>
      <c r="B155" s="2" t="s">
        <v>17</v>
      </c>
      <c r="D155" s="4" t="s">
        <v>39</v>
      </c>
      <c r="F155" s="6">
        <v>1</v>
      </c>
      <c r="G155" s="7" t="s">
        <v>19</v>
      </c>
      <c r="H155" s="6">
        <v>48</v>
      </c>
      <c r="I155" s="7" t="s">
        <v>39</v>
      </c>
      <c r="J155" s="8">
        <v>39000</v>
      </c>
      <c r="K155" s="4" t="s">
        <v>39</v>
      </c>
      <c r="L155" s="9">
        <v>0.125</v>
      </c>
      <c r="M155" s="9">
        <v>0.05</v>
      </c>
      <c r="O155" s="7" t="s">
        <v>39</v>
      </c>
      <c r="P155" s="3">
        <f t="shared" si="62"/>
        <v>0</v>
      </c>
      <c r="Q155" s="7" t="s">
        <v>39</v>
      </c>
      <c r="R155" s="8">
        <f t="shared" si="63"/>
        <v>0</v>
      </c>
      <c r="S155" s="8">
        <f t="shared" si="64"/>
        <v>0</v>
      </c>
    </row>
    <row r="156" spans="1:19" x14ac:dyDescent="0.2">
      <c r="A156" s="1" t="s">
        <v>672</v>
      </c>
      <c r="B156" s="2" t="s">
        <v>17</v>
      </c>
      <c r="D156" s="4" t="s">
        <v>39</v>
      </c>
      <c r="F156" s="6">
        <v>120</v>
      </c>
      <c r="G156" s="7" t="s">
        <v>32</v>
      </c>
      <c r="H156" s="6">
        <v>1</v>
      </c>
      <c r="I156" s="7" t="s">
        <v>39</v>
      </c>
      <c r="J156" s="8">
        <v>17400</v>
      </c>
      <c r="K156" s="4" t="s">
        <v>39</v>
      </c>
      <c r="L156" s="9">
        <v>0.125</v>
      </c>
      <c r="M156" s="9">
        <v>0.05</v>
      </c>
      <c r="O156" s="7" t="s">
        <v>39</v>
      </c>
      <c r="P156" s="3">
        <f>(C156+(E156*F156*H156))-N156</f>
        <v>0</v>
      </c>
      <c r="Q156" s="7" t="s">
        <v>39</v>
      </c>
      <c r="R156" s="8">
        <f>S156/1.11</f>
        <v>0</v>
      </c>
      <c r="S156" s="8">
        <f>P156*(J156-(J156*L156)-((J156-(J156*L156))*M156))</f>
        <v>0</v>
      </c>
    </row>
    <row r="157" spans="1:19" x14ac:dyDescent="0.2">
      <c r="A157" s="1" t="s">
        <v>111</v>
      </c>
      <c r="B157" s="2" t="s">
        <v>17</v>
      </c>
      <c r="D157" s="4" t="s">
        <v>39</v>
      </c>
      <c r="F157" s="6">
        <v>1</v>
      </c>
      <c r="G157" s="7" t="s">
        <v>19</v>
      </c>
      <c r="H157" s="6">
        <v>48</v>
      </c>
      <c r="I157" s="7" t="s">
        <v>39</v>
      </c>
      <c r="J157" s="8">
        <v>54600</v>
      </c>
      <c r="K157" s="4" t="s">
        <v>39</v>
      </c>
      <c r="L157" s="9">
        <v>0.125</v>
      </c>
      <c r="M157" s="9">
        <v>0.05</v>
      </c>
      <c r="O157" s="7" t="s">
        <v>39</v>
      </c>
      <c r="P157" s="3">
        <f t="shared" si="62"/>
        <v>0</v>
      </c>
      <c r="Q157" s="7" t="s">
        <v>39</v>
      </c>
      <c r="R157" s="8">
        <f t="shared" si="63"/>
        <v>0</v>
      </c>
      <c r="S157" s="8">
        <f t="shared" si="64"/>
        <v>0</v>
      </c>
    </row>
    <row r="158" spans="1:19" x14ac:dyDescent="0.2">
      <c r="A158" s="1" t="s">
        <v>908</v>
      </c>
      <c r="B158" s="2" t="s">
        <v>17</v>
      </c>
      <c r="C158" s="2"/>
      <c r="D158" s="4" t="s">
        <v>39</v>
      </c>
      <c r="F158" s="6">
        <v>48</v>
      </c>
      <c r="G158" s="7" t="s">
        <v>32</v>
      </c>
      <c r="H158" s="6">
        <v>1</v>
      </c>
      <c r="I158" s="7" t="s">
        <v>39</v>
      </c>
      <c r="J158" s="8">
        <v>32400</v>
      </c>
      <c r="K158" s="4" t="s">
        <v>39</v>
      </c>
      <c r="L158" s="9">
        <v>0.125</v>
      </c>
      <c r="M158" s="9">
        <v>0.05</v>
      </c>
      <c r="O158" s="7" t="s">
        <v>39</v>
      </c>
      <c r="P158" s="3">
        <f>(C158+(E158*F158*H158))-N158</f>
        <v>0</v>
      </c>
      <c r="Q158" s="7" t="s">
        <v>39</v>
      </c>
      <c r="R158" s="8">
        <f>S158/1.11</f>
        <v>0</v>
      </c>
      <c r="S158" s="8">
        <f>P158*(J158-(J158*L158)-((J158-(J158*L158))*M158))</f>
        <v>0</v>
      </c>
    </row>
    <row r="159" spans="1:19" x14ac:dyDescent="0.2">
      <c r="A159" s="1" t="s">
        <v>112</v>
      </c>
      <c r="B159" s="2" t="s">
        <v>17</v>
      </c>
      <c r="D159" s="4" t="s">
        <v>39</v>
      </c>
      <c r="F159" s="6">
        <v>1</v>
      </c>
      <c r="G159" s="7" t="s">
        <v>19</v>
      </c>
      <c r="H159" s="6">
        <v>48</v>
      </c>
      <c r="I159" s="7" t="s">
        <v>39</v>
      </c>
      <c r="J159" s="8">
        <v>30000</v>
      </c>
      <c r="K159" s="4" t="s">
        <v>39</v>
      </c>
      <c r="L159" s="9">
        <v>0.125</v>
      </c>
      <c r="M159" s="9">
        <v>0.05</v>
      </c>
      <c r="O159" s="7" t="s">
        <v>39</v>
      </c>
      <c r="P159" s="3">
        <f t="shared" si="62"/>
        <v>0</v>
      </c>
      <c r="Q159" s="7" t="s">
        <v>39</v>
      </c>
      <c r="R159" s="8">
        <f t="shared" si="63"/>
        <v>0</v>
      </c>
      <c r="S159" s="8">
        <f t="shared" si="64"/>
        <v>0</v>
      </c>
    </row>
    <row r="160" spans="1:19" x14ac:dyDescent="0.2">
      <c r="A160" s="1" t="s">
        <v>678</v>
      </c>
      <c r="B160" s="2" t="s">
        <v>17</v>
      </c>
      <c r="D160" s="4" t="s">
        <v>39</v>
      </c>
      <c r="F160" s="6">
        <v>1</v>
      </c>
      <c r="G160" s="7" t="s">
        <v>19</v>
      </c>
      <c r="H160" s="6">
        <v>48</v>
      </c>
      <c r="I160" s="7" t="s">
        <v>39</v>
      </c>
      <c r="J160" s="8">
        <v>48000</v>
      </c>
      <c r="K160" s="4" t="s">
        <v>39</v>
      </c>
      <c r="L160" s="9">
        <v>0.125</v>
      </c>
      <c r="M160" s="9">
        <v>0.05</v>
      </c>
      <c r="O160" s="7" t="s">
        <v>39</v>
      </c>
      <c r="P160" s="3">
        <f t="shared" si="62"/>
        <v>0</v>
      </c>
      <c r="Q160" s="7" t="s">
        <v>39</v>
      </c>
      <c r="R160" s="8">
        <f t="shared" si="63"/>
        <v>0</v>
      </c>
      <c r="S160" s="8">
        <f t="shared" si="64"/>
        <v>0</v>
      </c>
    </row>
    <row r="161" spans="1:19" x14ac:dyDescent="0.2">
      <c r="A161" s="1" t="s">
        <v>113</v>
      </c>
      <c r="B161" s="2" t="s">
        <v>17</v>
      </c>
      <c r="D161" s="4" t="s">
        <v>39</v>
      </c>
      <c r="F161" s="6">
        <v>1</v>
      </c>
      <c r="G161" s="7" t="s">
        <v>19</v>
      </c>
      <c r="H161" s="6">
        <v>36</v>
      </c>
      <c r="I161" s="7" t="s">
        <v>39</v>
      </c>
      <c r="J161" s="8">
        <v>41400</v>
      </c>
      <c r="K161" s="4" t="s">
        <v>39</v>
      </c>
      <c r="L161" s="9">
        <v>0.125</v>
      </c>
      <c r="M161" s="9">
        <v>0.05</v>
      </c>
      <c r="O161" s="7" t="s">
        <v>39</v>
      </c>
      <c r="P161" s="3">
        <f t="shared" ref="P161" si="67">(C161+(E161*F161*H161))-N161</f>
        <v>0</v>
      </c>
      <c r="Q161" s="7" t="s">
        <v>39</v>
      </c>
      <c r="R161" s="8">
        <f t="shared" si="63"/>
        <v>0</v>
      </c>
      <c r="S161" s="8">
        <f t="shared" ref="S161" si="68">P161*(J161-(J161*L161)-((J161-(J161*L161))*M161))</f>
        <v>0</v>
      </c>
    </row>
    <row r="162" spans="1:19" x14ac:dyDescent="0.2">
      <c r="A162" s="1" t="s">
        <v>114</v>
      </c>
      <c r="B162" s="2" t="s">
        <v>17</v>
      </c>
      <c r="D162" s="4" t="s">
        <v>39</v>
      </c>
      <c r="F162" s="6">
        <v>1</v>
      </c>
      <c r="G162" s="7" t="s">
        <v>19</v>
      </c>
      <c r="H162" s="6">
        <v>36</v>
      </c>
      <c r="I162" s="7" t="s">
        <v>39</v>
      </c>
      <c r="J162" s="8">
        <v>41400</v>
      </c>
      <c r="K162" s="4" t="s">
        <v>39</v>
      </c>
      <c r="L162" s="9">
        <v>0.125</v>
      </c>
      <c r="M162" s="9">
        <v>0.05</v>
      </c>
      <c r="O162" s="7" t="s">
        <v>39</v>
      </c>
      <c r="P162" s="3">
        <f t="shared" si="62"/>
        <v>0</v>
      </c>
      <c r="Q162" s="7" t="s">
        <v>39</v>
      </c>
      <c r="R162" s="8">
        <f t="shared" si="63"/>
        <v>0</v>
      </c>
      <c r="S162" s="8">
        <f t="shared" si="64"/>
        <v>0</v>
      </c>
    </row>
    <row r="163" spans="1:19" x14ac:dyDescent="0.2">
      <c r="A163" s="1" t="s">
        <v>873</v>
      </c>
      <c r="B163" s="2" t="s">
        <v>17</v>
      </c>
      <c r="D163" s="4" t="s">
        <v>39</v>
      </c>
      <c r="F163" s="6">
        <v>1</v>
      </c>
      <c r="G163" s="7" t="s">
        <v>19</v>
      </c>
      <c r="H163" s="6">
        <v>36</v>
      </c>
      <c r="I163" s="7" t="s">
        <v>39</v>
      </c>
      <c r="J163" s="8">
        <v>43200</v>
      </c>
      <c r="K163" s="4" t="s">
        <v>39</v>
      </c>
      <c r="L163" s="9">
        <v>0.125</v>
      </c>
      <c r="M163" s="9">
        <v>0.05</v>
      </c>
      <c r="O163" s="7" t="s">
        <v>39</v>
      </c>
      <c r="P163" s="3">
        <f t="shared" ref="P163" si="69">(C163+(E163*F163*H163))-N163</f>
        <v>0</v>
      </c>
      <c r="Q163" s="7" t="s">
        <v>39</v>
      </c>
      <c r="R163" s="8">
        <f t="shared" si="63"/>
        <v>0</v>
      </c>
      <c r="S163" s="8">
        <f t="shared" ref="S163" si="70">P163*(J163-(J163*L163)-((J163-(J163*L163))*M163))</f>
        <v>0</v>
      </c>
    </row>
    <row r="164" spans="1:19" x14ac:dyDescent="0.2">
      <c r="A164" s="1" t="s">
        <v>115</v>
      </c>
      <c r="B164" s="2" t="s">
        <v>17</v>
      </c>
      <c r="D164" s="4" t="s">
        <v>39</v>
      </c>
      <c r="F164" s="6">
        <v>24</v>
      </c>
      <c r="G164" s="7" t="s">
        <v>32</v>
      </c>
      <c r="H164" s="6">
        <v>2</v>
      </c>
      <c r="I164" s="7" t="s">
        <v>39</v>
      </c>
      <c r="J164" s="8">
        <f>70800/2</f>
        <v>35400</v>
      </c>
      <c r="K164" s="4" t="s">
        <v>39</v>
      </c>
      <c r="L164" s="9">
        <v>0.125</v>
      </c>
      <c r="M164" s="9">
        <v>0.05</v>
      </c>
      <c r="O164" s="7" t="s">
        <v>39</v>
      </c>
      <c r="P164" s="3">
        <f t="shared" si="62"/>
        <v>0</v>
      </c>
      <c r="Q164" s="7" t="s">
        <v>39</v>
      </c>
      <c r="R164" s="8">
        <f t="shared" si="63"/>
        <v>0</v>
      </c>
      <c r="S164" s="8">
        <f t="shared" si="64"/>
        <v>0</v>
      </c>
    </row>
    <row r="165" spans="1:19" x14ac:dyDescent="0.2">
      <c r="A165" s="1" t="s">
        <v>116</v>
      </c>
      <c r="B165" s="2" t="s">
        <v>17</v>
      </c>
      <c r="D165" s="4" t="s">
        <v>39</v>
      </c>
      <c r="F165" s="6">
        <v>24</v>
      </c>
      <c r="G165" s="7" t="s">
        <v>32</v>
      </c>
      <c r="H165" s="6">
        <v>2</v>
      </c>
      <c r="I165" s="7" t="s">
        <v>39</v>
      </c>
      <c r="J165" s="8">
        <f>70800/2</f>
        <v>35400</v>
      </c>
      <c r="K165" s="4" t="s">
        <v>39</v>
      </c>
      <c r="L165" s="9">
        <v>0.125</v>
      </c>
      <c r="M165" s="9">
        <v>0.05</v>
      </c>
      <c r="O165" s="7" t="s">
        <v>39</v>
      </c>
      <c r="P165" s="3">
        <f t="shared" si="62"/>
        <v>0</v>
      </c>
      <c r="Q165" s="7" t="s">
        <v>39</v>
      </c>
      <c r="R165" s="8">
        <f t="shared" si="63"/>
        <v>0</v>
      </c>
      <c r="S165" s="8">
        <f t="shared" si="64"/>
        <v>0</v>
      </c>
    </row>
    <row r="166" spans="1:19" x14ac:dyDescent="0.2">
      <c r="A166" s="1" t="s">
        <v>117</v>
      </c>
      <c r="B166" s="2" t="s">
        <v>17</v>
      </c>
      <c r="D166" s="4" t="s">
        <v>39</v>
      </c>
      <c r="F166" s="6">
        <v>1</v>
      </c>
      <c r="G166" s="7" t="s">
        <v>19</v>
      </c>
      <c r="H166" s="6">
        <v>36</v>
      </c>
      <c r="I166" s="7" t="s">
        <v>39</v>
      </c>
      <c r="J166" s="8">
        <v>34200</v>
      </c>
      <c r="K166" s="4" t="s">
        <v>39</v>
      </c>
      <c r="L166" s="9">
        <v>0.125</v>
      </c>
      <c r="M166" s="9">
        <v>0.05</v>
      </c>
      <c r="O166" s="7" t="s">
        <v>39</v>
      </c>
      <c r="P166" s="3">
        <f t="shared" si="62"/>
        <v>0</v>
      </c>
      <c r="Q166" s="7" t="s">
        <v>39</v>
      </c>
      <c r="R166" s="8">
        <f t="shared" si="63"/>
        <v>0</v>
      </c>
      <c r="S166" s="8">
        <f t="shared" si="64"/>
        <v>0</v>
      </c>
    </row>
    <row r="167" spans="1:19" x14ac:dyDescent="0.2">
      <c r="A167" s="1" t="s">
        <v>118</v>
      </c>
      <c r="B167" s="2" t="s">
        <v>17</v>
      </c>
      <c r="D167" s="4" t="s">
        <v>39</v>
      </c>
      <c r="F167" s="6">
        <v>24</v>
      </c>
      <c r="G167" s="7" t="s">
        <v>32</v>
      </c>
      <c r="H167" s="6">
        <v>2</v>
      </c>
      <c r="I167" s="7" t="s">
        <v>39</v>
      </c>
      <c r="J167" s="8">
        <f>46800/2</f>
        <v>23400</v>
      </c>
      <c r="K167" s="4" t="s">
        <v>39</v>
      </c>
      <c r="L167" s="9">
        <v>0.125</v>
      </c>
      <c r="M167" s="9">
        <v>0.05</v>
      </c>
      <c r="O167" s="7" t="s">
        <v>39</v>
      </c>
      <c r="P167" s="3">
        <f t="shared" si="62"/>
        <v>0</v>
      </c>
      <c r="Q167" s="7" t="s">
        <v>39</v>
      </c>
      <c r="R167" s="8">
        <f t="shared" si="63"/>
        <v>0</v>
      </c>
      <c r="S167" s="8">
        <f t="shared" si="64"/>
        <v>0</v>
      </c>
    </row>
    <row r="168" spans="1:19" x14ac:dyDescent="0.2">
      <c r="A168" s="1" t="s">
        <v>909</v>
      </c>
      <c r="B168" s="2" t="s">
        <v>17</v>
      </c>
      <c r="D168" s="4" t="s">
        <v>39</v>
      </c>
      <c r="F168" s="6">
        <v>48</v>
      </c>
      <c r="G168" s="7" t="s">
        <v>32</v>
      </c>
      <c r="H168" s="6">
        <v>1</v>
      </c>
      <c r="I168" s="7" t="s">
        <v>39</v>
      </c>
      <c r="J168" s="8">
        <v>37200</v>
      </c>
      <c r="K168" s="4" t="s">
        <v>39</v>
      </c>
      <c r="L168" s="9">
        <v>0.125</v>
      </c>
      <c r="M168" s="9">
        <v>0.05</v>
      </c>
      <c r="O168" s="7" t="s">
        <v>39</v>
      </c>
      <c r="P168" s="3">
        <f t="shared" si="62"/>
        <v>0</v>
      </c>
      <c r="Q168" s="7" t="s">
        <v>39</v>
      </c>
      <c r="R168" s="8">
        <f t="shared" si="63"/>
        <v>0</v>
      </c>
      <c r="S168" s="8">
        <f t="shared" si="64"/>
        <v>0</v>
      </c>
    </row>
    <row r="169" spans="1:19" x14ac:dyDescent="0.2">
      <c r="A169" s="1" t="s">
        <v>119</v>
      </c>
      <c r="B169" s="2" t="s">
        <v>17</v>
      </c>
      <c r="D169" s="4" t="s">
        <v>39</v>
      </c>
      <c r="F169" s="6">
        <v>60</v>
      </c>
      <c r="G169" s="7" t="s">
        <v>32</v>
      </c>
      <c r="H169" s="6">
        <v>1</v>
      </c>
      <c r="I169" s="7" t="s">
        <v>39</v>
      </c>
      <c r="J169" s="8">
        <v>45000</v>
      </c>
      <c r="K169" s="4" t="s">
        <v>39</v>
      </c>
      <c r="L169" s="9">
        <v>0.125</v>
      </c>
      <c r="M169" s="9">
        <v>0.05</v>
      </c>
      <c r="O169" s="7" t="s">
        <v>39</v>
      </c>
      <c r="P169" s="3">
        <f t="shared" ref="P169" si="71">(C169+(E169*F169*H169))-N169</f>
        <v>0</v>
      </c>
      <c r="Q169" s="7" t="s">
        <v>39</v>
      </c>
      <c r="R169" s="8">
        <f t="shared" si="63"/>
        <v>0</v>
      </c>
      <c r="S169" s="8">
        <f t="shared" ref="S169" si="72">P169*(J169-(J169*L169)-((J169-(J169*L169))*M169))</f>
        <v>0</v>
      </c>
    </row>
    <row r="171" spans="1:19" x14ac:dyDescent="0.2">
      <c r="A171" s="1" t="s">
        <v>120</v>
      </c>
      <c r="B171" s="2" t="s">
        <v>24</v>
      </c>
      <c r="D171" s="4" t="s">
        <v>39</v>
      </c>
      <c r="F171" s="6">
        <v>1</v>
      </c>
      <c r="G171" s="7" t="s">
        <v>19</v>
      </c>
      <c r="H171" s="6">
        <v>36</v>
      </c>
      <c r="I171" s="7" t="s">
        <v>39</v>
      </c>
      <c r="J171" s="8">
        <f>1954800/36</f>
        <v>54300</v>
      </c>
      <c r="K171" s="4" t="s">
        <v>39</v>
      </c>
      <c r="M171" s="9">
        <v>0.17</v>
      </c>
      <c r="O171" s="7" t="s">
        <v>39</v>
      </c>
      <c r="P171" s="3">
        <f t="shared" ref="P171:P178" si="73">(C171+(E171*F171*H171))-N171</f>
        <v>0</v>
      </c>
      <c r="Q171" s="7" t="s">
        <v>39</v>
      </c>
      <c r="R171" s="8">
        <f t="shared" ref="R171:R178" si="74">S171/1.11</f>
        <v>0</v>
      </c>
      <c r="S171" s="8">
        <f t="shared" ref="S171:S178" si="75">P171*(J171-(J171*L171)-((J171-(J171*L171))*M171))</f>
        <v>0</v>
      </c>
    </row>
    <row r="172" spans="1:19" x14ac:dyDescent="0.2">
      <c r="A172" s="1" t="s">
        <v>121</v>
      </c>
      <c r="B172" s="2" t="s">
        <v>24</v>
      </c>
      <c r="D172" s="4" t="s">
        <v>39</v>
      </c>
      <c r="F172" s="6">
        <v>1</v>
      </c>
      <c r="G172" s="7" t="s">
        <v>19</v>
      </c>
      <c r="H172" s="6">
        <v>36</v>
      </c>
      <c r="I172" s="7" t="s">
        <v>39</v>
      </c>
      <c r="J172" s="8">
        <f>1954800/36</f>
        <v>54300</v>
      </c>
      <c r="K172" s="4" t="s">
        <v>39</v>
      </c>
      <c r="M172" s="9">
        <v>0.17</v>
      </c>
      <c r="O172" s="7" t="s">
        <v>39</v>
      </c>
      <c r="P172" s="3">
        <f t="shared" si="73"/>
        <v>0</v>
      </c>
      <c r="Q172" s="7" t="s">
        <v>39</v>
      </c>
      <c r="R172" s="8">
        <f t="shared" si="74"/>
        <v>0</v>
      </c>
      <c r="S172" s="8">
        <f t="shared" si="75"/>
        <v>0</v>
      </c>
    </row>
    <row r="173" spans="1:19" x14ac:dyDescent="0.2">
      <c r="A173" s="1" t="s">
        <v>122</v>
      </c>
      <c r="B173" s="2" t="s">
        <v>24</v>
      </c>
      <c r="D173" s="4" t="s">
        <v>39</v>
      </c>
      <c r="F173" s="6">
        <v>1</v>
      </c>
      <c r="G173" s="7" t="s">
        <v>19</v>
      </c>
      <c r="H173" s="6">
        <v>36</v>
      </c>
      <c r="I173" s="7" t="s">
        <v>39</v>
      </c>
      <c r="J173" s="8">
        <f>1954800/36</f>
        <v>54300</v>
      </c>
      <c r="K173" s="4" t="s">
        <v>39</v>
      </c>
      <c r="M173" s="9">
        <v>0.17</v>
      </c>
      <c r="O173" s="7" t="s">
        <v>39</v>
      </c>
      <c r="P173" s="3">
        <f t="shared" si="73"/>
        <v>0</v>
      </c>
      <c r="Q173" s="7" t="s">
        <v>39</v>
      </c>
      <c r="R173" s="8">
        <f t="shared" si="74"/>
        <v>0</v>
      </c>
      <c r="S173" s="8">
        <f t="shared" si="75"/>
        <v>0</v>
      </c>
    </row>
    <row r="174" spans="1:19" x14ac:dyDescent="0.2">
      <c r="A174" s="1" t="s">
        <v>123</v>
      </c>
      <c r="B174" s="2" t="s">
        <v>24</v>
      </c>
      <c r="D174" s="4" t="s">
        <v>39</v>
      </c>
      <c r="F174" s="6">
        <v>1</v>
      </c>
      <c r="G174" s="7" t="s">
        <v>19</v>
      </c>
      <c r="H174" s="6">
        <v>36</v>
      </c>
      <c r="I174" s="7" t="s">
        <v>39</v>
      </c>
      <c r="J174" s="8">
        <f>2008800/36</f>
        <v>55800</v>
      </c>
      <c r="K174" s="4" t="s">
        <v>39</v>
      </c>
      <c r="M174" s="9">
        <v>0.17</v>
      </c>
      <c r="O174" s="7" t="s">
        <v>39</v>
      </c>
      <c r="P174" s="3">
        <f t="shared" si="73"/>
        <v>0</v>
      </c>
      <c r="Q174" s="7" t="s">
        <v>39</v>
      </c>
      <c r="R174" s="8">
        <f t="shared" si="74"/>
        <v>0</v>
      </c>
      <c r="S174" s="8">
        <f t="shared" si="75"/>
        <v>0</v>
      </c>
    </row>
    <row r="175" spans="1:19" x14ac:dyDescent="0.2">
      <c r="A175" s="1" t="s">
        <v>124</v>
      </c>
      <c r="B175" s="2" t="s">
        <v>24</v>
      </c>
      <c r="C175" s="3">
        <v>36</v>
      </c>
      <c r="D175" s="4" t="s">
        <v>39</v>
      </c>
      <c r="F175" s="6">
        <v>1</v>
      </c>
      <c r="G175" s="7" t="s">
        <v>19</v>
      </c>
      <c r="H175" s="6">
        <v>36</v>
      </c>
      <c r="I175" s="7" t="s">
        <v>39</v>
      </c>
      <c r="J175" s="8">
        <f>1695600/36</f>
        <v>47100</v>
      </c>
      <c r="K175" s="4" t="s">
        <v>39</v>
      </c>
      <c r="M175" s="9">
        <v>0.17</v>
      </c>
      <c r="O175" s="7" t="s">
        <v>39</v>
      </c>
      <c r="P175" s="3">
        <f t="shared" si="73"/>
        <v>36</v>
      </c>
      <c r="Q175" s="7" t="s">
        <v>39</v>
      </c>
      <c r="R175" s="8">
        <f t="shared" si="74"/>
        <v>1267881.0810810809</v>
      </c>
      <c r="S175" s="8">
        <f t="shared" si="75"/>
        <v>1407348</v>
      </c>
    </row>
    <row r="176" spans="1:19" x14ac:dyDescent="0.2">
      <c r="A176" s="1" t="s">
        <v>125</v>
      </c>
      <c r="B176" s="2" t="s">
        <v>24</v>
      </c>
      <c r="D176" s="4" t="s">
        <v>39</v>
      </c>
      <c r="F176" s="6">
        <v>1</v>
      </c>
      <c r="G176" s="7" t="s">
        <v>19</v>
      </c>
      <c r="H176" s="6">
        <v>36</v>
      </c>
      <c r="I176" s="7" t="s">
        <v>39</v>
      </c>
      <c r="J176" s="8">
        <f>1922400/36</f>
        <v>53400</v>
      </c>
      <c r="K176" s="4" t="s">
        <v>39</v>
      </c>
      <c r="M176" s="9">
        <v>0.17</v>
      </c>
      <c r="O176" s="7" t="s">
        <v>39</v>
      </c>
      <c r="P176" s="3">
        <f t="shared" si="73"/>
        <v>0</v>
      </c>
      <c r="Q176" s="7" t="s">
        <v>39</v>
      </c>
      <c r="R176" s="8">
        <f t="shared" si="74"/>
        <v>0</v>
      </c>
      <c r="S176" s="8">
        <f t="shared" si="75"/>
        <v>0</v>
      </c>
    </row>
    <row r="177" spans="1:19" x14ac:dyDescent="0.2">
      <c r="A177" s="1" t="s">
        <v>126</v>
      </c>
      <c r="B177" s="2" t="s">
        <v>24</v>
      </c>
      <c r="D177" s="4" t="s">
        <v>39</v>
      </c>
      <c r="F177" s="6">
        <v>1</v>
      </c>
      <c r="G177" s="7" t="s">
        <v>19</v>
      </c>
      <c r="H177" s="6">
        <v>36</v>
      </c>
      <c r="I177" s="7" t="s">
        <v>39</v>
      </c>
      <c r="J177" s="8">
        <f>2052000/36</f>
        <v>57000</v>
      </c>
      <c r="K177" s="4" t="s">
        <v>39</v>
      </c>
      <c r="M177" s="9">
        <v>0.17</v>
      </c>
      <c r="O177" s="7" t="s">
        <v>39</v>
      </c>
      <c r="P177" s="3">
        <f t="shared" si="73"/>
        <v>0</v>
      </c>
      <c r="Q177" s="7" t="s">
        <v>39</v>
      </c>
      <c r="R177" s="8">
        <f t="shared" si="74"/>
        <v>0</v>
      </c>
      <c r="S177" s="8">
        <f t="shared" si="75"/>
        <v>0</v>
      </c>
    </row>
    <row r="178" spans="1:19" x14ac:dyDescent="0.2">
      <c r="A178" s="1" t="s">
        <v>127</v>
      </c>
      <c r="B178" s="2" t="s">
        <v>24</v>
      </c>
      <c r="D178" s="4" t="s">
        <v>39</v>
      </c>
      <c r="F178" s="6">
        <v>1</v>
      </c>
      <c r="G178" s="7" t="s">
        <v>19</v>
      </c>
      <c r="H178" s="6">
        <v>36</v>
      </c>
      <c r="I178" s="7" t="s">
        <v>39</v>
      </c>
      <c r="J178" s="8">
        <f>2170800/36</f>
        <v>60300</v>
      </c>
      <c r="K178" s="4" t="s">
        <v>39</v>
      </c>
      <c r="M178" s="9">
        <v>0.17</v>
      </c>
      <c r="O178" s="7" t="s">
        <v>39</v>
      </c>
      <c r="P178" s="3">
        <f t="shared" si="73"/>
        <v>0</v>
      </c>
      <c r="Q178" s="7" t="s">
        <v>39</v>
      </c>
      <c r="R178" s="8">
        <f t="shared" si="74"/>
        <v>0</v>
      </c>
      <c r="S178" s="8">
        <f t="shared" si="75"/>
        <v>0</v>
      </c>
    </row>
    <row r="180" spans="1:19" x14ac:dyDescent="0.2">
      <c r="A180" s="24" t="s">
        <v>128</v>
      </c>
    </row>
    <row r="181" spans="1:19" x14ac:dyDescent="0.2">
      <c r="A181" s="1" t="s">
        <v>129</v>
      </c>
      <c r="B181" s="2" t="s">
        <v>17</v>
      </c>
      <c r="C181" s="3">
        <v>120</v>
      </c>
      <c r="D181" s="4" t="s">
        <v>39</v>
      </c>
      <c r="F181" s="6">
        <v>1</v>
      </c>
      <c r="G181" s="7" t="s">
        <v>19</v>
      </c>
      <c r="H181" s="6">
        <v>60</v>
      </c>
      <c r="I181" s="7" t="s">
        <v>39</v>
      </c>
      <c r="J181" s="8">
        <f>4600*12</f>
        <v>55200</v>
      </c>
      <c r="K181" s="4" t="s">
        <v>39</v>
      </c>
      <c r="L181" s="9">
        <v>0.125</v>
      </c>
      <c r="M181" s="9">
        <v>0.05</v>
      </c>
      <c r="O181" s="7" t="s">
        <v>39</v>
      </c>
      <c r="P181" s="3">
        <f t="shared" ref="P181:P200" si="76">(C181+(E181*F181*H181))-N181</f>
        <v>120</v>
      </c>
      <c r="Q181" s="7" t="s">
        <v>39</v>
      </c>
      <c r="R181" s="8">
        <f t="shared" ref="R181:R200" si="77">S181/1.11</f>
        <v>4960540.5405405397</v>
      </c>
      <c r="S181" s="8">
        <f t="shared" ref="S181:S200" si="78">P181*(J181-(J181*L181)-((J181-(J181*L181))*M181))</f>
        <v>5506200</v>
      </c>
    </row>
    <row r="182" spans="1:19" x14ac:dyDescent="0.2">
      <c r="A182" s="1" t="s">
        <v>130</v>
      </c>
      <c r="B182" s="2" t="s">
        <v>17</v>
      </c>
      <c r="C182" s="3">
        <v>120</v>
      </c>
      <c r="D182" s="4" t="s">
        <v>39</v>
      </c>
      <c r="F182" s="6">
        <v>1</v>
      </c>
      <c r="G182" s="7" t="s">
        <v>19</v>
      </c>
      <c r="H182" s="6">
        <v>60</v>
      </c>
      <c r="I182" s="7" t="s">
        <v>39</v>
      </c>
      <c r="J182" s="8">
        <f>4500*12</f>
        <v>54000</v>
      </c>
      <c r="K182" s="4" t="s">
        <v>39</v>
      </c>
      <c r="L182" s="9">
        <v>0.125</v>
      </c>
      <c r="M182" s="9">
        <v>0.05</v>
      </c>
      <c r="O182" s="7" t="s">
        <v>39</v>
      </c>
      <c r="P182" s="3">
        <f t="shared" si="76"/>
        <v>120</v>
      </c>
      <c r="Q182" s="7" t="s">
        <v>39</v>
      </c>
      <c r="R182" s="8">
        <f t="shared" si="77"/>
        <v>4852702.702702702</v>
      </c>
      <c r="S182" s="8">
        <f t="shared" si="78"/>
        <v>5386500</v>
      </c>
    </row>
    <row r="183" spans="1:19" x14ac:dyDescent="0.2">
      <c r="A183" s="1" t="s">
        <v>679</v>
      </c>
      <c r="B183" s="2" t="s">
        <v>17</v>
      </c>
      <c r="D183" s="4" t="s">
        <v>39</v>
      </c>
      <c r="F183" s="6">
        <v>1</v>
      </c>
      <c r="G183" s="7" t="s">
        <v>19</v>
      </c>
      <c r="H183" s="6">
        <v>60</v>
      </c>
      <c r="I183" s="7" t="s">
        <v>39</v>
      </c>
      <c r="J183" s="8">
        <f>4500*12</f>
        <v>54000</v>
      </c>
      <c r="K183" s="4" t="s">
        <v>39</v>
      </c>
      <c r="L183" s="9">
        <v>0.125</v>
      </c>
      <c r="M183" s="9">
        <v>0.05</v>
      </c>
      <c r="O183" s="7" t="s">
        <v>39</v>
      </c>
      <c r="P183" s="3">
        <f t="shared" si="76"/>
        <v>0</v>
      </c>
      <c r="Q183" s="7" t="s">
        <v>39</v>
      </c>
      <c r="R183" s="8">
        <f t="shared" si="77"/>
        <v>0</v>
      </c>
      <c r="S183" s="8">
        <f t="shared" si="78"/>
        <v>0</v>
      </c>
    </row>
    <row r="184" spans="1:19" x14ac:dyDescent="0.2">
      <c r="A184" s="1" t="s">
        <v>131</v>
      </c>
      <c r="B184" s="2" t="s">
        <v>17</v>
      </c>
      <c r="D184" s="4" t="s">
        <v>39</v>
      </c>
      <c r="F184" s="6">
        <v>1</v>
      </c>
      <c r="G184" s="7" t="s">
        <v>19</v>
      </c>
      <c r="H184" s="6">
        <v>30</v>
      </c>
      <c r="I184" s="7" t="s">
        <v>39</v>
      </c>
      <c r="J184" s="8">
        <v>69600</v>
      </c>
      <c r="K184" s="4" t="s">
        <v>39</v>
      </c>
      <c r="L184" s="9">
        <v>0.125</v>
      </c>
      <c r="M184" s="9">
        <v>0.05</v>
      </c>
      <c r="O184" s="7" t="s">
        <v>39</v>
      </c>
      <c r="P184" s="3">
        <f t="shared" ref="P184" si="79">(C184+(E184*F184*H184))-N184</f>
        <v>0</v>
      </c>
      <c r="Q184" s="7" t="s">
        <v>39</v>
      </c>
      <c r="R184" s="8">
        <f t="shared" si="77"/>
        <v>0</v>
      </c>
      <c r="S184" s="8">
        <f t="shared" ref="S184" si="80">P184*(J184-(J184*L184)-((J184-(J184*L184))*M184))</f>
        <v>0</v>
      </c>
    </row>
    <row r="185" spans="1:19" x14ac:dyDescent="0.2">
      <c r="A185" s="1" t="s">
        <v>704</v>
      </c>
      <c r="B185" s="2" t="s">
        <v>17</v>
      </c>
      <c r="C185" s="3">
        <v>30</v>
      </c>
      <c r="D185" s="4" t="s">
        <v>39</v>
      </c>
      <c r="F185" s="6">
        <v>1</v>
      </c>
      <c r="G185" s="7" t="s">
        <v>19</v>
      </c>
      <c r="H185" s="6">
        <v>30</v>
      </c>
      <c r="I185" s="7" t="s">
        <v>39</v>
      </c>
      <c r="J185" s="8">
        <f>11000*12</f>
        <v>132000</v>
      </c>
      <c r="K185" s="4" t="s">
        <v>39</v>
      </c>
      <c r="L185" s="9">
        <v>0.125</v>
      </c>
      <c r="M185" s="9">
        <v>0.05</v>
      </c>
      <c r="O185" s="7" t="s">
        <v>39</v>
      </c>
      <c r="P185" s="3">
        <f t="shared" ref="P185" si="81">(C185+(E185*F185*H185))-N185</f>
        <v>30</v>
      </c>
      <c r="Q185" s="7" t="s">
        <v>39</v>
      </c>
      <c r="R185" s="8">
        <f t="shared" si="77"/>
        <v>2965540.5405405401</v>
      </c>
      <c r="S185" s="8">
        <f t="shared" ref="S185" si="82">P185*(J185-(J185*L185)-((J185-(J185*L185))*M185))</f>
        <v>3291750</v>
      </c>
    </row>
    <row r="186" spans="1:19" x14ac:dyDescent="0.2">
      <c r="A186" s="1" t="s">
        <v>132</v>
      </c>
      <c r="B186" s="2" t="s">
        <v>17</v>
      </c>
      <c r="C186" s="3">
        <v>60</v>
      </c>
      <c r="D186" s="4" t="s">
        <v>39</v>
      </c>
      <c r="F186" s="6">
        <v>1</v>
      </c>
      <c r="G186" s="7" t="s">
        <v>19</v>
      </c>
      <c r="H186" s="6">
        <v>60</v>
      </c>
      <c r="I186" s="7" t="s">
        <v>39</v>
      </c>
      <c r="J186" s="8">
        <v>51600</v>
      </c>
      <c r="K186" s="4" t="s">
        <v>39</v>
      </c>
      <c r="L186" s="9">
        <v>0.125</v>
      </c>
      <c r="M186" s="9">
        <v>0.05</v>
      </c>
      <c r="O186" s="7" t="s">
        <v>39</v>
      </c>
      <c r="P186" s="3">
        <f t="shared" ref="P186" si="83">(C186+(E186*F186*H186))-N186</f>
        <v>60</v>
      </c>
      <c r="Q186" s="7" t="s">
        <v>39</v>
      </c>
      <c r="R186" s="8">
        <f t="shared" si="77"/>
        <v>2318513.5135135134</v>
      </c>
      <c r="S186" s="8">
        <f t="shared" ref="S186" si="84">P186*(J186-(J186*L186)-((J186-(J186*L186))*M186))</f>
        <v>2573550</v>
      </c>
    </row>
    <row r="187" spans="1:19" x14ac:dyDescent="0.2">
      <c r="A187" s="1" t="s">
        <v>874</v>
      </c>
      <c r="B187" s="2" t="s">
        <v>17</v>
      </c>
      <c r="D187" s="4" t="s">
        <v>39</v>
      </c>
      <c r="F187" s="6">
        <v>1</v>
      </c>
      <c r="G187" s="7" t="s">
        <v>19</v>
      </c>
      <c r="H187" s="6">
        <v>60</v>
      </c>
      <c r="I187" s="7" t="s">
        <v>39</v>
      </c>
      <c r="J187" s="8">
        <v>51600</v>
      </c>
      <c r="K187" s="4" t="s">
        <v>39</v>
      </c>
      <c r="L187" s="9">
        <v>0.125</v>
      </c>
      <c r="M187" s="9">
        <v>0.05</v>
      </c>
      <c r="O187" s="7" t="s">
        <v>39</v>
      </c>
      <c r="P187" s="3">
        <f t="shared" ref="P187" si="85">(C187+(E187*F187*H187))-N187</f>
        <v>0</v>
      </c>
      <c r="Q187" s="7" t="s">
        <v>39</v>
      </c>
      <c r="R187" s="8">
        <f t="shared" si="77"/>
        <v>0</v>
      </c>
      <c r="S187" s="8">
        <f t="shared" ref="S187" si="86">P187*(J187-(J187*L187)-((J187-(J187*L187))*M187))</f>
        <v>0</v>
      </c>
    </row>
    <row r="188" spans="1:19" x14ac:dyDescent="0.2">
      <c r="A188" s="1" t="s">
        <v>822</v>
      </c>
      <c r="B188" s="2" t="s">
        <v>17</v>
      </c>
      <c r="D188" s="4" t="s">
        <v>101</v>
      </c>
      <c r="F188" s="6">
        <v>24</v>
      </c>
      <c r="G188" s="7" t="s">
        <v>32</v>
      </c>
      <c r="H188" s="6">
        <v>12</v>
      </c>
      <c r="I188" s="7" t="s">
        <v>101</v>
      </c>
      <c r="J188" s="8">
        <v>9300</v>
      </c>
      <c r="K188" s="4" t="s">
        <v>101</v>
      </c>
      <c r="L188" s="9">
        <v>0.125</v>
      </c>
      <c r="M188" s="9">
        <v>0.05</v>
      </c>
      <c r="O188" s="7" t="s">
        <v>101</v>
      </c>
      <c r="P188" s="3">
        <f t="shared" si="76"/>
        <v>0</v>
      </c>
      <c r="Q188" s="7" t="s">
        <v>101</v>
      </c>
      <c r="R188" s="8">
        <f t="shared" si="77"/>
        <v>0</v>
      </c>
      <c r="S188" s="8">
        <f t="shared" si="78"/>
        <v>0</v>
      </c>
    </row>
    <row r="189" spans="1:19" x14ac:dyDescent="0.2">
      <c r="A189" s="1" t="s">
        <v>133</v>
      </c>
      <c r="B189" s="2" t="s">
        <v>17</v>
      </c>
      <c r="D189" s="4" t="s">
        <v>39</v>
      </c>
      <c r="F189" s="6">
        <v>1</v>
      </c>
      <c r="G189" s="7" t="s">
        <v>19</v>
      </c>
      <c r="H189" s="6">
        <v>60</v>
      </c>
      <c r="I189" s="7" t="s">
        <v>39</v>
      </c>
      <c r="J189" s="8">
        <f>5800*12</f>
        <v>69600</v>
      </c>
      <c r="K189" s="4" t="s">
        <v>39</v>
      </c>
      <c r="L189" s="9">
        <v>0.125</v>
      </c>
      <c r="M189" s="9">
        <v>0.05</v>
      </c>
      <c r="O189" s="7" t="s">
        <v>39</v>
      </c>
      <c r="P189" s="3">
        <f t="shared" si="76"/>
        <v>0</v>
      </c>
      <c r="Q189" s="7" t="s">
        <v>39</v>
      </c>
      <c r="R189" s="8">
        <f t="shared" si="77"/>
        <v>0</v>
      </c>
      <c r="S189" s="8">
        <f t="shared" si="78"/>
        <v>0</v>
      </c>
    </row>
    <row r="190" spans="1:19" x14ac:dyDescent="0.2">
      <c r="A190" s="1" t="s">
        <v>134</v>
      </c>
      <c r="B190" s="2" t="s">
        <v>17</v>
      </c>
      <c r="D190" s="4" t="s">
        <v>39</v>
      </c>
      <c r="F190" s="6">
        <v>1</v>
      </c>
      <c r="G190" s="7" t="s">
        <v>19</v>
      </c>
      <c r="H190" s="6">
        <v>40</v>
      </c>
      <c r="I190" s="7" t="s">
        <v>39</v>
      </c>
      <c r="J190" s="8">
        <f>8500*12</f>
        <v>102000</v>
      </c>
      <c r="K190" s="4" t="s">
        <v>39</v>
      </c>
      <c r="L190" s="9">
        <v>0.125</v>
      </c>
      <c r="M190" s="9">
        <v>0.1</v>
      </c>
      <c r="O190" s="7" t="s">
        <v>39</v>
      </c>
      <c r="P190" s="3">
        <f t="shared" ref="P190" si="87">(C190+(E190*F190*H190))-N190</f>
        <v>0</v>
      </c>
      <c r="Q190" s="7" t="s">
        <v>39</v>
      </c>
      <c r="R190" s="8">
        <f t="shared" si="77"/>
        <v>0</v>
      </c>
      <c r="S190" s="8">
        <f t="shared" ref="S190" si="88">P190*(J190-(J190*L190)-((J190-(J190*L190))*M190))</f>
        <v>0</v>
      </c>
    </row>
    <row r="191" spans="1:19" x14ac:dyDescent="0.2">
      <c r="A191" s="1" t="s">
        <v>823</v>
      </c>
      <c r="B191" s="2" t="s">
        <v>17</v>
      </c>
      <c r="D191" s="4" t="s">
        <v>39</v>
      </c>
      <c r="F191" s="6">
        <v>1</v>
      </c>
      <c r="G191" s="7" t="s">
        <v>19</v>
      </c>
      <c r="H191" s="6">
        <v>60</v>
      </c>
      <c r="I191" s="7" t="s">
        <v>39</v>
      </c>
      <c r="J191" s="8">
        <f>4000*12</f>
        <v>48000</v>
      </c>
      <c r="K191" s="4" t="s">
        <v>39</v>
      </c>
      <c r="L191" s="9">
        <v>0.125</v>
      </c>
      <c r="M191" s="9">
        <v>0.05</v>
      </c>
      <c r="O191" s="7" t="s">
        <v>39</v>
      </c>
      <c r="P191" s="3">
        <f t="shared" si="76"/>
        <v>0</v>
      </c>
      <c r="Q191" s="7" t="s">
        <v>39</v>
      </c>
      <c r="R191" s="8">
        <f t="shared" si="77"/>
        <v>0</v>
      </c>
      <c r="S191" s="8">
        <f t="shared" si="78"/>
        <v>0</v>
      </c>
    </row>
    <row r="192" spans="1:19" x14ac:dyDescent="0.2">
      <c r="A192" s="1" t="s">
        <v>824</v>
      </c>
      <c r="B192" s="2" t="s">
        <v>17</v>
      </c>
      <c r="D192" s="4" t="s">
        <v>39</v>
      </c>
      <c r="F192" s="6">
        <v>1</v>
      </c>
      <c r="G192" s="7" t="s">
        <v>19</v>
      </c>
      <c r="H192" s="6">
        <v>40</v>
      </c>
      <c r="I192" s="7" t="s">
        <v>39</v>
      </c>
      <c r="J192" s="8">
        <f>5700*12</f>
        <v>68400</v>
      </c>
      <c r="K192" s="4" t="s">
        <v>39</v>
      </c>
      <c r="L192" s="9">
        <v>0.125</v>
      </c>
      <c r="M192" s="9">
        <v>0.05</v>
      </c>
      <c r="O192" s="7" t="s">
        <v>39</v>
      </c>
      <c r="P192" s="3">
        <f t="shared" si="76"/>
        <v>0</v>
      </c>
      <c r="Q192" s="7" t="s">
        <v>39</v>
      </c>
      <c r="R192" s="8">
        <f t="shared" si="77"/>
        <v>0</v>
      </c>
      <c r="S192" s="8">
        <f t="shared" si="78"/>
        <v>0</v>
      </c>
    </row>
    <row r="193" spans="1:19" x14ac:dyDescent="0.2">
      <c r="A193" s="1" t="s">
        <v>776</v>
      </c>
      <c r="B193" s="2" t="s">
        <v>17</v>
      </c>
      <c r="D193" s="4" t="s">
        <v>39</v>
      </c>
      <c r="F193" s="6">
        <v>1</v>
      </c>
      <c r="G193" s="7" t="s">
        <v>19</v>
      </c>
      <c r="H193" s="6">
        <v>40</v>
      </c>
      <c r="I193" s="7" t="s">
        <v>39</v>
      </c>
      <c r="J193" s="8">
        <f>5800*12</f>
        <v>69600</v>
      </c>
      <c r="K193" s="4" t="s">
        <v>39</v>
      </c>
      <c r="L193" s="9">
        <v>0.125</v>
      </c>
      <c r="M193" s="9">
        <v>0.05</v>
      </c>
      <c r="O193" s="7" t="s">
        <v>39</v>
      </c>
      <c r="P193" s="3">
        <f t="shared" si="76"/>
        <v>0</v>
      </c>
      <c r="Q193" s="7" t="s">
        <v>39</v>
      </c>
      <c r="R193" s="8">
        <f t="shared" si="77"/>
        <v>0</v>
      </c>
      <c r="S193" s="8">
        <f t="shared" si="78"/>
        <v>0</v>
      </c>
    </row>
    <row r="194" spans="1:19" x14ac:dyDescent="0.2">
      <c r="A194" s="1" t="s">
        <v>825</v>
      </c>
      <c r="B194" s="2" t="s">
        <v>17</v>
      </c>
      <c r="D194" s="4" t="s">
        <v>39</v>
      </c>
      <c r="F194" s="6">
        <v>1</v>
      </c>
      <c r="G194" s="7" t="s">
        <v>19</v>
      </c>
      <c r="H194" s="6">
        <v>40</v>
      </c>
      <c r="I194" s="7" t="s">
        <v>39</v>
      </c>
      <c r="J194" s="8">
        <f>10800*12</f>
        <v>129600</v>
      </c>
      <c r="K194" s="4" t="s">
        <v>39</v>
      </c>
      <c r="L194" s="9">
        <v>0.125</v>
      </c>
      <c r="M194" s="9">
        <v>0.05</v>
      </c>
      <c r="O194" s="7" t="s">
        <v>39</v>
      </c>
      <c r="P194" s="3">
        <f t="shared" si="76"/>
        <v>0</v>
      </c>
      <c r="Q194" s="7" t="s">
        <v>39</v>
      </c>
      <c r="R194" s="8">
        <f t="shared" si="77"/>
        <v>0</v>
      </c>
      <c r="S194" s="8">
        <f t="shared" si="78"/>
        <v>0</v>
      </c>
    </row>
    <row r="195" spans="1:19" x14ac:dyDescent="0.2">
      <c r="A195" s="1" t="s">
        <v>135</v>
      </c>
      <c r="B195" s="2" t="s">
        <v>17</v>
      </c>
      <c r="D195" s="4" t="s">
        <v>39</v>
      </c>
      <c r="F195" s="6">
        <v>1</v>
      </c>
      <c r="G195" s="7" t="s">
        <v>19</v>
      </c>
      <c r="H195" s="6">
        <v>40</v>
      </c>
      <c r="I195" s="7" t="s">
        <v>39</v>
      </c>
      <c r="J195" s="8">
        <f>8800*12</f>
        <v>105600</v>
      </c>
      <c r="K195" s="4" t="s">
        <v>39</v>
      </c>
      <c r="L195" s="9">
        <v>0.125</v>
      </c>
      <c r="M195" s="9">
        <v>0.05</v>
      </c>
      <c r="O195" s="7" t="s">
        <v>39</v>
      </c>
      <c r="P195" s="3">
        <f t="shared" si="76"/>
        <v>0</v>
      </c>
      <c r="Q195" s="7" t="s">
        <v>39</v>
      </c>
      <c r="R195" s="8">
        <f t="shared" si="77"/>
        <v>0</v>
      </c>
      <c r="S195" s="8">
        <f t="shared" si="78"/>
        <v>0</v>
      </c>
    </row>
    <row r="196" spans="1:19" x14ac:dyDescent="0.2">
      <c r="A196" s="1" t="s">
        <v>796</v>
      </c>
      <c r="B196" s="2" t="s">
        <v>17</v>
      </c>
      <c r="D196" s="4" t="s">
        <v>39</v>
      </c>
      <c r="F196" s="6">
        <v>1</v>
      </c>
      <c r="G196" s="7" t="s">
        <v>19</v>
      </c>
      <c r="H196" s="6">
        <v>40</v>
      </c>
      <c r="I196" s="7" t="s">
        <v>39</v>
      </c>
      <c r="J196" s="8">
        <f>10000*12</f>
        <v>120000</v>
      </c>
      <c r="K196" s="4" t="s">
        <v>39</v>
      </c>
      <c r="L196" s="9">
        <v>0.125</v>
      </c>
      <c r="M196" s="9">
        <v>0.05</v>
      </c>
      <c r="O196" s="7" t="s">
        <v>39</v>
      </c>
      <c r="P196" s="3">
        <f t="shared" si="76"/>
        <v>0</v>
      </c>
      <c r="Q196" s="7" t="s">
        <v>39</v>
      </c>
      <c r="R196" s="8">
        <f t="shared" si="77"/>
        <v>0</v>
      </c>
      <c r="S196" s="8">
        <f t="shared" si="78"/>
        <v>0</v>
      </c>
    </row>
    <row r="197" spans="1:19" x14ac:dyDescent="0.2">
      <c r="A197" s="1" t="s">
        <v>860</v>
      </c>
      <c r="B197" s="2" t="s">
        <v>17</v>
      </c>
      <c r="D197" s="4" t="s">
        <v>39</v>
      </c>
      <c r="F197" s="6">
        <v>1</v>
      </c>
      <c r="G197" s="7" t="s">
        <v>19</v>
      </c>
      <c r="H197" s="6">
        <v>36</v>
      </c>
      <c r="I197" s="7" t="s">
        <v>39</v>
      </c>
      <c r="J197" s="8">
        <v>34800</v>
      </c>
      <c r="K197" s="4" t="s">
        <v>39</v>
      </c>
      <c r="L197" s="9">
        <v>0.125</v>
      </c>
      <c r="M197" s="9">
        <v>0.05</v>
      </c>
      <c r="O197" s="7" t="s">
        <v>39</v>
      </c>
      <c r="P197" s="3">
        <f t="shared" ref="P197" si="89">(C197+(E197*F197*H197))-N197</f>
        <v>0</v>
      </c>
      <c r="Q197" s="7" t="s">
        <v>39</v>
      </c>
      <c r="R197" s="8">
        <f t="shared" si="77"/>
        <v>0</v>
      </c>
      <c r="S197" s="8">
        <f t="shared" ref="S197" si="90">P197*(J197-(J197*L197)-((J197-(J197*L197))*M197))</f>
        <v>0</v>
      </c>
    </row>
    <row r="198" spans="1:19" x14ac:dyDescent="0.2">
      <c r="A198" s="1" t="s">
        <v>846</v>
      </c>
      <c r="B198" s="2" t="s">
        <v>17</v>
      </c>
      <c r="D198" s="4" t="s">
        <v>39</v>
      </c>
      <c r="F198" s="6">
        <v>1</v>
      </c>
      <c r="G198" s="7" t="s">
        <v>19</v>
      </c>
      <c r="H198" s="6">
        <f>360/12</f>
        <v>30</v>
      </c>
      <c r="I198" s="7" t="s">
        <v>39</v>
      </c>
      <c r="J198" s="8">
        <f>5400*12</f>
        <v>64800</v>
      </c>
      <c r="K198" s="4" t="s">
        <v>39</v>
      </c>
      <c r="L198" s="9">
        <v>0.125</v>
      </c>
      <c r="M198" s="9">
        <v>0.05</v>
      </c>
      <c r="O198" s="7" t="s">
        <v>39</v>
      </c>
      <c r="P198" s="3">
        <f t="shared" ref="P198" si="91">(C198+(E198*F198*H198))-N198</f>
        <v>0</v>
      </c>
      <c r="Q198" s="7" t="s">
        <v>39</v>
      </c>
      <c r="R198" s="8">
        <f t="shared" si="77"/>
        <v>0</v>
      </c>
      <c r="S198" s="8">
        <f t="shared" ref="S198" si="92">P198*(J198-(J198*L198)-((J198-(J198*L198))*M198))</f>
        <v>0</v>
      </c>
    </row>
    <row r="199" spans="1:19" x14ac:dyDescent="0.2">
      <c r="A199" s="1" t="s">
        <v>777</v>
      </c>
      <c r="B199" s="2" t="s">
        <v>17</v>
      </c>
      <c r="D199" s="4" t="s">
        <v>39</v>
      </c>
      <c r="F199" s="6">
        <v>1</v>
      </c>
      <c r="G199" s="7" t="s">
        <v>19</v>
      </c>
      <c r="H199" s="6">
        <f>360/12</f>
        <v>30</v>
      </c>
      <c r="I199" s="7" t="s">
        <v>39</v>
      </c>
      <c r="J199" s="8">
        <f>4800*12</f>
        <v>57600</v>
      </c>
      <c r="K199" s="4" t="s">
        <v>39</v>
      </c>
      <c r="L199" s="9">
        <v>0.125</v>
      </c>
      <c r="M199" s="9">
        <v>0.05</v>
      </c>
      <c r="O199" s="7" t="s">
        <v>39</v>
      </c>
      <c r="P199" s="3">
        <f t="shared" si="76"/>
        <v>0</v>
      </c>
      <c r="Q199" s="7" t="s">
        <v>39</v>
      </c>
      <c r="R199" s="8">
        <f t="shared" si="77"/>
        <v>0</v>
      </c>
      <c r="S199" s="8">
        <f t="shared" si="78"/>
        <v>0</v>
      </c>
    </row>
    <row r="200" spans="1:19" x14ac:dyDescent="0.2">
      <c r="A200" s="1" t="s">
        <v>778</v>
      </c>
      <c r="B200" s="2" t="s">
        <v>17</v>
      </c>
      <c r="D200" s="4" t="s">
        <v>39</v>
      </c>
      <c r="F200" s="6">
        <v>1</v>
      </c>
      <c r="G200" s="7" t="s">
        <v>19</v>
      </c>
      <c r="H200" s="6">
        <f>360/12</f>
        <v>30</v>
      </c>
      <c r="I200" s="7" t="s">
        <v>39</v>
      </c>
      <c r="J200" s="8">
        <f>6000*12</f>
        <v>72000</v>
      </c>
      <c r="K200" s="4" t="s">
        <v>39</v>
      </c>
      <c r="L200" s="9">
        <v>0.125</v>
      </c>
      <c r="M200" s="9">
        <v>0.05</v>
      </c>
      <c r="O200" s="7" t="s">
        <v>39</v>
      </c>
      <c r="P200" s="3">
        <f t="shared" si="76"/>
        <v>0</v>
      </c>
      <c r="Q200" s="7" t="s">
        <v>39</v>
      </c>
      <c r="R200" s="8">
        <f t="shared" si="77"/>
        <v>0</v>
      </c>
      <c r="S200" s="8">
        <f t="shared" si="78"/>
        <v>0</v>
      </c>
    </row>
    <row r="202" spans="1:19" x14ac:dyDescent="0.2">
      <c r="A202" s="1" t="s">
        <v>136</v>
      </c>
      <c r="B202" s="2" t="s">
        <v>24</v>
      </c>
      <c r="D202" s="4" t="s">
        <v>39</v>
      </c>
      <c r="F202" s="6">
        <v>1</v>
      </c>
      <c r="G202" s="7" t="s">
        <v>19</v>
      </c>
      <c r="H202" s="6">
        <v>36</v>
      </c>
      <c r="I202" s="7" t="s">
        <v>39</v>
      </c>
      <c r="J202" s="8">
        <f>2095200/36</f>
        <v>58200</v>
      </c>
      <c r="K202" s="4" t="s">
        <v>39</v>
      </c>
      <c r="M202" s="9">
        <v>0.17</v>
      </c>
      <c r="O202" s="7" t="s">
        <v>39</v>
      </c>
      <c r="P202" s="3">
        <f t="shared" ref="P202:P228" si="93">(C202+(E202*F202*H202))-N202</f>
        <v>0</v>
      </c>
      <c r="Q202" s="7" t="s">
        <v>39</v>
      </c>
      <c r="R202" s="8">
        <f t="shared" ref="R202:R228" si="94">S202/1.11</f>
        <v>0</v>
      </c>
      <c r="S202" s="8">
        <f t="shared" ref="S202:S228" si="95">P202*(J202-(J202*L202)-((J202-(J202*L202))*M202))</f>
        <v>0</v>
      </c>
    </row>
    <row r="203" spans="1:19" x14ac:dyDescent="0.2">
      <c r="A203" s="1" t="s">
        <v>735</v>
      </c>
      <c r="B203" s="2" t="s">
        <v>24</v>
      </c>
      <c r="D203" s="4" t="s">
        <v>39</v>
      </c>
      <c r="F203" s="6">
        <v>1</v>
      </c>
      <c r="G203" s="7" t="s">
        <v>19</v>
      </c>
      <c r="H203" s="6">
        <v>36</v>
      </c>
      <c r="I203" s="7" t="s">
        <v>39</v>
      </c>
      <c r="J203" s="8">
        <f>2116800/36</f>
        <v>58800</v>
      </c>
      <c r="K203" s="4" t="s">
        <v>39</v>
      </c>
      <c r="M203" s="9">
        <v>0.17</v>
      </c>
      <c r="O203" s="7" t="s">
        <v>39</v>
      </c>
      <c r="P203" s="3">
        <f t="shared" si="93"/>
        <v>0</v>
      </c>
      <c r="Q203" s="7" t="s">
        <v>39</v>
      </c>
      <c r="R203" s="8">
        <f t="shared" si="94"/>
        <v>0</v>
      </c>
      <c r="S203" s="8">
        <f t="shared" si="95"/>
        <v>0</v>
      </c>
    </row>
    <row r="204" spans="1:19" x14ac:dyDescent="0.2">
      <c r="A204" s="1" t="s">
        <v>137</v>
      </c>
      <c r="B204" s="2" t="s">
        <v>24</v>
      </c>
      <c r="D204" s="4" t="s">
        <v>39</v>
      </c>
      <c r="F204" s="6">
        <v>1</v>
      </c>
      <c r="G204" s="7" t="s">
        <v>19</v>
      </c>
      <c r="H204" s="6">
        <v>48</v>
      </c>
      <c r="I204" s="7" t="s">
        <v>39</v>
      </c>
      <c r="J204" s="8">
        <f>2995200/48</f>
        <v>62400</v>
      </c>
      <c r="K204" s="4" t="s">
        <v>39</v>
      </c>
      <c r="M204" s="9">
        <v>0.17</v>
      </c>
      <c r="O204" s="7" t="s">
        <v>39</v>
      </c>
      <c r="P204" s="3">
        <f t="shared" si="93"/>
        <v>0</v>
      </c>
      <c r="Q204" s="7" t="s">
        <v>39</v>
      </c>
      <c r="R204" s="8">
        <f t="shared" si="94"/>
        <v>0</v>
      </c>
      <c r="S204" s="8">
        <f t="shared" si="95"/>
        <v>0</v>
      </c>
    </row>
    <row r="205" spans="1:19" x14ac:dyDescent="0.2">
      <c r="A205" s="1" t="s">
        <v>138</v>
      </c>
      <c r="B205" s="2" t="s">
        <v>24</v>
      </c>
      <c r="D205" s="4" t="s">
        <v>39</v>
      </c>
      <c r="F205" s="6">
        <v>1</v>
      </c>
      <c r="G205" s="7" t="s">
        <v>19</v>
      </c>
      <c r="H205" s="6">
        <v>48</v>
      </c>
      <c r="I205" s="7" t="s">
        <v>39</v>
      </c>
      <c r="J205" s="8">
        <f>3916800/48</f>
        <v>81600</v>
      </c>
      <c r="K205" s="4" t="s">
        <v>39</v>
      </c>
      <c r="L205" s="9">
        <v>0.05</v>
      </c>
      <c r="M205" s="9">
        <v>0.17</v>
      </c>
      <c r="O205" s="7" t="s">
        <v>39</v>
      </c>
      <c r="P205" s="3">
        <f t="shared" ref="P205" si="96">(C205+(E205*F205*H205))-N205</f>
        <v>0</v>
      </c>
      <c r="Q205" s="7" t="s">
        <v>39</v>
      </c>
      <c r="R205" s="8">
        <f t="shared" si="94"/>
        <v>0</v>
      </c>
      <c r="S205" s="8">
        <f t="shared" ref="S205" si="97">P205*(J205-(J205*L205)-((J205-(J205*L205))*M205))</f>
        <v>0</v>
      </c>
    </row>
    <row r="206" spans="1:19" x14ac:dyDescent="0.2">
      <c r="A206" s="1" t="s">
        <v>910</v>
      </c>
      <c r="B206" s="2" t="s">
        <v>24</v>
      </c>
      <c r="D206" s="4" t="s">
        <v>39</v>
      </c>
      <c r="F206" s="6">
        <v>1</v>
      </c>
      <c r="G206" s="7" t="s">
        <v>19</v>
      </c>
      <c r="H206" s="6">
        <v>48</v>
      </c>
      <c r="I206" s="7" t="s">
        <v>39</v>
      </c>
      <c r="J206" s="8">
        <v>96000</v>
      </c>
      <c r="K206" s="4" t="s">
        <v>39</v>
      </c>
      <c r="M206" s="9">
        <v>0.17</v>
      </c>
      <c r="O206" s="7" t="s">
        <v>39</v>
      </c>
      <c r="P206" s="3">
        <f t="shared" ref="P206" si="98">(C206+(E206*F206*H206))-N206</f>
        <v>0</v>
      </c>
      <c r="Q206" s="7" t="s">
        <v>39</v>
      </c>
      <c r="R206" s="8">
        <f t="shared" si="94"/>
        <v>0</v>
      </c>
      <c r="S206" s="8">
        <f t="shared" ref="S206" si="99">P206*(J206-(J206*L206)-((J206-(J206*L206))*M206))</f>
        <v>0</v>
      </c>
    </row>
    <row r="207" spans="1:19" x14ac:dyDescent="0.2">
      <c r="A207" s="1" t="s">
        <v>734</v>
      </c>
      <c r="B207" s="2" t="s">
        <v>24</v>
      </c>
      <c r="D207" s="4" t="s">
        <v>39</v>
      </c>
      <c r="F207" s="6">
        <v>1</v>
      </c>
      <c r="G207" s="7" t="s">
        <v>19</v>
      </c>
      <c r="H207" s="6">
        <v>48</v>
      </c>
      <c r="I207" s="7" t="s">
        <v>39</v>
      </c>
      <c r="J207" s="8">
        <f>4032000/48</f>
        <v>84000</v>
      </c>
      <c r="K207" s="4" t="s">
        <v>39</v>
      </c>
      <c r="M207" s="9">
        <v>0.17</v>
      </c>
      <c r="O207" s="7" t="s">
        <v>39</v>
      </c>
      <c r="P207" s="3">
        <f t="shared" si="93"/>
        <v>0</v>
      </c>
      <c r="Q207" s="7" t="s">
        <v>39</v>
      </c>
      <c r="R207" s="8">
        <f t="shared" si="94"/>
        <v>0</v>
      </c>
      <c r="S207" s="8">
        <f t="shared" si="95"/>
        <v>0</v>
      </c>
    </row>
    <row r="208" spans="1:19" x14ac:dyDescent="0.2">
      <c r="A208" s="1" t="s">
        <v>139</v>
      </c>
      <c r="B208" s="2" t="s">
        <v>24</v>
      </c>
      <c r="D208" s="4" t="s">
        <v>39</v>
      </c>
      <c r="F208" s="6">
        <v>1</v>
      </c>
      <c r="G208" s="7" t="s">
        <v>19</v>
      </c>
      <c r="H208" s="6">
        <v>48</v>
      </c>
      <c r="I208" s="7" t="s">
        <v>39</v>
      </c>
      <c r="J208" s="8">
        <f>5100*12</f>
        <v>61200</v>
      </c>
      <c r="K208" s="4" t="s">
        <v>39</v>
      </c>
      <c r="M208" s="9">
        <v>0.17</v>
      </c>
      <c r="O208" s="7" t="s">
        <v>39</v>
      </c>
      <c r="P208" s="3">
        <f t="shared" si="93"/>
        <v>0</v>
      </c>
      <c r="Q208" s="7" t="s">
        <v>39</v>
      </c>
      <c r="R208" s="8">
        <f t="shared" si="94"/>
        <v>0</v>
      </c>
      <c r="S208" s="8">
        <f t="shared" si="95"/>
        <v>0</v>
      </c>
    </row>
    <row r="209" spans="1:19" x14ac:dyDescent="0.2">
      <c r="A209" s="1" t="s">
        <v>861</v>
      </c>
      <c r="B209" s="2" t="s">
        <v>24</v>
      </c>
      <c r="D209" s="4" t="s">
        <v>39</v>
      </c>
      <c r="F209" s="6">
        <v>1</v>
      </c>
      <c r="G209" s="7" t="s">
        <v>19</v>
      </c>
      <c r="H209" s="6">
        <v>48</v>
      </c>
      <c r="I209" s="7" t="s">
        <v>39</v>
      </c>
      <c r="J209" s="8">
        <v>58800</v>
      </c>
      <c r="K209" s="4" t="s">
        <v>39</v>
      </c>
      <c r="M209" s="9">
        <v>0.17</v>
      </c>
      <c r="O209" s="7" t="s">
        <v>39</v>
      </c>
      <c r="P209" s="3">
        <f>(C209+(E209*F209*H209))-N209</f>
        <v>0</v>
      </c>
      <c r="Q209" s="7" t="s">
        <v>39</v>
      </c>
      <c r="R209" s="8">
        <f t="shared" si="94"/>
        <v>0</v>
      </c>
      <c r="S209" s="8">
        <f>P209*(J209-(J209*L209)-((J209-(J209*L209))*M209))</f>
        <v>0</v>
      </c>
    </row>
    <row r="210" spans="1:19" x14ac:dyDescent="0.2">
      <c r="A210" s="1" t="s">
        <v>862</v>
      </c>
      <c r="B210" s="2" t="s">
        <v>24</v>
      </c>
      <c r="D210" s="4" t="s">
        <v>39</v>
      </c>
      <c r="F210" s="6">
        <v>1</v>
      </c>
      <c r="G210" s="7" t="s">
        <v>19</v>
      </c>
      <c r="H210" s="6">
        <v>48</v>
      </c>
      <c r="I210" s="7" t="s">
        <v>39</v>
      </c>
      <c r="J210" s="8">
        <v>50400</v>
      </c>
      <c r="K210" s="4" t="s">
        <v>39</v>
      </c>
      <c r="M210" s="9">
        <v>0.17</v>
      </c>
      <c r="O210" s="7" t="s">
        <v>39</v>
      </c>
      <c r="P210" s="3">
        <f>(C210+(E210*F210*H210))-N210</f>
        <v>0</v>
      </c>
      <c r="Q210" s="7" t="s">
        <v>39</v>
      </c>
      <c r="R210" s="8">
        <f t="shared" si="94"/>
        <v>0</v>
      </c>
      <c r="S210" s="8">
        <f>P210*(J210-(J210*L210)-((J210-(J210*L210))*M210))</f>
        <v>0</v>
      </c>
    </row>
    <row r="211" spans="1:19" x14ac:dyDescent="0.2">
      <c r="A211" s="1" t="s">
        <v>826</v>
      </c>
      <c r="B211" s="2" t="s">
        <v>24</v>
      </c>
      <c r="D211" s="4" t="s">
        <v>39</v>
      </c>
      <c r="F211" s="6">
        <v>1</v>
      </c>
      <c r="G211" s="7" t="s">
        <v>19</v>
      </c>
      <c r="H211" s="6">
        <v>48</v>
      </c>
      <c r="I211" s="7" t="s">
        <v>39</v>
      </c>
      <c r="J211" s="8">
        <v>49200</v>
      </c>
      <c r="K211" s="4" t="s">
        <v>39</v>
      </c>
      <c r="M211" s="9">
        <v>0.17</v>
      </c>
      <c r="O211" s="7" t="s">
        <v>39</v>
      </c>
      <c r="P211" s="3">
        <f t="shared" ref="P211" si="100">(C211+(E211*F211*H211))-N211</f>
        <v>0</v>
      </c>
      <c r="Q211" s="7" t="s">
        <v>39</v>
      </c>
      <c r="R211" s="8">
        <f t="shared" si="94"/>
        <v>0</v>
      </c>
      <c r="S211" s="8">
        <f t="shared" ref="S211" si="101">P211*(J211-(J211*L211)-((J211-(J211*L211))*M211))</f>
        <v>0</v>
      </c>
    </row>
    <row r="212" spans="1:19" x14ac:dyDescent="0.2">
      <c r="A212" s="1" t="s">
        <v>140</v>
      </c>
      <c r="B212" s="2" t="s">
        <v>24</v>
      </c>
      <c r="C212" s="3">
        <v>48</v>
      </c>
      <c r="D212" s="4" t="s">
        <v>39</v>
      </c>
      <c r="F212" s="6">
        <v>1</v>
      </c>
      <c r="G212" s="7" t="s">
        <v>19</v>
      </c>
      <c r="H212" s="6">
        <v>48</v>
      </c>
      <c r="I212" s="7" t="s">
        <v>39</v>
      </c>
      <c r="J212" s="8">
        <f>2448000/48</f>
        <v>51000</v>
      </c>
      <c r="K212" s="4" t="s">
        <v>39</v>
      </c>
      <c r="M212" s="9">
        <v>0.17</v>
      </c>
      <c r="O212" s="7" t="s">
        <v>39</v>
      </c>
      <c r="P212" s="3">
        <f t="shared" si="93"/>
        <v>48</v>
      </c>
      <c r="Q212" s="7" t="s">
        <v>39</v>
      </c>
      <c r="R212" s="8">
        <f t="shared" si="94"/>
        <v>1830486.4864864864</v>
      </c>
      <c r="S212" s="8">
        <f t="shared" si="95"/>
        <v>2031840</v>
      </c>
    </row>
    <row r="213" spans="1:19" x14ac:dyDescent="0.2">
      <c r="A213" s="1" t="s">
        <v>827</v>
      </c>
      <c r="B213" s="2" t="s">
        <v>24</v>
      </c>
      <c r="C213" s="3">
        <v>48</v>
      </c>
      <c r="D213" s="4" t="s">
        <v>39</v>
      </c>
      <c r="F213" s="6">
        <v>1</v>
      </c>
      <c r="G213" s="7" t="s">
        <v>19</v>
      </c>
      <c r="H213" s="6">
        <v>48</v>
      </c>
      <c r="I213" s="7" t="s">
        <v>39</v>
      </c>
      <c r="J213" s="8">
        <f>2592000/48</f>
        <v>54000</v>
      </c>
      <c r="K213" s="4" t="s">
        <v>39</v>
      </c>
      <c r="L213" s="9">
        <v>0.05</v>
      </c>
      <c r="M213" s="9">
        <v>0.17</v>
      </c>
      <c r="O213" s="7" t="s">
        <v>39</v>
      </c>
      <c r="P213" s="3">
        <f t="shared" ref="P213" si="102">(C213+(E213*F213*H213))-N213</f>
        <v>48</v>
      </c>
      <c r="Q213" s="7" t="s">
        <v>39</v>
      </c>
      <c r="R213" s="8">
        <f t="shared" si="94"/>
        <v>1841254.054054054</v>
      </c>
      <c r="S213" s="8">
        <f t="shared" ref="S213" si="103">P213*(J213-(J213*L213)-((J213-(J213*L213))*M213))</f>
        <v>2043792</v>
      </c>
    </row>
    <row r="214" spans="1:19" x14ac:dyDescent="0.2">
      <c r="A214" s="1" t="s">
        <v>863</v>
      </c>
      <c r="B214" s="2" t="s">
        <v>24</v>
      </c>
      <c r="D214" s="4" t="s">
        <v>39</v>
      </c>
      <c r="F214" s="6">
        <v>1</v>
      </c>
      <c r="G214" s="7" t="s">
        <v>19</v>
      </c>
      <c r="H214" s="6">
        <v>48</v>
      </c>
      <c r="I214" s="7" t="s">
        <v>39</v>
      </c>
      <c r="J214" s="8">
        <v>56400</v>
      </c>
      <c r="K214" s="4" t="s">
        <v>39</v>
      </c>
      <c r="M214" s="9">
        <v>0.17</v>
      </c>
      <c r="O214" s="7" t="s">
        <v>39</v>
      </c>
      <c r="P214" s="3">
        <f t="shared" ref="P214" si="104">(C214+(E214*F214*H214))-N214</f>
        <v>0</v>
      </c>
      <c r="Q214" s="7" t="s">
        <v>39</v>
      </c>
      <c r="R214" s="8">
        <f t="shared" si="94"/>
        <v>0</v>
      </c>
      <c r="S214" s="8">
        <f t="shared" ref="S214" si="105">P214*(J214-(J214*L214)-((J214-(J214*L214))*M214))</f>
        <v>0</v>
      </c>
    </row>
    <row r="215" spans="1:19" x14ac:dyDescent="0.2">
      <c r="A215" s="1" t="s">
        <v>855</v>
      </c>
      <c r="B215" s="2" t="s">
        <v>24</v>
      </c>
      <c r="C215" s="3">
        <v>36</v>
      </c>
      <c r="D215" s="4" t="s">
        <v>39</v>
      </c>
      <c r="F215" s="6">
        <v>1</v>
      </c>
      <c r="G215" s="7" t="s">
        <v>19</v>
      </c>
      <c r="H215" s="6">
        <v>36</v>
      </c>
      <c r="I215" s="7" t="s">
        <v>39</v>
      </c>
      <c r="J215" s="8">
        <v>50400</v>
      </c>
      <c r="K215" s="4" t="s">
        <v>39</v>
      </c>
      <c r="M215" s="9">
        <v>0.17</v>
      </c>
      <c r="O215" s="7" t="s">
        <v>39</v>
      </c>
      <c r="P215" s="3">
        <f t="shared" ref="P215" si="106">(C215+(E215*F215*H215))-N215</f>
        <v>36</v>
      </c>
      <c r="Q215" s="7" t="s">
        <v>39</v>
      </c>
      <c r="R215" s="8">
        <f t="shared" si="94"/>
        <v>1356713.5135135134</v>
      </c>
      <c r="S215" s="8">
        <f t="shared" ref="S215" si="107">P215*(J215-(J215*L215)-((J215-(J215*L215))*M215))</f>
        <v>1505952</v>
      </c>
    </row>
    <row r="216" spans="1:19" x14ac:dyDescent="0.2">
      <c r="A216" s="1" t="s">
        <v>141</v>
      </c>
      <c r="B216" s="2" t="s">
        <v>24</v>
      </c>
      <c r="D216" s="4" t="s">
        <v>39</v>
      </c>
      <c r="F216" s="6">
        <v>1</v>
      </c>
      <c r="G216" s="7" t="s">
        <v>19</v>
      </c>
      <c r="H216" s="6">
        <v>24</v>
      </c>
      <c r="I216" s="7" t="s">
        <v>39</v>
      </c>
      <c r="J216" s="8">
        <f>2491200/24</f>
        <v>103800</v>
      </c>
      <c r="K216" s="4" t="s">
        <v>39</v>
      </c>
      <c r="M216" s="9">
        <v>0.17</v>
      </c>
      <c r="O216" s="7" t="s">
        <v>39</v>
      </c>
      <c r="P216" s="3">
        <f t="shared" si="93"/>
        <v>0</v>
      </c>
      <c r="Q216" s="7" t="s">
        <v>39</v>
      </c>
      <c r="R216" s="8">
        <f t="shared" si="94"/>
        <v>0</v>
      </c>
      <c r="S216" s="8">
        <f t="shared" si="95"/>
        <v>0</v>
      </c>
    </row>
    <row r="217" spans="1:19" x14ac:dyDescent="0.2">
      <c r="A217" s="1" t="s">
        <v>142</v>
      </c>
      <c r="B217" s="2" t="s">
        <v>24</v>
      </c>
      <c r="D217" s="4" t="s">
        <v>39</v>
      </c>
      <c r="F217" s="6">
        <v>1</v>
      </c>
      <c r="G217" s="7" t="s">
        <v>19</v>
      </c>
      <c r="H217" s="6">
        <v>36</v>
      </c>
      <c r="I217" s="7" t="s">
        <v>39</v>
      </c>
      <c r="J217" s="8">
        <f>3736800/36</f>
        <v>103800</v>
      </c>
      <c r="K217" s="4" t="s">
        <v>39</v>
      </c>
      <c r="M217" s="9">
        <v>0.17</v>
      </c>
      <c r="O217" s="7" t="s">
        <v>39</v>
      </c>
      <c r="P217" s="3">
        <f t="shared" si="93"/>
        <v>0</v>
      </c>
      <c r="Q217" s="7" t="s">
        <v>39</v>
      </c>
      <c r="R217" s="8">
        <f t="shared" si="94"/>
        <v>0</v>
      </c>
      <c r="S217" s="8">
        <f t="shared" si="95"/>
        <v>0</v>
      </c>
    </row>
    <row r="218" spans="1:19" x14ac:dyDescent="0.2">
      <c r="A218" s="1" t="s">
        <v>143</v>
      </c>
      <c r="B218" s="2" t="s">
        <v>24</v>
      </c>
      <c r="D218" s="4" t="s">
        <v>39</v>
      </c>
      <c r="F218" s="6">
        <v>1</v>
      </c>
      <c r="G218" s="7" t="s">
        <v>19</v>
      </c>
      <c r="H218" s="6">
        <v>48</v>
      </c>
      <c r="I218" s="7" t="s">
        <v>39</v>
      </c>
      <c r="J218" s="8">
        <f>2592000/48</f>
        <v>54000</v>
      </c>
      <c r="K218" s="4" t="s">
        <v>39</v>
      </c>
      <c r="M218" s="9">
        <v>0.17</v>
      </c>
      <c r="O218" s="7" t="s">
        <v>39</v>
      </c>
      <c r="P218" s="3">
        <f t="shared" si="93"/>
        <v>0</v>
      </c>
      <c r="Q218" s="7" t="s">
        <v>39</v>
      </c>
      <c r="R218" s="8">
        <f t="shared" si="94"/>
        <v>0</v>
      </c>
      <c r="S218" s="8">
        <f t="shared" si="95"/>
        <v>0</v>
      </c>
    </row>
    <row r="219" spans="1:19" x14ac:dyDescent="0.2">
      <c r="A219" s="1" t="s">
        <v>828</v>
      </c>
      <c r="B219" s="2" t="s">
        <v>24</v>
      </c>
      <c r="C219" s="3">
        <v>480</v>
      </c>
      <c r="D219" s="4" t="s">
        <v>39</v>
      </c>
      <c r="F219" s="6">
        <v>1</v>
      </c>
      <c r="G219" s="7" t="s">
        <v>19</v>
      </c>
      <c r="H219" s="6">
        <v>48</v>
      </c>
      <c r="I219" s="7" t="s">
        <v>39</v>
      </c>
      <c r="J219" s="8">
        <f>2880000/48</f>
        <v>60000</v>
      </c>
      <c r="K219" s="4" t="s">
        <v>39</v>
      </c>
      <c r="L219" s="9">
        <v>0.05</v>
      </c>
      <c r="M219" s="9">
        <v>0.17</v>
      </c>
      <c r="O219" s="7" t="s">
        <v>39</v>
      </c>
      <c r="P219" s="3">
        <f t="shared" ref="P219" si="108">(C219+(E219*F219*H219))-N219</f>
        <v>480</v>
      </c>
      <c r="Q219" s="7" t="s">
        <v>39</v>
      </c>
      <c r="R219" s="8">
        <f t="shared" si="94"/>
        <v>20458378.378378376</v>
      </c>
      <c r="S219" s="8">
        <f t="shared" ref="S219" si="109">P219*(J219-(J219*L219)-((J219-(J219*L219))*M219))</f>
        <v>22708800</v>
      </c>
    </row>
    <row r="220" spans="1:19" x14ac:dyDescent="0.2">
      <c r="A220" s="1" t="s">
        <v>144</v>
      </c>
      <c r="B220" s="2" t="s">
        <v>24</v>
      </c>
      <c r="C220" s="3">
        <v>48</v>
      </c>
      <c r="D220" s="4" t="s">
        <v>39</v>
      </c>
      <c r="F220" s="6">
        <v>1</v>
      </c>
      <c r="G220" s="7" t="s">
        <v>19</v>
      </c>
      <c r="H220" s="6">
        <v>48</v>
      </c>
      <c r="I220" s="7" t="s">
        <v>39</v>
      </c>
      <c r="J220" s="8">
        <f>2880000/48</f>
        <v>60000</v>
      </c>
      <c r="K220" s="4" t="s">
        <v>39</v>
      </c>
      <c r="L220" s="9">
        <v>0.05</v>
      </c>
      <c r="M220" s="9">
        <v>0.17</v>
      </c>
      <c r="O220" s="7" t="s">
        <v>39</v>
      </c>
      <c r="P220" s="3">
        <f t="shared" ref="P220" si="110">(C220+(E220*F220*H220))-N220</f>
        <v>48</v>
      </c>
      <c r="Q220" s="7" t="s">
        <v>39</v>
      </c>
      <c r="R220" s="8">
        <f t="shared" si="94"/>
        <v>2045837.8378378376</v>
      </c>
      <c r="S220" s="8">
        <f t="shared" ref="S220" si="111">P220*(J220-(J220*L220)-((J220-(J220*L220))*M220))</f>
        <v>2270880</v>
      </c>
    </row>
    <row r="221" spans="1:19" x14ac:dyDescent="0.2">
      <c r="A221" s="1" t="s">
        <v>145</v>
      </c>
      <c r="B221" s="2" t="s">
        <v>24</v>
      </c>
      <c r="C221" s="3">
        <v>96</v>
      </c>
      <c r="D221" s="4" t="s">
        <v>39</v>
      </c>
      <c r="F221" s="6">
        <v>1</v>
      </c>
      <c r="G221" s="7" t="s">
        <v>19</v>
      </c>
      <c r="H221" s="6">
        <v>48</v>
      </c>
      <c r="I221" s="7" t="s">
        <v>39</v>
      </c>
      <c r="J221" s="8">
        <f>3024000/48</f>
        <v>63000</v>
      </c>
      <c r="K221" s="4" t="s">
        <v>39</v>
      </c>
      <c r="L221" s="9">
        <v>0.05</v>
      </c>
      <c r="M221" s="9">
        <v>0.17</v>
      </c>
      <c r="O221" s="7" t="s">
        <v>39</v>
      </c>
      <c r="P221" s="3">
        <f t="shared" ref="P221" si="112">(C221+(E221*F221*H221))-N221</f>
        <v>96</v>
      </c>
      <c r="Q221" s="7" t="s">
        <v>39</v>
      </c>
      <c r="R221" s="8">
        <f t="shared" si="94"/>
        <v>4296259.4594594594</v>
      </c>
      <c r="S221" s="8">
        <f t="shared" ref="S221" si="113">P221*(J221-(J221*L221)-((J221-(J221*L221))*M221))</f>
        <v>4768848</v>
      </c>
    </row>
    <row r="222" spans="1:19" x14ac:dyDescent="0.2">
      <c r="A222" s="1" t="s">
        <v>146</v>
      </c>
      <c r="B222" s="2" t="s">
        <v>24</v>
      </c>
      <c r="D222" s="4" t="s">
        <v>39</v>
      </c>
      <c r="F222" s="6">
        <v>1</v>
      </c>
      <c r="G222" s="7" t="s">
        <v>19</v>
      </c>
      <c r="H222" s="6">
        <v>48</v>
      </c>
      <c r="I222" s="7" t="s">
        <v>39</v>
      </c>
      <c r="J222" s="8">
        <f>2995200/48</f>
        <v>62400</v>
      </c>
      <c r="K222" s="4" t="s">
        <v>39</v>
      </c>
      <c r="M222" s="9">
        <v>0.17</v>
      </c>
      <c r="O222" s="7" t="s">
        <v>39</v>
      </c>
      <c r="P222" s="3">
        <f t="shared" si="93"/>
        <v>0</v>
      </c>
      <c r="Q222" s="7" t="s">
        <v>39</v>
      </c>
      <c r="R222" s="8">
        <f t="shared" si="94"/>
        <v>0</v>
      </c>
      <c r="S222" s="8">
        <f t="shared" si="95"/>
        <v>0</v>
      </c>
    </row>
    <row r="223" spans="1:19" x14ac:dyDescent="0.2">
      <c r="A223" s="1" t="s">
        <v>147</v>
      </c>
      <c r="B223" s="2" t="s">
        <v>24</v>
      </c>
      <c r="D223" s="4" t="s">
        <v>39</v>
      </c>
      <c r="F223" s="6">
        <v>1</v>
      </c>
      <c r="G223" s="7" t="s">
        <v>19</v>
      </c>
      <c r="H223" s="6">
        <v>48</v>
      </c>
      <c r="I223" s="7" t="s">
        <v>39</v>
      </c>
      <c r="J223" s="8">
        <f>2995200/48</f>
        <v>62400</v>
      </c>
      <c r="K223" s="4" t="s">
        <v>39</v>
      </c>
      <c r="M223" s="9">
        <v>0.17</v>
      </c>
      <c r="O223" s="7" t="s">
        <v>39</v>
      </c>
      <c r="P223" s="3">
        <f t="shared" si="93"/>
        <v>0</v>
      </c>
      <c r="Q223" s="7" t="s">
        <v>39</v>
      </c>
      <c r="R223" s="8">
        <f t="shared" si="94"/>
        <v>0</v>
      </c>
      <c r="S223" s="8">
        <f t="shared" si="95"/>
        <v>0</v>
      </c>
    </row>
    <row r="224" spans="1:19" x14ac:dyDescent="0.2">
      <c r="A224" s="1" t="s">
        <v>800</v>
      </c>
      <c r="B224" s="2" t="s">
        <v>24</v>
      </c>
      <c r="D224" s="4" t="s">
        <v>39</v>
      </c>
      <c r="F224" s="6">
        <v>1</v>
      </c>
      <c r="G224" s="7" t="s">
        <v>19</v>
      </c>
      <c r="H224" s="6">
        <v>48</v>
      </c>
      <c r="I224" s="7" t="s">
        <v>39</v>
      </c>
      <c r="J224" s="8">
        <v>60000</v>
      </c>
      <c r="K224" s="4" t="s">
        <v>39</v>
      </c>
      <c r="M224" s="9">
        <v>0.17</v>
      </c>
      <c r="O224" s="7" t="s">
        <v>39</v>
      </c>
      <c r="P224" s="3">
        <f t="shared" si="93"/>
        <v>0</v>
      </c>
      <c r="Q224" s="7" t="s">
        <v>39</v>
      </c>
      <c r="R224" s="8">
        <f t="shared" si="94"/>
        <v>0</v>
      </c>
      <c r="S224" s="8">
        <f t="shared" ref="S224" si="114">P224*(J224-(J224*L224)-((J224-(J224*L224))*M224))</f>
        <v>0</v>
      </c>
    </row>
    <row r="225" spans="1:19" x14ac:dyDescent="0.2">
      <c r="A225" s="1" t="s">
        <v>856</v>
      </c>
      <c r="B225" s="2" t="s">
        <v>24</v>
      </c>
      <c r="C225" s="3">
        <v>36</v>
      </c>
      <c r="D225" s="4" t="s">
        <v>39</v>
      </c>
      <c r="F225" s="6">
        <v>1</v>
      </c>
      <c r="G225" s="7" t="s">
        <v>19</v>
      </c>
      <c r="H225" s="6">
        <v>36</v>
      </c>
      <c r="I225" s="7" t="s">
        <v>39</v>
      </c>
      <c r="J225" s="8">
        <v>55800</v>
      </c>
      <c r="K225" s="4" t="s">
        <v>39</v>
      </c>
      <c r="M225" s="9">
        <v>0.17</v>
      </c>
      <c r="O225" s="7" t="s">
        <v>39</v>
      </c>
      <c r="P225" s="3">
        <f t="shared" ref="P225" si="115">(C225+(E225*F225*H225))-N225</f>
        <v>36</v>
      </c>
      <c r="Q225" s="7" t="s">
        <v>39</v>
      </c>
      <c r="R225" s="8">
        <f t="shared" si="94"/>
        <v>1502075.6756756755</v>
      </c>
      <c r="S225" s="8">
        <f t="shared" ref="S225" si="116">P225*(J225-(J225*L225)-((J225-(J225*L225))*M225))</f>
        <v>1667304</v>
      </c>
    </row>
    <row r="226" spans="1:19" x14ac:dyDescent="0.2">
      <c r="A226" s="1" t="s">
        <v>799</v>
      </c>
      <c r="B226" s="2" t="s">
        <v>24</v>
      </c>
      <c r="C226" s="3">
        <v>96</v>
      </c>
      <c r="D226" s="4" t="s">
        <v>39</v>
      </c>
      <c r="F226" s="6">
        <v>1</v>
      </c>
      <c r="G226" s="7" t="s">
        <v>19</v>
      </c>
      <c r="H226" s="6">
        <v>48</v>
      </c>
      <c r="I226" s="7" t="s">
        <v>39</v>
      </c>
      <c r="J226" s="8">
        <v>69600</v>
      </c>
      <c r="K226" s="4" t="s">
        <v>39</v>
      </c>
      <c r="L226" s="9">
        <v>0.05</v>
      </c>
      <c r="M226" s="9">
        <v>0.17</v>
      </c>
      <c r="O226" s="7" t="s">
        <v>39</v>
      </c>
      <c r="P226" s="3">
        <f t="shared" ref="P226" si="117">(C226+(E226*F226*H226))-N226</f>
        <v>96</v>
      </c>
      <c r="Q226" s="7" t="s">
        <v>39</v>
      </c>
      <c r="R226" s="8">
        <f t="shared" si="94"/>
        <v>4746343.7837837832</v>
      </c>
      <c r="S226" s="8">
        <f t="shared" ref="S226" si="118">P226*(J226-(J226*L226)-((J226-(J226*L226))*M226))</f>
        <v>5268441.5999999996</v>
      </c>
    </row>
    <row r="227" spans="1:19" x14ac:dyDescent="0.2">
      <c r="A227" s="1" t="s">
        <v>711</v>
      </c>
      <c r="B227" s="2" t="s">
        <v>24</v>
      </c>
      <c r="D227" s="4" t="s">
        <v>39</v>
      </c>
      <c r="F227" s="6">
        <v>1</v>
      </c>
      <c r="G227" s="7" t="s">
        <v>19</v>
      </c>
      <c r="H227" s="6">
        <v>36</v>
      </c>
      <c r="I227" s="7" t="s">
        <v>39</v>
      </c>
      <c r="J227" s="8">
        <f>3240000/36</f>
        <v>90000</v>
      </c>
      <c r="K227" s="4" t="s">
        <v>39</v>
      </c>
      <c r="M227" s="9">
        <v>0.17</v>
      </c>
      <c r="O227" s="7" t="s">
        <v>39</v>
      </c>
      <c r="P227" s="3">
        <f t="shared" si="93"/>
        <v>0</v>
      </c>
      <c r="Q227" s="7" t="s">
        <v>39</v>
      </c>
      <c r="R227" s="8">
        <f t="shared" si="94"/>
        <v>0</v>
      </c>
      <c r="S227" s="8">
        <f t="shared" si="95"/>
        <v>0</v>
      </c>
    </row>
    <row r="228" spans="1:19" x14ac:dyDescent="0.2">
      <c r="A228" s="1" t="s">
        <v>767</v>
      </c>
      <c r="B228" s="2" t="s">
        <v>24</v>
      </c>
      <c r="D228" s="4" t="s">
        <v>39</v>
      </c>
      <c r="F228" s="6">
        <v>1</v>
      </c>
      <c r="G228" s="7" t="s">
        <v>19</v>
      </c>
      <c r="H228" s="6">
        <v>36</v>
      </c>
      <c r="I228" s="7" t="s">
        <v>39</v>
      </c>
      <c r="J228" s="8">
        <f>4406400/36</f>
        <v>122400</v>
      </c>
      <c r="K228" s="4" t="s">
        <v>39</v>
      </c>
      <c r="M228" s="9">
        <v>0.17</v>
      </c>
      <c r="O228" s="7" t="s">
        <v>39</v>
      </c>
      <c r="P228" s="3">
        <f t="shared" si="93"/>
        <v>0</v>
      </c>
      <c r="Q228" s="7" t="s">
        <v>39</v>
      </c>
      <c r="R228" s="8">
        <f t="shared" si="94"/>
        <v>0</v>
      </c>
      <c r="S228" s="8">
        <f t="shared" si="95"/>
        <v>0</v>
      </c>
    </row>
    <row r="230" spans="1:19" x14ac:dyDescent="0.2">
      <c r="A230" s="24" t="s">
        <v>148</v>
      </c>
    </row>
    <row r="231" spans="1:19" x14ac:dyDescent="0.2">
      <c r="A231" s="11" t="s">
        <v>688</v>
      </c>
      <c r="B231" s="2" t="s">
        <v>17</v>
      </c>
      <c r="D231" s="4" t="s">
        <v>150</v>
      </c>
      <c r="F231" s="6">
        <v>12</v>
      </c>
      <c r="G231" s="7" t="s">
        <v>32</v>
      </c>
      <c r="H231" s="6">
        <v>12</v>
      </c>
      <c r="I231" s="7" t="s">
        <v>150</v>
      </c>
      <c r="J231" s="8">
        <v>11000</v>
      </c>
      <c r="K231" s="4" t="s">
        <v>150</v>
      </c>
      <c r="L231" s="9">
        <v>0.125</v>
      </c>
      <c r="M231" s="9">
        <v>0.05</v>
      </c>
      <c r="O231" s="7" t="s">
        <v>150</v>
      </c>
      <c r="P231" s="3">
        <f t="shared" ref="P231:P240" si="119">(C231+(E231*F231*H231))-N231</f>
        <v>0</v>
      </c>
      <c r="Q231" s="7" t="s">
        <v>150</v>
      </c>
      <c r="R231" s="8">
        <f t="shared" ref="R231:R240" si="120">S231/1.11</f>
        <v>0</v>
      </c>
      <c r="S231" s="8">
        <f t="shared" ref="S231:S240" si="121">P231*(J231-(J231*L231)-((J231-(J231*L231))*M231))</f>
        <v>0</v>
      </c>
    </row>
    <row r="232" spans="1:19" x14ac:dyDescent="0.2">
      <c r="A232" s="11" t="s">
        <v>149</v>
      </c>
      <c r="B232" s="2" t="s">
        <v>17</v>
      </c>
      <c r="D232" s="4" t="s">
        <v>150</v>
      </c>
      <c r="F232" s="6">
        <v>12</v>
      </c>
      <c r="G232" s="7" t="s">
        <v>32</v>
      </c>
      <c r="H232" s="6">
        <v>12</v>
      </c>
      <c r="I232" s="7" t="s">
        <v>150</v>
      </c>
      <c r="J232" s="8">
        <v>11600</v>
      </c>
      <c r="K232" s="4" t="s">
        <v>150</v>
      </c>
      <c r="L232" s="9">
        <v>0.125</v>
      </c>
      <c r="M232" s="9">
        <v>0.05</v>
      </c>
      <c r="O232" s="7" t="s">
        <v>150</v>
      </c>
      <c r="P232" s="3">
        <f t="shared" ref="P232" si="122">(C232+(E232*F232*H232))-N232</f>
        <v>0</v>
      </c>
      <c r="Q232" s="7" t="s">
        <v>150</v>
      </c>
      <c r="R232" s="8">
        <f t="shared" si="120"/>
        <v>0</v>
      </c>
      <c r="S232" s="8">
        <f t="shared" ref="S232" si="123">P232*(J232-(J232*L232)-((J232-(J232*L232))*M232))</f>
        <v>0</v>
      </c>
    </row>
    <row r="233" spans="1:19" x14ac:dyDescent="0.2">
      <c r="A233" s="11" t="s">
        <v>151</v>
      </c>
      <c r="B233" s="2" t="s">
        <v>17</v>
      </c>
      <c r="D233" s="4" t="s">
        <v>150</v>
      </c>
      <c r="F233" s="6">
        <v>6</v>
      </c>
      <c r="G233" s="7" t="s">
        <v>32</v>
      </c>
      <c r="H233" s="6">
        <v>24</v>
      </c>
      <c r="I233" s="7" t="s">
        <v>150</v>
      </c>
      <c r="J233" s="8">
        <v>9000</v>
      </c>
      <c r="K233" s="4" t="s">
        <v>150</v>
      </c>
      <c r="L233" s="9">
        <v>0.125</v>
      </c>
      <c r="M233" s="9">
        <v>0.05</v>
      </c>
      <c r="O233" s="7" t="s">
        <v>150</v>
      </c>
      <c r="P233" s="3">
        <f t="shared" si="119"/>
        <v>0</v>
      </c>
      <c r="Q233" s="7" t="s">
        <v>150</v>
      </c>
      <c r="R233" s="8">
        <f t="shared" si="120"/>
        <v>0</v>
      </c>
      <c r="S233" s="8">
        <f t="shared" si="121"/>
        <v>0</v>
      </c>
    </row>
    <row r="234" spans="1:19" x14ac:dyDescent="0.2">
      <c r="A234" s="1" t="s">
        <v>152</v>
      </c>
      <c r="B234" s="2" t="s">
        <v>17</v>
      </c>
      <c r="C234" s="3">
        <v>1152</v>
      </c>
      <c r="D234" s="4" t="s">
        <v>150</v>
      </c>
      <c r="F234" s="6">
        <v>1</v>
      </c>
      <c r="G234" s="7" t="s">
        <v>19</v>
      </c>
      <c r="H234" s="6">
        <v>144</v>
      </c>
      <c r="I234" s="7" t="s">
        <v>150</v>
      </c>
      <c r="J234" s="8">
        <v>11900</v>
      </c>
      <c r="K234" s="4" t="s">
        <v>150</v>
      </c>
      <c r="L234" s="9">
        <v>0.125</v>
      </c>
      <c r="M234" s="9">
        <v>0.1</v>
      </c>
      <c r="O234" s="7" t="s">
        <v>150</v>
      </c>
      <c r="P234" s="3">
        <f t="shared" si="119"/>
        <v>1152</v>
      </c>
      <c r="Q234" s="7" t="s">
        <v>150</v>
      </c>
      <c r="R234" s="8">
        <f t="shared" si="120"/>
        <v>9725837.8378378376</v>
      </c>
      <c r="S234" s="8">
        <f t="shared" si="121"/>
        <v>10795680</v>
      </c>
    </row>
    <row r="235" spans="1:19" x14ac:dyDescent="0.2">
      <c r="A235" s="1" t="s">
        <v>153</v>
      </c>
      <c r="B235" s="2" t="s">
        <v>17</v>
      </c>
      <c r="C235" s="3">
        <v>792</v>
      </c>
      <c r="D235" s="4" t="s">
        <v>150</v>
      </c>
      <c r="F235" s="6">
        <v>6</v>
      </c>
      <c r="G235" s="7" t="s">
        <v>32</v>
      </c>
      <c r="H235" s="6">
        <v>12</v>
      </c>
      <c r="I235" s="7" t="s">
        <v>150</v>
      </c>
      <c r="J235" s="8">
        <v>23000</v>
      </c>
      <c r="K235" s="4" t="s">
        <v>150</v>
      </c>
      <c r="L235" s="9">
        <v>0.125</v>
      </c>
      <c r="M235" s="9">
        <v>0.05</v>
      </c>
      <c r="O235" s="7" t="s">
        <v>150</v>
      </c>
      <c r="P235" s="3">
        <f t="shared" si="119"/>
        <v>792</v>
      </c>
      <c r="Q235" s="7" t="s">
        <v>150</v>
      </c>
      <c r="R235" s="8">
        <f t="shared" si="120"/>
        <v>13641486.486486485</v>
      </c>
      <c r="S235" s="8">
        <f t="shared" si="121"/>
        <v>15142050</v>
      </c>
    </row>
    <row r="236" spans="1:19" x14ac:dyDescent="0.2">
      <c r="A236" s="1" t="s">
        <v>154</v>
      </c>
      <c r="B236" s="2" t="s">
        <v>17</v>
      </c>
      <c r="C236" s="3">
        <v>240</v>
      </c>
      <c r="D236" s="4" t="s">
        <v>150</v>
      </c>
      <c r="F236" s="6">
        <v>8</v>
      </c>
      <c r="G236" s="7" t="s">
        <v>32</v>
      </c>
      <c r="H236" s="6">
        <v>6</v>
      </c>
      <c r="I236" s="7" t="s">
        <v>150</v>
      </c>
      <c r="J236" s="8">
        <v>29600</v>
      </c>
      <c r="K236" s="4" t="s">
        <v>150</v>
      </c>
      <c r="L236" s="9">
        <v>0.125</v>
      </c>
      <c r="M236" s="9">
        <v>0.05</v>
      </c>
      <c r="O236" s="7" t="s">
        <v>150</v>
      </c>
      <c r="P236" s="3">
        <f t="shared" si="119"/>
        <v>240</v>
      </c>
      <c r="Q236" s="7" t="s">
        <v>150</v>
      </c>
      <c r="R236" s="8">
        <f t="shared" si="120"/>
        <v>5319999.9999999991</v>
      </c>
      <c r="S236" s="8">
        <f t="shared" si="121"/>
        <v>5905200</v>
      </c>
    </row>
    <row r="237" spans="1:19" x14ac:dyDescent="0.2">
      <c r="A237" s="1" t="s">
        <v>155</v>
      </c>
      <c r="B237" s="2" t="s">
        <v>17</v>
      </c>
      <c r="C237" s="3">
        <v>36</v>
      </c>
      <c r="D237" s="4" t="s">
        <v>150</v>
      </c>
      <c r="F237" s="6">
        <v>6</v>
      </c>
      <c r="G237" s="7" t="s">
        <v>32</v>
      </c>
      <c r="H237" s="6">
        <v>6</v>
      </c>
      <c r="I237" s="7" t="s">
        <v>150</v>
      </c>
      <c r="J237" s="8">
        <v>41500</v>
      </c>
      <c r="K237" s="4" t="s">
        <v>150</v>
      </c>
      <c r="L237" s="9">
        <v>0.125</v>
      </c>
      <c r="M237" s="9">
        <v>0.05</v>
      </c>
      <c r="O237" s="7" t="s">
        <v>150</v>
      </c>
      <c r="P237" s="3">
        <f t="shared" si="119"/>
        <v>36</v>
      </c>
      <c r="Q237" s="7" t="s">
        <v>150</v>
      </c>
      <c r="R237" s="8">
        <f t="shared" si="120"/>
        <v>1118817.5675675676</v>
      </c>
      <c r="S237" s="8">
        <f t="shared" si="121"/>
        <v>1241887.5</v>
      </c>
    </row>
    <row r="238" spans="1:19" x14ac:dyDescent="0.2">
      <c r="A238" s="1" t="s">
        <v>156</v>
      </c>
      <c r="B238" s="2" t="s">
        <v>17</v>
      </c>
      <c r="D238" s="4" t="s">
        <v>150</v>
      </c>
      <c r="F238" s="6">
        <v>4</v>
      </c>
      <c r="G238" s="7" t="s">
        <v>32</v>
      </c>
      <c r="H238" s="6">
        <v>6</v>
      </c>
      <c r="I238" s="7" t="s">
        <v>150</v>
      </c>
      <c r="J238" s="8">
        <v>58900</v>
      </c>
      <c r="K238" s="4" t="s">
        <v>150</v>
      </c>
      <c r="L238" s="9">
        <v>0.125</v>
      </c>
      <c r="M238" s="9">
        <v>0.05</v>
      </c>
      <c r="O238" s="7" t="s">
        <v>150</v>
      </c>
      <c r="P238" s="3">
        <f t="shared" si="119"/>
        <v>0</v>
      </c>
      <c r="Q238" s="7" t="s">
        <v>150</v>
      </c>
      <c r="R238" s="8">
        <f t="shared" si="120"/>
        <v>0</v>
      </c>
      <c r="S238" s="8">
        <f t="shared" si="121"/>
        <v>0</v>
      </c>
    </row>
    <row r="239" spans="1:19" x14ac:dyDescent="0.2">
      <c r="A239" s="1" t="s">
        <v>157</v>
      </c>
      <c r="B239" s="2" t="s">
        <v>17</v>
      </c>
      <c r="D239" s="4" t="s">
        <v>150</v>
      </c>
      <c r="F239" s="6">
        <v>4</v>
      </c>
      <c r="G239" s="7" t="s">
        <v>32</v>
      </c>
      <c r="H239" s="6">
        <v>6</v>
      </c>
      <c r="I239" s="7" t="s">
        <v>150</v>
      </c>
      <c r="J239" s="8">
        <v>66900</v>
      </c>
      <c r="K239" s="4" t="s">
        <v>150</v>
      </c>
      <c r="L239" s="9">
        <v>0.125</v>
      </c>
      <c r="M239" s="9">
        <v>0.05</v>
      </c>
      <c r="O239" s="7" t="s">
        <v>150</v>
      </c>
      <c r="P239" s="3">
        <f t="shared" si="119"/>
        <v>0</v>
      </c>
      <c r="Q239" s="7" t="s">
        <v>150</v>
      </c>
      <c r="R239" s="8">
        <f t="shared" si="120"/>
        <v>0</v>
      </c>
      <c r="S239" s="8">
        <f t="shared" si="121"/>
        <v>0</v>
      </c>
    </row>
    <row r="240" spans="1:19" x14ac:dyDescent="0.2">
      <c r="A240" s="1" t="s">
        <v>682</v>
      </c>
      <c r="B240" s="2" t="s">
        <v>17</v>
      </c>
      <c r="D240" s="4" t="s">
        <v>150</v>
      </c>
      <c r="F240" s="6">
        <v>1</v>
      </c>
      <c r="G240" s="7" t="s">
        <v>19</v>
      </c>
      <c r="H240" s="6">
        <v>24</v>
      </c>
      <c r="I240" s="7" t="s">
        <v>150</v>
      </c>
      <c r="J240" s="8">
        <v>96000</v>
      </c>
      <c r="K240" s="4" t="s">
        <v>150</v>
      </c>
      <c r="L240" s="9">
        <v>0.125</v>
      </c>
      <c r="M240" s="9">
        <v>0.05</v>
      </c>
      <c r="O240" s="7" t="s">
        <v>150</v>
      </c>
      <c r="P240" s="3">
        <f t="shared" si="119"/>
        <v>0</v>
      </c>
      <c r="Q240" s="7" t="s">
        <v>150</v>
      </c>
      <c r="R240" s="8">
        <f t="shared" si="120"/>
        <v>0</v>
      </c>
      <c r="S240" s="8">
        <f t="shared" si="121"/>
        <v>0</v>
      </c>
    </row>
    <row r="242" spans="1:19" x14ac:dyDescent="0.2">
      <c r="A242" s="11" t="s">
        <v>158</v>
      </c>
      <c r="B242" s="2" t="s">
        <v>24</v>
      </c>
      <c r="D242" s="4" t="s">
        <v>150</v>
      </c>
      <c r="F242" s="6">
        <v>12</v>
      </c>
      <c r="G242" s="7" t="s">
        <v>39</v>
      </c>
      <c r="H242" s="6">
        <v>12</v>
      </c>
      <c r="I242" s="7" t="s">
        <v>150</v>
      </c>
      <c r="J242" s="8">
        <f>1728000/12/12</f>
        <v>12000</v>
      </c>
      <c r="K242" s="4" t="s">
        <v>150</v>
      </c>
      <c r="M242" s="9">
        <v>0.17</v>
      </c>
      <c r="O242" s="7" t="s">
        <v>150</v>
      </c>
      <c r="P242" s="3">
        <f>(C242+(E242*F242*H242))-N242</f>
        <v>0</v>
      </c>
      <c r="Q242" s="7" t="s">
        <v>150</v>
      </c>
      <c r="R242" s="8">
        <f>S242/1.11</f>
        <v>0</v>
      </c>
      <c r="S242" s="8">
        <f>P242*(J242-(J242*L242)-((J242-(J242*L242))*M242))</f>
        <v>0</v>
      </c>
    </row>
    <row r="243" spans="1:19" x14ac:dyDescent="0.2">
      <c r="A243" s="11" t="s">
        <v>159</v>
      </c>
      <c r="B243" s="2" t="s">
        <v>24</v>
      </c>
      <c r="D243" s="4" t="s">
        <v>150</v>
      </c>
      <c r="F243" s="6">
        <v>6</v>
      </c>
      <c r="G243" s="7" t="s">
        <v>39</v>
      </c>
      <c r="H243" s="6">
        <v>12</v>
      </c>
      <c r="I243" s="7" t="s">
        <v>150</v>
      </c>
      <c r="J243" s="8">
        <f>1548000/6/12</f>
        <v>21500</v>
      </c>
      <c r="K243" s="4" t="s">
        <v>150</v>
      </c>
      <c r="M243" s="9">
        <v>0.17</v>
      </c>
      <c r="O243" s="7" t="s">
        <v>150</v>
      </c>
      <c r="P243" s="3">
        <f>(C243+(E243*F243*H243))-N243</f>
        <v>0</v>
      </c>
      <c r="Q243" s="7" t="s">
        <v>150</v>
      </c>
      <c r="R243" s="8">
        <f>S243/1.11</f>
        <v>0</v>
      </c>
      <c r="S243" s="8">
        <f>P243*(J243-(J243*L243)-((J243-(J243*L243))*M243))</f>
        <v>0</v>
      </c>
    </row>
    <row r="244" spans="1:19" x14ac:dyDescent="0.2">
      <c r="A244" s="11" t="s">
        <v>797</v>
      </c>
      <c r="B244" s="2" t="s">
        <v>24</v>
      </c>
      <c r="D244" s="4" t="s">
        <v>150</v>
      </c>
      <c r="F244" s="6">
        <v>4</v>
      </c>
      <c r="G244" s="7" t="s">
        <v>39</v>
      </c>
      <c r="H244" s="6">
        <v>12</v>
      </c>
      <c r="I244" s="7" t="s">
        <v>150</v>
      </c>
      <c r="J244" s="8">
        <v>28500</v>
      </c>
      <c r="K244" s="4" t="s">
        <v>150</v>
      </c>
      <c r="M244" s="9">
        <v>0.17</v>
      </c>
      <c r="O244" s="7" t="s">
        <v>150</v>
      </c>
      <c r="P244" s="3">
        <f t="shared" ref="P244:P245" si="124">(C244+(E244*F244*H244))-N244</f>
        <v>0</v>
      </c>
      <c r="Q244" s="7" t="s">
        <v>150</v>
      </c>
      <c r="R244" s="8">
        <f>S244/1.11</f>
        <v>0</v>
      </c>
      <c r="S244" s="8">
        <f t="shared" ref="S244:S245" si="125">P244*(J244-(J244*L244)-((J244-(J244*L244))*M244))</f>
        <v>0</v>
      </c>
    </row>
    <row r="245" spans="1:19" x14ac:dyDescent="0.2">
      <c r="A245" s="11" t="s">
        <v>798</v>
      </c>
      <c r="B245" s="2" t="s">
        <v>24</v>
      </c>
      <c r="D245" s="4" t="s">
        <v>150</v>
      </c>
      <c r="F245" s="6">
        <v>4</v>
      </c>
      <c r="G245" s="7" t="s">
        <v>39</v>
      </c>
      <c r="H245" s="6">
        <v>12</v>
      </c>
      <c r="I245" s="7" t="s">
        <v>150</v>
      </c>
      <c r="J245" s="8">
        <v>31125</v>
      </c>
      <c r="K245" s="4" t="s">
        <v>150</v>
      </c>
      <c r="M245" s="9">
        <v>0.17</v>
      </c>
      <c r="O245" s="7" t="s">
        <v>150</v>
      </c>
      <c r="P245" s="3">
        <f t="shared" si="124"/>
        <v>0</v>
      </c>
      <c r="Q245" s="7" t="s">
        <v>150</v>
      </c>
      <c r="R245" s="8">
        <f>S245/1.11</f>
        <v>0</v>
      </c>
      <c r="S245" s="8">
        <f t="shared" si="125"/>
        <v>0</v>
      </c>
    </row>
    <row r="246" spans="1:19" x14ac:dyDescent="0.2">
      <c r="A246" s="11"/>
    </row>
    <row r="247" spans="1:19" x14ac:dyDescent="0.2">
      <c r="A247" s="11" t="s">
        <v>160</v>
      </c>
      <c r="B247" s="2" t="s">
        <v>24</v>
      </c>
      <c r="D247" s="4" t="s">
        <v>150</v>
      </c>
      <c r="F247" s="6">
        <v>8</v>
      </c>
      <c r="G247" s="7" t="s">
        <v>32</v>
      </c>
      <c r="H247" s="6">
        <v>12</v>
      </c>
      <c r="I247" s="7" t="s">
        <v>150</v>
      </c>
      <c r="J247" s="8">
        <v>12500</v>
      </c>
      <c r="K247" s="4" t="s">
        <v>150</v>
      </c>
      <c r="M247" s="9">
        <v>0.17</v>
      </c>
      <c r="O247" s="7" t="s">
        <v>150</v>
      </c>
      <c r="P247" s="3">
        <f t="shared" ref="P247:P254" si="126">(C247+(E247*F247*H247))-N247</f>
        <v>0</v>
      </c>
      <c r="Q247" s="7" t="s">
        <v>150</v>
      </c>
      <c r="R247" s="8">
        <f t="shared" ref="R247:R254" si="127">S247/1.11</f>
        <v>0</v>
      </c>
      <c r="S247" s="8">
        <f t="shared" ref="S247:S254" si="128">P247*(J247-(J247*L247)-((J247-(J247*L247))*M247))</f>
        <v>0</v>
      </c>
    </row>
    <row r="248" spans="1:19" x14ac:dyDescent="0.2">
      <c r="A248" s="11" t="s">
        <v>161</v>
      </c>
      <c r="B248" s="2" t="s">
        <v>24</v>
      </c>
      <c r="D248" s="4" t="s">
        <v>150</v>
      </c>
      <c r="F248" s="6">
        <v>1</v>
      </c>
      <c r="G248" s="7" t="s">
        <v>19</v>
      </c>
      <c r="H248" s="6">
        <v>144</v>
      </c>
      <c r="I248" s="7" t="s">
        <v>150</v>
      </c>
      <c r="J248" s="8">
        <v>11600</v>
      </c>
      <c r="K248" s="4" t="s">
        <v>150</v>
      </c>
      <c r="M248" s="9">
        <v>0.17</v>
      </c>
      <c r="O248" s="7" t="s">
        <v>150</v>
      </c>
      <c r="P248" s="3">
        <f t="shared" si="126"/>
        <v>0</v>
      </c>
      <c r="Q248" s="7" t="s">
        <v>150</v>
      </c>
      <c r="R248" s="8">
        <f t="shared" si="127"/>
        <v>0</v>
      </c>
      <c r="S248" s="8">
        <f t="shared" si="128"/>
        <v>0</v>
      </c>
    </row>
    <row r="249" spans="1:19" x14ac:dyDescent="0.2">
      <c r="A249" s="1" t="s">
        <v>162</v>
      </c>
      <c r="B249" s="2" t="s">
        <v>24</v>
      </c>
      <c r="C249" s="3">
        <v>1152</v>
      </c>
      <c r="D249" s="4" t="s">
        <v>150</v>
      </c>
      <c r="F249" s="6">
        <v>12</v>
      </c>
      <c r="G249" s="7" t="s">
        <v>39</v>
      </c>
      <c r="H249" s="6">
        <v>12</v>
      </c>
      <c r="I249" s="7" t="s">
        <v>150</v>
      </c>
      <c r="J249" s="8">
        <f>2088000/144</f>
        <v>14500</v>
      </c>
      <c r="K249" s="4" t="s">
        <v>150</v>
      </c>
      <c r="M249" s="9">
        <v>0.17</v>
      </c>
      <c r="O249" s="7" t="s">
        <v>150</v>
      </c>
      <c r="P249" s="3">
        <f t="shared" si="126"/>
        <v>1152</v>
      </c>
      <c r="Q249" s="7" t="s">
        <v>150</v>
      </c>
      <c r="R249" s="8">
        <f t="shared" si="127"/>
        <v>12490378.378378376</v>
      </c>
      <c r="S249" s="8">
        <f t="shared" si="128"/>
        <v>13864320</v>
      </c>
    </row>
    <row r="250" spans="1:19" x14ac:dyDescent="0.2">
      <c r="A250" s="1" t="s">
        <v>163</v>
      </c>
      <c r="B250" s="2" t="s">
        <v>24</v>
      </c>
      <c r="D250" s="4" t="s">
        <v>150</v>
      </c>
      <c r="F250" s="6">
        <v>6</v>
      </c>
      <c r="G250" s="7" t="s">
        <v>39</v>
      </c>
      <c r="H250" s="6">
        <v>12</v>
      </c>
      <c r="I250" s="7" t="s">
        <v>150</v>
      </c>
      <c r="J250" s="8">
        <f>1944000/72</f>
        <v>27000</v>
      </c>
      <c r="K250" s="4" t="s">
        <v>150</v>
      </c>
      <c r="M250" s="9">
        <v>0.17</v>
      </c>
      <c r="O250" s="7" t="s">
        <v>150</v>
      </c>
      <c r="P250" s="3">
        <f t="shared" si="126"/>
        <v>0</v>
      </c>
      <c r="Q250" s="7" t="s">
        <v>150</v>
      </c>
      <c r="R250" s="8">
        <f t="shared" si="127"/>
        <v>0</v>
      </c>
      <c r="S250" s="8">
        <f t="shared" si="128"/>
        <v>0</v>
      </c>
    </row>
    <row r="251" spans="1:19" x14ac:dyDescent="0.2">
      <c r="A251" s="1" t="s">
        <v>164</v>
      </c>
      <c r="B251" s="2" t="s">
        <v>24</v>
      </c>
      <c r="D251" s="4" t="s">
        <v>150</v>
      </c>
      <c r="F251" s="6">
        <v>8</v>
      </c>
      <c r="G251" s="7" t="s">
        <v>32</v>
      </c>
      <c r="H251" s="6">
        <v>6</v>
      </c>
      <c r="I251" s="7" t="s">
        <v>150</v>
      </c>
      <c r="J251" s="8">
        <f>1632000/8/6</f>
        <v>34000</v>
      </c>
      <c r="K251" s="4" t="s">
        <v>150</v>
      </c>
      <c r="M251" s="9">
        <v>0.17</v>
      </c>
      <c r="O251" s="7" t="s">
        <v>150</v>
      </c>
      <c r="P251" s="3">
        <f t="shared" si="126"/>
        <v>0</v>
      </c>
      <c r="Q251" s="7" t="s">
        <v>150</v>
      </c>
      <c r="R251" s="8">
        <f t="shared" si="127"/>
        <v>0</v>
      </c>
      <c r="S251" s="8">
        <f t="shared" si="128"/>
        <v>0</v>
      </c>
    </row>
    <row r="252" spans="1:19" x14ac:dyDescent="0.2">
      <c r="A252" s="1" t="s">
        <v>165</v>
      </c>
      <c r="B252" s="2" t="s">
        <v>24</v>
      </c>
      <c r="D252" s="4" t="s">
        <v>150</v>
      </c>
      <c r="F252" s="6">
        <v>6</v>
      </c>
      <c r="G252" s="7" t="s">
        <v>32</v>
      </c>
      <c r="H252" s="6">
        <v>6</v>
      </c>
      <c r="I252" s="7" t="s">
        <v>150</v>
      </c>
      <c r="J252" s="8">
        <f>1710000/6/6</f>
        <v>47500</v>
      </c>
      <c r="K252" s="4" t="s">
        <v>150</v>
      </c>
      <c r="M252" s="9">
        <v>0.17</v>
      </c>
      <c r="O252" s="7" t="s">
        <v>150</v>
      </c>
      <c r="P252" s="3">
        <f t="shared" si="126"/>
        <v>0</v>
      </c>
      <c r="Q252" s="7" t="s">
        <v>150</v>
      </c>
      <c r="R252" s="8">
        <f t="shared" si="127"/>
        <v>0</v>
      </c>
      <c r="S252" s="8">
        <f t="shared" si="128"/>
        <v>0</v>
      </c>
    </row>
    <row r="253" spans="1:19" x14ac:dyDescent="0.2">
      <c r="A253" s="1" t="s">
        <v>166</v>
      </c>
      <c r="B253" s="2" t="s">
        <v>24</v>
      </c>
      <c r="D253" s="4" t="s">
        <v>150</v>
      </c>
      <c r="F253" s="6">
        <v>4</v>
      </c>
      <c r="G253" s="7" t="s">
        <v>32</v>
      </c>
      <c r="H253" s="6">
        <v>6</v>
      </c>
      <c r="I253" s="7" t="s">
        <v>150</v>
      </c>
      <c r="J253" s="8">
        <f>1656000/4/6</f>
        <v>69000</v>
      </c>
      <c r="K253" s="4" t="s">
        <v>150</v>
      </c>
      <c r="M253" s="9">
        <v>0.17</v>
      </c>
      <c r="O253" s="7" t="s">
        <v>150</v>
      </c>
      <c r="P253" s="3">
        <f t="shared" si="126"/>
        <v>0</v>
      </c>
      <c r="Q253" s="7" t="s">
        <v>150</v>
      </c>
      <c r="R253" s="8">
        <f t="shared" si="127"/>
        <v>0</v>
      </c>
      <c r="S253" s="8">
        <f t="shared" si="128"/>
        <v>0</v>
      </c>
    </row>
    <row r="254" spans="1:19" x14ac:dyDescent="0.2">
      <c r="A254" s="1" t="s">
        <v>167</v>
      </c>
      <c r="B254" s="2" t="s">
        <v>24</v>
      </c>
      <c r="D254" s="4" t="s">
        <v>150</v>
      </c>
      <c r="F254" s="6">
        <v>4</v>
      </c>
      <c r="G254" s="7" t="s">
        <v>32</v>
      </c>
      <c r="H254" s="6">
        <v>6</v>
      </c>
      <c r="I254" s="7" t="s">
        <v>150</v>
      </c>
      <c r="J254" s="8">
        <f>1824000/4/6</f>
        <v>76000</v>
      </c>
      <c r="K254" s="4" t="s">
        <v>150</v>
      </c>
      <c r="M254" s="9">
        <v>0.17</v>
      </c>
      <c r="O254" s="7" t="s">
        <v>150</v>
      </c>
      <c r="P254" s="3">
        <f t="shared" si="126"/>
        <v>0</v>
      </c>
      <c r="Q254" s="7" t="s">
        <v>150</v>
      </c>
      <c r="R254" s="8">
        <f t="shared" si="127"/>
        <v>0</v>
      </c>
      <c r="S254" s="8">
        <f t="shared" si="128"/>
        <v>0</v>
      </c>
    </row>
    <row r="256" spans="1:19" x14ac:dyDescent="0.2">
      <c r="A256" s="24" t="s">
        <v>168</v>
      </c>
    </row>
    <row r="257" spans="1:19" x14ac:dyDescent="0.2">
      <c r="A257" s="1" t="s">
        <v>169</v>
      </c>
      <c r="B257" s="2" t="s">
        <v>170</v>
      </c>
      <c r="D257" s="4" t="s">
        <v>150</v>
      </c>
      <c r="F257" s="6">
        <v>1</v>
      </c>
      <c r="G257" s="7" t="s">
        <v>19</v>
      </c>
      <c r="H257" s="6">
        <v>144</v>
      </c>
      <c r="I257" s="7" t="s">
        <v>150</v>
      </c>
      <c r="J257" s="8">
        <v>14000</v>
      </c>
      <c r="K257" s="4" t="s">
        <v>150</v>
      </c>
      <c r="L257" s="9">
        <v>0.05</v>
      </c>
      <c r="M257" s="9">
        <v>0.03</v>
      </c>
      <c r="O257" s="7" t="s">
        <v>150</v>
      </c>
      <c r="P257" s="3">
        <f>(C257+(E257*F257*H257))-N257</f>
        <v>0</v>
      </c>
      <c r="Q257" s="7" t="s">
        <v>150</v>
      </c>
      <c r="R257" s="8">
        <f>S257/1.11</f>
        <v>0</v>
      </c>
      <c r="S257" s="8">
        <f>P257*(J257-(J257*L257)-((J257-(J257*L257))*M257))</f>
        <v>0</v>
      </c>
    </row>
    <row r="259" spans="1:19" x14ac:dyDescent="0.2">
      <c r="A259" s="1" t="s">
        <v>171</v>
      </c>
      <c r="B259" s="2" t="s">
        <v>17</v>
      </c>
      <c r="D259" s="4" t="s">
        <v>150</v>
      </c>
      <c r="F259" s="6">
        <v>12</v>
      </c>
      <c r="G259" s="7" t="s">
        <v>32</v>
      </c>
      <c r="H259" s="6">
        <v>12</v>
      </c>
      <c r="I259" s="7" t="s">
        <v>150</v>
      </c>
      <c r="J259" s="8">
        <v>18600</v>
      </c>
      <c r="K259" s="4" t="s">
        <v>150</v>
      </c>
      <c r="L259" s="9">
        <v>0.125</v>
      </c>
      <c r="M259" s="9">
        <v>0.05</v>
      </c>
      <c r="O259" s="7" t="s">
        <v>150</v>
      </c>
      <c r="P259" s="3">
        <f>(C259+(E259*F259*H259))-N259</f>
        <v>0</v>
      </c>
      <c r="Q259" s="7" t="s">
        <v>150</v>
      </c>
      <c r="R259" s="8">
        <f>S259/1.11</f>
        <v>0</v>
      </c>
      <c r="S259" s="8">
        <f>P259*(J259-(J259*L259)-((J259-(J259*L259))*M259))</f>
        <v>0</v>
      </c>
    </row>
    <row r="260" spans="1:19" x14ac:dyDescent="0.2">
      <c r="A260" s="1" t="s">
        <v>875</v>
      </c>
      <c r="B260" s="2" t="s">
        <v>17</v>
      </c>
      <c r="D260" s="4" t="s">
        <v>150</v>
      </c>
      <c r="F260" s="6">
        <v>6</v>
      </c>
      <c r="G260" s="7" t="s">
        <v>32</v>
      </c>
      <c r="H260" s="6">
        <v>12</v>
      </c>
      <c r="I260" s="7" t="s">
        <v>150</v>
      </c>
      <c r="J260" s="8">
        <v>37200</v>
      </c>
      <c r="K260" s="4" t="s">
        <v>150</v>
      </c>
      <c r="L260" s="9">
        <v>0.125</v>
      </c>
      <c r="M260" s="9">
        <v>0.05</v>
      </c>
      <c r="O260" s="7" t="s">
        <v>150</v>
      </c>
      <c r="P260" s="3">
        <f>(C260+(E260*F260*H260))-N260</f>
        <v>0</v>
      </c>
      <c r="Q260" s="7" t="s">
        <v>150</v>
      </c>
      <c r="R260" s="8">
        <f>S260/1.11</f>
        <v>0</v>
      </c>
      <c r="S260" s="8">
        <f>P260*(J260-(J260*L260)-((J260-(J260*L260))*M260))</f>
        <v>0</v>
      </c>
    </row>
    <row r="261" spans="1:19" x14ac:dyDescent="0.2">
      <c r="A261" s="1" t="s">
        <v>172</v>
      </c>
      <c r="B261" s="2" t="s">
        <v>17</v>
      </c>
      <c r="D261" s="4" t="s">
        <v>150</v>
      </c>
      <c r="F261" s="6">
        <v>12</v>
      </c>
      <c r="G261" s="7" t="s">
        <v>32</v>
      </c>
      <c r="H261" s="6">
        <v>12</v>
      </c>
      <c r="I261" s="7" t="s">
        <v>150</v>
      </c>
      <c r="J261" s="8">
        <v>23900</v>
      </c>
      <c r="K261" s="4" t="s">
        <v>150</v>
      </c>
      <c r="L261" s="9">
        <v>0.125</v>
      </c>
      <c r="M261" s="9">
        <v>0.05</v>
      </c>
      <c r="O261" s="7" t="s">
        <v>150</v>
      </c>
      <c r="P261" s="3">
        <f>(C261+(E261*F261*H261))-N261</f>
        <v>0</v>
      </c>
      <c r="Q261" s="7" t="s">
        <v>150</v>
      </c>
      <c r="R261" s="8">
        <f>S261/1.11</f>
        <v>0</v>
      </c>
      <c r="S261" s="8">
        <f>P261*(J261-(J261*L261)-((J261-(J261*L261))*M261))</f>
        <v>0</v>
      </c>
    </row>
    <row r="262" spans="1:19" x14ac:dyDescent="0.2">
      <c r="A262" s="1" t="s">
        <v>173</v>
      </c>
      <c r="B262" s="2" t="s">
        <v>17</v>
      </c>
      <c r="D262" s="4" t="s">
        <v>150</v>
      </c>
      <c r="F262" s="6">
        <v>12</v>
      </c>
      <c r="G262" s="7" t="s">
        <v>32</v>
      </c>
      <c r="H262" s="6">
        <v>6</v>
      </c>
      <c r="I262" s="7" t="s">
        <v>150</v>
      </c>
      <c r="J262" s="8">
        <v>47800</v>
      </c>
      <c r="K262" s="4" t="s">
        <v>150</v>
      </c>
      <c r="L262" s="9">
        <v>0.125</v>
      </c>
      <c r="M262" s="9">
        <v>0.05</v>
      </c>
      <c r="O262" s="7" t="s">
        <v>150</v>
      </c>
      <c r="P262" s="3">
        <f>(C262+(E262*F262*H262))-N262</f>
        <v>0</v>
      </c>
      <c r="Q262" s="7" t="s">
        <v>150</v>
      </c>
      <c r="R262" s="8">
        <f>S262/1.11</f>
        <v>0</v>
      </c>
      <c r="S262" s="8">
        <f>P262*(J262-(J262*L262)-((J262-(J262*L262))*M262))</f>
        <v>0</v>
      </c>
    </row>
    <row r="264" spans="1:19" x14ac:dyDescent="0.2">
      <c r="A264" s="1" t="s">
        <v>174</v>
      </c>
      <c r="B264" s="2" t="s">
        <v>24</v>
      </c>
      <c r="D264" s="4" t="s">
        <v>150</v>
      </c>
      <c r="F264" s="6">
        <v>12</v>
      </c>
      <c r="G264" s="7" t="s">
        <v>39</v>
      </c>
      <c r="H264" s="6">
        <v>12</v>
      </c>
      <c r="I264" s="7" t="s">
        <v>150</v>
      </c>
      <c r="J264" s="8">
        <f>2592000/12/12</f>
        <v>18000</v>
      </c>
      <c r="K264" s="4" t="s">
        <v>150</v>
      </c>
      <c r="M264" s="9">
        <v>0.17</v>
      </c>
      <c r="O264" s="7" t="s">
        <v>150</v>
      </c>
      <c r="P264" s="3">
        <f t="shared" ref="P264:P268" si="129">(C264+(E264*F264*H264))-N264</f>
        <v>0</v>
      </c>
      <c r="Q264" s="7" t="s">
        <v>150</v>
      </c>
      <c r="R264" s="8">
        <f>S264/1.11</f>
        <v>0</v>
      </c>
      <c r="S264" s="8">
        <f t="shared" ref="S264:S268" si="130">P264*(J264-(J264*L264)-((J264-(J264*L264))*M264))</f>
        <v>0</v>
      </c>
    </row>
    <row r="265" spans="1:19" x14ac:dyDescent="0.2">
      <c r="A265" s="1" t="s">
        <v>175</v>
      </c>
      <c r="B265" s="2" t="s">
        <v>24</v>
      </c>
      <c r="D265" s="4" t="s">
        <v>150</v>
      </c>
      <c r="F265" s="6">
        <v>8</v>
      </c>
      <c r="G265" s="7" t="s">
        <v>39</v>
      </c>
      <c r="H265" s="6">
        <v>12</v>
      </c>
      <c r="I265" s="7" t="s">
        <v>150</v>
      </c>
      <c r="J265" s="8">
        <v>24500</v>
      </c>
      <c r="K265" s="4" t="s">
        <v>150</v>
      </c>
      <c r="M265" s="9">
        <v>0.17</v>
      </c>
      <c r="O265" s="7" t="s">
        <v>150</v>
      </c>
      <c r="P265" s="3">
        <f t="shared" si="129"/>
        <v>0</v>
      </c>
      <c r="Q265" s="7" t="s">
        <v>150</v>
      </c>
      <c r="R265" s="8">
        <f>S265/1.11</f>
        <v>0</v>
      </c>
      <c r="S265" s="8">
        <f t="shared" si="130"/>
        <v>0</v>
      </c>
    </row>
    <row r="266" spans="1:19" x14ac:dyDescent="0.2">
      <c r="A266" s="1" t="s">
        <v>176</v>
      </c>
      <c r="B266" s="2" t="s">
        <v>24</v>
      </c>
      <c r="D266" s="4" t="s">
        <v>150</v>
      </c>
      <c r="F266" s="6">
        <v>12</v>
      </c>
      <c r="G266" s="7" t="s">
        <v>39</v>
      </c>
      <c r="H266" s="6">
        <v>12</v>
      </c>
      <c r="I266" s="7" t="s">
        <v>150</v>
      </c>
      <c r="J266" s="8">
        <f>3888000/144</f>
        <v>27000</v>
      </c>
      <c r="K266" s="4" t="s">
        <v>150</v>
      </c>
      <c r="M266" s="9">
        <v>0.17</v>
      </c>
      <c r="O266" s="7" t="s">
        <v>150</v>
      </c>
      <c r="P266" s="3">
        <f t="shared" si="129"/>
        <v>0</v>
      </c>
      <c r="Q266" s="7" t="s">
        <v>150</v>
      </c>
      <c r="R266" s="8">
        <f>S266/1.11</f>
        <v>0</v>
      </c>
      <c r="S266" s="8">
        <f t="shared" si="130"/>
        <v>0</v>
      </c>
    </row>
    <row r="267" spans="1:19" x14ac:dyDescent="0.2">
      <c r="A267" s="1" t="s">
        <v>945</v>
      </c>
      <c r="B267" s="2" t="s">
        <v>24</v>
      </c>
      <c r="D267" s="4" t="s">
        <v>150</v>
      </c>
      <c r="F267" s="6">
        <v>6</v>
      </c>
      <c r="G267" s="7" t="s">
        <v>39</v>
      </c>
      <c r="H267" s="6">
        <v>12</v>
      </c>
      <c r="I267" s="7" t="s">
        <v>150</v>
      </c>
      <c r="J267" s="8">
        <v>50000</v>
      </c>
      <c r="K267" s="4" t="s">
        <v>150</v>
      </c>
      <c r="M267" s="9">
        <v>0.17</v>
      </c>
      <c r="O267" s="7" t="s">
        <v>150</v>
      </c>
      <c r="P267" s="3">
        <f t="shared" si="129"/>
        <v>0</v>
      </c>
      <c r="Q267" s="7" t="s">
        <v>150</v>
      </c>
      <c r="R267" s="8">
        <f>S267/1.11</f>
        <v>0</v>
      </c>
      <c r="S267" s="8">
        <f t="shared" si="130"/>
        <v>0</v>
      </c>
    </row>
    <row r="268" spans="1:19" x14ac:dyDescent="0.2">
      <c r="A268" s="1" t="s">
        <v>177</v>
      </c>
      <c r="B268" s="2" t="s">
        <v>24</v>
      </c>
      <c r="D268" s="4" t="s">
        <v>150</v>
      </c>
      <c r="F268" s="6">
        <v>6</v>
      </c>
      <c r="G268" s="7" t="s">
        <v>39</v>
      </c>
      <c r="H268" s="6">
        <v>12</v>
      </c>
      <c r="I268" s="7" t="s">
        <v>150</v>
      </c>
      <c r="J268" s="8">
        <v>36000</v>
      </c>
      <c r="K268" s="4" t="s">
        <v>150</v>
      </c>
      <c r="L268" s="9">
        <v>0.05</v>
      </c>
      <c r="M268" s="9">
        <v>0.17</v>
      </c>
      <c r="O268" s="7" t="s">
        <v>150</v>
      </c>
      <c r="P268" s="3">
        <f t="shared" si="129"/>
        <v>0</v>
      </c>
      <c r="Q268" s="7" t="s">
        <v>150</v>
      </c>
      <c r="R268" s="8">
        <f>S268/1.11</f>
        <v>0</v>
      </c>
      <c r="S268" s="8">
        <f t="shared" si="130"/>
        <v>0</v>
      </c>
    </row>
    <row r="270" spans="1:19" x14ac:dyDescent="0.2">
      <c r="A270" s="24" t="s">
        <v>178</v>
      </c>
    </row>
    <row r="271" spans="1:19" x14ac:dyDescent="0.2">
      <c r="A271" s="1" t="s">
        <v>179</v>
      </c>
      <c r="B271" s="2" t="s">
        <v>180</v>
      </c>
      <c r="D271" s="4" t="s">
        <v>39</v>
      </c>
      <c r="F271" s="6">
        <v>1</v>
      </c>
      <c r="G271" s="7" t="s">
        <v>19</v>
      </c>
      <c r="H271" s="6">
        <v>5</v>
      </c>
      <c r="I271" s="7" t="s">
        <v>39</v>
      </c>
      <c r="J271" s="8">
        <v>475000</v>
      </c>
      <c r="K271" s="4" t="s">
        <v>39</v>
      </c>
      <c r="O271" s="7" t="s">
        <v>39</v>
      </c>
      <c r="P271" s="3">
        <f>(C271+(E271*F271*H271))-N271</f>
        <v>0</v>
      </c>
      <c r="Q271" s="7" t="s">
        <v>39</v>
      </c>
      <c r="R271" s="8">
        <f>S271/1.11</f>
        <v>0</v>
      </c>
      <c r="S271" s="8">
        <f>P271*(J271-(J271*L271)-((J271-(J271*L271))*M271))</f>
        <v>0</v>
      </c>
    </row>
    <row r="273" spans="1:19" x14ac:dyDescent="0.2">
      <c r="A273" s="1" t="s">
        <v>699</v>
      </c>
      <c r="B273" s="2" t="s">
        <v>17</v>
      </c>
      <c r="D273" s="4" t="s">
        <v>150</v>
      </c>
      <c r="F273" s="6">
        <v>8</v>
      </c>
      <c r="G273" s="7" t="s">
        <v>32</v>
      </c>
      <c r="H273" s="6">
        <v>12</v>
      </c>
      <c r="I273" s="7" t="s">
        <v>150</v>
      </c>
      <c r="J273" s="8">
        <v>26800</v>
      </c>
      <c r="K273" s="4" t="s">
        <v>150</v>
      </c>
      <c r="L273" s="9">
        <v>0.125</v>
      </c>
      <c r="M273" s="9">
        <v>0.05</v>
      </c>
      <c r="O273" s="7" t="s">
        <v>150</v>
      </c>
      <c r="P273" s="3">
        <f t="shared" ref="P273:P277" si="131">(C273+(E273*F273*H273))-N273</f>
        <v>0</v>
      </c>
      <c r="Q273" s="7" t="s">
        <v>150</v>
      </c>
      <c r="R273" s="8">
        <f>S273/1.11</f>
        <v>0</v>
      </c>
      <c r="S273" s="8">
        <f t="shared" ref="S273:S277" si="132">P273*(J273-(J273*L273)-((J273-(J273*L273))*M273))</f>
        <v>0</v>
      </c>
    </row>
    <row r="274" spans="1:19" x14ac:dyDescent="0.2">
      <c r="A274" s="1" t="s">
        <v>181</v>
      </c>
      <c r="B274" s="2" t="s">
        <v>17</v>
      </c>
      <c r="D274" s="4" t="s">
        <v>150</v>
      </c>
      <c r="F274" s="6">
        <v>6</v>
      </c>
      <c r="G274" s="7" t="s">
        <v>32</v>
      </c>
      <c r="H274" s="6">
        <v>12</v>
      </c>
      <c r="I274" s="7" t="s">
        <v>150</v>
      </c>
      <c r="J274" s="8">
        <v>41500</v>
      </c>
      <c r="K274" s="4" t="s">
        <v>150</v>
      </c>
      <c r="L274" s="9">
        <v>0.125</v>
      </c>
      <c r="M274" s="9">
        <v>0.05</v>
      </c>
      <c r="O274" s="7" t="s">
        <v>150</v>
      </c>
      <c r="P274" s="3">
        <f t="shared" si="131"/>
        <v>0</v>
      </c>
      <c r="Q274" s="7" t="s">
        <v>150</v>
      </c>
      <c r="R274" s="8">
        <f>S274/1.11</f>
        <v>0</v>
      </c>
      <c r="S274" s="8">
        <f t="shared" si="132"/>
        <v>0</v>
      </c>
    </row>
    <row r="275" spans="1:19" x14ac:dyDescent="0.2">
      <c r="A275" s="1" t="s">
        <v>870</v>
      </c>
      <c r="B275" s="2" t="s">
        <v>17</v>
      </c>
      <c r="D275" s="4" t="s">
        <v>150</v>
      </c>
      <c r="F275" s="6">
        <v>1</v>
      </c>
      <c r="G275" s="7" t="s">
        <v>19</v>
      </c>
      <c r="H275" s="6">
        <v>108</v>
      </c>
      <c r="I275" s="7" t="s">
        <v>150</v>
      </c>
      <c r="J275" s="8">
        <v>17500</v>
      </c>
      <c r="K275" s="4" t="s">
        <v>150</v>
      </c>
      <c r="L275" s="9">
        <v>0.125</v>
      </c>
      <c r="M275" s="9">
        <v>0.1</v>
      </c>
      <c r="O275" s="7" t="s">
        <v>150</v>
      </c>
      <c r="P275" s="3">
        <f t="shared" si="131"/>
        <v>0</v>
      </c>
      <c r="Q275" s="7" t="s">
        <v>150</v>
      </c>
      <c r="R275" s="8">
        <f>S275/1.11</f>
        <v>0</v>
      </c>
      <c r="S275" s="8">
        <f t="shared" si="132"/>
        <v>0</v>
      </c>
    </row>
    <row r="276" spans="1:19" x14ac:dyDescent="0.2">
      <c r="A276" s="1" t="s">
        <v>871</v>
      </c>
      <c r="B276" s="2" t="s">
        <v>17</v>
      </c>
      <c r="D276" s="4" t="s">
        <v>150</v>
      </c>
      <c r="F276" s="6">
        <v>1</v>
      </c>
      <c r="G276" s="7" t="s">
        <v>19</v>
      </c>
      <c r="H276" s="6">
        <v>48</v>
      </c>
      <c r="I276" s="7" t="s">
        <v>150</v>
      </c>
      <c r="J276" s="8">
        <v>35000</v>
      </c>
      <c r="K276" s="4" t="s">
        <v>150</v>
      </c>
      <c r="L276" s="9">
        <v>0.125</v>
      </c>
      <c r="M276" s="9">
        <v>0.1</v>
      </c>
      <c r="O276" s="7" t="s">
        <v>150</v>
      </c>
      <c r="P276" s="3">
        <f t="shared" si="131"/>
        <v>0</v>
      </c>
      <c r="Q276" s="7" t="s">
        <v>150</v>
      </c>
      <c r="R276" s="8">
        <f>S276/1.11</f>
        <v>0</v>
      </c>
      <c r="S276" s="8">
        <f t="shared" si="132"/>
        <v>0</v>
      </c>
    </row>
    <row r="277" spans="1:19" x14ac:dyDescent="0.2">
      <c r="A277" s="1" t="s">
        <v>895</v>
      </c>
      <c r="B277" s="2" t="s">
        <v>17</v>
      </c>
      <c r="D277" s="4" t="s">
        <v>150</v>
      </c>
      <c r="F277" s="6">
        <v>1</v>
      </c>
      <c r="G277" s="7" t="s">
        <v>19</v>
      </c>
      <c r="H277" s="6">
        <v>18</v>
      </c>
      <c r="I277" s="7" t="s">
        <v>150</v>
      </c>
      <c r="J277" s="8">
        <v>145000</v>
      </c>
      <c r="K277" s="4" t="s">
        <v>150</v>
      </c>
      <c r="L277" s="9">
        <v>0.125</v>
      </c>
      <c r="M277" s="9">
        <v>0.05</v>
      </c>
      <c r="O277" s="7" t="s">
        <v>150</v>
      </c>
      <c r="P277" s="3">
        <f t="shared" si="131"/>
        <v>0</v>
      </c>
      <c r="Q277" s="7" t="s">
        <v>150</v>
      </c>
      <c r="R277" s="8">
        <f>S277/1.11</f>
        <v>0</v>
      </c>
      <c r="S277" s="8">
        <f t="shared" si="132"/>
        <v>0</v>
      </c>
    </row>
    <row r="279" spans="1:19" x14ac:dyDescent="0.2">
      <c r="A279" s="24" t="s">
        <v>182</v>
      </c>
    </row>
    <row r="280" spans="1:19" x14ac:dyDescent="0.2">
      <c r="A280" s="24" t="s">
        <v>183</v>
      </c>
    </row>
    <row r="281" spans="1:19" x14ac:dyDescent="0.2">
      <c r="A281" s="1" t="s">
        <v>677</v>
      </c>
      <c r="B281" s="2" t="s">
        <v>17</v>
      </c>
      <c r="D281" s="4" t="s">
        <v>39</v>
      </c>
      <c r="F281" s="6">
        <v>1</v>
      </c>
      <c r="G281" s="7" t="s">
        <v>19</v>
      </c>
      <c r="H281" s="6">
        <v>24</v>
      </c>
      <c r="I281" s="7" t="s">
        <v>39</v>
      </c>
      <c r="J281" s="8">
        <v>27600</v>
      </c>
      <c r="K281" s="4" t="s">
        <v>39</v>
      </c>
      <c r="L281" s="9">
        <v>0.125</v>
      </c>
      <c r="M281" s="9">
        <v>0.05</v>
      </c>
      <c r="O281" s="7" t="s">
        <v>39</v>
      </c>
      <c r="P281" s="3">
        <f t="shared" ref="P281:P287" si="133">(C281+(E281*F281*H281))-N281</f>
        <v>0</v>
      </c>
      <c r="Q281" s="7" t="s">
        <v>39</v>
      </c>
      <c r="R281" s="8">
        <f t="shared" ref="R281:R287" si="134">S281/1.11</f>
        <v>0</v>
      </c>
      <c r="S281" s="8">
        <f t="shared" ref="S281:S287" si="135">P281*(J281-(J281*L281)-((J281-(J281*L281))*M281))</f>
        <v>0</v>
      </c>
    </row>
    <row r="282" spans="1:19" x14ac:dyDescent="0.2">
      <c r="A282" s="1" t="s">
        <v>184</v>
      </c>
      <c r="B282" s="2" t="s">
        <v>17</v>
      </c>
      <c r="D282" s="4" t="s">
        <v>39</v>
      </c>
      <c r="F282" s="6">
        <v>1</v>
      </c>
      <c r="G282" s="7" t="s">
        <v>19</v>
      </c>
      <c r="H282" s="6">
        <v>24</v>
      </c>
      <c r="I282" s="7" t="s">
        <v>39</v>
      </c>
      <c r="J282" s="8">
        <v>76800</v>
      </c>
      <c r="K282" s="4" t="s">
        <v>39</v>
      </c>
      <c r="L282" s="9">
        <v>0.125</v>
      </c>
      <c r="M282" s="9">
        <v>0.05</v>
      </c>
      <c r="O282" s="7" t="s">
        <v>39</v>
      </c>
      <c r="P282" s="3">
        <f t="shared" ref="P282" si="136">(C282+(E282*F282*H282))-N282</f>
        <v>0</v>
      </c>
      <c r="Q282" s="7" t="s">
        <v>39</v>
      </c>
      <c r="R282" s="8">
        <f t="shared" si="134"/>
        <v>0</v>
      </c>
      <c r="S282" s="8">
        <f t="shared" ref="S282" si="137">P282*(J282-(J282*L282)-((J282-(J282*L282))*M282))</f>
        <v>0</v>
      </c>
    </row>
    <row r="283" spans="1:19" x14ac:dyDescent="0.2">
      <c r="A283" s="1" t="s">
        <v>185</v>
      </c>
      <c r="B283" s="2" t="s">
        <v>17</v>
      </c>
      <c r="D283" s="4" t="s">
        <v>39</v>
      </c>
      <c r="F283" s="6">
        <v>1</v>
      </c>
      <c r="G283" s="7" t="s">
        <v>19</v>
      </c>
      <c r="H283" s="6">
        <v>48</v>
      </c>
      <c r="I283" s="7" t="s">
        <v>39</v>
      </c>
      <c r="J283" s="8">
        <v>51600</v>
      </c>
      <c r="K283" s="4" t="s">
        <v>39</v>
      </c>
      <c r="L283" s="9">
        <v>0.125</v>
      </c>
      <c r="M283" s="9">
        <v>0.05</v>
      </c>
      <c r="O283" s="7" t="s">
        <v>39</v>
      </c>
      <c r="P283" s="3">
        <f t="shared" si="133"/>
        <v>0</v>
      </c>
      <c r="Q283" s="7" t="s">
        <v>39</v>
      </c>
      <c r="R283" s="8">
        <f t="shared" si="134"/>
        <v>0</v>
      </c>
      <c r="S283" s="8">
        <f t="shared" si="135"/>
        <v>0</v>
      </c>
    </row>
    <row r="284" spans="1:19" x14ac:dyDescent="0.2">
      <c r="A284" s="1" t="s">
        <v>186</v>
      </c>
      <c r="B284" s="2" t="s">
        <v>17</v>
      </c>
      <c r="D284" s="4" t="s">
        <v>39</v>
      </c>
      <c r="F284" s="6">
        <v>1</v>
      </c>
      <c r="G284" s="7" t="s">
        <v>19</v>
      </c>
      <c r="H284" s="6">
        <v>48</v>
      </c>
      <c r="I284" s="7" t="s">
        <v>39</v>
      </c>
      <c r="J284" s="8">
        <v>55800</v>
      </c>
      <c r="K284" s="4" t="s">
        <v>39</v>
      </c>
      <c r="L284" s="9">
        <v>0.125</v>
      </c>
      <c r="M284" s="9">
        <v>0.05</v>
      </c>
      <c r="O284" s="7" t="s">
        <v>39</v>
      </c>
      <c r="P284" s="3">
        <f t="shared" si="133"/>
        <v>0</v>
      </c>
      <c r="Q284" s="7" t="s">
        <v>39</v>
      </c>
      <c r="R284" s="8">
        <f t="shared" si="134"/>
        <v>0</v>
      </c>
      <c r="S284" s="8">
        <f t="shared" si="135"/>
        <v>0</v>
      </c>
    </row>
    <row r="285" spans="1:19" x14ac:dyDescent="0.2">
      <c r="A285" s="1" t="s">
        <v>967</v>
      </c>
      <c r="B285" s="2" t="s">
        <v>17</v>
      </c>
      <c r="D285" s="4" t="s">
        <v>809</v>
      </c>
      <c r="F285" s="6">
        <v>1</v>
      </c>
      <c r="G285" s="7" t="s">
        <v>19</v>
      </c>
      <c r="H285" s="6">
        <v>144</v>
      </c>
      <c r="I285" s="7" t="s">
        <v>809</v>
      </c>
      <c r="J285" s="8">
        <v>13500</v>
      </c>
      <c r="K285" s="4" t="s">
        <v>809</v>
      </c>
      <c r="L285" s="9">
        <v>0.125</v>
      </c>
      <c r="M285" s="9">
        <v>0.05</v>
      </c>
      <c r="O285" s="7" t="s">
        <v>809</v>
      </c>
      <c r="P285" s="3">
        <f t="shared" ref="P285" si="138">(C285+(E285*F285*H285))-N285</f>
        <v>0</v>
      </c>
      <c r="Q285" s="7" t="s">
        <v>809</v>
      </c>
      <c r="R285" s="8">
        <f t="shared" si="134"/>
        <v>0</v>
      </c>
      <c r="S285" s="8">
        <f t="shared" ref="S285" si="139">P285*(J285-(J285*L285)-((J285-(J285*L285))*M285))</f>
        <v>0</v>
      </c>
    </row>
    <row r="286" spans="1:19" x14ac:dyDescent="0.2">
      <c r="A286" s="1" t="s">
        <v>698</v>
      </c>
      <c r="B286" s="2" t="s">
        <v>17</v>
      </c>
      <c r="D286" s="4" t="s">
        <v>39</v>
      </c>
      <c r="F286" s="6">
        <v>1</v>
      </c>
      <c r="G286" s="7" t="s">
        <v>19</v>
      </c>
      <c r="H286" s="6">
        <f>288/12</f>
        <v>24</v>
      </c>
      <c r="I286" s="7" t="s">
        <v>39</v>
      </c>
      <c r="J286" s="8">
        <f>10600*12</f>
        <v>127200</v>
      </c>
      <c r="K286" s="4" t="s">
        <v>39</v>
      </c>
      <c r="L286" s="9">
        <v>0.125</v>
      </c>
      <c r="M286" s="9">
        <v>0.05</v>
      </c>
      <c r="O286" s="7" t="s">
        <v>39</v>
      </c>
      <c r="P286" s="3">
        <f t="shared" si="133"/>
        <v>0</v>
      </c>
      <c r="Q286" s="7" t="s">
        <v>39</v>
      </c>
      <c r="R286" s="8">
        <f t="shared" si="134"/>
        <v>0</v>
      </c>
      <c r="S286" s="8">
        <f t="shared" si="135"/>
        <v>0</v>
      </c>
    </row>
    <row r="287" spans="1:19" x14ac:dyDescent="0.2">
      <c r="A287" s="1" t="s">
        <v>187</v>
      </c>
      <c r="B287" s="2" t="s">
        <v>17</v>
      </c>
      <c r="D287" s="4" t="s">
        <v>39</v>
      </c>
      <c r="F287" s="6">
        <v>1</v>
      </c>
      <c r="G287" s="7" t="s">
        <v>19</v>
      </c>
      <c r="H287" s="6">
        <v>24</v>
      </c>
      <c r="I287" s="7" t="s">
        <v>39</v>
      </c>
      <c r="J287" s="8">
        <v>162000</v>
      </c>
      <c r="K287" s="4" t="s">
        <v>39</v>
      </c>
      <c r="L287" s="9">
        <v>0.125</v>
      </c>
      <c r="M287" s="9">
        <v>0.05</v>
      </c>
      <c r="O287" s="7" t="s">
        <v>39</v>
      </c>
      <c r="P287" s="3">
        <f t="shared" si="133"/>
        <v>0</v>
      </c>
      <c r="Q287" s="7" t="s">
        <v>39</v>
      </c>
      <c r="R287" s="8">
        <f t="shared" si="134"/>
        <v>0</v>
      </c>
      <c r="S287" s="8">
        <f t="shared" si="135"/>
        <v>0</v>
      </c>
    </row>
    <row r="289" spans="1:19" x14ac:dyDescent="0.2">
      <c r="A289" s="1" t="s">
        <v>188</v>
      </c>
      <c r="B289" s="2" t="s">
        <v>24</v>
      </c>
      <c r="D289" s="4" t="s">
        <v>39</v>
      </c>
      <c r="F289" s="6">
        <v>1</v>
      </c>
      <c r="G289" s="7" t="s">
        <v>19</v>
      </c>
      <c r="H289" s="6">
        <v>30</v>
      </c>
      <c r="I289" s="7" t="s">
        <v>39</v>
      </c>
      <c r="J289" s="8">
        <f>1566000/30</f>
        <v>52200</v>
      </c>
      <c r="K289" s="4" t="s">
        <v>39</v>
      </c>
      <c r="M289" s="9">
        <v>0.17</v>
      </c>
      <c r="O289" s="7" t="s">
        <v>39</v>
      </c>
      <c r="P289" s="3">
        <f>(C289+(E289*F289*H289))-N289</f>
        <v>0</v>
      </c>
      <c r="Q289" s="7" t="s">
        <v>39</v>
      </c>
      <c r="R289" s="8">
        <f>S289/1.11</f>
        <v>0</v>
      </c>
      <c r="S289" s="8">
        <f>P289*(J289-(J289*L289)-((J289-(J289*L289))*M289))</f>
        <v>0</v>
      </c>
    </row>
    <row r="290" spans="1:19" x14ac:dyDescent="0.2">
      <c r="A290" s="1" t="s">
        <v>189</v>
      </c>
      <c r="B290" s="2" t="s">
        <v>24</v>
      </c>
      <c r="D290" s="4" t="s">
        <v>39</v>
      </c>
      <c r="F290" s="6">
        <v>1</v>
      </c>
      <c r="G290" s="7" t="s">
        <v>19</v>
      </c>
      <c r="H290" s="6">
        <v>30</v>
      </c>
      <c r="I290" s="7" t="s">
        <v>39</v>
      </c>
      <c r="J290" s="8">
        <f>1710000/30</f>
        <v>57000</v>
      </c>
      <c r="K290" s="4" t="s">
        <v>39</v>
      </c>
      <c r="M290" s="9">
        <v>0.17</v>
      </c>
      <c r="O290" s="7" t="s">
        <v>39</v>
      </c>
      <c r="P290" s="3">
        <f>(C290+(E290*F290*H290))-N290</f>
        <v>0</v>
      </c>
      <c r="Q290" s="7" t="s">
        <v>39</v>
      </c>
      <c r="R290" s="8">
        <f>S290/1.11</f>
        <v>0</v>
      </c>
      <c r="S290" s="8">
        <f>P290*(J290-(J290*L290)-((J290-(J290*L290))*M290))</f>
        <v>0</v>
      </c>
    </row>
    <row r="291" spans="1:19" x14ac:dyDescent="0.2">
      <c r="A291" s="1" t="s">
        <v>190</v>
      </c>
      <c r="B291" s="2" t="s">
        <v>24</v>
      </c>
      <c r="C291" s="3">
        <v>80</v>
      </c>
      <c r="D291" s="4" t="s">
        <v>39</v>
      </c>
      <c r="F291" s="6">
        <v>1</v>
      </c>
      <c r="G291" s="7" t="s">
        <v>19</v>
      </c>
      <c r="H291" s="6">
        <v>20</v>
      </c>
      <c r="I291" s="7" t="s">
        <v>39</v>
      </c>
      <c r="J291" s="8">
        <f>2952000/20</f>
        <v>147600</v>
      </c>
      <c r="K291" s="4" t="s">
        <v>39</v>
      </c>
      <c r="M291" s="9">
        <v>0.17</v>
      </c>
      <c r="O291" s="7" t="s">
        <v>39</v>
      </c>
      <c r="P291" s="3">
        <f>(C291+(E291*F291*H291))-N291</f>
        <v>80</v>
      </c>
      <c r="Q291" s="7" t="s">
        <v>39</v>
      </c>
      <c r="R291" s="8">
        <f>S291/1.11</f>
        <v>8829405.405405404</v>
      </c>
      <c r="S291" s="8">
        <f>P291*(J291-(J291*L291)-((J291-(J291*L291))*M291))</f>
        <v>9800640</v>
      </c>
    </row>
    <row r="293" spans="1:19" x14ac:dyDescent="0.2">
      <c r="A293" s="1" t="s">
        <v>650</v>
      </c>
      <c r="B293" s="2" t="s">
        <v>585</v>
      </c>
      <c r="D293" s="4" t="s">
        <v>39</v>
      </c>
      <c r="F293" s="6">
        <v>1</v>
      </c>
      <c r="G293" s="7" t="s">
        <v>19</v>
      </c>
      <c r="H293" s="6">
        <v>48</v>
      </c>
      <c r="I293" s="7" t="s">
        <v>39</v>
      </c>
      <c r="J293" s="8">
        <v>60600</v>
      </c>
      <c r="K293" s="4" t="s">
        <v>39</v>
      </c>
      <c r="L293" s="9">
        <v>0.15</v>
      </c>
      <c r="M293" s="9">
        <v>0.03</v>
      </c>
      <c r="O293" s="7" t="s">
        <v>39</v>
      </c>
      <c r="P293" s="3">
        <f>(C293+(E293*F293*H293))-N293</f>
        <v>0</v>
      </c>
      <c r="Q293" s="7" t="s">
        <v>39</v>
      </c>
      <c r="R293" s="8">
        <f>S293/1.11</f>
        <v>0</v>
      </c>
      <c r="S293" s="8">
        <f>P293*(J293-(J293*L293)-((J293-(J293*L293))*M293))</f>
        <v>0</v>
      </c>
    </row>
    <row r="294" spans="1:19" x14ac:dyDescent="0.2">
      <c r="A294" s="1" t="s">
        <v>946</v>
      </c>
      <c r="B294" s="2" t="s">
        <v>585</v>
      </c>
      <c r="D294" s="4" t="s">
        <v>39</v>
      </c>
      <c r="F294" s="6">
        <v>1</v>
      </c>
      <c r="G294" s="7" t="s">
        <v>19</v>
      </c>
      <c r="H294" s="6">
        <v>24</v>
      </c>
      <c r="I294" s="7" t="s">
        <v>39</v>
      </c>
      <c r="J294" s="8">
        <v>144000</v>
      </c>
      <c r="K294" s="4" t="s">
        <v>39</v>
      </c>
      <c r="L294" s="9">
        <v>0.15</v>
      </c>
      <c r="M294" s="9">
        <v>0.03</v>
      </c>
      <c r="O294" s="7" t="s">
        <v>39</v>
      </c>
      <c r="P294" s="3">
        <f>(C294+(E294*F294*H294))-N294</f>
        <v>0</v>
      </c>
      <c r="Q294" s="7" t="s">
        <v>39</v>
      </c>
      <c r="R294" s="8">
        <f>S294/1.11</f>
        <v>0</v>
      </c>
      <c r="S294" s="8">
        <f>P294*(J294-(J294*L294)-((J294-(J294*L294))*M294))</f>
        <v>0</v>
      </c>
    </row>
    <row r="296" spans="1:19" x14ac:dyDescent="0.2">
      <c r="A296" s="1" t="s">
        <v>753</v>
      </c>
      <c r="B296" s="1" t="s">
        <v>170</v>
      </c>
      <c r="C296" s="17">
        <v>240</v>
      </c>
      <c r="D296" s="18" t="s">
        <v>39</v>
      </c>
      <c r="E296" s="19"/>
      <c r="F296" s="20">
        <v>1</v>
      </c>
      <c r="G296" s="16" t="s">
        <v>19</v>
      </c>
      <c r="H296" s="20">
        <v>120</v>
      </c>
      <c r="I296" s="16" t="s">
        <v>39</v>
      </c>
      <c r="J296" s="21">
        <v>7500</v>
      </c>
      <c r="K296" s="18" t="s">
        <v>39</v>
      </c>
      <c r="L296" s="22">
        <v>0.05</v>
      </c>
      <c r="M296" s="22"/>
      <c r="N296" s="20"/>
      <c r="O296" s="16" t="s">
        <v>39</v>
      </c>
      <c r="P296" s="17">
        <f>(C296+(E296*F296*H296))-N296</f>
        <v>240</v>
      </c>
      <c r="Q296" s="16" t="s">
        <v>39</v>
      </c>
      <c r="R296" s="21">
        <f>S296/1.11</f>
        <v>1540540.5405405404</v>
      </c>
      <c r="S296" s="21">
        <f>P296*(J296-(J296*L296)-((J296-(J296*L296))*M296))</f>
        <v>1710000</v>
      </c>
    </row>
    <row r="297" spans="1:19" x14ac:dyDescent="0.2">
      <c r="A297" s="1" t="s">
        <v>759</v>
      </c>
      <c r="B297" s="1" t="s">
        <v>170</v>
      </c>
      <c r="C297" s="17"/>
      <c r="D297" s="18" t="s">
        <v>39</v>
      </c>
      <c r="E297" s="19"/>
      <c r="F297" s="20">
        <v>1</v>
      </c>
      <c r="G297" s="16" t="s">
        <v>19</v>
      </c>
      <c r="H297" s="20">
        <v>20</v>
      </c>
      <c r="I297" s="16" t="s">
        <v>39</v>
      </c>
      <c r="J297" s="21">
        <f>5500*12</f>
        <v>66000</v>
      </c>
      <c r="K297" s="18" t="s">
        <v>39</v>
      </c>
      <c r="L297" s="22">
        <v>0.05</v>
      </c>
      <c r="M297" s="22"/>
      <c r="N297" s="20"/>
      <c r="O297" s="16" t="s">
        <v>39</v>
      </c>
      <c r="P297" s="17">
        <f>(C297+(E297*F297*H297))-N297</f>
        <v>0</v>
      </c>
      <c r="Q297" s="16" t="s">
        <v>39</v>
      </c>
      <c r="R297" s="21">
        <f>S297/1.11</f>
        <v>0</v>
      </c>
      <c r="S297" s="21">
        <f>P297*(J297-(J297*L297)-((J297-(J297*L297))*M297))</f>
        <v>0</v>
      </c>
    </row>
    <row r="299" spans="1:19" x14ac:dyDescent="0.2">
      <c r="A299" s="24" t="s">
        <v>191</v>
      </c>
    </row>
    <row r="300" spans="1:19" x14ac:dyDescent="0.2">
      <c r="A300" s="1" t="s">
        <v>1014</v>
      </c>
      <c r="B300" s="2" t="s">
        <v>17</v>
      </c>
      <c r="D300" s="4" t="s">
        <v>39</v>
      </c>
      <c r="F300" s="6">
        <v>1</v>
      </c>
      <c r="G300" s="7" t="s">
        <v>19</v>
      </c>
      <c r="H300" s="6">
        <v>120</v>
      </c>
      <c r="I300" s="7" t="s">
        <v>39</v>
      </c>
      <c r="J300" s="8">
        <v>24600</v>
      </c>
      <c r="K300" s="4" t="s">
        <v>39</v>
      </c>
      <c r="L300" s="9">
        <v>0.125</v>
      </c>
      <c r="M300" s="9">
        <v>0.05</v>
      </c>
      <c r="O300" s="7" t="s">
        <v>39</v>
      </c>
      <c r="P300" s="3">
        <f>(C300+(E300*F300*H300))-N300</f>
        <v>0</v>
      </c>
      <c r="Q300" s="7" t="s">
        <v>39</v>
      </c>
      <c r="R300" s="8">
        <f>S300/1.11</f>
        <v>0</v>
      </c>
      <c r="S300" s="8">
        <f>P300*(J300-(J300*L300)-((J300-(J300*L300))*M300))</f>
        <v>0</v>
      </c>
    </row>
    <row r="301" spans="1:19" x14ac:dyDescent="0.2">
      <c r="A301" s="1" t="s">
        <v>715</v>
      </c>
      <c r="B301" s="2" t="s">
        <v>17</v>
      </c>
      <c r="D301" s="4" t="s">
        <v>39</v>
      </c>
      <c r="F301" s="6">
        <v>1</v>
      </c>
      <c r="G301" s="7" t="s">
        <v>19</v>
      </c>
      <c r="H301" s="6">
        <v>40</v>
      </c>
      <c r="I301" s="7" t="s">
        <v>39</v>
      </c>
      <c r="J301" s="8">
        <v>49200</v>
      </c>
      <c r="K301" s="4" t="s">
        <v>39</v>
      </c>
      <c r="L301" s="9">
        <v>0.125</v>
      </c>
      <c r="M301" s="9">
        <v>0.05</v>
      </c>
      <c r="O301" s="7" t="s">
        <v>39</v>
      </c>
      <c r="P301" s="3">
        <f>(C301+(E301*F301*H301))-N301</f>
        <v>0</v>
      </c>
      <c r="Q301" s="7" t="s">
        <v>39</v>
      </c>
      <c r="R301" s="8">
        <f>S301/1.11</f>
        <v>0</v>
      </c>
      <c r="S301" s="8">
        <f>P301*(J301-(J301*L301)-((J301-(J301*L301))*M301))</f>
        <v>0</v>
      </c>
    </row>
    <row r="303" spans="1:19" x14ac:dyDescent="0.2">
      <c r="A303" s="1" t="s">
        <v>192</v>
      </c>
      <c r="B303" s="2" t="s">
        <v>24</v>
      </c>
      <c r="C303" s="3">
        <v>720</v>
      </c>
      <c r="D303" s="4" t="s">
        <v>39</v>
      </c>
      <c r="F303" s="6">
        <v>1</v>
      </c>
      <c r="G303" s="7" t="s">
        <v>19</v>
      </c>
      <c r="H303" s="6">
        <v>120</v>
      </c>
      <c r="I303" s="7" t="s">
        <v>39</v>
      </c>
      <c r="J303" s="8">
        <f>3888000/120</f>
        <v>32400</v>
      </c>
      <c r="K303" s="4" t="s">
        <v>39</v>
      </c>
      <c r="L303" s="9">
        <v>0.03</v>
      </c>
      <c r="M303" s="9">
        <v>0.17</v>
      </c>
      <c r="O303" s="7" t="s">
        <v>39</v>
      </c>
      <c r="P303" s="3">
        <f>(C303+(E303*F303*H303))-N303</f>
        <v>720</v>
      </c>
      <c r="Q303" s="7" t="s">
        <v>39</v>
      </c>
      <c r="R303" s="8">
        <f>S303/1.11</f>
        <v>16920155.675675672</v>
      </c>
      <c r="S303" s="8">
        <f>P303*(J303-(J303*L303)-((J303-(J303*L303))*M303))</f>
        <v>18781372.799999997</v>
      </c>
    </row>
    <row r="304" spans="1:19" x14ac:dyDescent="0.2">
      <c r="A304" s="1" t="s">
        <v>193</v>
      </c>
      <c r="B304" s="2" t="s">
        <v>24</v>
      </c>
      <c r="C304" s="3">
        <v>2700</v>
      </c>
      <c r="D304" s="4" t="s">
        <v>39</v>
      </c>
      <c r="F304" s="6">
        <v>1</v>
      </c>
      <c r="G304" s="7" t="s">
        <v>19</v>
      </c>
      <c r="H304" s="6">
        <v>60</v>
      </c>
      <c r="I304" s="7" t="s">
        <v>39</v>
      </c>
      <c r="J304" s="8">
        <f>3888000/60</f>
        <v>64800</v>
      </c>
      <c r="K304" s="4" t="s">
        <v>39</v>
      </c>
      <c r="L304" s="9">
        <v>0.03</v>
      </c>
      <c r="M304" s="9">
        <v>0.17</v>
      </c>
      <c r="O304" s="7" t="s">
        <v>39</v>
      </c>
      <c r="P304" s="3">
        <f>(C304+(E304*F304*H304))-N304</f>
        <v>2700</v>
      </c>
      <c r="Q304" s="7" t="s">
        <v>39</v>
      </c>
      <c r="R304" s="8">
        <f>S304/1.11</f>
        <v>126901167.56756756</v>
      </c>
      <c r="S304" s="8">
        <f>P304*(J304-(J304*L304)-((J304-(J304*L304))*M304))</f>
        <v>140860296</v>
      </c>
    </row>
    <row r="306" spans="1:19" x14ac:dyDescent="0.2">
      <c r="A306" s="24" t="s">
        <v>194</v>
      </c>
    </row>
    <row r="307" spans="1:19" x14ac:dyDescent="0.2">
      <c r="A307" s="1" t="s">
        <v>775</v>
      </c>
      <c r="B307" s="2" t="s">
        <v>17</v>
      </c>
      <c r="D307" s="4" t="s">
        <v>18</v>
      </c>
      <c r="F307" s="6">
        <v>1</v>
      </c>
      <c r="G307" s="7" t="s">
        <v>19</v>
      </c>
      <c r="H307" s="6">
        <v>20</v>
      </c>
      <c r="I307" s="7" t="s">
        <v>18</v>
      </c>
      <c r="J307" s="8">
        <v>124000</v>
      </c>
      <c r="K307" s="4" t="s">
        <v>18</v>
      </c>
      <c r="L307" s="9">
        <v>0.125</v>
      </c>
      <c r="M307" s="9">
        <v>0.05</v>
      </c>
      <c r="O307" s="7" t="s">
        <v>18</v>
      </c>
      <c r="P307" s="3">
        <f>(C307+(E307*F307*H307))-N307</f>
        <v>0</v>
      </c>
      <c r="Q307" s="7" t="s">
        <v>18</v>
      </c>
      <c r="R307" s="8">
        <f>S307/1.11</f>
        <v>0</v>
      </c>
      <c r="S307" s="8">
        <f>P307*(J307-(J307*L307)-((J307-(J307*L307))*M307))</f>
        <v>0</v>
      </c>
    </row>
    <row r="308" spans="1:19" x14ac:dyDescent="0.2">
      <c r="A308" s="1" t="s">
        <v>195</v>
      </c>
      <c r="B308" s="2" t="s">
        <v>17</v>
      </c>
      <c r="D308" s="4" t="s">
        <v>18</v>
      </c>
      <c r="F308" s="6">
        <v>1</v>
      </c>
      <c r="G308" s="7" t="s">
        <v>19</v>
      </c>
      <c r="H308" s="6">
        <v>5</v>
      </c>
      <c r="I308" s="7" t="s">
        <v>18</v>
      </c>
      <c r="J308" s="8">
        <v>214000</v>
      </c>
      <c r="K308" s="4" t="s">
        <v>18</v>
      </c>
      <c r="L308" s="9">
        <v>0.125</v>
      </c>
      <c r="M308" s="9">
        <v>0.05</v>
      </c>
      <c r="O308" s="7" t="s">
        <v>18</v>
      </c>
      <c r="P308" s="3">
        <f>(C308+(E308*F308*H308))-N308</f>
        <v>0</v>
      </c>
      <c r="Q308" s="7" t="s">
        <v>18</v>
      </c>
      <c r="R308" s="8">
        <f>S308/1.11</f>
        <v>0</v>
      </c>
      <c r="S308" s="8">
        <f>P308*(J308-(J308*L308)-((J308-(J308*L308))*M308))</f>
        <v>0</v>
      </c>
    </row>
    <row r="309" spans="1:19" x14ac:dyDescent="0.2">
      <c r="A309" s="1" t="s">
        <v>196</v>
      </c>
      <c r="B309" s="2" t="s">
        <v>17</v>
      </c>
      <c r="D309" s="4" t="s">
        <v>18</v>
      </c>
      <c r="F309" s="6">
        <v>1</v>
      </c>
      <c r="G309" s="7" t="s">
        <v>19</v>
      </c>
      <c r="H309" s="6">
        <v>5</v>
      </c>
      <c r="I309" s="7" t="s">
        <v>18</v>
      </c>
      <c r="J309" s="8">
        <v>219000</v>
      </c>
      <c r="K309" s="4" t="s">
        <v>18</v>
      </c>
      <c r="L309" s="9">
        <v>0.125</v>
      </c>
      <c r="M309" s="9">
        <v>0.05</v>
      </c>
      <c r="O309" s="7" t="s">
        <v>18</v>
      </c>
      <c r="P309" s="3">
        <f>(C309+(E309*F309*H309))-N309</f>
        <v>0</v>
      </c>
      <c r="Q309" s="7" t="s">
        <v>18</v>
      </c>
      <c r="R309" s="8">
        <f>S309/1.11</f>
        <v>0</v>
      </c>
      <c r="S309" s="8">
        <f>P309*(J309-(J309*L309)-((J309-(J309*L309))*M309))</f>
        <v>0</v>
      </c>
    </row>
    <row r="310" spans="1:19" x14ac:dyDescent="0.2">
      <c r="A310" s="1" t="s">
        <v>197</v>
      </c>
      <c r="B310" s="2" t="s">
        <v>17</v>
      </c>
      <c r="D310" s="4" t="s">
        <v>18</v>
      </c>
      <c r="F310" s="6">
        <v>1</v>
      </c>
      <c r="G310" s="7" t="s">
        <v>19</v>
      </c>
      <c r="H310" s="6">
        <v>4</v>
      </c>
      <c r="I310" s="7" t="s">
        <v>18</v>
      </c>
      <c r="J310" s="8">
        <v>291000</v>
      </c>
      <c r="K310" s="4" t="s">
        <v>18</v>
      </c>
      <c r="L310" s="9">
        <v>0.125</v>
      </c>
      <c r="M310" s="9">
        <v>0.05</v>
      </c>
      <c r="O310" s="7" t="s">
        <v>18</v>
      </c>
      <c r="P310" s="3">
        <f>(C310+(E310*F310*H310))-N310</f>
        <v>0</v>
      </c>
      <c r="Q310" s="7" t="s">
        <v>18</v>
      </c>
      <c r="R310" s="8">
        <f>S310/1.11</f>
        <v>0</v>
      </c>
      <c r="S310" s="8">
        <f>P310*(J310-(J310*L310)-((J310-(J310*L310))*M310))</f>
        <v>0</v>
      </c>
    </row>
    <row r="312" spans="1:19" x14ac:dyDescent="0.2">
      <c r="A312" s="1" t="s">
        <v>198</v>
      </c>
      <c r="B312" s="2" t="s">
        <v>24</v>
      </c>
      <c r="D312" s="4" t="s">
        <v>18</v>
      </c>
      <c r="F312" s="6">
        <v>1</v>
      </c>
      <c r="G312" s="7" t="s">
        <v>19</v>
      </c>
      <c r="H312" s="6">
        <v>5</v>
      </c>
      <c r="I312" s="7" t="s">
        <v>18</v>
      </c>
      <c r="J312" s="8">
        <f>1125000/5</f>
        <v>225000</v>
      </c>
      <c r="K312" s="4" t="s">
        <v>18</v>
      </c>
      <c r="M312" s="9">
        <v>0.17</v>
      </c>
      <c r="O312" s="7" t="s">
        <v>18</v>
      </c>
      <c r="P312" s="3">
        <f>(C312+(E312*F312*H312))-N312</f>
        <v>0</v>
      </c>
      <c r="Q312" s="7" t="s">
        <v>18</v>
      </c>
      <c r="R312" s="8">
        <f>S312/1.11</f>
        <v>0</v>
      </c>
      <c r="S312" s="8">
        <f>P312*(J312-(J312*L312)-((J312-(J312*L312))*M312))</f>
        <v>0</v>
      </c>
    </row>
    <row r="313" spans="1:19" x14ac:dyDescent="0.2">
      <c r="A313" s="1" t="s">
        <v>199</v>
      </c>
      <c r="B313" s="2" t="s">
        <v>24</v>
      </c>
      <c r="D313" s="4" t="s">
        <v>18</v>
      </c>
      <c r="F313" s="6">
        <v>1</v>
      </c>
      <c r="G313" s="7" t="s">
        <v>19</v>
      </c>
      <c r="H313" s="6">
        <v>5</v>
      </c>
      <c r="I313" s="7" t="s">
        <v>18</v>
      </c>
      <c r="J313" s="8">
        <v>235000</v>
      </c>
      <c r="K313" s="4" t="s">
        <v>18</v>
      </c>
      <c r="M313" s="9">
        <v>0.17</v>
      </c>
      <c r="O313" s="7" t="s">
        <v>18</v>
      </c>
      <c r="P313" s="3">
        <f>(C313+(E313*F313*H313))-N313</f>
        <v>0</v>
      </c>
      <c r="Q313" s="7" t="s">
        <v>18</v>
      </c>
      <c r="R313" s="8">
        <f>S313/1.11</f>
        <v>0</v>
      </c>
      <c r="S313" s="8">
        <f>P313*(J313-(J313*L313)-((J313-(J313*L313))*M313))</f>
        <v>0</v>
      </c>
    </row>
    <row r="314" spans="1:19" x14ac:dyDescent="0.2">
      <c r="A314" s="1" t="s">
        <v>200</v>
      </c>
      <c r="B314" s="2" t="s">
        <v>24</v>
      </c>
      <c r="D314" s="4" t="s">
        <v>18</v>
      </c>
      <c r="F314" s="6">
        <v>1</v>
      </c>
      <c r="G314" s="7" t="s">
        <v>19</v>
      </c>
      <c r="H314" s="6">
        <v>4</v>
      </c>
      <c r="I314" s="7" t="s">
        <v>18</v>
      </c>
      <c r="J314" s="8">
        <f>1180000/4</f>
        <v>295000</v>
      </c>
      <c r="K314" s="4" t="s">
        <v>18</v>
      </c>
      <c r="M314" s="9">
        <v>0.17</v>
      </c>
      <c r="O314" s="7" t="s">
        <v>18</v>
      </c>
      <c r="P314" s="3">
        <f>(C314+(E314*F314*H314))-N314</f>
        <v>0</v>
      </c>
      <c r="Q314" s="7" t="s">
        <v>18</v>
      </c>
      <c r="R314" s="8">
        <f>S314/1.11</f>
        <v>0</v>
      </c>
      <c r="S314" s="8">
        <f>P314*(J314-(J314*L314)-((J314-(J314*L314))*M314))</f>
        <v>0</v>
      </c>
    </row>
    <row r="316" spans="1:19" x14ac:dyDescent="0.2">
      <c r="A316" s="24" t="s">
        <v>725</v>
      </c>
    </row>
    <row r="317" spans="1:19" x14ac:dyDescent="0.2">
      <c r="A317" s="1" t="s">
        <v>726</v>
      </c>
      <c r="B317" s="2" t="s">
        <v>585</v>
      </c>
      <c r="D317" s="4" t="s">
        <v>18</v>
      </c>
      <c r="F317" s="6">
        <v>1</v>
      </c>
      <c r="G317" s="7" t="s">
        <v>19</v>
      </c>
      <c r="H317" s="6">
        <v>48</v>
      </c>
      <c r="I317" s="7" t="s">
        <v>18</v>
      </c>
      <c r="J317" s="8">
        <v>53000</v>
      </c>
      <c r="K317" s="4" t="s">
        <v>18</v>
      </c>
      <c r="L317" s="9">
        <v>0.17499999999999999</v>
      </c>
      <c r="M317" s="9">
        <v>1.0999999999999999E-2</v>
      </c>
      <c r="O317" s="7" t="s">
        <v>18</v>
      </c>
      <c r="P317" s="3">
        <f>(C317+(E317*F317*H317))-N317</f>
        <v>0</v>
      </c>
      <c r="Q317" s="7" t="s">
        <v>18</v>
      </c>
      <c r="R317" s="8">
        <f>S317/1.11</f>
        <v>0</v>
      </c>
      <c r="S317" s="8">
        <f>P317*(J317-(J317*L317)-((J317-(J317*L317))*M317))</f>
        <v>0</v>
      </c>
    </row>
    <row r="319" spans="1:19" x14ac:dyDescent="0.2">
      <c r="A319" s="24" t="s">
        <v>201</v>
      </c>
    </row>
    <row r="320" spans="1:19" x14ac:dyDescent="0.2">
      <c r="A320" s="1" t="s">
        <v>784</v>
      </c>
      <c r="B320" s="2" t="s">
        <v>17</v>
      </c>
      <c r="D320" s="4" t="s">
        <v>18</v>
      </c>
      <c r="F320" s="6">
        <v>8</v>
      </c>
      <c r="G320" s="7" t="s">
        <v>32</v>
      </c>
      <c r="H320" s="6">
        <v>12</v>
      </c>
      <c r="I320" s="7" t="s">
        <v>18</v>
      </c>
      <c r="J320" s="8">
        <v>11500</v>
      </c>
      <c r="K320" s="4" t="s">
        <v>18</v>
      </c>
      <c r="L320" s="9">
        <v>0.125</v>
      </c>
      <c r="M320" s="9">
        <v>0.05</v>
      </c>
      <c r="O320" s="7" t="s">
        <v>18</v>
      </c>
      <c r="P320" s="3">
        <f>(C320+(E320*F320*H320))-N320</f>
        <v>0</v>
      </c>
      <c r="Q320" s="7" t="s">
        <v>18</v>
      </c>
      <c r="R320" s="8">
        <f>S320/1.11</f>
        <v>0</v>
      </c>
      <c r="S320" s="8">
        <f>P320*(J320-(J320*L320)-((J320-(J320*L320))*M320))</f>
        <v>0</v>
      </c>
    </row>
    <row r="321" spans="1:19" x14ac:dyDescent="0.2">
      <c r="A321" s="1" t="s">
        <v>202</v>
      </c>
      <c r="B321" s="2" t="s">
        <v>17</v>
      </c>
      <c r="D321" s="4" t="s">
        <v>18</v>
      </c>
      <c r="F321" s="6">
        <v>1</v>
      </c>
      <c r="G321" s="7" t="s">
        <v>19</v>
      </c>
      <c r="H321" s="6">
        <v>90</v>
      </c>
      <c r="I321" s="7" t="s">
        <v>18</v>
      </c>
      <c r="J321" s="8">
        <v>24000</v>
      </c>
      <c r="K321" s="4" t="s">
        <v>18</v>
      </c>
      <c r="L321" s="9">
        <v>0.125</v>
      </c>
      <c r="M321" s="9">
        <v>0.05</v>
      </c>
      <c r="O321" s="7" t="s">
        <v>18</v>
      </c>
      <c r="P321" s="3">
        <f>(C321+(E321*F321*H321))-N321</f>
        <v>0</v>
      </c>
      <c r="Q321" s="7" t="s">
        <v>18</v>
      </c>
      <c r="R321" s="8">
        <f>S321/1.11</f>
        <v>0</v>
      </c>
      <c r="S321" s="8">
        <f>P321*(J321-(J321*L321)-((J321-(J321*L321))*M321))</f>
        <v>0</v>
      </c>
    </row>
    <row r="322" spans="1:19" x14ac:dyDescent="0.2">
      <c r="A322" s="1" t="s">
        <v>203</v>
      </c>
      <c r="B322" s="2" t="s">
        <v>17</v>
      </c>
      <c r="C322" s="3">
        <v>48</v>
      </c>
      <c r="D322" s="4" t="s">
        <v>18</v>
      </c>
      <c r="F322" s="6">
        <v>1</v>
      </c>
      <c r="G322" s="7" t="s">
        <v>19</v>
      </c>
      <c r="H322" s="6">
        <v>48</v>
      </c>
      <c r="I322" s="7" t="s">
        <v>18</v>
      </c>
      <c r="J322" s="8">
        <v>26200</v>
      </c>
      <c r="K322" s="4" t="s">
        <v>18</v>
      </c>
      <c r="L322" s="9">
        <v>0.125</v>
      </c>
      <c r="M322" s="9">
        <v>0.05</v>
      </c>
      <c r="O322" s="7" t="s">
        <v>18</v>
      </c>
      <c r="P322" s="3">
        <f>(C322+(E322*F322*H322))-N322</f>
        <v>48</v>
      </c>
      <c r="Q322" s="7" t="s">
        <v>18</v>
      </c>
      <c r="R322" s="8">
        <f>S322/1.11</f>
        <v>941783.78378378367</v>
      </c>
      <c r="S322" s="8">
        <f>P322*(J322-(J322*L322)-((J322-(J322*L322))*M322))</f>
        <v>1045380</v>
      </c>
    </row>
    <row r="323" spans="1:19" x14ac:dyDescent="0.2">
      <c r="A323" s="1" t="s">
        <v>812</v>
      </c>
      <c r="B323" s="2" t="s">
        <v>17</v>
      </c>
      <c r="D323" s="4" t="s">
        <v>18</v>
      </c>
      <c r="F323" s="6">
        <v>1</v>
      </c>
      <c r="G323" s="7" t="s">
        <v>19</v>
      </c>
      <c r="H323" s="6">
        <v>50</v>
      </c>
      <c r="I323" s="7" t="s">
        <v>18</v>
      </c>
      <c r="J323" s="8">
        <v>20500</v>
      </c>
      <c r="K323" s="4" t="s">
        <v>18</v>
      </c>
      <c r="L323" s="9">
        <v>0.125</v>
      </c>
      <c r="M323" s="9">
        <v>0.05</v>
      </c>
      <c r="O323" s="7" t="s">
        <v>18</v>
      </c>
      <c r="P323" s="3">
        <f>(C323+(E323*F323*H323))-N323</f>
        <v>0</v>
      </c>
      <c r="Q323" s="7" t="s">
        <v>18</v>
      </c>
      <c r="R323" s="8">
        <f>S323/1.11</f>
        <v>0</v>
      </c>
      <c r="S323" s="8">
        <f>P323*(J323-(J323*L323)-((J323-(J323*L323))*M323))</f>
        <v>0</v>
      </c>
    </row>
    <row r="325" spans="1:19" x14ac:dyDescent="0.2">
      <c r="A325" s="1" t="s">
        <v>204</v>
      </c>
      <c r="B325" s="2" t="s">
        <v>24</v>
      </c>
      <c r="D325" s="4" t="s">
        <v>18</v>
      </c>
      <c r="F325" s="6">
        <v>1</v>
      </c>
      <c r="G325" s="7" t="s">
        <v>19</v>
      </c>
      <c r="H325" s="6">
        <v>24</v>
      </c>
      <c r="I325" s="7" t="s">
        <v>18</v>
      </c>
      <c r="J325" s="8">
        <f>720000/24</f>
        <v>30000</v>
      </c>
      <c r="K325" s="4" t="s">
        <v>18</v>
      </c>
      <c r="M325" s="9">
        <v>0.17</v>
      </c>
      <c r="O325" s="7" t="s">
        <v>18</v>
      </c>
      <c r="P325" s="3">
        <f>(C325+(E325*F325*H325))-N325</f>
        <v>0</v>
      </c>
      <c r="Q325" s="7" t="s">
        <v>18</v>
      </c>
      <c r="R325" s="8">
        <f>S325/1.11</f>
        <v>0</v>
      </c>
      <c r="S325" s="8">
        <f>P325*(J325-(J325*L325)-((J325-(J325*L325))*M325))</f>
        <v>0</v>
      </c>
    </row>
    <row r="326" spans="1:19" x14ac:dyDescent="0.2">
      <c r="A326" s="1" t="s">
        <v>205</v>
      </c>
      <c r="B326" s="2" t="s">
        <v>24</v>
      </c>
      <c r="D326" s="4" t="s">
        <v>18</v>
      </c>
      <c r="F326" s="6">
        <v>1</v>
      </c>
      <c r="G326" s="7" t="s">
        <v>19</v>
      </c>
      <c r="H326" s="6">
        <v>48</v>
      </c>
      <c r="I326" s="7" t="s">
        <v>18</v>
      </c>
      <c r="J326" s="8">
        <f>1152000/48</f>
        <v>24000</v>
      </c>
      <c r="K326" s="4" t="s">
        <v>18</v>
      </c>
      <c r="M326" s="9">
        <v>0.17</v>
      </c>
      <c r="O326" s="7" t="s">
        <v>18</v>
      </c>
      <c r="P326" s="3">
        <f>(C326+(E326*F326*H326))-N326</f>
        <v>0</v>
      </c>
      <c r="Q326" s="7" t="s">
        <v>18</v>
      </c>
      <c r="R326" s="8">
        <f>S326/1.11</f>
        <v>0</v>
      </c>
      <c r="S326" s="8">
        <f>P326*(J326-(J326*L326)-((J326-(J326*L326))*M326))</f>
        <v>0</v>
      </c>
    </row>
    <row r="328" spans="1:19" x14ac:dyDescent="0.2">
      <c r="A328" s="24" t="s">
        <v>206</v>
      </c>
    </row>
    <row r="329" spans="1:19" x14ac:dyDescent="0.2">
      <c r="A329" s="24" t="s">
        <v>745</v>
      </c>
    </row>
    <row r="330" spans="1:19" x14ac:dyDescent="0.2">
      <c r="A330" s="1" t="s">
        <v>746</v>
      </c>
      <c r="B330" s="2" t="s">
        <v>24</v>
      </c>
      <c r="D330" s="4" t="s">
        <v>39</v>
      </c>
      <c r="F330" s="6">
        <v>1</v>
      </c>
      <c r="G330" s="7" t="s">
        <v>19</v>
      </c>
      <c r="H330" s="6">
        <v>40</v>
      </c>
      <c r="I330" s="7" t="s">
        <v>39</v>
      </c>
      <c r="J330" s="8">
        <v>32400</v>
      </c>
      <c r="K330" s="4" t="s">
        <v>39</v>
      </c>
      <c r="M330" s="9">
        <v>0.17</v>
      </c>
      <c r="O330" s="7" t="s">
        <v>39</v>
      </c>
      <c r="P330" s="3">
        <f>(C330+(E330*F330*H330))-N330</f>
        <v>0</v>
      </c>
      <c r="Q330" s="7" t="s">
        <v>39</v>
      </c>
      <c r="R330" s="8">
        <f>S330/1.11</f>
        <v>0</v>
      </c>
      <c r="S330" s="8">
        <f>P330*(J330-(J330*L330)-((J330-(J330*L330))*M330))</f>
        <v>0</v>
      </c>
    </row>
    <row r="332" spans="1:19" x14ac:dyDescent="0.2">
      <c r="A332" s="24" t="s">
        <v>207</v>
      </c>
    </row>
    <row r="333" spans="1:19" x14ac:dyDescent="0.2">
      <c r="A333" s="1" t="s">
        <v>208</v>
      </c>
      <c r="B333" s="2" t="s">
        <v>17</v>
      </c>
      <c r="D333" s="4" t="s">
        <v>18</v>
      </c>
      <c r="F333" s="6">
        <v>1</v>
      </c>
      <c r="G333" s="7" t="s">
        <v>19</v>
      </c>
      <c r="H333" s="6">
        <v>40</v>
      </c>
      <c r="I333" s="7" t="s">
        <v>18</v>
      </c>
      <c r="J333" s="8">
        <v>38500</v>
      </c>
      <c r="K333" s="4" t="s">
        <v>18</v>
      </c>
      <c r="L333" s="9">
        <v>0.125</v>
      </c>
      <c r="M333" s="9">
        <v>0.05</v>
      </c>
      <c r="O333" s="7" t="s">
        <v>18</v>
      </c>
      <c r="P333" s="3">
        <f>(C333+(E333*F333*H333))-N333</f>
        <v>0</v>
      </c>
      <c r="Q333" s="7" t="s">
        <v>18</v>
      </c>
      <c r="R333" s="8">
        <f>S333/1.11</f>
        <v>0</v>
      </c>
      <c r="S333" s="8">
        <f>P333*(J333-(J333*L333)-((J333-(J333*L333))*M333))</f>
        <v>0</v>
      </c>
    </row>
    <row r="335" spans="1:19" x14ac:dyDescent="0.2">
      <c r="A335" s="24" t="s">
        <v>209</v>
      </c>
    </row>
    <row r="336" spans="1:19" x14ac:dyDescent="0.2">
      <c r="A336" s="1" t="s">
        <v>1044</v>
      </c>
      <c r="B336" s="2" t="s">
        <v>17</v>
      </c>
      <c r="D336" s="4" t="s">
        <v>18</v>
      </c>
      <c r="F336" s="6">
        <v>1</v>
      </c>
      <c r="G336" s="7" t="s">
        <v>19</v>
      </c>
      <c r="H336" s="6">
        <v>48</v>
      </c>
      <c r="I336" s="7" t="s">
        <v>18</v>
      </c>
      <c r="J336" s="8">
        <v>17600</v>
      </c>
      <c r="K336" s="4" t="s">
        <v>18</v>
      </c>
      <c r="L336" s="9">
        <v>0.125</v>
      </c>
      <c r="M336" s="9">
        <v>0.05</v>
      </c>
      <c r="O336" s="7" t="s">
        <v>18</v>
      </c>
      <c r="P336" s="3">
        <f>(C336+(E336*F336*H336))-N336</f>
        <v>0</v>
      </c>
      <c r="Q336" s="7" t="s">
        <v>18</v>
      </c>
      <c r="R336" s="8">
        <f>S336/1.11</f>
        <v>0</v>
      </c>
      <c r="S336" s="8">
        <f>P336*(J336-(J336*L336)-((J336-(J336*L336))*M336))</f>
        <v>0</v>
      </c>
    </row>
    <row r="338" spans="1:19" x14ac:dyDescent="0.2">
      <c r="A338" s="24" t="s">
        <v>210</v>
      </c>
    </row>
    <row r="339" spans="1:19" x14ac:dyDescent="0.2">
      <c r="A339" s="24" t="s">
        <v>211</v>
      </c>
    </row>
    <row r="340" spans="1:19" x14ac:dyDescent="0.2">
      <c r="A340" s="1" t="s">
        <v>212</v>
      </c>
      <c r="B340" s="2" t="s">
        <v>24</v>
      </c>
      <c r="D340" s="4" t="s">
        <v>39</v>
      </c>
      <c r="F340" s="6">
        <v>1</v>
      </c>
      <c r="G340" s="7" t="s">
        <v>19</v>
      </c>
      <c r="H340" s="6">
        <v>50</v>
      </c>
      <c r="I340" s="7" t="s">
        <v>39</v>
      </c>
      <c r="J340" s="8">
        <v>37800</v>
      </c>
      <c r="K340" s="4" t="s">
        <v>39</v>
      </c>
      <c r="M340" s="9">
        <v>0.17</v>
      </c>
      <c r="O340" s="7" t="s">
        <v>39</v>
      </c>
      <c r="P340" s="3">
        <f>(C340+(E340*F340*H340))-N340</f>
        <v>0</v>
      </c>
      <c r="Q340" s="7" t="s">
        <v>39</v>
      </c>
      <c r="R340" s="8">
        <f t="shared" ref="R340:R346" si="140">S340/1.11</f>
        <v>0</v>
      </c>
      <c r="S340" s="8">
        <f>P340*(J340-(J340*L340)-((J340-(J340*L340))*M340))</f>
        <v>0</v>
      </c>
    </row>
    <row r="341" spans="1:19" x14ac:dyDescent="0.2">
      <c r="A341" s="1" t="s">
        <v>733</v>
      </c>
      <c r="B341" s="2" t="s">
        <v>24</v>
      </c>
      <c r="D341" s="4" t="s">
        <v>39</v>
      </c>
      <c r="F341" s="6">
        <v>1</v>
      </c>
      <c r="G341" s="7" t="s">
        <v>19</v>
      </c>
      <c r="H341" s="6">
        <v>25</v>
      </c>
      <c r="I341" s="7" t="s">
        <v>39</v>
      </c>
      <c r="J341" s="8">
        <v>70800</v>
      </c>
      <c r="K341" s="4" t="s">
        <v>39</v>
      </c>
      <c r="M341" s="9">
        <v>0.17</v>
      </c>
      <c r="O341" s="7" t="s">
        <v>39</v>
      </c>
      <c r="P341" s="3">
        <f t="shared" ref="P341" si="141">(C341+(E341*F341*H341))-N341</f>
        <v>0</v>
      </c>
      <c r="Q341" s="7" t="s">
        <v>39</v>
      </c>
      <c r="R341" s="8">
        <f t="shared" si="140"/>
        <v>0</v>
      </c>
      <c r="S341" s="8">
        <f t="shared" ref="S341" si="142">P341*(J341-(J341*L341)-((J341-(J341*L341))*M341))</f>
        <v>0</v>
      </c>
    </row>
    <row r="342" spans="1:19" x14ac:dyDescent="0.2">
      <c r="A342" s="1" t="s">
        <v>213</v>
      </c>
      <c r="B342" s="2" t="s">
        <v>24</v>
      </c>
      <c r="C342" s="3">
        <v>25</v>
      </c>
      <c r="D342" s="4" t="s">
        <v>39</v>
      </c>
      <c r="F342" s="6">
        <v>1</v>
      </c>
      <c r="G342" s="7" t="s">
        <v>19</v>
      </c>
      <c r="H342" s="6">
        <v>25</v>
      </c>
      <c r="I342" s="7" t="s">
        <v>39</v>
      </c>
      <c r="J342" s="8">
        <f>2100000/25</f>
        <v>84000</v>
      </c>
      <c r="K342" s="4" t="s">
        <v>39</v>
      </c>
      <c r="M342" s="9">
        <v>0.17</v>
      </c>
      <c r="O342" s="7" t="s">
        <v>39</v>
      </c>
      <c r="P342" s="3">
        <f t="shared" ref="P342:P346" si="143">(C342+(E342*F342*H342))-N342</f>
        <v>25</v>
      </c>
      <c r="Q342" s="7" t="s">
        <v>39</v>
      </c>
      <c r="R342" s="8">
        <f t="shared" si="140"/>
        <v>1570270.2702702701</v>
      </c>
      <c r="S342" s="8">
        <f t="shared" ref="S342:S346" si="144">P342*(J342-(J342*L342)-((J342-(J342*L342))*M342))</f>
        <v>1743000</v>
      </c>
    </row>
    <row r="343" spans="1:19" x14ac:dyDescent="0.2">
      <c r="A343" s="1" t="s">
        <v>214</v>
      </c>
      <c r="B343" s="2" t="s">
        <v>24</v>
      </c>
      <c r="D343" s="4" t="s">
        <v>39</v>
      </c>
      <c r="F343" s="6">
        <v>1</v>
      </c>
      <c r="G343" s="7" t="s">
        <v>19</v>
      </c>
      <c r="H343" s="6">
        <v>10</v>
      </c>
      <c r="I343" s="7" t="s">
        <v>39</v>
      </c>
      <c r="J343" s="8">
        <f>1632000/10</f>
        <v>163200</v>
      </c>
      <c r="K343" s="4" t="s">
        <v>39</v>
      </c>
      <c r="M343" s="9">
        <v>0.17</v>
      </c>
      <c r="O343" s="7" t="s">
        <v>39</v>
      </c>
      <c r="P343" s="3">
        <f t="shared" si="143"/>
        <v>0</v>
      </c>
      <c r="Q343" s="7" t="s">
        <v>39</v>
      </c>
      <c r="R343" s="8">
        <f t="shared" si="140"/>
        <v>0</v>
      </c>
      <c r="S343" s="8">
        <f t="shared" si="144"/>
        <v>0</v>
      </c>
    </row>
    <row r="344" spans="1:19" x14ac:dyDescent="0.2">
      <c r="A344" s="1" t="s">
        <v>215</v>
      </c>
      <c r="B344" s="2" t="s">
        <v>24</v>
      </c>
      <c r="D344" s="4" t="s">
        <v>39</v>
      </c>
      <c r="F344" s="6">
        <v>1</v>
      </c>
      <c r="G344" s="7" t="s">
        <v>19</v>
      </c>
      <c r="H344" s="6">
        <v>10</v>
      </c>
      <c r="I344" s="7" t="s">
        <v>39</v>
      </c>
      <c r="J344" s="8">
        <v>215400</v>
      </c>
      <c r="K344" s="4" t="s">
        <v>39</v>
      </c>
      <c r="M344" s="9">
        <v>0.17</v>
      </c>
      <c r="O344" s="7" t="s">
        <v>39</v>
      </c>
      <c r="P344" s="3">
        <f t="shared" ref="P344" si="145">(C344+(E344*F344*H344))-N344</f>
        <v>0</v>
      </c>
      <c r="Q344" s="7" t="s">
        <v>39</v>
      </c>
      <c r="R344" s="8">
        <f t="shared" si="140"/>
        <v>0</v>
      </c>
      <c r="S344" s="8">
        <f t="shared" ref="S344" si="146">P344*(J344-(J344*L344)-((J344-(J344*L344))*M344))</f>
        <v>0</v>
      </c>
    </row>
    <row r="345" spans="1:19" x14ac:dyDescent="0.2">
      <c r="A345" s="1" t="s">
        <v>216</v>
      </c>
      <c r="B345" s="2" t="s">
        <v>24</v>
      </c>
      <c r="D345" s="4" t="s">
        <v>39</v>
      </c>
      <c r="F345" s="6">
        <v>1</v>
      </c>
      <c r="G345" s="7" t="s">
        <v>19</v>
      </c>
      <c r="H345" s="6">
        <v>10</v>
      </c>
      <c r="I345" s="7" t="s">
        <v>39</v>
      </c>
      <c r="J345" s="8">
        <f>2520000/10</f>
        <v>252000</v>
      </c>
      <c r="K345" s="4" t="s">
        <v>39</v>
      </c>
      <c r="M345" s="9">
        <v>0.17</v>
      </c>
      <c r="O345" s="7" t="s">
        <v>39</v>
      </c>
      <c r="P345" s="3">
        <f t="shared" si="143"/>
        <v>0</v>
      </c>
      <c r="Q345" s="7" t="s">
        <v>39</v>
      </c>
      <c r="R345" s="8">
        <f t="shared" si="140"/>
        <v>0</v>
      </c>
      <c r="S345" s="8">
        <f t="shared" si="144"/>
        <v>0</v>
      </c>
    </row>
    <row r="346" spans="1:19" x14ac:dyDescent="0.2">
      <c r="A346" s="1" t="s">
        <v>217</v>
      </c>
      <c r="B346" s="2" t="s">
        <v>24</v>
      </c>
      <c r="D346" s="4" t="s">
        <v>18</v>
      </c>
      <c r="F346" s="6">
        <v>10</v>
      </c>
      <c r="G346" s="7" t="s">
        <v>39</v>
      </c>
      <c r="H346" s="6">
        <v>12</v>
      </c>
      <c r="I346" s="7" t="s">
        <v>18</v>
      </c>
      <c r="J346" s="8">
        <f>5220000/10/12</f>
        <v>43500</v>
      </c>
      <c r="K346" s="4" t="s">
        <v>18</v>
      </c>
      <c r="M346" s="9">
        <v>0.17</v>
      </c>
      <c r="O346" s="7" t="s">
        <v>18</v>
      </c>
      <c r="P346" s="3">
        <f t="shared" si="143"/>
        <v>0</v>
      </c>
      <c r="Q346" s="7" t="s">
        <v>18</v>
      </c>
      <c r="R346" s="8">
        <f t="shared" si="140"/>
        <v>0</v>
      </c>
      <c r="S346" s="8">
        <f t="shared" si="144"/>
        <v>0</v>
      </c>
    </row>
    <row r="348" spans="1:19" x14ac:dyDescent="0.2">
      <c r="A348" s="24" t="s">
        <v>652</v>
      </c>
    </row>
    <row r="349" spans="1:19" x14ac:dyDescent="0.2">
      <c r="A349" s="1" t="s">
        <v>744</v>
      </c>
      <c r="D349" s="4" t="s">
        <v>39</v>
      </c>
      <c r="F349" s="6">
        <v>20</v>
      </c>
      <c r="G349" s="7" t="s">
        <v>32</v>
      </c>
      <c r="H349" s="6">
        <v>4</v>
      </c>
      <c r="I349" s="7" t="s">
        <v>39</v>
      </c>
      <c r="J349" s="8">
        <f>1400*12</f>
        <v>16800</v>
      </c>
      <c r="K349" s="4" t="s">
        <v>39</v>
      </c>
      <c r="L349" s="9">
        <v>0.05</v>
      </c>
      <c r="O349" s="7" t="s">
        <v>39</v>
      </c>
      <c r="P349" s="3">
        <f>(C349+(E349*F349*H349))-N349</f>
        <v>0</v>
      </c>
      <c r="Q349" s="7" t="s">
        <v>39</v>
      </c>
      <c r="R349" s="8">
        <f>S349/1.11</f>
        <v>0</v>
      </c>
      <c r="S349" s="8">
        <f>P349*(J349-(J349*L349)-((J349-(J349*L349))*M349))</f>
        <v>0</v>
      </c>
    </row>
    <row r="351" spans="1:19" x14ac:dyDescent="0.2">
      <c r="A351" s="1" t="s">
        <v>911</v>
      </c>
      <c r="B351" s="2" t="s">
        <v>170</v>
      </c>
      <c r="D351" s="4" t="s">
        <v>150</v>
      </c>
      <c r="F351" s="6">
        <v>1</v>
      </c>
      <c r="G351" s="7" t="s">
        <v>19</v>
      </c>
      <c r="H351" s="6">
        <v>640</v>
      </c>
      <c r="I351" s="7" t="s">
        <v>150</v>
      </c>
      <c r="J351" s="8">
        <v>2400</v>
      </c>
      <c r="K351" s="4" t="s">
        <v>150</v>
      </c>
      <c r="O351" s="7" t="s">
        <v>150</v>
      </c>
      <c r="P351" s="3">
        <f>(C351+(E351*F351*H351))-N351</f>
        <v>0</v>
      </c>
      <c r="Q351" s="7" t="s">
        <v>150</v>
      </c>
      <c r="R351" s="8">
        <f t="shared" ref="R351:R357" si="147">S351/1.11</f>
        <v>0</v>
      </c>
      <c r="S351" s="8">
        <f>P351*(J351-(J351*L351)-((J351-(J351*L351))*M351))</f>
        <v>0</v>
      </c>
    </row>
    <row r="352" spans="1:19" x14ac:dyDescent="0.2">
      <c r="A352" s="1" t="s">
        <v>935</v>
      </c>
      <c r="B352" s="2" t="s">
        <v>170</v>
      </c>
      <c r="D352" s="4" t="s">
        <v>150</v>
      </c>
      <c r="F352" s="6">
        <v>1</v>
      </c>
      <c r="G352" s="7" t="s">
        <v>19</v>
      </c>
      <c r="H352" s="6">
        <v>640</v>
      </c>
      <c r="I352" s="7" t="s">
        <v>150</v>
      </c>
      <c r="J352" s="8">
        <v>2600</v>
      </c>
      <c r="K352" s="4" t="s">
        <v>150</v>
      </c>
      <c r="O352" s="7" t="s">
        <v>150</v>
      </c>
      <c r="P352" s="3">
        <f>(C352+(E352*F352*H352))-N352</f>
        <v>0</v>
      </c>
      <c r="Q352" s="7" t="s">
        <v>150</v>
      </c>
      <c r="R352" s="8">
        <f t="shared" si="147"/>
        <v>0</v>
      </c>
      <c r="S352" s="8">
        <f>P352*(J352-(J352*L352)-((J352-(J352*L352))*M352))</f>
        <v>0</v>
      </c>
    </row>
    <row r="353" spans="1:19" x14ac:dyDescent="0.2">
      <c r="A353" s="1" t="s">
        <v>968</v>
      </c>
      <c r="B353" s="2" t="s">
        <v>170</v>
      </c>
      <c r="C353" s="3">
        <v>640</v>
      </c>
      <c r="D353" s="4" t="s">
        <v>150</v>
      </c>
      <c r="F353" s="6">
        <v>1</v>
      </c>
      <c r="G353" s="7" t="s">
        <v>19</v>
      </c>
      <c r="H353" s="6">
        <v>640</v>
      </c>
      <c r="I353" s="7" t="s">
        <v>150</v>
      </c>
      <c r="J353" s="8">
        <v>2400</v>
      </c>
      <c r="K353" s="4" t="s">
        <v>150</v>
      </c>
      <c r="L353" s="9">
        <v>7.0000000000000007E-2</v>
      </c>
      <c r="O353" s="7" t="s">
        <v>150</v>
      </c>
      <c r="P353" s="3">
        <f t="shared" ref="P353:P357" si="148">(C353+(E353*F353*H353))-N353</f>
        <v>640</v>
      </c>
      <c r="Q353" s="7" t="s">
        <v>150</v>
      </c>
      <c r="R353" s="8">
        <f t="shared" si="147"/>
        <v>1286918.9189189188</v>
      </c>
      <c r="S353" s="8">
        <f t="shared" ref="S353:S357" si="149">P353*(J353-(J353*L353)-((J353-(J353*L353))*M353))</f>
        <v>1428480</v>
      </c>
    </row>
    <row r="354" spans="1:19" x14ac:dyDescent="0.2">
      <c r="A354" s="1" t="s">
        <v>969</v>
      </c>
      <c r="B354" s="2" t="s">
        <v>170</v>
      </c>
      <c r="C354" s="3">
        <v>640</v>
      </c>
      <c r="D354" s="4" t="s">
        <v>150</v>
      </c>
      <c r="F354" s="6">
        <v>1</v>
      </c>
      <c r="G354" s="7" t="s">
        <v>19</v>
      </c>
      <c r="H354" s="6">
        <v>640</v>
      </c>
      <c r="I354" s="7" t="s">
        <v>150</v>
      </c>
      <c r="J354" s="8">
        <v>2400</v>
      </c>
      <c r="K354" s="4" t="s">
        <v>150</v>
      </c>
      <c r="L354" s="9">
        <v>7.0000000000000007E-2</v>
      </c>
      <c r="O354" s="7" t="s">
        <v>150</v>
      </c>
      <c r="P354" s="3">
        <f t="shared" si="148"/>
        <v>640</v>
      </c>
      <c r="Q354" s="7" t="s">
        <v>150</v>
      </c>
      <c r="R354" s="8">
        <f t="shared" si="147"/>
        <v>1286918.9189189188</v>
      </c>
      <c r="S354" s="8">
        <f t="shared" si="149"/>
        <v>1428480</v>
      </c>
    </row>
    <row r="355" spans="1:19" x14ac:dyDescent="0.2">
      <c r="A355" s="1" t="s">
        <v>935</v>
      </c>
      <c r="B355" s="2" t="s">
        <v>170</v>
      </c>
      <c r="C355" s="3">
        <v>640</v>
      </c>
      <c r="D355" s="4" t="s">
        <v>150</v>
      </c>
      <c r="F355" s="6">
        <v>1</v>
      </c>
      <c r="G355" s="7" t="s">
        <v>19</v>
      </c>
      <c r="H355" s="6">
        <v>640</v>
      </c>
      <c r="I355" s="7" t="s">
        <v>150</v>
      </c>
      <c r="J355" s="8">
        <v>2400</v>
      </c>
      <c r="K355" s="4" t="s">
        <v>150</v>
      </c>
      <c r="L355" s="9">
        <v>7.0000000000000007E-2</v>
      </c>
      <c r="O355" s="7" t="s">
        <v>150</v>
      </c>
      <c r="P355" s="3">
        <f t="shared" si="148"/>
        <v>640</v>
      </c>
      <c r="Q355" s="7" t="s">
        <v>150</v>
      </c>
      <c r="R355" s="8">
        <f t="shared" si="147"/>
        <v>1286918.9189189188</v>
      </c>
      <c r="S355" s="8">
        <f t="shared" si="149"/>
        <v>1428480</v>
      </c>
    </row>
    <row r="356" spans="1:19" x14ac:dyDescent="0.2">
      <c r="A356" s="1" t="s">
        <v>970</v>
      </c>
      <c r="B356" s="2" t="s">
        <v>170</v>
      </c>
      <c r="C356" s="3">
        <v>640</v>
      </c>
      <c r="D356" s="4" t="s">
        <v>150</v>
      </c>
      <c r="F356" s="6">
        <v>1</v>
      </c>
      <c r="G356" s="7" t="s">
        <v>19</v>
      </c>
      <c r="H356" s="6">
        <v>640</v>
      </c>
      <c r="I356" s="7" t="s">
        <v>150</v>
      </c>
      <c r="J356" s="8">
        <v>2400</v>
      </c>
      <c r="K356" s="4" t="s">
        <v>150</v>
      </c>
      <c r="L356" s="9">
        <v>7.0000000000000007E-2</v>
      </c>
      <c r="O356" s="7" t="s">
        <v>150</v>
      </c>
      <c r="P356" s="3">
        <f t="shared" si="148"/>
        <v>640</v>
      </c>
      <c r="Q356" s="7" t="s">
        <v>150</v>
      </c>
      <c r="R356" s="8">
        <f t="shared" si="147"/>
        <v>1286918.9189189188</v>
      </c>
      <c r="S356" s="8">
        <f t="shared" si="149"/>
        <v>1428480</v>
      </c>
    </row>
    <row r="357" spans="1:19" x14ac:dyDescent="0.2">
      <c r="A357" s="1" t="s">
        <v>971</v>
      </c>
      <c r="B357" s="2" t="s">
        <v>170</v>
      </c>
      <c r="D357" s="4" t="s">
        <v>150</v>
      </c>
      <c r="F357" s="6">
        <v>1</v>
      </c>
      <c r="G357" s="7" t="s">
        <v>19</v>
      </c>
      <c r="H357" s="6">
        <v>640</v>
      </c>
      <c r="I357" s="7" t="s">
        <v>150</v>
      </c>
      <c r="J357" s="8">
        <v>2400</v>
      </c>
      <c r="K357" s="4" t="s">
        <v>150</v>
      </c>
      <c r="L357" s="9">
        <v>7.0000000000000007E-2</v>
      </c>
      <c r="O357" s="7" t="s">
        <v>150</v>
      </c>
      <c r="P357" s="3">
        <f t="shared" si="148"/>
        <v>0</v>
      </c>
      <c r="Q357" s="7" t="s">
        <v>150</v>
      </c>
      <c r="R357" s="8">
        <f t="shared" si="147"/>
        <v>0</v>
      </c>
      <c r="S357" s="8">
        <f t="shared" si="149"/>
        <v>0</v>
      </c>
    </row>
    <row r="359" spans="1:19" x14ac:dyDescent="0.2">
      <c r="A359" s="24" t="s">
        <v>936</v>
      </c>
    </row>
    <row r="360" spans="1:19" x14ac:dyDescent="0.2">
      <c r="A360" s="1" t="s">
        <v>937</v>
      </c>
      <c r="B360" s="2" t="s">
        <v>17</v>
      </c>
      <c r="D360" s="4" t="s">
        <v>32</v>
      </c>
      <c r="F360" s="6">
        <v>1</v>
      </c>
      <c r="G360" s="7" t="s">
        <v>964</v>
      </c>
      <c r="H360" s="6">
        <v>4</v>
      </c>
      <c r="I360" s="7" t="s">
        <v>32</v>
      </c>
      <c r="J360" s="8">
        <v>216000</v>
      </c>
      <c r="K360" s="4" t="s">
        <v>32</v>
      </c>
      <c r="L360" s="9">
        <v>0.125</v>
      </c>
      <c r="M360" s="9">
        <v>0.05</v>
      </c>
      <c r="O360" s="7" t="s">
        <v>32</v>
      </c>
      <c r="P360" s="3">
        <f>(C360+(E360*F360*H360))-N360</f>
        <v>0</v>
      </c>
      <c r="Q360" s="7" t="s">
        <v>32</v>
      </c>
      <c r="R360" s="8">
        <f>S360/1.11</f>
        <v>0</v>
      </c>
      <c r="S360" s="8">
        <f>P360*(J360-(J360*L360)-((J360-(J360*L360))*M360))</f>
        <v>0</v>
      </c>
    </row>
    <row r="361" spans="1:19" x14ac:dyDescent="0.2">
      <c r="A361" s="1" t="s">
        <v>938</v>
      </c>
      <c r="B361" s="2" t="s">
        <v>17</v>
      </c>
      <c r="D361" s="4" t="s">
        <v>32</v>
      </c>
      <c r="F361" s="6">
        <v>1</v>
      </c>
      <c r="G361" s="7" t="s">
        <v>964</v>
      </c>
      <c r="H361" s="6">
        <v>4</v>
      </c>
      <c r="I361" s="7" t="s">
        <v>32</v>
      </c>
      <c r="J361" s="8">
        <v>184000</v>
      </c>
      <c r="K361" s="4" t="s">
        <v>32</v>
      </c>
      <c r="L361" s="9">
        <v>0.125</v>
      </c>
      <c r="M361" s="9">
        <v>0.05</v>
      </c>
      <c r="O361" s="7" t="s">
        <v>32</v>
      </c>
      <c r="P361" s="3">
        <f>(C361+(E361*F361*H361))-N361</f>
        <v>0</v>
      </c>
      <c r="Q361" s="7" t="s">
        <v>32</v>
      </c>
      <c r="R361" s="8">
        <f>S361/1.11</f>
        <v>0</v>
      </c>
      <c r="S361" s="8">
        <f>P361*(J361-(J361*L361)-((J361-(J361*L361))*M361))</f>
        <v>0</v>
      </c>
    </row>
    <row r="362" spans="1:19" x14ac:dyDescent="0.2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 t="s">
        <v>218</v>
      </c>
    </row>
    <row r="364" spans="1:19" x14ac:dyDescent="0.2">
      <c r="A364" s="1" t="s">
        <v>219</v>
      </c>
      <c r="B364" s="2" t="s">
        <v>17</v>
      </c>
      <c r="D364" s="4" t="s">
        <v>18</v>
      </c>
      <c r="F364" s="6">
        <v>12</v>
      </c>
      <c r="G364" s="7" t="s">
        <v>32</v>
      </c>
      <c r="H364" s="6">
        <v>12</v>
      </c>
      <c r="I364" s="7" t="s">
        <v>18</v>
      </c>
      <c r="J364" s="8">
        <f>52500/12</f>
        <v>4375</v>
      </c>
      <c r="K364" s="4" t="s">
        <v>18</v>
      </c>
      <c r="L364" s="9">
        <v>0.125</v>
      </c>
      <c r="M364" s="9">
        <v>0.05</v>
      </c>
      <c r="O364" s="7" t="s">
        <v>18</v>
      </c>
      <c r="P364" s="3">
        <f t="shared" ref="P364:P377" si="150">(C364+(E364*F364*H364))-N364</f>
        <v>0</v>
      </c>
      <c r="Q364" s="7" t="s">
        <v>18</v>
      </c>
      <c r="R364" s="8">
        <f t="shared" ref="R364:R377" si="151">S364/1.11</f>
        <v>0</v>
      </c>
      <c r="S364" s="8">
        <f t="shared" ref="S364:S377" si="152">P364*(J364-(J364*L364)-((J364-(J364*L364))*M364))</f>
        <v>0</v>
      </c>
    </row>
    <row r="365" spans="1:19" x14ac:dyDescent="0.2">
      <c r="A365" s="1" t="s">
        <v>801</v>
      </c>
      <c r="B365" s="2" t="s">
        <v>17</v>
      </c>
      <c r="D365" s="4" t="s">
        <v>18</v>
      </c>
      <c r="F365" s="6">
        <v>12</v>
      </c>
      <c r="G365" s="7" t="s">
        <v>32</v>
      </c>
      <c r="H365" s="6">
        <v>12</v>
      </c>
      <c r="I365" s="7" t="s">
        <v>18</v>
      </c>
      <c r="J365" s="8">
        <v>7200</v>
      </c>
      <c r="K365" s="4" t="s">
        <v>18</v>
      </c>
      <c r="L365" s="9">
        <v>0.125</v>
      </c>
      <c r="M365" s="9">
        <v>0.05</v>
      </c>
      <c r="O365" s="7" t="s">
        <v>18</v>
      </c>
      <c r="P365" s="3">
        <f t="shared" ref="P365" si="153">(C365+(E365*F365*H365))-N365</f>
        <v>0</v>
      </c>
      <c r="Q365" s="7" t="s">
        <v>18</v>
      </c>
      <c r="R365" s="8">
        <f t="shared" si="151"/>
        <v>0</v>
      </c>
      <c r="S365" s="8">
        <f>P365*(J365-(J365*L365)-((J365-(J365*L365))*M365))</f>
        <v>0</v>
      </c>
    </row>
    <row r="366" spans="1:19" x14ac:dyDescent="0.2">
      <c r="A366" s="1" t="s">
        <v>220</v>
      </c>
      <c r="B366" s="2" t="s">
        <v>17</v>
      </c>
      <c r="D366" s="4" t="s">
        <v>18</v>
      </c>
      <c r="F366" s="6">
        <v>12</v>
      </c>
      <c r="G366" s="7" t="s">
        <v>32</v>
      </c>
      <c r="H366" s="6">
        <v>12</v>
      </c>
      <c r="I366" s="7" t="s">
        <v>18</v>
      </c>
      <c r="J366" s="8">
        <v>20500</v>
      </c>
      <c r="K366" s="4" t="s">
        <v>18</v>
      </c>
      <c r="L366" s="9">
        <v>0.125</v>
      </c>
      <c r="M366" s="9">
        <v>0.05</v>
      </c>
      <c r="O366" s="7" t="s">
        <v>18</v>
      </c>
      <c r="P366" s="3">
        <f t="shared" si="150"/>
        <v>0</v>
      </c>
      <c r="Q366" s="7" t="s">
        <v>18</v>
      </c>
      <c r="R366" s="8">
        <f t="shared" si="151"/>
        <v>0</v>
      </c>
      <c r="S366" s="8">
        <f t="shared" si="152"/>
        <v>0</v>
      </c>
    </row>
    <row r="367" spans="1:19" x14ac:dyDescent="0.2">
      <c r="A367" s="1" t="s">
        <v>221</v>
      </c>
      <c r="B367" s="2" t="s">
        <v>17</v>
      </c>
      <c r="D367" s="4" t="s">
        <v>18</v>
      </c>
      <c r="F367" s="6">
        <v>12</v>
      </c>
      <c r="G367" s="7" t="s">
        <v>32</v>
      </c>
      <c r="H367" s="6">
        <v>12</v>
      </c>
      <c r="I367" s="7" t="s">
        <v>18</v>
      </c>
      <c r="J367" s="8">
        <v>22000</v>
      </c>
      <c r="K367" s="4" t="s">
        <v>18</v>
      </c>
      <c r="L367" s="9">
        <v>0.125</v>
      </c>
      <c r="M367" s="9">
        <v>0.05</v>
      </c>
      <c r="O367" s="7" t="s">
        <v>18</v>
      </c>
      <c r="P367" s="3">
        <f t="shared" si="150"/>
        <v>0</v>
      </c>
      <c r="Q367" s="7" t="s">
        <v>18</v>
      </c>
      <c r="R367" s="8">
        <f t="shared" si="151"/>
        <v>0</v>
      </c>
      <c r="S367" s="8">
        <f t="shared" si="152"/>
        <v>0</v>
      </c>
    </row>
    <row r="368" spans="1:19" x14ac:dyDescent="0.2">
      <c r="A368" s="1" t="s">
        <v>222</v>
      </c>
      <c r="B368" s="2" t="s">
        <v>17</v>
      </c>
      <c r="D368" s="4" t="s">
        <v>18</v>
      </c>
      <c r="F368" s="6">
        <v>12</v>
      </c>
      <c r="G368" s="7" t="s">
        <v>32</v>
      </c>
      <c r="H368" s="6">
        <v>12</v>
      </c>
      <c r="I368" s="7" t="s">
        <v>18</v>
      </c>
      <c r="J368" s="8">
        <v>4350</v>
      </c>
      <c r="K368" s="4" t="s">
        <v>18</v>
      </c>
      <c r="L368" s="9">
        <v>0.125</v>
      </c>
      <c r="M368" s="9">
        <v>0.05</v>
      </c>
      <c r="O368" s="7" t="s">
        <v>18</v>
      </c>
      <c r="P368" s="3">
        <f t="shared" si="150"/>
        <v>0</v>
      </c>
      <c r="Q368" s="7" t="s">
        <v>18</v>
      </c>
      <c r="R368" s="8">
        <f t="shared" si="151"/>
        <v>0</v>
      </c>
      <c r="S368" s="8">
        <f t="shared" si="152"/>
        <v>0</v>
      </c>
    </row>
    <row r="369" spans="1:19" x14ac:dyDescent="0.2">
      <c r="A369" s="1" t="s">
        <v>223</v>
      </c>
      <c r="B369" s="2" t="s">
        <v>17</v>
      </c>
      <c r="D369" s="4" t="s">
        <v>18</v>
      </c>
      <c r="F369" s="6">
        <v>12</v>
      </c>
      <c r="G369" s="7" t="s">
        <v>32</v>
      </c>
      <c r="H369" s="6">
        <v>12</v>
      </c>
      <c r="I369" s="7" t="s">
        <v>18</v>
      </c>
      <c r="J369" s="8">
        <v>6500</v>
      </c>
      <c r="K369" s="4" t="s">
        <v>18</v>
      </c>
      <c r="L369" s="9">
        <v>0.125</v>
      </c>
      <c r="M369" s="9">
        <v>0.05</v>
      </c>
      <c r="O369" s="7" t="s">
        <v>18</v>
      </c>
      <c r="P369" s="3">
        <f t="shared" si="150"/>
        <v>0</v>
      </c>
      <c r="Q369" s="7" t="s">
        <v>18</v>
      </c>
      <c r="R369" s="8">
        <f t="shared" si="151"/>
        <v>0</v>
      </c>
      <c r="S369" s="8">
        <f t="shared" si="152"/>
        <v>0</v>
      </c>
    </row>
    <row r="370" spans="1:19" x14ac:dyDescent="0.2">
      <c r="A370" s="1" t="s">
        <v>224</v>
      </c>
      <c r="B370" s="2" t="s">
        <v>17</v>
      </c>
      <c r="D370" s="4" t="s">
        <v>18</v>
      </c>
      <c r="F370" s="6">
        <v>12</v>
      </c>
      <c r="G370" s="7" t="s">
        <v>32</v>
      </c>
      <c r="H370" s="6">
        <v>12</v>
      </c>
      <c r="I370" s="7" t="s">
        <v>18</v>
      </c>
      <c r="J370" s="8">
        <v>9750</v>
      </c>
      <c r="K370" s="4" t="s">
        <v>18</v>
      </c>
      <c r="L370" s="9">
        <v>0.125</v>
      </c>
      <c r="M370" s="9">
        <v>0.05</v>
      </c>
      <c r="O370" s="7" t="s">
        <v>18</v>
      </c>
      <c r="P370" s="3">
        <f t="shared" si="150"/>
        <v>0</v>
      </c>
      <c r="Q370" s="7" t="s">
        <v>18</v>
      </c>
      <c r="R370" s="8">
        <f t="shared" si="151"/>
        <v>0</v>
      </c>
      <c r="S370" s="8">
        <f t="shared" si="152"/>
        <v>0</v>
      </c>
    </row>
    <row r="371" spans="1:19" x14ac:dyDescent="0.2">
      <c r="A371" s="1" t="s">
        <v>878</v>
      </c>
      <c r="B371" s="2" t="s">
        <v>17</v>
      </c>
      <c r="D371" s="4" t="s">
        <v>18</v>
      </c>
      <c r="F371" s="6">
        <v>12</v>
      </c>
      <c r="G371" s="7" t="s">
        <v>32</v>
      </c>
      <c r="H371" s="6">
        <v>12</v>
      </c>
      <c r="I371" s="7" t="s">
        <v>18</v>
      </c>
      <c r="J371" s="8">
        <v>17700</v>
      </c>
      <c r="K371" s="4" t="s">
        <v>18</v>
      </c>
      <c r="L371" s="9">
        <v>0.125</v>
      </c>
      <c r="M371" s="9">
        <v>0.05</v>
      </c>
      <c r="O371" s="7" t="s">
        <v>18</v>
      </c>
      <c r="P371" s="3">
        <f t="shared" ref="P371" si="154">(C371+(E371*F371*H371))-N371</f>
        <v>0</v>
      </c>
      <c r="Q371" s="7" t="s">
        <v>18</v>
      </c>
      <c r="R371" s="8">
        <f t="shared" si="151"/>
        <v>0</v>
      </c>
      <c r="S371" s="8">
        <f t="shared" ref="S371" si="155">P371*(J371-(J371*L371)-((J371-(J371*L371))*M371))</f>
        <v>0</v>
      </c>
    </row>
    <row r="372" spans="1:19" x14ac:dyDescent="0.2">
      <c r="A372" s="1" t="s">
        <v>225</v>
      </c>
      <c r="B372" s="2" t="s">
        <v>17</v>
      </c>
      <c r="D372" s="4" t="s">
        <v>18</v>
      </c>
      <c r="F372" s="6">
        <v>6</v>
      </c>
      <c r="G372" s="7" t="s">
        <v>32</v>
      </c>
      <c r="H372" s="6">
        <v>12</v>
      </c>
      <c r="I372" s="7" t="s">
        <v>18</v>
      </c>
      <c r="J372" s="8">
        <v>19200</v>
      </c>
      <c r="K372" s="4" t="s">
        <v>18</v>
      </c>
      <c r="L372" s="9">
        <v>0.125</v>
      </c>
      <c r="M372" s="9">
        <v>0.05</v>
      </c>
      <c r="O372" s="7" t="s">
        <v>18</v>
      </c>
      <c r="P372" s="3">
        <f t="shared" si="150"/>
        <v>0</v>
      </c>
      <c r="Q372" s="7" t="s">
        <v>18</v>
      </c>
      <c r="R372" s="8">
        <f t="shared" si="151"/>
        <v>0</v>
      </c>
      <c r="S372" s="8">
        <f t="shared" si="152"/>
        <v>0</v>
      </c>
    </row>
    <row r="373" spans="1:19" x14ac:dyDescent="0.2">
      <c r="A373" s="1" t="s">
        <v>226</v>
      </c>
      <c r="B373" s="2" t="s">
        <v>17</v>
      </c>
      <c r="D373" s="4" t="s">
        <v>18</v>
      </c>
      <c r="F373" s="6">
        <v>12</v>
      </c>
      <c r="G373" s="7" t="s">
        <v>32</v>
      </c>
      <c r="H373" s="6">
        <v>12</v>
      </c>
      <c r="I373" s="7" t="s">
        <v>18</v>
      </c>
      <c r="J373" s="8">
        <v>6100</v>
      </c>
      <c r="K373" s="4" t="s">
        <v>18</v>
      </c>
      <c r="L373" s="9">
        <v>0.125</v>
      </c>
      <c r="M373" s="9">
        <v>0.05</v>
      </c>
      <c r="O373" s="7" t="s">
        <v>18</v>
      </c>
      <c r="P373" s="3">
        <f t="shared" ref="P373" si="156">(C373+(E373*F373*H373))-N373</f>
        <v>0</v>
      </c>
      <c r="Q373" s="7" t="s">
        <v>18</v>
      </c>
      <c r="R373" s="8">
        <f t="shared" si="151"/>
        <v>0</v>
      </c>
      <c r="S373" s="8">
        <f t="shared" ref="S373" si="157">P373*(J373-(J373*L373)-((J373-(J373*L373))*M373))</f>
        <v>0</v>
      </c>
    </row>
    <row r="374" spans="1:19" x14ac:dyDescent="0.2">
      <c r="A374" s="1" t="s">
        <v>227</v>
      </c>
      <c r="B374" s="2" t="s">
        <v>17</v>
      </c>
      <c r="D374" s="4" t="s">
        <v>18</v>
      </c>
      <c r="F374" s="6">
        <v>12</v>
      </c>
      <c r="G374" s="7" t="s">
        <v>32</v>
      </c>
      <c r="H374" s="6">
        <v>12</v>
      </c>
      <c r="I374" s="7" t="s">
        <v>18</v>
      </c>
      <c r="J374" s="8">
        <v>7700</v>
      </c>
      <c r="K374" s="4" t="s">
        <v>18</v>
      </c>
      <c r="L374" s="9">
        <v>0.125</v>
      </c>
      <c r="M374" s="9">
        <v>0.05</v>
      </c>
      <c r="O374" s="7" t="s">
        <v>18</v>
      </c>
      <c r="P374" s="3">
        <f t="shared" si="150"/>
        <v>0</v>
      </c>
      <c r="Q374" s="7" t="s">
        <v>18</v>
      </c>
      <c r="R374" s="8">
        <f t="shared" si="151"/>
        <v>0</v>
      </c>
      <c r="S374" s="8">
        <f t="shared" si="152"/>
        <v>0</v>
      </c>
    </row>
    <row r="375" spans="1:19" x14ac:dyDescent="0.2">
      <c r="A375" s="1" t="s">
        <v>228</v>
      </c>
      <c r="B375" s="2" t="s">
        <v>17</v>
      </c>
      <c r="C375" s="36"/>
      <c r="D375" s="4" t="s">
        <v>18</v>
      </c>
      <c r="F375" s="6">
        <v>12</v>
      </c>
      <c r="G375" s="7" t="s">
        <v>32</v>
      </c>
      <c r="H375" s="6">
        <v>12</v>
      </c>
      <c r="I375" s="7" t="s">
        <v>18</v>
      </c>
      <c r="J375" s="8">
        <v>12000</v>
      </c>
      <c r="K375" s="4" t="s">
        <v>18</v>
      </c>
      <c r="L375" s="9">
        <v>0.125</v>
      </c>
      <c r="M375" s="9">
        <v>0.05</v>
      </c>
      <c r="O375" s="7" t="s">
        <v>18</v>
      </c>
      <c r="P375" s="3">
        <f t="shared" ref="P375" si="158">(C375+(E375*F375*H375))-N375</f>
        <v>0</v>
      </c>
      <c r="Q375" s="7" t="s">
        <v>18</v>
      </c>
      <c r="R375" s="8">
        <f t="shared" si="151"/>
        <v>0</v>
      </c>
      <c r="S375" s="8">
        <f t="shared" ref="S375" si="159">P375*(J375-(J375*L375)-((J375-(J375*L375))*M375))</f>
        <v>0</v>
      </c>
    </row>
    <row r="376" spans="1:19" x14ac:dyDescent="0.2">
      <c r="A376" s="1" t="s">
        <v>229</v>
      </c>
      <c r="B376" s="2" t="s">
        <v>17</v>
      </c>
      <c r="D376" s="4" t="s">
        <v>18</v>
      </c>
      <c r="F376" s="6">
        <v>12</v>
      </c>
      <c r="G376" s="7" t="s">
        <v>32</v>
      </c>
      <c r="H376" s="6">
        <v>12</v>
      </c>
      <c r="I376" s="7" t="s">
        <v>18</v>
      </c>
      <c r="J376" s="8">
        <v>7600</v>
      </c>
      <c r="K376" s="4" t="s">
        <v>18</v>
      </c>
      <c r="L376" s="9">
        <v>0.125</v>
      </c>
      <c r="M376" s="9">
        <v>0.05</v>
      </c>
      <c r="O376" s="7" t="s">
        <v>18</v>
      </c>
      <c r="P376" s="3">
        <f t="shared" si="150"/>
        <v>0</v>
      </c>
      <c r="Q376" s="7" t="s">
        <v>18</v>
      </c>
      <c r="R376" s="8">
        <f t="shared" si="151"/>
        <v>0</v>
      </c>
      <c r="S376" s="8">
        <f t="shared" si="152"/>
        <v>0</v>
      </c>
    </row>
    <row r="377" spans="1:19" x14ac:dyDescent="0.2">
      <c r="A377" s="1" t="s">
        <v>230</v>
      </c>
      <c r="B377" s="2" t="s">
        <v>17</v>
      </c>
      <c r="D377" s="4" t="s">
        <v>18</v>
      </c>
      <c r="F377" s="6">
        <v>8</v>
      </c>
      <c r="G377" s="7" t="s">
        <v>32</v>
      </c>
      <c r="H377" s="6">
        <v>6</v>
      </c>
      <c r="I377" s="7" t="s">
        <v>18</v>
      </c>
      <c r="J377" s="8">
        <v>65000</v>
      </c>
      <c r="K377" s="4" t="s">
        <v>18</v>
      </c>
      <c r="L377" s="9">
        <v>0.125</v>
      </c>
      <c r="M377" s="9">
        <v>0.05</v>
      </c>
      <c r="O377" s="7" t="s">
        <v>18</v>
      </c>
      <c r="P377" s="3">
        <f t="shared" si="150"/>
        <v>0</v>
      </c>
      <c r="Q377" s="7" t="s">
        <v>18</v>
      </c>
      <c r="R377" s="8">
        <f t="shared" si="151"/>
        <v>0</v>
      </c>
      <c r="S377" s="8">
        <f t="shared" si="152"/>
        <v>0</v>
      </c>
    </row>
    <row r="379" spans="1:19" x14ac:dyDescent="0.2">
      <c r="A379" s="1" t="s">
        <v>231</v>
      </c>
      <c r="B379" s="2" t="s">
        <v>24</v>
      </c>
      <c r="D379" s="4" t="s">
        <v>39</v>
      </c>
      <c r="F379" s="6">
        <v>1</v>
      </c>
      <c r="G379" s="7" t="s">
        <v>19</v>
      </c>
      <c r="H379" s="6">
        <v>25</v>
      </c>
      <c r="I379" s="7" t="s">
        <v>39</v>
      </c>
      <c r="J379" s="8">
        <v>56400</v>
      </c>
      <c r="K379" s="4" t="s">
        <v>39</v>
      </c>
      <c r="M379" s="9">
        <v>0.17</v>
      </c>
      <c r="O379" s="7" t="s">
        <v>39</v>
      </c>
      <c r="P379" s="3">
        <f t="shared" ref="P379:P383" si="160">(C379+(E379*F379*H379))-N379</f>
        <v>0</v>
      </c>
      <c r="Q379" s="7" t="s">
        <v>39</v>
      </c>
      <c r="R379" s="8">
        <f>S379/1.11</f>
        <v>0</v>
      </c>
      <c r="S379" s="8">
        <f t="shared" ref="S379:S383" si="161">P379*(J379-(J379*L379)-((J379-(J379*L379))*M379))</f>
        <v>0</v>
      </c>
    </row>
    <row r="380" spans="1:19" x14ac:dyDescent="0.2">
      <c r="A380" s="1" t="s">
        <v>232</v>
      </c>
      <c r="B380" s="2" t="s">
        <v>24</v>
      </c>
      <c r="C380" s="3">
        <v>150</v>
      </c>
      <c r="D380" s="4" t="s">
        <v>39</v>
      </c>
      <c r="F380" s="6">
        <v>1</v>
      </c>
      <c r="G380" s="7" t="s">
        <v>19</v>
      </c>
      <c r="H380" s="6">
        <v>25</v>
      </c>
      <c r="I380" s="7" t="s">
        <v>39</v>
      </c>
      <c r="J380" s="8">
        <v>79800</v>
      </c>
      <c r="K380" s="4" t="s">
        <v>39</v>
      </c>
      <c r="M380" s="9">
        <v>0.17</v>
      </c>
      <c r="O380" s="7" t="s">
        <v>39</v>
      </c>
      <c r="P380" s="3">
        <f t="shared" si="160"/>
        <v>150</v>
      </c>
      <c r="Q380" s="7" t="s">
        <v>39</v>
      </c>
      <c r="R380" s="8">
        <f>S380/1.11</f>
        <v>8950540.5405405406</v>
      </c>
      <c r="S380" s="8">
        <f t="shared" si="161"/>
        <v>9935100</v>
      </c>
    </row>
    <row r="381" spans="1:19" x14ac:dyDescent="0.2">
      <c r="A381" s="1" t="s">
        <v>233</v>
      </c>
      <c r="B381" s="2" t="s">
        <v>24</v>
      </c>
      <c r="D381" s="4" t="s">
        <v>39</v>
      </c>
      <c r="F381" s="6">
        <v>1</v>
      </c>
      <c r="G381" s="7" t="s">
        <v>19</v>
      </c>
      <c r="H381" s="6">
        <v>10</v>
      </c>
      <c r="I381" s="7" t="s">
        <v>39</v>
      </c>
      <c r="J381" s="8">
        <v>118800</v>
      </c>
      <c r="K381" s="4" t="s">
        <v>39</v>
      </c>
      <c r="M381" s="9">
        <v>0.17</v>
      </c>
      <c r="O381" s="7" t="s">
        <v>39</v>
      </c>
      <c r="P381" s="3">
        <f t="shared" si="160"/>
        <v>0</v>
      </c>
      <c r="Q381" s="7" t="s">
        <v>39</v>
      </c>
      <c r="R381" s="8">
        <f>S381/1.11</f>
        <v>0</v>
      </c>
      <c r="S381" s="8">
        <f t="shared" si="161"/>
        <v>0</v>
      </c>
    </row>
    <row r="382" spans="1:19" x14ac:dyDescent="0.2">
      <c r="A382" s="1" t="s">
        <v>664</v>
      </c>
      <c r="B382" s="2" t="s">
        <v>24</v>
      </c>
      <c r="D382" s="4" t="s">
        <v>39</v>
      </c>
      <c r="F382" s="6">
        <v>1</v>
      </c>
      <c r="G382" s="7" t="s">
        <v>19</v>
      </c>
      <c r="H382" s="6">
        <v>25</v>
      </c>
      <c r="I382" s="7" t="s">
        <v>39</v>
      </c>
      <c r="J382" s="8">
        <f>2010000/25</f>
        <v>80400</v>
      </c>
      <c r="K382" s="4" t="s">
        <v>39</v>
      </c>
      <c r="M382" s="9">
        <v>0.17</v>
      </c>
      <c r="O382" s="7" t="s">
        <v>39</v>
      </c>
      <c r="P382" s="3">
        <f t="shared" si="160"/>
        <v>0</v>
      </c>
      <c r="Q382" s="7" t="s">
        <v>39</v>
      </c>
      <c r="R382" s="8">
        <f>S382/1.11</f>
        <v>0</v>
      </c>
      <c r="S382" s="8">
        <f t="shared" si="161"/>
        <v>0</v>
      </c>
    </row>
    <row r="383" spans="1:19" x14ac:dyDescent="0.2">
      <c r="A383" s="1" t="s">
        <v>234</v>
      </c>
      <c r="B383" s="2" t="s">
        <v>24</v>
      </c>
      <c r="C383" s="3">
        <v>10</v>
      </c>
      <c r="D383" s="4" t="s">
        <v>39</v>
      </c>
      <c r="F383" s="6">
        <v>1</v>
      </c>
      <c r="G383" s="7" t="s">
        <v>19</v>
      </c>
      <c r="H383" s="6">
        <v>10</v>
      </c>
      <c r="I383" s="7" t="s">
        <v>39</v>
      </c>
      <c r="J383" s="8">
        <f>1260000/10</f>
        <v>126000</v>
      </c>
      <c r="K383" s="4" t="s">
        <v>39</v>
      </c>
      <c r="M383" s="9">
        <v>0.17</v>
      </c>
      <c r="O383" s="7" t="s">
        <v>39</v>
      </c>
      <c r="P383" s="3">
        <f t="shared" si="160"/>
        <v>10</v>
      </c>
      <c r="Q383" s="7" t="s">
        <v>39</v>
      </c>
      <c r="R383" s="8">
        <f>S383/1.11</f>
        <v>942162.16216216213</v>
      </c>
      <c r="S383" s="8">
        <f t="shared" si="161"/>
        <v>1045800</v>
      </c>
    </row>
    <row r="385" spans="1:19" x14ac:dyDescent="0.2">
      <c r="A385" s="24" t="s">
        <v>235</v>
      </c>
    </row>
    <row r="386" spans="1:19" x14ac:dyDescent="0.2">
      <c r="A386" s="14" t="s">
        <v>236</v>
      </c>
      <c r="B386" s="2" t="s">
        <v>24</v>
      </c>
      <c r="D386" s="4" t="s">
        <v>18</v>
      </c>
      <c r="F386" s="6">
        <v>20</v>
      </c>
      <c r="G386" s="7" t="s">
        <v>32</v>
      </c>
      <c r="H386" s="6">
        <v>10</v>
      </c>
      <c r="I386" s="7" t="s">
        <v>18</v>
      </c>
      <c r="J386" s="8">
        <f>3800000/20/10</f>
        <v>19000</v>
      </c>
      <c r="K386" s="4" t="s">
        <v>18</v>
      </c>
      <c r="M386" s="9">
        <v>0.17</v>
      </c>
      <c r="O386" s="7" t="s">
        <v>18</v>
      </c>
      <c r="P386" s="3">
        <f>(C386+(E386*F386*H386))-N386</f>
        <v>0</v>
      </c>
      <c r="Q386" s="7" t="s">
        <v>18</v>
      </c>
      <c r="R386" s="8">
        <f>S386/1.11</f>
        <v>0</v>
      </c>
      <c r="S386" s="8">
        <f>P386*(J386-(J386*L386)-((J386-(J386*L386))*M386))</f>
        <v>0</v>
      </c>
    </row>
    <row r="387" spans="1:19" x14ac:dyDescent="0.2">
      <c r="A387" s="14" t="s">
        <v>237</v>
      </c>
      <c r="B387" s="2" t="s">
        <v>24</v>
      </c>
      <c r="D387" s="4" t="s">
        <v>18</v>
      </c>
      <c r="F387" s="6">
        <v>20</v>
      </c>
      <c r="G387" s="7" t="s">
        <v>32</v>
      </c>
      <c r="H387" s="6">
        <v>12</v>
      </c>
      <c r="I387" s="7" t="s">
        <v>18</v>
      </c>
      <c r="J387" s="8">
        <f>3120000/20/12</f>
        <v>13000</v>
      </c>
      <c r="K387" s="4" t="s">
        <v>18</v>
      </c>
      <c r="M387" s="9">
        <v>0.17</v>
      </c>
      <c r="O387" s="7" t="s">
        <v>18</v>
      </c>
      <c r="P387" s="3">
        <f>(C387+(E387*F387*H387))-N387</f>
        <v>0</v>
      </c>
      <c r="Q387" s="7" t="s">
        <v>18</v>
      </c>
      <c r="R387" s="8">
        <f>S387/1.11</f>
        <v>0</v>
      </c>
      <c r="S387" s="8">
        <f>P387*(J387-(J387*L387)-((J387-(J387*L387))*M387))</f>
        <v>0</v>
      </c>
    </row>
    <row r="389" spans="1:19" x14ac:dyDescent="0.2">
      <c r="A389" s="24" t="s">
        <v>238</v>
      </c>
    </row>
    <row r="390" spans="1:19" x14ac:dyDescent="0.2">
      <c r="A390" s="26" t="s">
        <v>881</v>
      </c>
      <c r="B390" s="2" t="s">
        <v>17</v>
      </c>
      <c r="D390" s="4" t="s">
        <v>39</v>
      </c>
      <c r="F390" s="6">
        <v>1</v>
      </c>
      <c r="G390" s="7" t="s">
        <v>19</v>
      </c>
      <c r="H390" s="6">
        <v>24</v>
      </c>
      <c r="I390" s="7" t="s">
        <v>39</v>
      </c>
      <c r="J390" s="8">
        <v>118800</v>
      </c>
      <c r="K390" s="4" t="s">
        <v>39</v>
      </c>
      <c r="L390" s="9">
        <v>0.125</v>
      </c>
      <c r="M390" s="9">
        <v>0.05</v>
      </c>
      <c r="O390" s="7" t="s">
        <v>39</v>
      </c>
      <c r="P390" s="3">
        <f t="shared" ref="P390" si="162">(C390+(E390*F390*H390))-N390</f>
        <v>0</v>
      </c>
      <c r="Q390" s="7" t="s">
        <v>39</v>
      </c>
      <c r="R390" s="8">
        <f t="shared" ref="R390:R403" si="163">S390/1.11</f>
        <v>0</v>
      </c>
      <c r="S390" s="8">
        <f t="shared" ref="S390" si="164">P390*(J390-(J390*L390)-((J390-(J390*L390))*M390))</f>
        <v>0</v>
      </c>
    </row>
    <row r="391" spans="1:19" x14ac:dyDescent="0.2">
      <c r="A391" s="26" t="s">
        <v>239</v>
      </c>
      <c r="B391" s="2" t="s">
        <v>17</v>
      </c>
      <c r="D391" s="4" t="s">
        <v>39</v>
      </c>
      <c r="F391" s="6">
        <v>1</v>
      </c>
      <c r="G391" s="7" t="s">
        <v>19</v>
      </c>
      <c r="H391" s="6">
        <v>24</v>
      </c>
      <c r="I391" s="7" t="s">
        <v>39</v>
      </c>
      <c r="J391" s="8">
        <v>89400</v>
      </c>
      <c r="K391" s="4" t="s">
        <v>39</v>
      </c>
      <c r="L391" s="9">
        <v>0.125</v>
      </c>
      <c r="M391" s="9">
        <v>0.05</v>
      </c>
      <c r="O391" s="7" t="s">
        <v>39</v>
      </c>
      <c r="P391" s="3">
        <f t="shared" ref="P391" si="165">(C391+(E391*F391*H391))-N391</f>
        <v>0</v>
      </c>
      <c r="Q391" s="7" t="s">
        <v>39</v>
      </c>
      <c r="R391" s="8">
        <f t="shared" si="163"/>
        <v>0</v>
      </c>
      <c r="S391" s="8">
        <f t="shared" ref="S391" si="166">P391*(J391-(J391*L391)-((J391-(J391*L391))*M391))</f>
        <v>0</v>
      </c>
    </row>
    <row r="392" spans="1:19" x14ac:dyDescent="0.2">
      <c r="A392" s="1" t="s">
        <v>643</v>
      </c>
      <c r="B392" s="2" t="s">
        <v>17</v>
      </c>
      <c r="D392" s="4" t="s">
        <v>39</v>
      </c>
      <c r="F392" s="6">
        <v>1</v>
      </c>
      <c r="G392" s="7" t="s">
        <v>19</v>
      </c>
      <c r="H392" s="6">
        <v>24</v>
      </c>
      <c r="I392" s="7" t="s">
        <v>39</v>
      </c>
      <c r="J392" s="8">
        <v>118800</v>
      </c>
      <c r="K392" s="4" t="s">
        <v>39</v>
      </c>
      <c r="L392" s="9">
        <v>0.125</v>
      </c>
      <c r="M392" s="9">
        <v>0.05</v>
      </c>
      <c r="O392" s="7" t="s">
        <v>39</v>
      </c>
      <c r="P392" s="3">
        <f t="shared" ref="P392" si="167">(C392+(E392*F392*H392))-N392</f>
        <v>0</v>
      </c>
      <c r="Q392" s="7" t="s">
        <v>39</v>
      </c>
      <c r="R392" s="8">
        <f t="shared" si="163"/>
        <v>0</v>
      </c>
      <c r="S392" s="8">
        <f t="shared" ref="S392" si="168">P392*(J392-(J392*L392)-((J392-(J392*L392))*M392))</f>
        <v>0</v>
      </c>
    </row>
    <row r="393" spans="1:19" x14ac:dyDescent="0.2">
      <c r="A393" s="1" t="s">
        <v>240</v>
      </c>
      <c r="B393" s="2" t="s">
        <v>17</v>
      </c>
      <c r="D393" s="4" t="s">
        <v>39</v>
      </c>
      <c r="F393" s="6">
        <v>1</v>
      </c>
      <c r="G393" s="7" t="s">
        <v>19</v>
      </c>
      <c r="H393" s="6">
        <v>24</v>
      </c>
      <c r="I393" s="7" t="s">
        <v>39</v>
      </c>
      <c r="J393" s="8">
        <v>89400</v>
      </c>
      <c r="K393" s="4" t="s">
        <v>39</v>
      </c>
      <c r="L393" s="9">
        <v>0.125</v>
      </c>
      <c r="M393" s="9">
        <v>0.05</v>
      </c>
      <c r="O393" s="7" t="s">
        <v>39</v>
      </c>
      <c r="P393" s="3">
        <f t="shared" ref="P393" si="169">(C393+(E393*F393*H393))-N393</f>
        <v>0</v>
      </c>
      <c r="Q393" s="7" t="s">
        <v>39</v>
      </c>
      <c r="R393" s="8">
        <f t="shared" si="163"/>
        <v>0</v>
      </c>
      <c r="S393" s="8">
        <f t="shared" ref="S393" si="170">P393*(J393-(J393*L393)-((J393-(J393*L393))*M393))</f>
        <v>0</v>
      </c>
    </row>
    <row r="394" spans="1:19" x14ac:dyDescent="0.2">
      <c r="A394" s="1" t="s">
        <v>241</v>
      </c>
      <c r="B394" s="2" t="s">
        <v>17</v>
      </c>
      <c r="D394" s="4" t="s">
        <v>39</v>
      </c>
      <c r="F394" s="6">
        <v>1</v>
      </c>
      <c r="G394" s="7" t="s">
        <v>19</v>
      </c>
      <c r="H394" s="6">
        <v>24</v>
      </c>
      <c r="I394" s="7" t="s">
        <v>39</v>
      </c>
      <c r="J394" s="8">
        <v>90600</v>
      </c>
      <c r="K394" s="4" t="s">
        <v>39</v>
      </c>
      <c r="L394" s="9">
        <v>0.125</v>
      </c>
      <c r="M394" s="9">
        <v>0.05</v>
      </c>
      <c r="O394" s="7" t="s">
        <v>39</v>
      </c>
      <c r="P394" s="3">
        <f t="shared" ref="P394" si="171">(C394+(E394*F394*H394))-N394</f>
        <v>0</v>
      </c>
      <c r="Q394" s="7" t="s">
        <v>39</v>
      </c>
      <c r="R394" s="8">
        <f t="shared" si="163"/>
        <v>0</v>
      </c>
      <c r="S394" s="8">
        <f t="shared" ref="S394" si="172">P394*(J394-(J394*L394)-((J394-(J394*L394))*M394))</f>
        <v>0</v>
      </c>
    </row>
    <row r="395" spans="1:19" x14ac:dyDescent="0.2">
      <c r="A395" s="26" t="s">
        <v>882</v>
      </c>
      <c r="B395" s="2" t="s">
        <v>17</v>
      </c>
      <c r="D395" s="4" t="s">
        <v>39</v>
      </c>
      <c r="F395" s="6">
        <v>1</v>
      </c>
      <c r="G395" s="7" t="s">
        <v>19</v>
      </c>
      <c r="H395" s="6">
        <v>24</v>
      </c>
      <c r="I395" s="7" t="s">
        <v>39</v>
      </c>
      <c r="J395" s="8">
        <v>139200</v>
      </c>
      <c r="K395" s="4" t="s">
        <v>39</v>
      </c>
      <c r="L395" s="9">
        <v>0.125</v>
      </c>
      <c r="M395" s="9">
        <v>0.05</v>
      </c>
      <c r="O395" s="7" t="s">
        <v>39</v>
      </c>
      <c r="P395" s="3">
        <f t="shared" ref="P395:P403" si="173">(C395+(E395*F395*H395))-N395</f>
        <v>0</v>
      </c>
      <c r="Q395" s="7" t="s">
        <v>39</v>
      </c>
      <c r="R395" s="8">
        <f t="shared" si="163"/>
        <v>0</v>
      </c>
      <c r="S395" s="8">
        <f t="shared" ref="S395:S403" si="174">P395*(J395-(J395*L395)-((J395-(J395*L395))*M395))</f>
        <v>0</v>
      </c>
    </row>
    <row r="396" spans="1:19" x14ac:dyDescent="0.2">
      <c r="A396" s="26" t="s">
        <v>883</v>
      </c>
      <c r="B396" s="2" t="s">
        <v>17</v>
      </c>
      <c r="D396" s="4" t="s">
        <v>39</v>
      </c>
      <c r="F396" s="6">
        <v>1</v>
      </c>
      <c r="G396" s="7" t="s">
        <v>19</v>
      </c>
      <c r="H396" s="6">
        <v>12</v>
      </c>
      <c r="I396" s="7" t="s">
        <v>39</v>
      </c>
      <c r="J396" s="8">
        <v>182400</v>
      </c>
      <c r="K396" s="4" t="s">
        <v>39</v>
      </c>
      <c r="L396" s="9">
        <v>0.125</v>
      </c>
      <c r="M396" s="9">
        <v>0.05</v>
      </c>
      <c r="O396" s="7" t="s">
        <v>39</v>
      </c>
      <c r="P396" s="3">
        <f t="shared" si="173"/>
        <v>0</v>
      </c>
      <c r="Q396" s="7" t="s">
        <v>39</v>
      </c>
      <c r="R396" s="8">
        <f t="shared" si="163"/>
        <v>0</v>
      </c>
      <c r="S396" s="8">
        <f t="shared" si="174"/>
        <v>0</v>
      </c>
    </row>
    <row r="397" spans="1:19" x14ac:dyDescent="0.2">
      <c r="A397" s="1" t="s">
        <v>899</v>
      </c>
      <c r="B397" s="2" t="s">
        <v>17</v>
      </c>
      <c r="D397" s="4" t="s">
        <v>150</v>
      </c>
      <c r="F397" s="6">
        <v>1</v>
      </c>
      <c r="G397" s="7" t="s">
        <v>19</v>
      </c>
      <c r="H397" s="6">
        <v>24</v>
      </c>
      <c r="I397" s="7" t="s">
        <v>32</v>
      </c>
      <c r="J397" s="8">
        <v>34800</v>
      </c>
      <c r="K397" s="4" t="s">
        <v>32</v>
      </c>
      <c r="L397" s="9">
        <v>0.125</v>
      </c>
      <c r="M397" s="9">
        <v>0.05</v>
      </c>
      <c r="O397" s="7" t="s">
        <v>32</v>
      </c>
      <c r="P397" s="3">
        <f t="shared" ref="P397" si="175">(C397+(E397*F397*H397))-N397</f>
        <v>0</v>
      </c>
      <c r="Q397" s="7" t="s">
        <v>32</v>
      </c>
      <c r="R397" s="8">
        <f t="shared" si="163"/>
        <v>0</v>
      </c>
      <c r="S397" s="8">
        <f t="shared" ref="S397" si="176">P397*(J397-(J397*L397)-((J397-(J397*L397))*M397))</f>
        <v>0</v>
      </c>
    </row>
    <row r="398" spans="1:19" x14ac:dyDescent="0.2">
      <c r="A398" s="1" t="s">
        <v>242</v>
      </c>
      <c r="B398" s="2" t="s">
        <v>17</v>
      </c>
      <c r="D398" s="4" t="s">
        <v>150</v>
      </c>
      <c r="F398" s="6">
        <v>12</v>
      </c>
      <c r="G398" s="7" t="s">
        <v>32</v>
      </c>
      <c r="H398" s="6">
        <v>24</v>
      </c>
      <c r="I398" s="7" t="s">
        <v>150</v>
      </c>
      <c r="J398" s="8">
        <v>12000</v>
      </c>
      <c r="K398" s="4" t="s">
        <v>150</v>
      </c>
      <c r="L398" s="9">
        <v>0.125</v>
      </c>
      <c r="M398" s="9">
        <v>0.05</v>
      </c>
      <c r="O398" s="7" t="s">
        <v>150</v>
      </c>
      <c r="P398" s="3">
        <f t="shared" si="173"/>
        <v>0</v>
      </c>
      <c r="Q398" s="7" t="s">
        <v>150</v>
      </c>
      <c r="R398" s="8">
        <f t="shared" si="163"/>
        <v>0</v>
      </c>
      <c r="S398" s="8">
        <f t="shared" si="174"/>
        <v>0</v>
      </c>
    </row>
    <row r="399" spans="1:19" x14ac:dyDescent="0.2">
      <c r="A399" s="1" t="s">
        <v>243</v>
      </c>
      <c r="B399" s="2" t="s">
        <v>17</v>
      </c>
      <c r="D399" s="4" t="s">
        <v>150</v>
      </c>
      <c r="F399" s="6">
        <v>10</v>
      </c>
      <c r="G399" s="7" t="s">
        <v>32</v>
      </c>
      <c r="H399" s="6">
        <v>10</v>
      </c>
      <c r="I399" s="7" t="s">
        <v>150</v>
      </c>
      <c r="J399" s="8">
        <v>28000</v>
      </c>
      <c r="K399" s="4" t="s">
        <v>150</v>
      </c>
      <c r="L399" s="9">
        <v>0.125</v>
      </c>
      <c r="M399" s="9">
        <v>0.05</v>
      </c>
      <c r="O399" s="7" t="s">
        <v>150</v>
      </c>
      <c r="P399" s="3">
        <f t="shared" si="173"/>
        <v>0</v>
      </c>
      <c r="Q399" s="7" t="s">
        <v>150</v>
      </c>
      <c r="R399" s="8">
        <f t="shared" si="163"/>
        <v>0</v>
      </c>
      <c r="S399" s="8">
        <f t="shared" si="174"/>
        <v>0</v>
      </c>
    </row>
    <row r="400" spans="1:19" x14ac:dyDescent="0.2">
      <c r="A400" s="1" t="s">
        <v>244</v>
      </c>
      <c r="B400" s="2" t="s">
        <v>17</v>
      </c>
      <c r="D400" s="4" t="s">
        <v>150</v>
      </c>
      <c r="F400" s="6">
        <v>10</v>
      </c>
      <c r="G400" s="7" t="s">
        <v>32</v>
      </c>
      <c r="H400" s="6">
        <v>10</v>
      </c>
      <c r="I400" s="7" t="s">
        <v>150</v>
      </c>
      <c r="J400" s="8">
        <v>33500</v>
      </c>
      <c r="K400" s="4" t="s">
        <v>150</v>
      </c>
      <c r="L400" s="9">
        <v>0.125</v>
      </c>
      <c r="M400" s="9">
        <v>0.05</v>
      </c>
      <c r="O400" s="7" t="s">
        <v>150</v>
      </c>
      <c r="P400" s="3">
        <f t="shared" si="173"/>
        <v>0</v>
      </c>
      <c r="Q400" s="7" t="s">
        <v>150</v>
      </c>
      <c r="R400" s="8">
        <f t="shared" si="163"/>
        <v>0</v>
      </c>
      <c r="S400" s="8">
        <f t="shared" si="174"/>
        <v>0</v>
      </c>
    </row>
    <row r="401" spans="1:19" x14ac:dyDescent="0.2">
      <c r="A401" s="1" t="s">
        <v>245</v>
      </c>
      <c r="B401" s="2" t="s">
        <v>17</v>
      </c>
      <c r="D401" s="4" t="s">
        <v>150</v>
      </c>
      <c r="F401" s="6">
        <v>8</v>
      </c>
      <c r="G401" s="7" t="s">
        <v>32</v>
      </c>
      <c r="H401" s="6">
        <v>10</v>
      </c>
      <c r="I401" s="7" t="s">
        <v>150</v>
      </c>
      <c r="J401" s="8">
        <v>48500</v>
      </c>
      <c r="K401" s="4" t="s">
        <v>150</v>
      </c>
      <c r="L401" s="9">
        <v>0.125</v>
      </c>
      <c r="M401" s="9">
        <v>0.05</v>
      </c>
      <c r="O401" s="7" t="s">
        <v>150</v>
      </c>
      <c r="P401" s="3">
        <f t="shared" si="173"/>
        <v>0</v>
      </c>
      <c r="Q401" s="7" t="s">
        <v>150</v>
      </c>
      <c r="R401" s="8">
        <f t="shared" si="163"/>
        <v>0</v>
      </c>
      <c r="S401" s="8">
        <f t="shared" si="174"/>
        <v>0</v>
      </c>
    </row>
    <row r="402" spans="1:19" x14ac:dyDescent="0.2">
      <c r="A402" s="1" t="s">
        <v>246</v>
      </c>
      <c r="B402" s="2" t="s">
        <v>17</v>
      </c>
      <c r="D402" s="4" t="s">
        <v>150</v>
      </c>
      <c r="F402" s="6">
        <v>10</v>
      </c>
      <c r="G402" s="7" t="s">
        <v>32</v>
      </c>
      <c r="H402" s="6">
        <v>12</v>
      </c>
      <c r="I402" s="7" t="s">
        <v>150</v>
      </c>
      <c r="J402" s="8">
        <v>17000</v>
      </c>
      <c r="K402" s="4" t="s">
        <v>150</v>
      </c>
      <c r="L402" s="9">
        <v>0.125</v>
      </c>
      <c r="M402" s="9">
        <v>0.05</v>
      </c>
      <c r="O402" s="7" t="s">
        <v>150</v>
      </c>
      <c r="P402" s="3">
        <f t="shared" si="173"/>
        <v>0</v>
      </c>
      <c r="Q402" s="7" t="s">
        <v>150</v>
      </c>
      <c r="R402" s="8">
        <f t="shared" si="163"/>
        <v>0</v>
      </c>
      <c r="S402" s="8">
        <f t="shared" si="174"/>
        <v>0</v>
      </c>
    </row>
    <row r="403" spans="1:19" x14ac:dyDescent="0.2">
      <c r="A403" s="1" t="s">
        <v>247</v>
      </c>
      <c r="B403" s="2" t="s">
        <v>17</v>
      </c>
      <c r="D403" s="4" t="s">
        <v>150</v>
      </c>
      <c r="F403" s="6">
        <v>24</v>
      </c>
      <c r="G403" s="7" t="s">
        <v>32</v>
      </c>
      <c r="H403" s="6">
        <v>12</v>
      </c>
      <c r="I403" s="7" t="s">
        <v>150</v>
      </c>
      <c r="J403" s="8">
        <v>13300</v>
      </c>
      <c r="K403" s="4" t="s">
        <v>150</v>
      </c>
      <c r="L403" s="9">
        <v>0.125</v>
      </c>
      <c r="M403" s="9">
        <v>0.05</v>
      </c>
      <c r="O403" s="7" t="s">
        <v>150</v>
      </c>
      <c r="P403" s="3">
        <f t="shared" si="173"/>
        <v>0</v>
      </c>
      <c r="Q403" s="7" t="s">
        <v>150</v>
      </c>
      <c r="R403" s="8">
        <f t="shared" si="163"/>
        <v>0</v>
      </c>
      <c r="S403" s="8">
        <f t="shared" si="174"/>
        <v>0</v>
      </c>
    </row>
    <row r="405" spans="1:19" x14ac:dyDescent="0.2">
      <c r="A405" s="11" t="s">
        <v>248</v>
      </c>
      <c r="B405" s="2" t="s">
        <v>24</v>
      </c>
      <c r="D405" s="4" t="s">
        <v>18</v>
      </c>
      <c r="F405" s="6">
        <v>24</v>
      </c>
      <c r="G405" s="7" t="s">
        <v>39</v>
      </c>
      <c r="H405" s="6">
        <v>12</v>
      </c>
      <c r="I405" s="7" t="s">
        <v>18</v>
      </c>
      <c r="J405" s="8">
        <f>2160000/24/12</f>
        <v>7500</v>
      </c>
      <c r="K405" s="4" t="s">
        <v>18</v>
      </c>
      <c r="M405" s="9">
        <v>0.17</v>
      </c>
      <c r="O405" s="7" t="s">
        <v>18</v>
      </c>
      <c r="P405" s="3">
        <f t="shared" ref="P405:P408" si="177">(C405+(E405*F405*H405))-N405</f>
        <v>0</v>
      </c>
      <c r="Q405" s="7" t="s">
        <v>18</v>
      </c>
      <c r="R405" s="8">
        <f>S405/1.11</f>
        <v>0</v>
      </c>
      <c r="S405" s="8">
        <f t="shared" ref="S405:S408" si="178">P405*(J405-(J405*L405)-((J405-(J405*L405))*M405))</f>
        <v>0</v>
      </c>
    </row>
    <row r="406" spans="1:19" x14ac:dyDescent="0.2">
      <c r="A406" s="11" t="s">
        <v>249</v>
      </c>
      <c r="B406" s="2" t="s">
        <v>24</v>
      </c>
      <c r="D406" s="4" t="s">
        <v>18</v>
      </c>
      <c r="F406" s="6">
        <v>24</v>
      </c>
      <c r="G406" s="7" t="s">
        <v>39</v>
      </c>
      <c r="H406" s="6">
        <v>12</v>
      </c>
      <c r="I406" s="7" t="s">
        <v>18</v>
      </c>
      <c r="J406" s="8">
        <f>2160000/24/12</f>
        <v>7500</v>
      </c>
      <c r="K406" s="4" t="s">
        <v>18</v>
      </c>
      <c r="M406" s="9">
        <v>0.17</v>
      </c>
      <c r="O406" s="7" t="s">
        <v>18</v>
      </c>
      <c r="P406" s="3">
        <f t="shared" si="177"/>
        <v>0</v>
      </c>
      <c r="Q406" s="7" t="s">
        <v>18</v>
      </c>
      <c r="R406" s="8">
        <f>S406/1.11</f>
        <v>0</v>
      </c>
      <c r="S406" s="8">
        <f t="shared" si="178"/>
        <v>0</v>
      </c>
    </row>
    <row r="407" spans="1:19" x14ac:dyDescent="0.2">
      <c r="A407" s="11" t="s">
        <v>768</v>
      </c>
      <c r="B407" s="2" t="s">
        <v>24</v>
      </c>
      <c r="D407" s="4" t="s">
        <v>18</v>
      </c>
      <c r="F407" s="6">
        <v>24</v>
      </c>
      <c r="G407" s="7" t="s">
        <v>39</v>
      </c>
      <c r="H407" s="6">
        <v>12</v>
      </c>
      <c r="I407" s="7" t="s">
        <v>18</v>
      </c>
      <c r="J407" s="8">
        <f>2160000/24/12</f>
        <v>7500</v>
      </c>
      <c r="K407" s="4" t="s">
        <v>18</v>
      </c>
      <c r="M407" s="9">
        <v>0.17</v>
      </c>
      <c r="O407" s="7" t="s">
        <v>18</v>
      </c>
      <c r="P407" s="3">
        <f t="shared" si="177"/>
        <v>0</v>
      </c>
      <c r="Q407" s="7" t="s">
        <v>18</v>
      </c>
      <c r="R407" s="8">
        <f>S407/1.11</f>
        <v>0</v>
      </c>
      <c r="S407" s="8">
        <f t="shared" si="178"/>
        <v>0</v>
      </c>
    </row>
    <row r="408" spans="1:19" x14ac:dyDescent="0.2">
      <c r="A408" s="11" t="s">
        <v>769</v>
      </c>
      <c r="B408" s="2" t="s">
        <v>24</v>
      </c>
      <c r="D408" s="4" t="s">
        <v>18</v>
      </c>
      <c r="F408" s="6">
        <v>12</v>
      </c>
      <c r="G408" s="7" t="s">
        <v>39</v>
      </c>
      <c r="H408" s="6">
        <v>12</v>
      </c>
      <c r="I408" s="7" t="s">
        <v>18</v>
      </c>
      <c r="J408" s="8">
        <f>3024000/12/12</f>
        <v>21000</v>
      </c>
      <c r="K408" s="4" t="s">
        <v>18</v>
      </c>
      <c r="M408" s="9">
        <v>0.17</v>
      </c>
      <c r="O408" s="7" t="s">
        <v>18</v>
      </c>
      <c r="P408" s="3">
        <f t="shared" si="177"/>
        <v>0</v>
      </c>
      <c r="Q408" s="7" t="s">
        <v>18</v>
      </c>
      <c r="R408" s="8">
        <f>S408/1.11</f>
        <v>0</v>
      </c>
      <c r="S408" s="8">
        <f t="shared" si="178"/>
        <v>0</v>
      </c>
    </row>
    <row r="410" spans="1:19" x14ac:dyDescent="0.2">
      <c r="A410" s="24" t="s">
        <v>250</v>
      </c>
    </row>
    <row r="411" spans="1:19" x14ac:dyDescent="0.2">
      <c r="A411" s="1" t="s">
        <v>251</v>
      </c>
      <c r="B411" s="2" t="s">
        <v>17</v>
      </c>
      <c r="D411" s="4" t="s">
        <v>32</v>
      </c>
      <c r="F411" s="6">
        <v>1</v>
      </c>
      <c r="G411" s="7" t="s">
        <v>19</v>
      </c>
      <c r="H411" s="6">
        <v>20</v>
      </c>
      <c r="I411" s="7" t="s">
        <v>32</v>
      </c>
      <c r="J411" s="8">
        <f>6200*12</f>
        <v>74400</v>
      </c>
      <c r="K411" s="4" t="s">
        <v>32</v>
      </c>
      <c r="L411" s="9">
        <v>0.125</v>
      </c>
      <c r="M411" s="9">
        <v>0.05</v>
      </c>
      <c r="O411" s="7" t="s">
        <v>32</v>
      </c>
      <c r="P411" s="3">
        <f>(C411+(E411*F411*H411))-N411</f>
        <v>0</v>
      </c>
      <c r="Q411" s="7" t="s">
        <v>32</v>
      </c>
      <c r="R411" s="8">
        <f>S411/1.11</f>
        <v>0</v>
      </c>
      <c r="S411" s="8">
        <f>P411*(J411-(J411*L411)-((J411-(J411*L411))*M411))</f>
        <v>0</v>
      </c>
    </row>
    <row r="412" spans="1:19" x14ac:dyDescent="0.2">
      <c r="A412" s="1" t="s">
        <v>252</v>
      </c>
      <c r="B412" s="2" t="s">
        <v>17</v>
      </c>
      <c r="D412" s="4" t="s">
        <v>32</v>
      </c>
      <c r="F412" s="6">
        <v>1</v>
      </c>
      <c r="G412" s="7" t="s">
        <v>19</v>
      </c>
      <c r="H412" s="6">
        <v>20</v>
      </c>
      <c r="I412" s="7" t="s">
        <v>32</v>
      </c>
      <c r="J412" s="8">
        <f>6800*12</f>
        <v>81600</v>
      </c>
      <c r="K412" s="4" t="s">
        <v>32</v>
      </c>
      <c r="L412" s="9">
        <v>0.125</v>
      </c>
      <c r="M412" s="9">
        <v>0.05</v>
      </c>
      <c r="O412" s="7" t="s">
        <v>32</v>
      </c>
      <c r="P412" s="3">
        <f>(C412+(E412*F412*H412))-N412</f>
        <v>0</v>
      </c>
      <c r="Q412" s="7" t="s">
        <v>32</v>
      </c>
      <c r="R412" s="8">
        <f>S412/1.11</f>
        <v>0</v>
      </c>
      <c r="S412" s="8">
        <f>P412*(J412-(J412*L412)-((J412-(J412*L412))*M412))</f>
        <v>0</v>
      </c>
    </row>
    <row r="413" spans="1:19" x14ac:dyDescent="0.2">
      <c r="A413" s="1" t="s">
        <v>844</v>
      </c>
      <c r="B413" s="2" t="s">
        <v>17</v>
      </c>
      <c r="D413" s="4" t="s">
        <v>32</v>
      </c>
      <c r="F413" s="6">
        <v>1</v>
      </c>
      <c r="G413" s="7" t="s">
        <v>19</v>
      </c>
      <c r="H413" s="6">
        <v>10</v>
      </c>
      <c r="I413" s="7" t="s">
        <v>32</v>
      </c>
      <c r="J413" s="8">
        <v>135600</v>
      </c>
      <c r="K413" s="4" t="s">
        <v>32</v>
      </c>
      <c r="L413" s="9">
        <v>0.125</v>
      </c>
      <c r="M413" s="9">
        <v>0.05</v>
      </c>
      <c r="O413" s="7" t="s">
        <v>32</v>
      </c>
      <c r="P413" s="3">
        <f>(C413+(E413*F413*H413))-N413</f>
        <v>0</v>
      </c>
      <c r="Q413" s="7" t="s">
        <v>32</v>
      </c>
      <c r="R413" s="8">
        <f>S413/1.11</f>
        <v>0</v>
      </c>
      <c r="S413" s="8">
        <f>P413*(J413-(J413*L413)-((J413-(J413*L413))*M413))</f>
        <v>0</v>
      </c>
    </row>
    <row r="415" spans="1:19" x14ac:dyDescent="0.2">
      <c r="A415" s="24" t="s">
        <v>253</v>
      </c>
    </row>
    <row r="416" spans="1:19" x14ac:dyDescent="0.2">
      <c r="A416" s="24" t="s">
        <v>254</v>
      </c>
    </row>
    <row r="417" spans="1:19" x14ac:dyDescent="0.2">
      <c r="A417" s="1" t="s">
        <v>255</v>
      </c>
      <c r="B417" s="2" t="s">
        <v>24</v>
      </c>
      <c r="D417" s="4" t="s">
        <v>97</v>
      </c>
      <c r="F417" s="6">
        <v>1</v>
      </c>
      <c r="G417" s="7" t="s">
        <v>19</v>
      </c>
      <c r="H417" s="6">
        <v>50</v>
      </c>
      <c r="I417" s="7" t="s">
        <v>97</v>
      </c>
      <c r="J417" s="8">
        <f>740000/50</f>
        <v>14800</v>
      </c>
      <c r="K417" s="4" t="s">
        <v>97</v>
      </c>
      <c r="M417" s="9">
        <v>0.17</v>
      </c>
      <c r="O417" s="7" t="s">
        <v>97</v>
      </c>
      <c r="P417" s="3">
        <f>(C417+(E417*F417*H417))-N417</f>
        <v>0</v>
      </c>
      <c r="Q417" s="7" t="s">
        <v>97</v>
      </c>
      <c r="R417" s="8">
        <f>S417/1.11</f>
        <v>0</v>
      </c>
      <c r="S417" s="8">
        <f>P417*(J417-(J417*L417)-((J417-(J417*L417))*M417))</f>
        <v>0</v>
      </c>
    </row>
    <row r="419" spans="1:19" x14ac:dyDescent="0.2">
      <c r="A419" s="24" t="s">
        <v>256</v>
      </c>
    </row>
    <row r="420" spans="1:19" x14ac:dyDescent="0.2">
      <c r="A420" s="1" t="s">
        <v>257</v>
      </c>
      <c r="B420" s="2" t="s">
        <v>258</v>
      </c>
      <c r="C420" s="3">
        <v>150</v>
      </c>
      <c r="D420" s="4" t="s">
        <v>97</v>
      </c>
      <c r="F420" s="6">
        <v>1</v>
      </c>
      <c r="G420" s="7" t="s">
        <v>19</v>
      </c>
      <c r="H420" s="6">
        <v>50</v>
      </c>
      <c r="I420" s="7" t="s">
        <v>97</v>
      </c>
      <c r="J420" s="8">
        <v>32500</v>
      </c>
      <c r="K420" s="4" t="s">
        <v>97</v>
      </c>
      <c r="O420" s="7" t="s">
        <v>97</v>
      </c>
      <c r="P420" s="3">
        <f>(C420+(E420*F420*H420))-N420</f>
        <v>150</v>
      </c>
      <c r="Q420" s="7" t="s">
        <v>97</v>
      </c>
      <c r="R420" s="8">
        <f>S420/1.11</f>
        <v>4391891.8918918911</v>
      </c>
      <c r="S420" s="8">
        <f>P420*(J420-(J420*L420)-((J420-(J420*L420))*M420))</f>
        <v>4875000</v>
      </c>
    </row>
    <row r="422" spans="1:19" x14ac:dyDescent="0.2">
      <c r="A422" s="24" t="s">
        <v>983</v>
      </c>
    </row>
    <row r="423" spans="1:19" x14ac:dyDescent="0.2">
      <c r="A423" s="1" t="s">
        <v>984</v>
      </c>
      <c r="B423" s="2" t="s">
        <v>1016</v>
      </c>
      <c r="D423" s="4" t="s">
        <v>809</v>
      </c>
      <c r="F423" s="6">
        <v>1</v>
      </c>
      <c r="G423" s="7" t="s">
        <v>19</v>
      </c>
      <c r="H423" s="6">
        <v>900</v>
      </c>
      <c r="I423" s="7" t="s">
        <v>809</v>
      </c>
      <c r="J423" s="8">
        <v>2200</v>
      </c>
      <c r="K423" s="4" t="s">
        <v>809</v>
      </c>
      <c r="L423" s="9">
        <v>0.1</v>
      </c>
      <c r="M423" s="9">
        <v>0.1</v>
      </c>
      <c r="O423" s="7" t="s">
        <v>809</v>
      </c>
      <c r="P423" s="3">
        <f>(C423+(E423*F423*H423))-N423</f>
        <v>0</v>
      </c>
      <c r="Q423" s="7" t="s">
        <v>809</v>
      </c>
      <c r="R423" s="8">
        <f>S423/1.11</f>
        <v>0</v>
      </c>
      <c r="S423" s="8">
        <f>P423*(J423-(J423*L423)-((J423-(J423*L423))*M423))</f>
        <v>0</v>
      </c>
    </row>
    <row r="424" spans="1:19" x14ac:dyDescent="0.2">
      <c r="A424" s="1" t="s">
        <v>985</v>
      </c>
      <c r="B424" s="2" t="s">
        <v>1016</v>
      </c>
      <c r="D424" s="4" t="s">
        <v>809</v>
      </c>
      <c r="F424" s="6">
        <v>1</v>
      </c>
      <c r="G424" s="7" t="s">
        <v>19</v>
      </c>
      <c r="H424" s="6">
        <v>750</v>
      </c>
      <c r="I424" s="7" t="s">
        <v>809</v>
      </c>
      <c r="J424" s="8">
        <v>2600</v>
      </c>
      <c r="K424" s="4" t="s">
        <v>809</v>
      </c>
      <c r="L424" s="9">
        <v>0.1</v>
      </c>
      <c r="M424" s="9">
        <v>0.1</v>
      </c>
      <c r="O424" s="7" t="s">
        <v>809</v>
      </c>
      <c r="P424" s="3">
        <f>(C424+(E424*F424*H424))-N424</f>
        <v>0</v>
      </c>
      <c r="Q424" s="7" t="s">
        <v>809</v>
      </c>
      <c r="R424" s="8">
        <f>S424/1.11</f>
        <v>0</v>
      </c>
      <c r="S424" s="8">
        <f>P424*(J424-(J424*L424)-((J424-(J424*L424))*M424))</f>
        <v>0</v>
      </c>
    </row>
    <row r="426" spans="1:19" x14ac:dyDescent="0.2">
      <c r="A426" s="24" t="s">
        <v>259</v>
      </c>
    </row>
    <row r="427" spans="1:19" x14ac:dyDescent="0.2">
      <c r="A427" s="1" t="s">
        <v>260</v>
      </c>
      <c r="B427" s="2" t="s">
        <v>17</v>
      </c>
      <c r="D427" s="4" t="s">
        <v>101</v>
      </c>
      <c r="F427" s="6">
        <v>8</v>
      </c>
      <c r="G427" s="7" t="s">
        <v>32</v>
      </c>
      <c r="H427" s="6">
        <v>25</v>
      </c>
      <c r="I427" s="7" t="s">
        <v>101</v>
      </c>
      <c r="J427" s="8">
        <v>4800</v>
      </c>
      <c r="K427" s="4" t="s">
        <v>101</v>
      </c>
      <c r="L427" s="9">
        <v>0.125</v>
      </c>
      <c r="M427" s="9">
        <v>0.05</v>
      </c>
      <c r="O427" s="7" t="s">
        <v>101</v>
      </c>
      <c r="P427" s="3">
        <f>(C427+(E427*F427*H427))-N427</f>
        <v>0</v>
      </c>
      <c r="Q427" s="7" t="s">
        <v>101</v>
      </c>
      <c r="R427" s="8">
        <f>S427/1.11</f>
        <v>0</v>
      </c>
      <c r="S427" s="8">
        <f>P427*(J427-(J427*L427)-((J427-(J427*L427))*M427))</f>
        <v>0</v>
      </c>
    </row>
    <row r="428" spans="1:19" x14ac:dyDescent="0.2">
      <c r="A428" s="1" t="s">
        <v>261</v>
      </c>
      <c r="B428" s="2" t="s">
        <v>17</v>
      </c>
      <c r="D428" s="4" t="s">
        <v>75</v>
      </c>
      <c r="F428" s="6">
        <v>1</v>
      </c>
      <c r="G428" s="7" t="s">
        <v>19</v>
      </c>
      <c r="H428" s="6">
        <v>40</v>
      </c>
      <c r="I428" s="7" t="s">
        <v>75</v>
      </c>
      <c r="J428" s="8">
        <v>33750</v>
      </c>
      <c r="K428" s="4" t="s">
        <v>75</v>
      </c>
      <c r="L428" s="9">
        <v>0.125</v>
      </c>
      <c r="M428" s="9">
        <v>0.05</v>
      </c>
      <c r="O428" s="7" t="s">
        <v>75</v>
      </c>
      <c r="P428" s="3">
        <f>(C428+(E428*F428*H428))-N428</f>
        <v>0</v>
      </c>
      <c r="Q428" s="7" t="s">
        <v>75</v>
      </c>
      <c r="R428" s="8">
        <f>S428/1.11</f>
        <v>0</v>
      </c>
      <c r="S428" s="8">
        <f>P428*(J428-(J428*L428)-((J428-(J428*L428))*M428))</f>
        <v>0</v>
      </c>
    </row>
    <row r="429" spans="1:19" x14ac:dyDescent="0.2">
      <c r="A429" s="1" t="s">
        <v>262</v>
      </c>
      <c r="B429" s="2" t="s">
        <v>17</v>
      </c>
      <c r="D429" s="4" t="s">
        <v>75</v>
      </c>
      <c r="F429" s="6">
        <v>1</v>
      </c>
      <c r="G429" s="7" t="s">
        <v>19</v>
      </c>
      <c r="H429" s="6">
        <v>48</v>
      </c>
      <c r="I429" s="7" t="s">
        <v>75</v>
      </c>
      <c r="J429" s="8">
        <v>23000</v>
      </c>
      <c r="K429" s="4" t="s">
        <v>75</v>
      </c>
      <c r="L429" s="9">
        <v>0.125</v>
      </c>
      <c r="M429" s="9">
        <v>0.05</v>
      </c>
      <c r="O429" s="7" t="s">
        <v>75</v>
      </c>
      <c r="P429" s="3">
        <f>(C429+(E429*F429*H429))-N429</f>
        <v>0</v>
      </c>
      <c r="Q429" s="7" t="s">
        <v>75</v>
      </c>
      <c r="R429" s="8">
        <f>S429/1.11</f>
        <v>0</v>
      </c>
      <c r="S429" s="8">
        <f>P429*(J429-(J429*L429)-((J429-(J429*L429))*M429))</f>
        <v>0</v>
      </c>
    </row>
    <row r="431" spans="1:19" x14ac:dyDescent="0.2">
      <c r="A431" s="1" t="s">
        <v>263</v>
      </c>
      <c r="B431" s="2" t="s">
        <v>24</v>
      </c>
      <c r="D431" s="4" t="s">
        <v>101</v>
      </c>
      <c r="F431" s="6">
        <v>80</v>
      </c>
      <c r="G431" s="7" t="s">
        <v>32</v>
      </c>
      <c r="H431" s="6">
        <v>25</v>
      </c>
      <c r="I431" s="7" t="s">
        <v>101</v>
      </c>
      <c r="J431" s="8">
        <v>4500</v>
      </c>
      <c r="K431" s="4" t="s">
        <v>101</v>
      </c>
      <c r="M431" s="9">
        <v>0.17</v>
      </c>
      <c r="O431" s="7" t="s">
        <v>101</v>
      </c>
      <c r="P431" s="3">
        <f>(C431+(E431*F431*H431))-N431</f>
        <v>0</v>
      </c>
      <c r="Q431" s="7" t="s">
        <v>101</v>
      </c>
      <c r="R431" s="8">
        <f>S431/1.11</f>
        <v>0</v>
      </c>
      <c r="S431" s="8">
        <f>P431*(J431-(J431*L431)-((J431-(J431*L431))*M431))</f>
        <v>0</v>
      </c>
    </row>
    <row r="432" spans="1:19" x14ac:dyDescent="0.2">
      <c r="A432" s="1" t="s">
        <v>264</v>
      </c>
      <c r="B432" s="2" t="s">
        <v>24</v>
      </c>
      <c r="D432" s="4" t="s">
        <v>75</v>
      </c>
      <c r="F432" s="6">
        <v>1</v>
      </c>
      <c r="G432" s="7" t="s">
        <v>19</v>
      </c>
      <c r="H432" s="6">
        <v>48</v>
      </c>
      <c r="I432" s="7" t="s">
        <v>75</v>
      </c>
      <c r="J432" s="8">
        <v>23500</v>
      </c>
      <c r="K432" s="4" t="s">
        <v>75</v>
      </c>
      <c r="M432" s="9">
        <v>0.17</v>
      </c>
      <c r="O432" s="7" t="s">
        <v>75</v>
      </c>
      <c r="P432" s="3">
        <f>(C432+(E432*F432*H432))-N432</f>
        <v>0</v>
      </c>
      <c r="Q432" s="7" t="s">
        <v>75</v>
      </c>
      <c r="R432" s="8">
        <f>S432/1.11</f>
        <v>0</v>
      </c>
      <c r="S432" s="8">
        <f>P432*(J432-(J432*L432)-((J432-(J432*L432))*M432))</f>
        <v>0</v>
      </c>
    </row>
    <row r="434" spans="1:19" x14ac:dyDescent="0.2">
      <c r="A434" s="24" t="s">
        <v>265</v>
      </c>
    </row>
    <row r="435" spans="1:19" x14ac:dyDescent="0.2">
      <c r="A435" s="1" t="s">
        <v>266</v>
      </c>
      <c r="B435" s="2" t="s">
        <v>17</v>
      </c>
      <c r="D435" s="4" t="s">
        <v>150</v>
      </c>
      <c r="F435" s="6">
        <v>10</v>
      </c>
      <c r="G435" s="7" t="s">
        <v>32</v>
      </c>
      <c r="H435" s="6">
        <v>24</v>
      </c>
      <c r="I435" s="7" t="s">
        <v>150</v>
      </c>
      <c r="J435" s="8">
        <v>8800</v>
      </c>
      <c r="K435" s="4" t="s">
        <v>150</v>
      </c>
      <c r="L435" s="9">
        <v>0.125</v>
      </c>
      <c r="M435" s="9">
        <v>0.05</v>
      </c>
      <c r="O435" s="7" t="s">
        <v>150</v>
      </c>
      <c r="P435" s="3">
        <f t="shared" ref="P435:P455" si="179">(C435+(E435*F435*H435))-N435</f>
        <v>0</v>
      </c>
      <c r="Q435" s="7" t="s">
        <v>150</v>
      </c>
      <c r="R435" s="8">
        <f t="shared" ref="R435:R455" si="180">S435/1.11</f>
        <v>0</v>
      </c>
      <c r="S435" s="8">
        <f t="shared" ref="S435:S455" si="181">P435*(J435-(J435*L435)-((J435-(J435*L435))*M435))</f>
        <v>0</v>
      </c>
    </row>
    <row r="436" spans="1:19" x14ac:dyDescent="0.2">
      <c r="A436" s="1" t="s">
        <v>267</v>
      </c>
      <c r="B436" s="2" t="s">
        <v>17</v>
      </c>
      <c r="D436" s="4" t="s">
        <v>150</v>
      </c>
      <c r="F436" s="6">
        <v>6</v>
      </c>
      <c r="G436" s="7" t="s">
        <v>32</v>
      </c>
      <c r="H436" s="6">
        <v>24</v>
      </c>
      <c r="I436" s="7" t="s">
        <v>150</v>
      </c>
      <c r="J436" s="8">
        <v>29500</v>
      </c>
      <c r="K436" s="4" t="s">
        <v>150</v>
      </c>
      <c r="L436" s="9">
        <v>0.125</v>
      </c>
      <c r="M436" s="9">
        <v>0.05</v>
      </c>
      <c r="O436" s="7" t="s">
        <v>150</v>
      </c>
      <c r="P436" s="3">
        <f t="shared" si="179"/>
        <v>0</v>
      </c>
      <c r="Q436" s="7" t="s">
        <v>150</v>
      </c>
      <c r="R436" s="8">
        <f t="shared" si="180"/>
        <v>0</v>
      </c>
      <c r="S436" s="8">
        <f t="shared" si="181"/>
        <v>0</v>
      </c>
    </row>
    <row r="437" spans="1:19" x14ac:dyDescent="0.2">
      <c r="A437" s="1" t="s">
        <v>268</v>
      </c>
      <c r="B437" s="2" t="s">
        <v>17</v>
      </c>
      <c r="D437" s="4" t="s">
        <v>150</v>
      </c>
      <c r="F437" s="6">
        <v>12</v>
      </c>
      <c r="G437" s="7" t="s">
        <v>32</v>
      </c>
      <c r="H437" s="6">
        <v>12</v>
      </c>
      <c r="I437" s="7" t="s">
        <v>150</v>
      </c>
      <c r="J437" s="8">
        <v>19600</v>
      </c>
      <c r="K437" s="4" t="s">
        <v>150</v>
      </c>
      <c r="L437" s="9">
        <v>0.125</v>
      </c>
      <c r="M437" s="9">
        <v>0.05</v>
      </c>
      <c r="O437" s="7" t="s">
        <v>150</v>
      </c>
      <c r="P437" s="3">
        <f t="shared" si="179"/>
        <v>0</v>
      </c>
      <c r="Q437" s="7" t="s">
        <v>150</v>
      </c>
      <c r="R437" s="8">
        <f t="shared" si="180"/>
        <v>0</v>
      </c>
      <c r="S437" s="8">
        <f t="shared" si="181"/>
        <v>0</v>
      </c>
    </row>
    <row r="438" spans="1:19" x14ac:dyDescent="0.2">
      <c r="A438" s="1" t="s">
        <v>269</v>
      </c>
      <c r="B438" s="2" t="s">
        <v>17</v>
      </c>
      <c r="D438" s="4" t="s">
        <v>150</v>
      </c>
      <c r="F438" s="6">
        <v>12</v>
      </c>
      <c r="G438" s="7" t="s">
        <v>32</v>
      </c>
      <c r="H438" s="6">
        <v>12</v>
      </c>
      <c r="I438" s="7" t="s">
        <v>150</v>
      </c>
      <c r="J438" s="8">
        <v>18500</v>
      </c>
      <c r="K438" s="4" t="s">
        <v>150</v>
      </c>
      <c r="L438" s="9">
        <v>0.125</v>
      </c>
      <c r="M438" s="9">
        <v>0.05</v>
      </c>
      <c r="O438" s="7" t="s">
        <v>150</v>
      </c>
      <c r="P438" s="3">
        <f t="shared" si="179"/>
        <v>0</v>
      </c>
      <c r="Q438" s="7" t="s">
        <v>150</v>
      </c>
      <c r="R438" s="8">
        <f t="shared" si="180"/>
        <v>0</v>
      </c>
      <c r="S438" s="8">
        <f t="shared" si="181"/>
        <v>0</v>
      </c>
    </row>
    <row r="439" spans="1:19" x14ac:dyDescent="0.2">
      <c r="A439" s="1" t="s">
        <v>270</v>
      </c>
      <c r="B439" s="2" t="s">
        <v>17</v>
      </c>
      <c r="D439" s="4" t="s">
        <v>150</v>
      </c>
      <c r="F439" s="6">
        <v>10</v>
      </c>
      <c r="G439" s="7" t="s">
        <v>32</v>
      </c>
      <c r="H439" s="6">
        <v>24</v>
      </c>
      <c r="I439" s="7" t="s">
        <v>150</v>
      </c>
      <c r="J439" s="8">
        <v>10600</v>
      </c>
      <c r="K439" s="4" t="s">
        <v>150</v>
      </c>
      <c r="L439" s="9">
        <v>0.125</v>
      </c>
      <c r="M439" s="9">
        <v>0.05</v>
      </c>
      <c r="O439" s="7" t="s">
        <v>150</v>
      </c>
      <c r="P439" s="3">
        <f t="shared" si="179"/>
        <v>0</v>
      </c>
      <c r="Q439" s="7" t="s">
        <v>150</v>
      </c>
      <c r="R439" s="8">
        <f t="shared" si="180"/>
        <v>0</v>
      </c>
      <c r="S439" s="8">
        <f t="shared" si="181"/>
        <v>0</v>
      </c>
    </row>
    <row r="440" spans="1:19" x14ac:dyDescent="0.2">
      <c r="A440" s="1" t="s">
        <v>271</v>
      </c>
      <c r="B440" s="2" t="s">
        <v>17</v>
      </c>
      <c r="D440" s="4" t="s">
        <v>150</v>
      </c>
      <c r="F440" s="6">
        <v>20</v>
      </c>
      <c r="G440" s="7" t="s">
        <v>32</v>
      </c>
      <c r="H440" s="6">
        <v>12</v>
      </c>
      <c r="I440" s="7" t="s">
        <v>150</v>
      </c>
      <c r="J440" s="8">
        <v>7800</v>
      </c>
      <c r="K440" s="4" t="s">
        <v>150</v>
      </c>
      <c r="L440" s="9">
        <v>0.125</v>
      </c>
      <c r="M440" s="9">
        <v>0.05</v>
      </c>
      <c r="O440" s="7" t="s">
        <v>150</v>
      </c>
      <c r="P440" s="3">
        <f t="shared" ref="P440" si="182">(C440+(E440*F440*H440))-N440</f>
        <v>0</v>
      </c>
      <c r="Q440" s="7" t="s">
        <v>150</v>
      </c>
      <c r="R440" s="8">
        <f t="shared" si="180"/>
        <v>0</v>
      </c>
      <c r="S440" s="8">
        <f t="shared" ref="S440" si="183">P440*(J440-(J440*L440)-((J440-(J440*L440))*M440))</f>
        <v>0</v>
      </c>
    </row>
    <row r="441" spans="1:19" x14ac:dyDescent="0.2">
      <c r="A441" s="1" t="s">
        <v>721</v>
      </c>
      <c r="B441" s="2" t="s">
        <v>17</v>
      </c>
      <c r="D441" s="4" t="s">
        <v>150</v>
      </c>
      <c r="F441" s="6">
        <v>12</v>
      </c>
      <c r="G441" s="7" t="s">
        <v>32</v>
      </c>
      <c r="H441" s="6">
        <v>12</v>
      </c>
      <c r="I441" s="7" t="s">
        <v>150</v>
      </c>
      <c r="J441" s="8">
        <v>34500</v>
      </c>
      <c r="K441" s="4" t="s">
        <v>150</v>
      </c>
      <c r="L441" s="9">
        <v>0.125</v>
      </c>
      <c r="M441" s="9">
        <v>0.05</v>
      </c>
      <c r="O441" s="7" t="s">
        <v>150</v>
      </c>
      <c r="P441" s="3">
        <f t="shared" si="179"/>
        <v>0</v>
      </c>
      <c r="Q441" s="7" t="s">
        <v>150</v>
      </c>
      <c r="R441" s="8">
        <f t="shared" si="180"/>
        <v>0</v>
      </c>
      <c r="S441" s="8">
        <f t="shared" si="181"/>
        <v>0</v>
      </c>
    </row>
    <row r="442" spans="1:19" x14ac:dyDescent="0.2">
      <c r="A442" s="1" t="s">
        <v>884</v>
      </c>
      <c r="B442" s="2" t="s">
        <v>17</v>
      </c>
      <c r="D442" s="4" t="s">
        <v>150</v>
      </c>
      <c r="F442" s="6">
        <v>1</v>
      </c>
      <c r="G442" s="7" t="s">
        <v>19</v>
      </c>
      <c r="H442" s="6">
        <v>240</v>
      </c>
      <c r="I442" s="7" t="s">
        <v>39</v>
      </c>
      <c r="J442" s="8">
        <v>28800</v>
      </c>
      <c r="K442" s="4" t="s">
        <v>39</v>
      </c>
      <c r="L442" s="9">
        <v>0.125</v>
      </c>
      <c r="M442" s="9">
        <v>0.05</v>
      </c>
      <c r="O442" s="7" t="s">
        <v>39</v>
      </c>
      <c r="P442" s="3">
        <f t="shared" ref="P442" si="184">(C442+(E442*F442*H442))-N442</f>
        <v>0</v>
      </c>
      <c r="Q442" s="7" t="s">
        <v>39</v>
      </c>
      <c r="R442" s="8">
        <f t="shared" si="180"/>
        <v>0</v>
      </c>
      <c r="S442" s="8">
        <f t="shared" ref="S442" si="185">P442*(J442-(J442*L442)-((J442-(J442*L442))*M442))</f>
        <v>0</v>
      </c>
    </row>
    <row r="443" spans="1:19" x14ac:dyDescent="0.2">
      <c r="A443" s="1" t="s">
        <v>829</v>
      </c>
      <c r="B443" s="2" t="s">
        <v>17</v>
      </c>
      <c r="D443" s="4" t="s">
        <v>150</v>
      </c>
      <c r="F443" s="6">
        <v>1</v>
      </c>
      <c r="G443" s="7" t="s">
        <v>19</v>
      </c>
      <c r="H443" s="6">
        <v>240</v>
      </c>
      <c r="I443" s="7" t="s">
        <v>39</v>
      </c>
      <c r="J443" s="8">
        <v>26400</v>
      </c>
      <c r="K443" s="4" t="s">
        <v>39</v>
      </c>
      <c r="L443" s="9">
        <v>0.125</v>
      </c>
      <c r="M443" s="9">
        <v>0.05</v>
      </c>
      <c r="O443" s="7" t="s">
        <v>39</v>
      </c>
      <c r="P443" s="3">
        <f t="shared" si="179"/>
        <v>0</v>
      </c>
      <c r="Q443" s="7" t="s">
        <v>39</v>
      </c>
      <c r="R443" s="8">
        <f t="shared" si="180"/>
        <v>0</v>
      </c>
      <c r="S443" s="8">
        <f t="shared" si="181"/>
        <v>0</v>
      </c>
    </row>
    <row r="444" spans="1:19" x14ac:dyDescent="0.2">
      <c r="A444" s="1" t="s">
        <v>830</v>
      </c>
      <c r="B444" s="2" t="s">
        <v>17</v>
      </c>
      <c r="D444" s="4" t="s">
        <v>150</v>
      </c>
      <c r="F444" s="6">
        <v>1</v>
      </c>
      <c r="G444" s="7" t="s">
        <v>19</v>
      </c>
      <c r="H444" s="6">
        <v>240</v>
      </c>
      <c r="I444" s="7" t="s">
        <v>39</v>
      </c>
      <c r="J444" s="8">
        <v>26400</v>
      </c>
      <c r="K444" s="4" t="s">
        <v>39</v>
      </c>
      <c r="L444" s="9">
        <v>0.125</v>
      </c>
      <c r="M444" s="9">
        <v>0.05</v>
      </c>
      <c r="O444" s="7" t="s">
        <v>39</v>
      </c>
      <c r="P444" s="3">
        <f t="shared" si="179"/>
        <v>0</v>
      </c>
      <c r="Q444" s="7" t="s">
        <v>39</v>
      </c>
      <c r="R444" s="8">
        <f t="shared" si="180"/>
        <v>0</v>
      </c>
      <c r="S444" s="8">
        <f t="shared" si="181"/>
        <v>0</v>
      </c>
    </row>
    <row r="445" spans="1:19" x14ac:dyDescent="0.2">
      <c r="A445" s="1" t="s">
        <v>831</v>
      </c>
      <c r="B445" s="2" t="s">
        <v>17</v>
      </c>
      <c r="D445" s="4" t="s">
        <v>150</v>
      </c>
      <c r="F445" s="6">
        <v>1</v>
      </c>
      <c r="G445" s="7" t="s">
        <v>19</v>
      </c>
      <c r="H445" s="6">
        <v>240</v>
      </c>
      <c r="I445" s="7" t="s">
        <v>39</v>
      </c>
      <c r="J445" s="8">
        <v>30000</v>
      </c>
      <c r="K445" s="4" t="s">
        <v>39</v>
      </c>
      <c r="L445" s="9">
        <v>0.125</v>
      </c>
      <c r="M445" s="9">
        <v>0.05</v>
      </c>
      <c r="O445" s="7" t="s">
        <v>39</v>
      </c>
      <c r="P445" s="3">
        <f t="shared" si="179"/>
        <v>0</v>
      </c>
      <c r="Q445" s="7" t="s">
        <v>39</v>
      </c>
      <c r="R445" s="8">
        <f t="shared" si="180"/>
        <v>0</v>
      </c>
      <c r="S445" s="8">
        <f t="shared" si="181"/>
        <v>0</v>
      </c>
    </row>
    <row r="446" spans="1:19" x14ac:dyDescent="0.2">
      <c r="A446" s="1" t="s">
        <v>832</v>
      </c>
      <c r="B446" s="2" t="s">
        <v>17</v>
      </c>
      <c r="D446" s="4" t="s">
        <v>150</v>
      </c>
      <c r="F446" s="6">
        <v>1</v>
      </c>
      <c r="G446" s="7" t="s">
        <v>19</v>
      </c>
      <c r="H446" s="6">
        <v>240</v>
      </c>
      <c r="I446" s="7" t="s">
        <v>39</v>
      </c>
      <c r="J446" s="8">
        <v>31200</v>
      </c>
      <c r="K446" s="4" t="s">
        <v>39</v>
      </c>
      <c r="L446" s="9">
        <v>0.125</v>
      </c>
      <c r="M446" s="9">
        <v>0.05</v>
      </c>
      <c r="O446" s="7" t="s">
        <v>39</v>
      </c>
      <c r="P446" s="3">
        <f t="shared" si="179"/>
        <v>0</v>
      </c>
      <c r="Q446" s="7" t="s">
        <v>39</v>
      </c>
      <c r="R446" s="8">
        <f t="shared" si="180"/>
        <v>0</v>
      </c>
      <c r="S446" s="8">
        <f t="shared" si="181"/>
        <v>0</v>
      </c>
    </row>
    <row r="447" spans="1:19" x14ac:dyDescent="0.2">
      <c r="A447" s="1" t="s">
        <v>833</v>
      </c>
      <c r="B447" s="2" t="s">
        <v>17</v>
      </c>
      <c r="D447" s="4" t="s">
        <v>150</v>
      </c>
      <c r="F447" s="6">
        <v>1</v>
      </c>
      <c r="G447" s="7" t="s">
        <v>19</v>
      </c>
      <c r="H447" s="6">
        <v>240</v>
      </c>
      <c r="I447" s="7" t="s">
        <v>39</v>
      </c>
      <c r="J447" s="8">
        <v>34200</v>
      </c>
      <c r="K447" s="4" t="s">
        <v>39</v>
      </c>
      <c r="L447" s="9">
        <v>0.125</v>
      </c>
      <c r="M447" s="9">
        <v>0.05</v>
      </c>
      <c r="O447" s="7" t="s">
        <v>39</v>
      </c>
      <c r="P447" s="3">
        <f t="shared" ref="P447" si="186">(C447+(E447*F447*H447))-N447</f>
        <v>0</v>
      </c>
      <c r="Q447" s="7" t="s">
        <v>39</v>
      </c>
      <c r="R447" s="8">
        <f t="shared" si="180"/>
        <v>0</v>
      </c>
      <c r="S447" s="8">
        <f t="shared" ref="S447" si="187">P447*(J447-(J447*L447)-((J447-(J447*L447))*M447))</f>
        <v>0</v>
      </c>
    </row>
    <row r="448" spans="1:19" x14ac:dyDescent="0.2">
      <c r="A448" s="1" t="s">
        <v>834</v>
      </c>
      <c r="B448" s="2" t="s">
        <v>17</v>
      </c>
      <c r="D448" s="4" t="s">
        <v>150</v>
      </c>
      <c r="F448" s="6">
        <v>1</v>
      </c>
      <c r="G448" s="7" t="s">
        <v>19</v>
      </c>
      <c r="H448" s="6">
        <v>240</v>
      </c>
      <c r="I448" s="7" t="s">
        <v>39</v>
      </c>
      <c r="J448" s="8">
        <v>37800</v>
      </c>
      <c r="K448" s="4" t="s">
        <v>39</v>
      </c>
      <c r="L448" s="9">
        <v>0.125</v>
      </c>
      <c r="M448" s="9">
        <v>0.05</v>
      </c>
      <c r="O448" s="7" t="s">
        <v>39</v>
      </c>
      <c r="P448" s="3">
        <f t="shared" si="179"/>
        <v>0</v>
      </c>
      <c r="Q448" s="7" t="s">
        <v>39</v>
      </c>
      <c r="R448" s="8">
        <f t="shared" si="180"/>
        <v>0</v>
      </c>
      <c r="S448" s="8">
        <f t="shared" si="181"/>
        <v>0</v>
      </c>
    </row>
    <row r="449" spans="1:19" x14ac:dyDescent="0.2">
      <c r="A449" s="1" t="s">
        <v>835</v>
      </c>
      <c r="B449" s="2" t="s">
        <v>17</v>
      </c>
      <c r="D449" s="4" t="s">
        <v>150</v>
      </c>
      <c r="F449" s="6">
        <v>1</v>
      </c>
      <c r="G449" s="7" t="s">
        <v>19</v>
      </c>
      <c r="I449" s="7" t="s">
        <v>39</v>
      </c>
      <c r="K449" s="4" t="s">
        <v>39</v>
      </c>
      <c r="L449" s="9">
        <v>0.125</v>
      </c>
      <c r="M449" s="9">
        <v>0.05</v>
      </c>
      <c r="O449" s="7" t="s">
        <v>39</v>
      </c>
      <c r="P449" s="3">
        <f t="shared" si="179"/>
        <v>0</v>
      </c>
      <c r="Q449" s="7" t="s">
        <v>39</v>
      </c>
      <c r="R449" s="8">
        <f t="shared" si="180"/>
        <v>0</v>
      </c>
      <c r="S449" s="8">
        <f t="shared" si="181"/>
        <v>0</v>
      </c>
    </row>
    <row r="450" spans="1:19" x14ac:dyDescent="0.2">
      <c r="A450" s="1" t="s">
        <v>836</v>
      </c>
      <c r="B450" s="2" t="s">
        <v>17</v>
      </c>
      <c r="D450" s="4" t="s">
        <v>150</v>
      </c>
      <c r="F450" s="6">
        <v>1</v>
      </c>
      <c r="G450" s="7" t="s">
        <v>19</v>
      </c>
      <c r="H450" s="6">
        <v>240</v>
      </c>
      <c r="I450" s="7" t="s">
        <v>39</v>
      </c>
      <c r="J450" s="8">
        <v>41400</v>
      </c>
      <c r="K450" s="4" t="s">
        <v>39</v>
      </c>
      <c r="L450" s="9">
        <v>0.125</v>
      </c>
      <c r="M450" s="9">
        <v>0.05</v>
      </c>
      <c r="O450" s="7" t="s">
        <v>39</v>
      </c>
      <c r="P450" s="3">
        <f t="shared" si="179"/>
        <v>0</v>
      </c>
      <c r="Q450" s="7" t="s">
        <v>39</v>
      </c>
      <c r="R450" s="8">
        <f t="shared" si="180"/>
        <v>0</v>
      </c>
      <c r="S450" s="8">
        <f t="shared" si="181"/>
        <v>0</v>
      </c>
    </row>
    <row r="451" spans="1:19" x14ac:dyDescent="0.2">
      <c r="A451" s="1" t="s">
        <v>837</v>
      </c>
      <c r="B451" s="2" t="s">
        <v>17</v>
      </c>
      <c r="D451" s="4" t="s">
        <v>150</v>
      </c>
      <c r="F451" s="6">
        <v>1</v>
      </c>
      <c r="G451" s="7" t="s">
        <v>19</v>
      </c>
      <c r="H451" s="6">
        <v>240</v>
      </c>
      <c r="I451" s="7" t="s">
        <v>39</v>
      </c>
      <c r="J451" s="8">
        <v>45600</v>
      </c>
      <c r="K451" s="4" t="s">
        <v>39</v>
      </c>
      <c r="L451" s="9">
        <v>0.125</v>
      </c>
      <c r="M451" s="9">
        <v>0.05</v>
      </c>
      <c r="O451" s="7" t="s">
        <v>39</v>
      </c>
      <c r="P451" s="3">
        <f t="shared" si="179"/>
        <v>0</v>
      </c>
      <c r="Q451" s="7" t="s">
        <v>39</v>
      </c>
      <c r="R451" s="8">
        <f t="shared" si="180"/>
        <v>0</v>
      </c>
      <c r="S451" s="8">
        <f t="shared" si="181"/>
        <v>0</v>
      </c>
    </row>
    <row r="452" spans="1:19" x14ac:dyDescent="0.2">
      <c r="A452" s="1" t="s">
        <v>838</v>
      </c>
      <c r="B452" s="2" t="s">
        <v>17</v>
      </c>
      <c r="D452" s="4" t="s">
        <v>150</v>
      </c>
      <c r="F452" s="6">
        <v>1</v>
      </c>
      <c r="G452" s="7" t="s">
        <v>19</v>
      </c>
      <c r="H452" s="6">
        <v>108</v>
      </c>
      <c r="I452" s="7" t="s">
        <v>39</v>
      </c>
      <c r="J452" s="8">
        <v>51000</v>
      </c>
      <c r="K452" s="4" t="s">
        <v>39</v>
      </c>
      <c r="L452" s="9">
        <v>0.125</v>
      </c>
      <c r="M452" s="9">
        <v>0.05</v>
      </c>
      <c r="O452" s="7" t="s">
        <v>39</v>
      </c>
      <c r="P452" s="3">
        <f t="shared" si="179"/>
        <v>0</v>
      </c>
      <c r="Q452" s="7" t="s">
        <v>39</v>
      </c>
      <c r="R452" s="8">
        <f t="shared" si="180"/>
        <v>0</v>
      </c>
      <c r="S452" s="8">
        <f t="shared" si="181"/>
        <v>0</v>
      </c>
    </row>
    <row r="453" spans="1:19" x14ac:dyDescent="0.2">
      <c r="A453" s="1" t="s">
        <v>839</v>
      </c>
      <c r="B453" s="2" t="s">
        <v>17</v>
      </c>
      <c r="D453" s="4" t="s">
        <v>150</v>
      </c>
      <c r="F453" s="6">
        <v>1</v>
      </c>
      <c r="G453" s="7" t="s">
        <v>19</v>
      </c>
      <c r="H453" s="6">
        <v>108</v>
      </c>
      <c r="I453" s="7" t="s">
        <v>39</v>
      </c>
      <c r="J453" s="8">
        <v>55200</v>
      </c>
      <c r="K453" s="4" t="s">
        <v>39</v>
      </c>
      <c r="L453" s="9">
        <v>0.125</v>
      </c>
      <c r="M453" s="9">
        <v>0.05</v>
      </c>
      <c r="O453" s="7" t="s">
        <v>39</v>
      </c>
      <c r="P453" s="3">
        <f t="shared" si="179"/>
        <v>0</v>
      </c>
      <c r="Q453" s="7" t="s">
        <v>39</v>
      </c>
      <c r="R453" s="8">
        <f t="shared" si="180"/>
        <v>0</v>
      </c>
      <c r="S453" s="8">
        <f t="shared" si="181"/>
        <v>0</v>
      </c>
    </row>
    <row r="454" spans="1:19" x14ac:dyDescent="0.2">
      <c r="A454" s="1" t="s">
        <v>840</v>
      </c>
      <c r="B454" s="2" t="s">
        <v>17</v>
      </c>
      <c r="D454" s="4" t="s">
        <v>150</v>
      </c>
      <c r="F454" s="6">
        <v>1</v>
      </c>
      <c r="G454" s="7" t="s">
        <v>19</v>
      </c>
      <c r="H454" s="6">
        <v>108</v>
      </c>
      <c r="I454" s="7" t="s">
        <v>39</v>
      </c>
      <c r="J454" s="8">
        <v>60300</v>
      </c>
      <c r="K454" s="4" t="s">
        <v>39</v>
      </c>
      <c r="L454" s="9">
        <v>0.125</v>
      </c>
      <c r="M454" s="9">
        <v>0.05</v>
      </c>
      <c r="O454" s="7" t="s">
        <v>39</v>
      </c>
      <c r="P454" s="3">
        <f t="shared" si="179"/>
        <v>0</v>
      </c>
      <c r="Q454" s="7" t="s">
        <v>39</v>
      </c>
      <c r="R454" s="8">
        <f t="shared" si="180"/>
        <v>0</v>
      </c>
      <c r="S454" s="8">
        <f t="shared" si="181"/>
        <v>0</v>
      </c>
    </row>
    <row r="455" spans="1:19" x14ac:dyDescent="0.2">
      <c r="A455" s="1" t="s">
        <v>841</v>
      </c>
      <c r="B455" s="2" t="s">
        <v>17</v>
      </c>
      <c r="D455" s="4" t="s">
        <v>150</v>
      </c>
      <c r="F455" s="6">
        <v>1</v>
      </c>
      <c r="G455" s="7" t="s">
        <v>19</v>
      </c>
      <c r="H455" s="6">
        <v>108</v>
      </c>
      <c r="I455" s="7" t="s">
        <v>39</v>
      </c>
      <c r="J455" s="8">
        <v>65400</v>
      </c>
      <c r="K455" s="4" t="s">
        <v>39</v>
      </c>
      <c r="L455" s="9">
        <v>0.125</v>
      </c>
      <c r="M455" s="9">
        <v>0.05</v>
      </c>
      <c r="O455" s="7" t="s">
        <v>39</v>
      </c>
      <c r="P455" s="3">
        <f t="shared" si="179"/>
        <v>0</v>
      </c>
      <c r="Q455" s="7" t="s">
        <v>39</v>
      </c>
      <c r="R455" s="8">
        <f t="shared" si="180"/>
        <v>0</v>
      </c>
      <c r="S455" s="8">
        <f t="shared" si="181"/>
        <v>0</v>
      </c>
    </row>
    <row r="457" spans="1:19" x14ac:dyDescent="0.2">
      <c r="A457" s="24" t="s">
        <v>272</v>
      </c>
    </row>
    <row r="458" spans="1:19" x14ac:dyDescent="0.2">
      <c r="A458" s="24" t="s">
        <v>273</v>
      </c>
    </row>
    <row r="459" spans="1:19" x14ac:dyDescent="0.2">
      <c r="A459" s="1" t="s">
        <v>274</v>
      </c>
      <c r="B459" s="2" t="s">
        <v>17</v>
      </c>
      <c r="D459" s="4" t="s">
        <v>275</v>
      </c>
      <c r="F459" s="6">
        <v>100</v>
      </c>
      <c r="G459" s="7" t="s">
        <v>97</v>
      </c>
      <c r="H459" s="6">
        <v>10</v>
      </c>
      <c r="I459" s="7" t="s">
        <v>275</v>
      </c>
      <c r="J459" s="8">
        <v>2050</v>
      </c>
      <c r="K459" s="4" t="s">
        <v>275</v>
      </c>
      <c r="L459" s="9">
        <v>0.125</v>
      </c>
      <c r="M459" s="9">
        <v>0.05</v>
      </c>
      <c r="O459" s="7" t="s">
        <v>275</v>
      </c>
      <c r="P459" s="3">
        <f t="shared" ref="P459:P468" si="188">(C459+(E459*F459*H459))-N459</f>
        <v>0</v>
      </c>
      <c r="Q459" s="7" t="s">
        <v>275</v>
      </c>
      <c r="R459" s="8">
        <f t="shared" ref="R459:R468" si="189">S459/1.11</f>
        <v>0</v>
      </c>
      <c r="S459" s="8">
        <f t="shared" ref="S459:S468" si="190">P459*(J459-(J459*L459)-((J459-(J459*L459))*M459))</f>
        <v>0</v>
      </c>
    </row>
    <row r="460" spans="1:19" x14ac:dyDescent="0.2">
      <c r="A460" s="1" t="s">
        <v>276</v>
      </c>
      <c r="B460" s="2" t="s">
        <v>17</v>
      </c>
      <c r="D460" s="4" t="s">
        <v>275</v>
      </c>
      <c r="F460" s="6">
        <v>100</v>
      </c>
      <c r="G460" s="7" t="s">
        <v>97</v>
      </c>
      <c r="H460" s="6">
        <v>10</v>
      </c>
      <c r="I460" s="7" t="s">
        <v>275</v>
      </c>
      <c r="J460" s="8">
        <v>3000</v>
      </c>
      <c r="K460" s="4" t="s">
        <v>275</v>
      </c>
      <c r="L460" s="9">
        <v>0.125</v>
      </c>
      <c r="M460" s="9">
        <v>0.05</v>
      </c>
      <c r="O460" s="7" t="s">
        <v>275</v>
      </c>
      <c r="P460" s="3">
        <f t="shared" si="188"/>
        <v>0</v>
      </c>
      <c r="Q460" s="7" t="s">
        <v>275</v>
      </c>
      <c r="R460" s="8">
        <f t="shared" si="189"/>
        <v>0</v>
      </c>
      <c r="S460" s="8">
        <f t="shared" si="190"/>
        <v>0</v>
      </c>
    </row>
    <row r="461" spans="1:19" x14ac:dyDescent="0.2">
      <c r="A461" s="1" t="s">
        <v>854</v>
      </c>
      <c r="B461" s="2" t="s">
        <v>17</v>
      </c>
      <c r="D461" s="4" t="s">
        <v>275</v>
      </c>
      <c r="F461" s="6">
        <v>50</v>
      </c>
      <c r="G461" s="7" t="s">
        <v>97</v>
      </c>
      <c r="H461" s="6">
        <v>10</v>
      </c>
      <c r="I461" s="7" t="s">
        <v>275</v>
      </c>
      <c r="J461" s="8">
        <v>3300</v>
      </c>
      <c r="K461" s="4" t="s">
        <v>275</v>
      </c>
      <c r="L461" s="9">
        <v>0.125</v>
      </c>
      <c r="M461" s="9">
        <v>0.05</v>
      </c>
      <c r="O461" s="7" t="s">
        <v>275</v>
      </c>
      <c r="P461" s="3">
        <f t="shared" ref="P461" si="191">(C461+(E461*F461*H461))-N461</f>
        <v>0</v>
      </c>
      <c r="Q461" s="7" t="s">
        <v>275</v>
      </c>
      <c r="R461" s="8">
        <f t="shared" si="189"/>
        <v>0</v>
      </c>
      <c r="S461" s="8">
        <f t="shared" ref="S461" si="192">P461*(J461-(J461*L461)-((J461-(J461*L461))*M461))</f>
        <v>0</v>
      </c>
    </row>
    <row r="462" spans="1:19" x14ac:dyDescent="0.2">
      <c r="A462" s="1" t="s">
        <v>277</v>
      </c>
      <c r="B462" s="2" t="s">
        <v>17</v>
      </c>
      <c r="C462" s="3">
        <v>500</v>
      </c>
      <c r="D462" s="4" t="s">
        <v>275</v>
      </c>
      <c r="F462" s="6">
        <v>50</v>
      </c>
      <c r="G462" s="7" t="s">
        <v>97</v>
      </c>
      <c r="H462" s="6">
        <v>10</v>
      </c>
      <c r="I462" s="7" t="s">
        <v>275</v>
      </c>
      <c r="J462" s="8">
        <v>3050</v>
      </c>
      <c r="K462" s="4" t="s">
        <v>275</v>
      </c>
      <c r="L462" s="9">
        <v>0.125</v>
      </c>
      <c r="M462" s="9">
        <v>0.05</v>
      </c>
      <c r="O462" s="7" t="s">
        <v>275</v>
      </c>
      <c r="P462" s="3">
        <f t="shared" si="188"/>
        <v>500</v>
      </c>
      <c r="Q462" s="7" t="s">
        <v>275</v>
      </c>
      <c r="R462" s="8">
        <f t="shared" si="189"/>
        <v>1142032.6576576575</v>
      </c>
      <c r="S462" s="8">
        <f t="shared" si="190"/>
        <v>1267656.25</v>
      </c>
    </row>
    <row r="463" spans="1:19" x14ac:dyDescent="0.2">
      <c r="A463" s="1" t="s">
        <v>278</v>
      </c>
      <c r="B463" s="2" t="s">
        <v>17</v>
      </c>
      <c r="D463" s="4" t="s">
        <v>275</v>
      </c>
      <c r="F463" s="6">
        <v>50</v>
      </c>
      <c r="G463" s="7" t="s">
        <v>97</v>
      </c>
      <c r="H463" s="6">
        <v>10</v>
      </c>
      <c r="I463" s="7" t="s">
        <v>275</v>
      </c>
      <c r="J463" s="8">
        <v>4200</v>
      </c>
      <c r="K463" s="4" t="s">
        <v>275</v>
      </c>
      <c r="L463" s="9">
        <v>0.125</v>
      </c>
      <c r="M463" s="9">
        <v>0.05</v>
      </c>
      <c r="O463" s="7" t="s">
        <v>275</v>
      </c>
      <c r="P463" s="3">
        <f t="shared" si="188"/>
        <v>0</v>
      </c>
      <c r="Q463" s="7" t="s">
        <v>275</v>
      </c>
      <c r="R463" s="8">
        <f t="shared" si="189"/>
        <v>0</v>
      </c>
      <c r="S463" s="8">
        <f t="shared" si="190"/>
        <v>0</v>
      </c>
    </row>
    <row r="464" spans="1:19" x14ac:dyDescent="0.2">
      <c r="A464" s="12" t="s">
        <v>279</v>
      </c>
      <c r="B464" s="2" t="s">
        <v>17</v>
      </c>
      <c r="D464" s="4" t="s">
        <v>275</v>
      </c>
      <c r="F464" s="6">
        <v>50</v>
      </c>
      <c r="G464" s="7" t="s">
        <v>97</v>
      </c>
      <c r="H464" s="6">
        <v>10</v>
      </c>
      <c r="I464" s="7" t="s">
        <v>275</v>
      </c>
      <c r="J464" s="8">
        <v>4300</v>
      </c>
      <c r="K464" s="4" t="s">
        <v>275</v>
      </c>
      <c r="L464" s="9">
        <v>0.125</v>
      </c>
      <c r="M464" s="9">
        <v>0.05</v>
      </c>
      <c r="O464" s="7" t="s">
        <v>275</v>
      </c>
      <c r="P464" s="3">
        <f t="shared" si="188"/>
        <v>0</v>
      </c>
      <c r="Q464" s="7" t="s">
        <v>275</v>
      </c>
      <c r="R464" s="8">
        <f t="shared" si="189"/>
        <v>0</v>
      </c>
      <c r="S464" s="8">
        <f t="shared" si="190"/>
        <v>0</v>
      </c>
    </row>
    <row r="465" spans="1:19" x14ac:dyDescent="0.2">
      <c r="A465" s="12" t="s">
        <v>280</v>
      </c>
      <c r="B465" s="2" t="s">
        <v>17</v>
      </c>
      <c r="D465" s="4" t="s">
        <v>275</v>
      </c>
      <c r="F465" s="6">
        <v>100</v>
      </c>
      <c r="G465" s="7" t="s">
        <v>97</v>
      </c>
      <c r="H465" s="6">
        <v>10</v>
      </c>
      <c r="I465" s="7" t="s">
        <v>275</v>
      </c>
      <c r="J465" s="8">
        <v>3000</v>
      </c>
      <c r="K465" s="4" t="s">
        <v>275</v>
      </c>
      <c r="L465" s="9">
        <v>0.125</v>
      </c>
      <c r="M465" s="9">
        <v>0.05</v>
      </c>
      <c r="O465" s="7" t="s">
        <v>275</v>
      </c>
      <c r="P465" s="3">
        <f t="shared" si="188"/>
        <v>0</v>
      </c>
      <c r="Q465" s="7" t="s">
        <v>275</v>
      </c>
      <c r="R465" s="8">
        <f t="shared" si="189"/>
        <v>0</v>
      </c>
      <c r="S465" s="8">
        <f t="shared" si="190"/>
        <v>0</v>
      </c>
    </row>
    <row r="466" spans="1:19" x14ac:dyDescent="0.2">
      <c r="A466" s="12" t="s">
        <v>281</v>
      </c>
      <c r="B466" s="2" t="s">
        <v>17</v>
      </c>
      <c r="D466" s="4" t="s">
        <v>275</v>
      </c>
      <c r="F466" s="6">
        <v>100</v>
      </c>
      <c r="G466" s="7" t="s">
        <v>97</v>
      </c>
      <c r="H466" s="6">
        <v>10</v>
      </c>
      <c r="I466" s="7" t="s">
        <v>275</v>
      </c>
      <c r="J466" s="8">
        <v>3000</v>
      </c>
      <c r="K466" s="4" t="s">
        <v>275</v>
      </c>
      <c r="L466" s="9">
        <v>0.125</v>
      </c>
      <c r="M466" s="9">
        <v>0.05</v>
      </c>
      <c r="O466" s="7" t="s">
        <v>275</v>
      </c>
      <c r="P466" s="3">
        <f t="shared" si="188"/>
        <v>0</v>
      </c>
      <c r="Q466" s="7" t="s">
        <v>275</v>
      </c>
      <c r="R466" s="8">
        <f t="shared" si="189"/>
        <v>0</v>
      </c>
      <c r="S466" s="8">
        <f t="shared" si="190"/>
        <v>0</v>
      </c>
    </row>
    <row r="467" spans="1:19" x14ac:dyDescent="0.2">
      <c r="A467" s="12" t="s">
        <v>282</v>
      </c>
      <c r="B467" s="2" t="s">
        <v>17</v>
      </c>
      <c r="D467" s="4" t="s">
        <v>275</v>
      </c>
      <c r="F467" s="6">
        <v>50</v>
      </c>
      <c r="G467" s="7" t="s">
        <v>97</v>
      </c>
      <c r="H467" s="6">
        <v>10</v>
      </c>
      <c r="I467" s="7" t="s">
        <v>275</v>
      </c>
      <c r="J467" s="8">
        <v>4300</v>
      </c>
      <c r="K467" s="4" t="s">
        <v>275</v>
      </c>
      <c r="L467" s="9">
        <v>0.125</v>
      </c>
      <c r="M467" s="9">
        <v>0.05</v>
      </c>
      <c r="O467" s="7" t="s">
        <v>275</v>
      </c>
      <c r="P467" s="3">
        <f t="shared" si="188"/>
        <v>0</v>
      </c>
      <c r="Q467" s="7" t="s">
        <v>275</v>
      </c>
      <c r="R467" s="8">
        <f t="shared" si="189"/>
        <v>0</v>
      </c>
      <c r="S467" s="8">
        <f t="shared" si="190"/>
        <v>0</v>
      </c>
    </row>
    <row r="468" spans="1:19" x14ac:dyDescent="0.2">
      <c r="A468" s="12" t="s">
        <v>283</v>
      </c>
      <c r="B468" s="2" t="s">
        <v>17</v>
      </c>
      <c r="D468" s="4" t="s">
        <v>97</v>
      </c>
      <c r="F468" s="6">
        <v>1</v>
      </c>
      <c r="G468" s="7" t="s">
        <v>19</v>
      </c>
      <c r="H468" s="6">
        <v>50</v>
      </c>
      <c r="I468" s="7" t="s">
        <v>97</v>
      </c>
      <c r="J468" s="8">
        <v>15500</v>
      </c>
      <c r="K468" s="4" t="s">
        <v>97</v>
      </c>
      <c r="L468" s="9">
        <v>0.125</v>
      </c>
      <c r="M468" s="9">
        <v>0.05</v>
      </c>
      <c r="O468" s="7" t="s">
        <v>97</v>
      </c>
      <c r="P468" s="3">
        <f t="shared" si="188"/>
        <v>0</v>
      </c>
      <c r="Q468" s="7" t="s">
        <v>97</v>
      </c>
      <c r="R468" s="8">
        <f t="shared" si="189"/>
        <v>0</v>
      </c>
      <c r="S468" s="8">
        <f t="shared" si="190"/>
        <v>0</v>
      </c>
    </row>
    <row r="469" spans="1:19" x14ac:dyDescent="0.2">
      <c r="A469" s="16"/>
    </row>
    <row r="470" spans="1:19" x14ac:dyDescent="0.2">
      <c r="A470" s="1" t="s">
        <v>284</v>
      </c>
      <c r="B470" s="2" t="s">
        <v>24</v>
      </c>
      <c r="C470" s="3">
        <v>100</v>
      </c>
      <c r="D470" s="4" t="s">
        <v>285</v>
      </c>
      <c r="F470" s="6">
        <v>1</v>
      </c>
      <c r="G470" s="7" t="s">
        <v>19</v>
      </c>
      <c r="H470" s="6">
        <v>50</v>
      </c>
      <c r="I470" s="7" t="s">
        <v>285</v>
      </c>
      <c r="J470" s="8">
        <f>1050000/50</f>
        <v>21000</v>
      </c>
      <c r="K470" s="4" t="s">
        <v>285</v>
      </c>
      <c r="M470" s="9">
        <v>0.17</v>
      </c>
      <c r="O470" s="7" t="s">
        <v>285</v>
      </c>
      <c r="P470" s="3">
        <f>(C470+(E470*F470*H470))-N470</f>
        <v>100</v>
      </c>
      <c r="Q470" s="7" t="s">
        <v>285</v>
      </c>
      <c r="R470" s="8">
        <f>S470/1.11</f>
        <v>1570270.2702702701</v>
      </c>
      <c r="S470" s="8">
        <f>P470*(J470-(J470*L470)-((J470-(J470*L470))*M470))</f>
        <v>1743000</v>
      </c>
    </row>
    <row r="471" spans="1:19" x14ac:dyDescent="0.2">
      <c r="A471" s="1" t="s">
        <v>286</v>
      </c>
      <c r="B471" s="2" t="s">
        <v>24</v>
      </c>
      <c r="D471" s="4" t="s">
        <v>285</v>
      </c>
      <c r="F471" s="6">
        <v>1</v>
      </c>
      <c r="G471" s="7" t="s">
        <v>19</v>
      </c>
      <c r="H471" s="6">
        <v>50</v>
      </c>
      <c r="I471" s="7" t="s">
        <v>285</v>
      </c>
      <c r="J471" s="8">
        <f>1350000/50</f>
        <v>27000</v>
      </c>
      <c r="K471" s="4" t="s">
        <v>285</v>
      </c>
      <c r="M471" s="9">
        <v>0.17</v>
      </c>
      <c r="O471" s="7" t="s">
        <v>285</v>
      </c>
      <c r="P471" s="3">
        <f>(C471+(E471*F471*H471))-N471</f>
        <v>0</v>
      </c>
      <c r="Q471" s="7" t="s">
        <v>285</v>
      </c>
      <c r="R471" s="8">
        <f>S471/1.11</f>
        <v>0</v>
      </c>
      <c r="S471" s="8">
        <f>P471*(J471-(J471*L471)-((J471-(J471*L471))*M471))</f>
        <v>0</v>
      </c>
    </row>
    <row r="473" spans="1:19" x14ac:dyDescent="0.2">
      <c r="A473" s="24" t="s">
        <v>287</v>
      </c>
    </row>
    <row r="474" spans="1:19" x14ac:dyDescent="0.2">
      <c r="A474" s="1" t="s">
        <v>288</v>
      </c>
      <c r="B474" s="2" t="s">
        <v>17</v>
      </c>
      <c r="D474" s="4" t="s">
        <v>18</v>
      </c>
      <c r="F474" s="6">
        <v>1</v>
      </c>
      <c r="G474" s="7" t="s">
        <v>19</v>
      </c>
      <c r="H474" s="6">
        <v>20</v>
      </c>
      <c r="I474" s="7" t="s">
        <v>18</v>
      </c>
      <c r="J474" s="8">
        <v>40500</v>
      </c>
      <c r="K474" s="4" t="s">
        <v>18</v>
      </c>
      <c r="L474" s="9">
        <v>0.125</v>
      </c>
      <c r="M474" s="9">
        <v>0.05</v>
      </c>
      <c r="O474" s="7" t="s">
        <v>18</v>
      </c>
      <c r="P474" s="3">
        <f>(C474+(E474*F474*H474))-N474</f>
        <v>0</v>
      </c>
      <c r="Q474" s="7" t="s">
        <v>18</v>
      </c>
      <c r="R474" s="8">
        <f>S474/1.11</f>
        <v>0</v>
      </c>
      <c r="S474" s="8">
        <f>P474*(J474-(J474*L474)-((J474-(J474*L474))*M474))</f>
        <v>0</v>
      </c>
    </row>
    <row r="475" spans="1:19" x14ac:dyDescent="0.2">
      <c r="A475" s="1" t="s">
        <v>842</v>
      </c>
      <c r="B475" s="2" t="s">
        <v>17</v>
      </c>
      <c r="D475" s="4" t="s">
        <v>18</v>
      </c>
      <c r="F475" s="6">
        <v>1</v>
      </c>
      <c r="G475" s="7" t="s">
        <v>19</v>
      </c>
      <c r="H475" s="6">
        <v>20</v>
      </c>
      <c r="I475" s="7" t="s">
        <v>18</v>
      </c>
      <c r="J475" s="8">
        <v>94500</v>
      </c>
      <c r="K475" s="4" t="s">
        <v>18</v>
      </c>
      <c r="L475" s="9">
        <v>0.125</v>
      </c>
      <c r="M475" s="9">
        <v>0.05</v>
      </c>
      <c r="O475" s="7" t="s">
        <v>18</v>
      </c>
      <c r="P475" s="3">
        <f>(C475+(E475*F475*H475))-N475</f>
        <v>0</v>
      </c>
      <c r="Q475" s="7" t="s">
        <v>18</v>
      </c>
      <c r="R475" s="8">
        <f>S475/1.11</f>
        <v>0</v>
      </c>
      <c r="S475" s="8">
        <f>P475*(J475-(J475*L475)-((J475-(J475*L475))*M475))</f>
        <v>0</v>
      </c>
    </row>
    <row r="476" spans="1:19" x14ac:dyDescent="0.2">
      <c r="A476" s="1" t="s">
        <v>992</v>
      </c>
      <c r="B476" s="2" t="s">
        <v>17</v>
      </c>
      <c r="D476" s="4" t="s">
        <v>18</v>
      </c>
      <c r="F476" s="6">
        <v>1</v>
      </c>
      <c r="G476" s="7" t="s">
        <v>19</v>
      </c>
      <c r="H476" s="6">
        <v>20</v>
      </c>
      <c r="I476" s="7" t="s">
        <v>18</v>
      </c>
      <c r="J476" s="8">
        <v>94500</v>
      </c>
      <c r="K476" s="4" t="s">
        <v>18</v>
      </c>
      <c r="L476" s="9">
        <v>0.125</v>
      </c>
      <c r="M476" s="9">
        <v>0.05</v>
      </c>
      <c r="O476" s="7" t="s">
        <v>18</v>
      </c>
      <c r="P476" s="3">
        <f>(C476+(E476*F476*H476))-N476</f>
        <v>0</v>
      </c>
      <c r="Q476" s="7" t="s">
        <v>18</v>
      </c>
      <c r="R476" s="8">
        <f>S476/1.11</f>
        <v>0</v>
      </c>
      <c r="S476" s="8">
        <f>P476*(J476-(J476*L476)-((J476-(J476*L476))*M476))</f>
        <v>0</v>
      </c>
    </row>
    <row r="478" spans="1:19" x14ac:dyDescent="0.2">
      <c r="A478" s="1" t="s">
        <v>289</v>
      </c>
      <c r="B478" s="2" t="s">
        <v>24</v>
      </c>
      <c r="C478" s="3">
        <v>50</v>
      </c>
      <c r="D478" s="4" t="s">
        <v>18</v>
      </c>
      <c r="F478" s="6">
        <v>1</v>
      </c>
      <c r="G478" s="7" t="s">
        <v>19</v>
      </c>
      <c r="H478" s="6">
        <v>50</v>
      </c>
      <c r="I478" s="7" t="s">
        <v>18</v>
      </c>
      <c r="J478" s="8">
        <f>2250000/50</f>
        <v>45000</v>
      </c>
      <c r="K478" s="4" t="s">
        <v>18</v>
      </c>
      <c r="M478" s="9">
        <v>0.17</v>
      </c>
      <c r="O478" s="7" t="s">
        <v>18</v>
      </c>
      <c r="P478" s="3">
        <f>(C478+(E478*F478*H478))-N478</f>
        <v>50</v>
      </c>
      <c r="Q478" s="7" t="s">
        <v>18</v>
      </c>
      <c r="R478" s="8">
        <f>S478/1.11</f>
        <v>1682432.4324324322</v>
      </c>
      <c r="S478" s="8">
        <f>P478*(J478-(J478*L478)-((J478-(J478*L478))*M478))</f>
        <v>1867500</v>
      </c>
    </row>
    <row r="479" spans="1:19" x14ac:dyDescent="0.2">
      <c r="A479" s="1" t="s">
        <v>290</v>
      </c>
      <c r="B479" s="2" t="s">
        <v>24</v>
      </c>
      <c r="C479" s="3">
        <v>100</v>
      </c>
      <c r="D479" s="4" t="s">
        <v>18</v>
      </c>
      <c r="F479" s="6">
        <v>1</v>
      </c>
      <c r="G479" s="7" t="s">
        <v>19</v>
      </c>
      <c r="H479" s="6">
        <v>50</v>
      </c>
      <c r="I479" s="7" t="s">
        <v>18</v>
      </c>
      <c r="J479" s="8">
        <f>2750000/50</f>
        <v>55000</v>
      </c>
      <c r="K479" s="4" t="s">
        <v>18</v>
      </c>
      <c r="M479" s="9">
        <v>0.17</v>
      </c>
      <c r="O479" s="7" t="s">
        <v>18</v>
      </c>
      <c r="P479" s="3">
        <f>(C479+(E479*F479*H479))-N479</f>
        <v>100</v>
      </c>
      <c r="Q479" s="7" t="s">
        <v>18</v>
      </c>
      <c r="R479" s="8">
        <f>S479/1.11</f>
        <v>4112612.6126126121</v>
      </c>
      <c r="S479" s="8">
        <f>P479*(J479-(J479*L479)-((J479-(J479*L479))*M479))</f>
        <v>4565000</v>
      </c>
    </row>
    <row r="480" spans="1:19" x14ac:dyDescent="0.2">
      <c r="A480" s="11" t="s">
        <v>291</v>
      </c>
      <c r="B480" s="2" t="s">
        <v>24</v>
      </c>
      <c r="D480" s="4" t="s">
        <v>18</v>
      </c>
      <c r="F480" s="6">
        <v>1</v>
      </c>
      <c r="G480" s="7" t="s">
        <v>19</v>
      </c>
      <c r="H480" s="6">
        <v>50</v>
      </c>
      <c r="I480" s="7" t="s">
        <v>18</v>
      </c>
      <c r="J480" s="8">
        <f>4750000/50</f>
        <v>95000</v>
      </c>
      <c r="K480" s="4" t="s">
        <v>18</v>
      </c>
      <c r="M480" s="9">
        <v>0.17</v>
      </c>
      <c r="O480" s="7" t="s">
        <v>18</v>
      </c>
      <c r="P480" s="3">
        <f>(C480+(E480*F480*H480))-N480</f>
        <v>0</v>
      </c>
      <c r="Q480" s="7" t="s">
        <v>18</v>
      </c>
      <c r="R480" s="8">
        <f>S480/1.11</f>
        <v>0</v>
      </c>
      <c r="S480" s="8">
        <f>P480*(J480-(J480*L480)-((J480-(J480*L480))*M480))</f>
        <v>0</v>
      </c>
    </row>
    <row r="482" spans="1:19" x14ac:dyDescent="0.2">
      <c r="A482" s="24" t="s">
        <v>292</v>
      </c>
    </row>
    <row r="483" spans="1:19" x14ac:dyDescent="0.2">
      <c r="A483" s="1" t="s">
        <v>771</v>
      </c>
      <c r="B483" s="2" t="s">
        <v>17</v>
      </c>
      <c r="D483" s="4" t="s">
        <v>97</v>
      </c>
      <c r="F483" s="6">
        <v>1</v>
      </c>
      <c r="G483" s="7" t="s">
        <v>19</v>
      </c>
      <c r="H483" s="6">
        <v>10</v>
      </c>
      <c r="I483" s="7" t="s">
        <v>97</v>
      </c>
      <c r="J483" s="8">
        <v>85000</v>
      </c>
      <c r="K483" s="4" t="s">
        <v>97</v>
      </c>
      <c r="L483" s="9">
        <v>0.125</v>
      </c>
      <c r="M483" s="9">
        <v>0.05</v>
      </c>
      <c r="O483" s="7" t="s">
        <v>97</v>
      </c>
      <c r="P483" s="3">
        <f>(C483+(E483*F483*H483))-N483</f>
        <v>0</v>
      </c>
      <c r="Q483" s="7" t="s">
        <v>97</v>
      </c>
      <c r="R483" s="8">
        <f>S483/1.11</f>
        <v>0</v>
      </c>
      <c r="S483" s="8">
        <f>P483*(J483-(J483*L483)-((J483-(J483*L483))*M483))</f>
        <v>0</v>
      </c>
    </row>
    <row r="484" spans="1:19" x14ac:dyDescent="0.2">
      <c r="A484" s="1" t="s">
        <v>293</v>
      </c>
      <c r="B484" s="2" t="s">
        <v>17</v>
      </c>
      <c r="D484" s="4" t="s">
        <v>97</v>
      </c>
      <c r="F484" s="6">
        <v>1</v>
      </c>
      <c r="G484" s="7" t="s">
        <v>19</v>
      </c>
      <c r="H484" s="6">
        <v>10</v>
      </c>
      <c r="I484" s="7" t="s">
        <v>97</v>
      </c>
      <c r="J484" s="8">
        <v>86000</v>
      </c>
      <c r="K484" s="4" t="s">
        <v>97</v>
      </c>
      <c r="L484" s="9">
        <v>0.125</v>
      </c>
      <c r="M484" s="9">
        <v>0.05</v>
      </c>
      <c r="O484" s="7" t="s">
        <v>97</v>
      </c>
      <c r="P484" s="3">
        <f>(C484+(E484*F484*H484))-N484</f>
        <v>0</v>
      </c>
      <c r="Q484" s="7" t="s">
        <v>97</v>
      </c>
      <c r="R484" s="8">
        <f>S484/1.11</f>
        <v>0</v>
      </c>
      <c r="S484" s="8">
        <f>P484*(J484-(J484*L484)-((J484-(J484*L484))*M484))</f>
        <v>0</v>
      </c>
    </row>
    <row r="486" spans="1:19" x14ac:dyDescent="0.2">
      <c r="A486" s="1" t="s">
        <v>294</v>
      </c>
      <c r="B486" s="2" t="s">
        <v>24</v>
      </c>
      <c r="D486" s="4" t="s">
        <v>97</v>
      </c>
      <c r="F486" s="6">
        <v>1</v>
      </c>
      <c r="G486" s="7" t="s">
        <v>19</v>
      </c>
      <c r="H486" s="6">
        <v>10</v>
      </c>
      <c r="I486" s="7" t="s">
        <v>97</v>
      </c>
      <c r="J486" s="8">
        <f>1150000/10</f>
        <v>115000</v>
      </c>
      <c r="K486" s="4" t="s">
        <v>97</v>
      </c>
      <c r="M486" s="9">
        <v>0.17</v>
      </c>
      <c r="O486" s="7" t="s">
        <v>97</v>
      </c>
      <c r="P486" s="3">
        <f>(C486+(E486*F486*H486))-N486</f>
        <v>0</v>
      </c>
      <c r="Q486" s="7" t="s">
        <v>97</v>
      </c>
      <c r="R486" s="8">
        <f>S486/1.11</f>
        <v>0</v>
      </c>
      <c r="S486" s="8">
        <f>P486*(J486-(J486*L486)-((J486-(J486*L486))*M486))</f>
        <v>0</v>
      </c>
    </row>
    <row r="488" spans="1:19" x14ac:dyDescent="0.2">
      <c r="A488" s="1" t="s">
        <v>993</v>
      </c>
      <c r="B488" s="2" t="s">
        <v>170</v>
      </c>
      <c r="C488" s="3">
        <v>10</v>
      </c>
      <c r="D488" s="4" t="s">
        <v>97</v>
      </c>
      <c r="F488" s="6">
        <v>1</v>
      </c>
      <c r="G488" s="7" t="s">
        <v>19</v>
      </c>
      <c r="H488" s="6">
        <v>10</v>
      </c>
      <c r="I488" s="7" t="s">
        <v>97</v>
      </c>
      <c r="J488" s="8">
        <v>61500</v>
      </c>
      <c r="K488" s="4" t="s">
        <v>97</v>
      </c>
      <c r="L488" s="9">
        <v>7.0000000000000007E-2</v>
      </c>
      <c r="O488" s="7" t="s">
        <v>97</v>
      </c>
      <c r="P488" s="3">
        <f>(C488+(E488*F488*H488))-N488</f>
        <v>10</v>
      </c>
      <c r="Q488" s="7" t="s">
        <v>97</v>
      </c>
      <c r="R488" s="8">
        <f>S488/1.11</f>
        <v>515270.27027027024</v>
      </c>
      <c r="S488" s="8">
        <f>P488*(J488-(J488*L488)-((J488-(J488*L488))*M488))</f>
        <v>571950</v>
      </c>
    </row>
    <row r="490" spans="1:19" x14ac:dyDescent="0.2">
      <c r="A490" s="24" t="s">
        <v>295</v>
      </c>
    </row>
    <row r="491" spans="1:19" x14ac:dyDescent="0.2">
      <c r="A491" s="24" t="s">
        <v>296</v>
      </c>
    </row>
    <row r="492" spans="1:19" x14ac:dyDescent="0.2">
      <c r="A492" s="1" t="s">
        <v>297</v>
      </c>
      <c r="B492" s="2" t="s">
        <v>17</v>
      </c>
      <c r="D492" s="4" t="s">
        <v>39</v>
      </c>
      <c r="F492" s="6">
        <v>48</v>
      </c>
      <c r="G492" s="7" t="s">
        <v>32</v>
      </c>
      <c r="H492" s="6">
        <v>1</v>
      </c>
      <c r="I492" s="7" t="s">
        <v>39</v>
      </c>
      <c r="J492" s="8">
        <v>19800</v>
      </c>
      <c r="K492" s="4" t="s">
        <v>39</v>
      </c>
      <c r="L492" s="9">
        <v>0.125</v>
      </c>
      <c r="M492" s="9">
        <v>0.05</v>
      </c>
      <c r="O492" s="7" t="s">
        <v>39</v>
      </c>
      <c r="P492" s="3">
        <f t="shared" ref="P492" si="193">(C492+(E492*F492*H492))-N492</f>
        <v>0</v>
      </c>
      <c r="Q492" s="7" t="s">
        <v>39</v>
      </c>
      <c r="R492" s="8">
        <f t="shared" ref="R492:R497" si="194">S492/1.11</f>
        <v>0</v>
      </c>
      <c r="S492" s="8">
        <f t="shared" ref="S492" si="195">P492*(J492-(J492*L492)-((J492-(J492*L492))*M492))</f>
        <v>0</v>
      </c>
    </row>
    <row r="493" spans="1:19" x14ac:dyDescent="0.2">
      <c r="A493" s="1" t="s">
        <v>708</v>
      </c>
      <c r="B493" s="2" t="s">
        <v>17</v>
      </c>
      <c r="D493" s="4" t="s">
        <v>39</v>
      </c>
      <c r="F493" s="6">
        <v>24</v>
      </c>
      <c r="G493" s="7" t="s">
        <v>32</v>
      </c>
      <c r="H493" s="6">
        <v>1</v>
      </c>
      <c r="I493" s="7" t="s">
        <v>39</v>
      </c>
      <c r="J493" s="8">
        <f>2500*12</f>
        <v>30000</v>
      </c>
      <c r="K493" s="4" t="s">
        <v>39</v>
      </c>
      <c r="L493" s="9">
        <v>0.125</v>
      </c>
      <c r="M493" s="9">
        <v>0.05</v>
      </c>
      <c r="O493" s="7" t="s">
        <v>39</v>
      </c>
      <c r="P493" s="3">
        <f t="shared" ref="P493:P497" si="196">(C493+(E493*F493*H493))-N493</f>
        <v>0</v>
      </c>
      <c r="Q493" s="7" t="s">
        <v>39</v>
      </c>
      <c r="R493" s="8">
        <f t="shared" si="194"/>
        <v>0</v>
      </c>
      <c r="S493" s="8">
        <f t="shared" ref="S493:S497" si="197">P493*(J493-(J493*L493)-((J493-(J493*L493))*M493))</f>
        <v>0</v>
      </c>
    </row>
    <row r="494" spans="1:19" x14ac:dyDescent="0.2">
      <c r="A494" s="16" t="s">
        <v>298</v>
      </c>
      <c r="B494" s="2" t="s">
        <v>17</v>
      </c>
      <c r="C494" s="3">
        <v>96</v>
      </c>
      <c r="D494" s="4" t="s">
        <v>39</v>
      </c>
      <c r="F494" s="6">
        <v>48</v>
      </c>
      <c r="G494" s="7" t="s">
        <v>32</v>
      </c>
      <c r="H494" s="6">
        <v>1</v>
      </c>
      <c r="I494" s="7" t="s">
        <v>39</v>
      </c>
      <c r="J494" s="8">
        <f>1550*12</f>
        <v>18600</v>
      </c>
      <c r="K494" s="4" t="s">
        <v>39</v>
      </c>
      <c r="L494" s="9">
        <v>0.125</v>
      </c>
      <c r="M494" s="9">
        <v>0.05</v>
      </c>
      <c r="O494" s="7" t="s">
        <v>39</v>
      </c>
      <c r="P494" s="3">
        <f t="shared" si="196"/>
        <v>96</v>
      </c>
      <c r="Q494" s="7" t="s">
        <v>39</v>
      </c>
      <c r="R494" s="8">
        <f t="shared" si="194"/>
        <v>1337189.1891891891</v>
      </c>
      <c r="S494" s="8">
        <f t="shared" si="197"/>
        <v>1484280</v>
      </c>
    </row>
    <row r="495" spans="1:19" x14ac:dyDescent="0.2">
      <c r="A495" s="16" t="s">
        <v>299</v>
      </c>
      <c r="B495" s="2" t="s">
        <v>17</v>
      </c>
      <c r="D495" s="4" t="s">
        <v>39</v>
      </c>
      <c r="F495" s="6">
        <v>24</v>
      </c>
      <c r="G495" s="7" t="s">
        <v>32</v>
      </c>
      <c r="H495" s="6">
        <v>1</v>
      </c>
      <c r="I495" s="7" t="s">
        <v>39</v>
      </c>
      <c r="J495" s="8">
        <f>2150*12</f>
        <v>25800</v>
      </c>
      <c r="K495" s="4" t="s">
        <v>39</v>
      </c>
      <c r="L495" s="9">
        <v>0.125</v>
      </c>
      <c r="M495" s="9">
        <v>0.05</v>
      </c>
      <c r="O495" s="7" t="s">
        <v>39</v>
      </c>
      <c r="P495" s="3">
        <f t="shared" si="196"/>
        <v>0</v>
      </c>
      <c r="Q495" s="7" t="s">
        <v>39</v>
      </c>
      <c r="R495" s="8">
        <f t="shared" si="194"/>
        <v>0</v>
      </c>
      <c r="S495" s="8">
        <f t="shared" si="197"/>
        <v>0</v>
      </c>
    </row>
    <row r="496" spans="1:19" x14ac:dyDescent="0.2">
      <c r="A496" s="16" t="s">
        <v>802</v>
      </c>
      <c r="B496" s="2" t="s">
        <v>17</v>
      </c>
      <c r="D496" s="4" t="s">
        <v>39</v>
      </c>
      <c r="F496" s="6">
        <v>24</v>
      </c>
      <c r="G496" s="7" t="s">
        <v>32</v>
      </c>
      <c r="H496" s="6">
        <v>1</v>
      </c>
      <c r="I496" s="7" t="s">
        <v>39</v>
      </c>
      <c r="J496" s="8">
        <v>31200</v>
      </c>
      <c r="K496" s="4" t="s">
        <v>39</v>
      </c>
      <c r="L496" s="9">
        <v>0.125</v>
      </c>
      <c r="M496" s="9">
        <v>0.05</v>
      </c>
      <c r="O496" s="7" t="s">
        <v>39</v>
      </c>
      <c r="P496" s="3">
        <f t="shared" si="196"/>
        <v>0</v>
      </c>
      <c r="Q496" s="7" t="s">
        <v>39</v>
      </c>
      <c r="R496" s="8">
        <f t="shared" si="194"/>
        <v>0</v>
      </c>
      <c r="S496" s="8">
        <f t="shared" si="197"/>
        <v>0</v>
      </c>
    </row>
    <row r="497" spans="1:19" x14ac:dyDescent="0.2">
      <c r="A497" s="1" t="s">
        <v>300</v>
      </c>
      <c r="B497" s="2" t="s">
        <v>17</v>
      </c>
      <c r="D497" s="4" t="s">
        <v>39</v>
      </c>
      <c r="F497" s="6">
        <v>24</v>
      </c>
      <c r="G497" s="7" t="s">
        <v>32</v>
      </c>
      <c r="H497" s="6">
        <v>1</v>
      </c>
      <c r="I497" s="7" t="s">
        <v>39</v>
      </c>
      <c r="J497" s="8">
        <f>3000*12</f>
        <v>36000</v>
      </c>
      <c r="K497" s="4" t="s">
        <v>39</v>
      </c>
      <c r="L497" s="9">
        <v>0.125</v>
      </c>
      <c r="M497" s="9">
        <v>0.05</v>
      </c>
      <c r="O497" s="7" t="s">
        <v>39</v>
      </c>
      <c r="P497" s="3">
        <f t="shared" si="196"/>
        <v>0</v>
      </c>
      <c r="Q497" s="7" t="s">
        <v>39</v>
      </c>
      <c r="R497" s="8">
        <f t="shared" si="194"/>
        <v>0</v>
      </c>
      <c r="S497" s="8">
        <f t="shared" si="197"/>
        <v>0</v>
      </c>
    </row>
    <row r="499" spans="1:19" x14ac:dyDescent="0.2">
      <c r="A499" s="1" t="s">
        <v>301</v>
      </c>
      <c r="B499" s="2" t="s">
        <v>24</v>
      </c>
      <c r="D499" s="4" t="s">
        <v>39</v>
      </c>
      <c r="F499" s="6">
        <v>1</v>
      </c>
      <c r="G499" s="7" t="s">
        <v>19</v>
      </c>
      <c r="H499" s="6">
        <v>20</v>
      </c>
      <c r="I499" s="7" t="s">
        <v>39</v>
      </c>
      <c r="J499" s="8">
        <f>396000/20</f>
        <v>19800</v>
      </c>
      <c r="K499" s="4" t="s">
        <v>39</v>
      </c>
      <c r="M499" s="9">
        <v>0.17</v>
      </c>
      <c r="O499" s="7" t="s">
        <v>39</v>
      </c>
      <c r="P499" s="3">
        <f>(C499+(E499*F499*H499))-N499</f>
        <v>0</v>
      </c>
      <c r="Q499" s="7" t="s">
        <v>39</v>
      </c>
      <c r="R499" s="8">
        <f>S499/1.11</f>
        <v>0</v>
      </c>
      <c r="S499" s="8">
        <f>P499*(J499-(J499*L499)-((J499-(J499*L499))*M499))</f>
        <v>0</v>
      </c>
    </row>
    <row r="500" spans="1:19" x14ac:dyDescent="0.2">
      <c r="A500" s="1" t="s">
        <v>302</v>
      </c>
      <c r="B500" s="2" t="s">
        <v>24</v>
      </c>
      <c r="D500" s="4" t="s">
        <v>39</v>
      </c>
      <c r="F500" s="6">
        <v>1</v>
      </c>
      <c r="G500" s="7" t="s">
        <v>19</v>
      </c>
      <c r="H500" s="6">
        <v>20</v>
      </c>
      <c r="I500" s="7" t="s">
        <v>39</v>
      </c>
      <c r="J500" s="8">
        <f>504000/20</f>
        <v>25200</v>
      </c>
      <c r="K500" s="4" t="s">
        <v>39</v>
      </c>
      <c r="M500" s="9">
        <v>0.17</v>
      </c>
      <c r="O500" s="7" t="s">
        <v>39</v>
      </c>
      <c r="P500" s="3">
        <f>(C500+(E500*F500*H500))-N500</f>
        <v>0</v>
      </c>
      <c r="Q500" s="7" t="s">
        <v>39</v>
      </c>
      <c r="R500" s="8">
        <f>S500/1.11</f>
        <v>0</v>
      </c>
      <c r="S500" s="8">
        <f>P500*(J500-(J500*L500)-((J500-(J500*L500))*M500))</f>
        <v>0</v>
      </c>
    </row>
    <row r="501" spans="1:19" x14ac:dyDescent="0.2">
      <c r="A501" s="1" t="s">
        <v>303</v>
      </c>
      <c r="B501" s="2" t="s">
        <v>24</v>
      </c>
      <c r="D501" s="4" t="s">
        <v>39</v>
      </c>
      <c r="F501" s="6">
        <v>1</v>
      </c>
      <c r="G501" s="7" t="s">
        <v>19</v>
      </c>
      <c r="H501" s="6">
        <v>20</v>
      </c>
      <c r="I501" s="7" t="s">
        <v>39</v>
      </c>
      <c r="J501" s="8">
        <f>480000/20</f>
        <v>24000</v>
      </c>
      <c r="K501" s="4" t="s">
        <v>39</v>
      </c>
      <c r="M501" s="9">
        <v>0.17</v>
      </c>
      <c r="O501" s="7" t="s">
        <v>39</v>
      </c>
      <c r="P501" s="3">
        <f>(C501+(E501*F501*H501))-N501</f>
        <v>0</v>
      </c>
      <c r="Q501" s="7" t="s">
        <v>39</v>
      </c>
      <c r="R501" s="8">
        <f>S501/1.11</f>
        <v>0</v>
      </c>
      <c r="S501" s="8">
        <f>P501*(J501-(J501*L501)-((J501-(J501*L501))*M501))</f>
        <v>0</v>
      </c>
    </row>
    <row r="502" spans="1:19" x14ac:dyDescent="0.2">
      <c r="A502" s="1" t="s">
        <v>947</v>
      </c>
      <c r="B502" s="2" t="s">
        <v>24</v>
      </c>
      <c r="C502" s="3">
        <v>144</v>
      </c>
      <c r="D502" s="4" t="s">
        <v>39</v>
      </c>
      <c r="F502" s="6">
        <v>1</v>
      </c>
      <c r="G502" s="7" t="s">
        <v>19</v>
      </c>
      <c r="H502" s="6">
        <v>144</v>
      </c>
      <c r="I502" s="7" t="s">
        <v>890</v>
      </c>
      <c r="J502" s="8">
        <v>48000</v>
      </c>
      <c r="K502" s="4" t="s">
        <v>39</v>
      </c>
      <c r="M502" s="9">
        <v>0.17</v>
      </c>
      <c r="O502" s="7" t="s">
        <v>39</v>
      </c>
      <c r="P502" s="3">
        <f>(C502+(E502*F502*H502))-N502</f>
        <v>144</v>
      </c>
      <c r="Q502" s="7" t="s">
        <v>39</v>
      </c>
      <c r="R502" s="8">
        <f>S502/1.11</f>
        <v>5168432.4324324317</v>
      </c>
      <c r="S502" s="8">
        <f>P502*(J502-(J502*L502)-((J502-(J502*L502))*M502))</f>
        <v>5736960</v>
      </c>
    </row>
    <row r="504" spans="1:19" x14ac:dyDescent="0.2">
      <c r="A504" s="1" t="s">
        <v>814</v>
      </c>
      <c r="B504" s="1" t="s">
        <v>170</v>
      </c>
      <c r="C504" s="3">
        <v>2592</v>
      </c>
      <c r="D504" s="4" t="s">
        <v>809</v>
      </c>
      <c r="F504" s="6">
        <v>1</v>
      </c>
      <c r="G504" s="7" t="s">
        <v>19</v>
      </c>
      <c r="H504" s="6">
        <v>432</v>
      </c>
      <c r="I504" s="7" t="s">
        <v>809</v>
      </c>
      <c r="J504" s="8">
        <v>1400</v>
      </c>
      <c r="K504" s="4" t="s">
        <v>809</v>
      </c>
      <c r="M504" s="9">
        <v>0.05</v>
      </c>
      <c r="O504" s="7" t="s">
        <v>809</v>
      </c>
      <c r="P504" s="3">
        <f>(C504+(E504*F504*H504))-N504</f>
        <v>2592</v>
      </c>
      <c r="Q504" s="7" t="s">
        <v>809</v>
      </c>
      <c r="R504" s="8">
        <f>S504/1.11</f>
        <v>3105729.7297297292</v>
      </c>
      <c r="S504" s="8">
        <f>P504*(J504-(J504*L504)-((J504-(J504*L504))*M504))</f>
        <v>3447360</v>
      </c>
    </row>
    <row r="506" spans="1:19" x14ac:dyDescent="0.2">
      <c r="A506" s="24" t="s">
        <v>304</v>
      </c>
      <c r="R506" s="8">
        <f t="shared" ref="R506:R515" si="198">S506/1.11</f>
        <v>0</v>
      </c>
    </row>
    <row r="507" spans="1:19" x14ac:dyDescent="0.2">
      <c r="A507" s="1" t="s">
        <v>305</v>
      </c>
      <c r="B507" s="2" t="s">
        <v>17</v>
      </c>
      <c r="D507" s="4" t="s">
        <v>32</v>
      </c>
      <c r="F507" s="6">
        <v>1</v>
      </c>
      <c r="G507" s="7" t="s">
        <v>19</v>
      </c>
      <c r="H507" s="6">
        <v>64</v>
      </c>
      <c r="I507" s="7" t="s">
        <v>32</v>
      </c>
      <c r="J507" s="8">
        <f>2100*12</f>
        <v>25200</v>
      </c>
      <c r="K507" s="4" t="s">
        <v>32</v>
      </c>
      <c r="L507" s="9">
        <v>0.125</v>
      </c>
      <c r="M507" s="9">
        <v>0.05</v>
      </c>
      <c r="O507" s="7" t="s">
        <v>32</v>
      </c>
      <c r="P507" s="3">
        <f t="shared" ref="P507:P513" si="199">(C507+(E507*F507*H507))-N507</f>
        <v>0</v>
      </c>
      <c r="Q507" s="7" t="s">
        <v>32</v>
      </c>
      <c r="R507" s="8">
        <f t="shared" si="198"/>
        <v>0</v>
      </c>
      <c r="S507" s="8">
        <f t="shared" ref="S507:S513" si="200">P507*(J507-(J507*L507)-((J507-(J507*L507))*M507))</f>
        <v>0</v>
      </c>
    </row>
    <row r="508" spans="1:19" x14ac:dyDescent="0.2">
      <c r="A508" s="1" t="s">
        <v>307</v>
      </c>
      <c r="B508" s="2" t="s">
        <v>17</v>
      </c>
      <c r="D508" s="4" t="s">
        <v>32</v>
      </c>
      <c r="F508" s="6">
        <v>1</v>
      </c>
      <c r="G508" s="7" t="s">
        <v>19</v>
      </c>
      <c r="H508" s="6">
        <v>36</v>
      </c>
      <c r="I508" s="7" t="s">
        <v>32</v>
      </c>
      <c r="J508" s="8">
        <f>2100*24</f>
        <v>50400</v>
      </c>
      <c r="K508" s="4" t="s">
        <v>32</v>
      </c>
      <c r="L508" s="9">
        <v>0.125</v>
      </c>
      <c r="M508" s="9">
        <v>0.05</v>
      </c>
      <c r="O508" s="7" t="s">
        <v>32</v>
      </c>
      <c r="P508" s="3">
        <f t="shared" si="199"/>
        <v>0</v>
      </c>
      <c r="Q508" s="7" t="s">
        <v>32</v>
      </c>
      <c r="R508" s="8">
        <f t="shared" si="198"/>
        <v>0</v>
      </c>
      <c r="S508" s="8">
        <f t="shared" si="200"/>
        <v>0</v>
      </c>
    </row>
    <row r="509" spans="1:19" x14ac:dyDescent="0.2">
      <c r="A509" s="14" t="s">
        <v>707</v>
      </c>
      <c r="B509" s="2" t="s">
        <v>17</v>
      </c>
      <c r="D509" s="4" t="s">
        <v>32</v>
      </c>
      <c r="F509" s="6">
        <v>1</v>
      </c>
      <c r="G509" s="7" t="s">
        <v>19</v>
      </c>
      <c r="H509" s="6">
        <v>36</v>
      </c>
      <c r="I509" s="7" t="s">
        <v>32</v>
      </c>
      <c r="J509" s="8">
        <f>2300*24</f>
        <v>55200</v>
      </c>
      <c r="K509" s="4" t="s">
        <v>32</v>
      </c>
      <c r="L509" s="9">
        <v>0.125</v>
      </c>
      <c r="M509" s="9">
        <v>0.05</v>
      </c>
      <c r="O509" s="7" t="s">
        <v>32</v>
      </c>
      <c r="P509" s="3">
        <f t="shared" si="199"/>
        <v>0</v>
      </c>
      <c r="Q509" s="7" t="s">
        <v>32</v>
      </c>
      <c r="R509" s="8">
        <f t="shared" si="198"/>
        <v>0</v>
      </c>
      <c r="S509" s="8">
        <f t="shared" si="200"/>
        <v>0</v>
      </c>
    </row>
    <row r="510" spans="1:19" x14ac:dyDescent="0.2">
      <c r="A510" s="1" t="s">
        <v>706</v>
      </c>
      <c r="B510" s="2" t="s">
        <v>17</v>
      </c>
      <c r="D510" s="4" t="s">
        <v>32</v>
      </c>
      <c r="F510" s="6">
        <v>1</v>
      </c>
      <c r="G510" s="7" t="s">
        <v>19</v>
      </c>
      <c r="H510" s="6">
        <v>32</v>
      </c>
      <c r="I510" s="7" t="s">
        <v>32</v>
      </c>
      <c r="J510" s="8">
        <f>1300*12</f>
        <v>15600</v>
      </c>
      <c r="K510" s="4" t="s">
        <v>32</v>
      </c>
      <c r="L510" s="9">
        <v>0.125</v>
      </c>
      <c r="M510" s="9">
        <v>0.05</v>
      </c>
      <c r="O510" s="7" t="s">
        <v>32</v>
      </c>
      <c r="P510" s="3">
        <f t="shared" si="199"/>
        <v>0</v>
      </c>
      <c r="Q510" s="7" t="s">
        <v>32</v>
      </c>
      <c r="R510" s="8">
        <f t="shared" si="198"/>
        <v>0</v>
      </c>
      <c r="S510" s="8">
        <f t="shared" si="200"/>
        <v>0</v>
      </c>
    </row>
    <row r="511" spans="1:19" x14ac:dyDescent="0.2">
      <c r="A511" s="1" t="s">
        <v>306</v>
      </c>
      <c r="B511" s="2" t="s">
        <v>17</v>
      </c>
      <c r="D511" s="4" t="s">
        <v>32</v>
      </c>
      <c r="F511" s="6">
        <v>1</v>
      </c>
      <c r="G511" s="7" t="s">
        <v>19</v>
      </c>
      <c r="H511" s="6">
        <v>54</v>
      </c>
      <c r="I511" s="7" t="s">
        <v>32</v>
      </c>
      <c r="J511" s="8">
        <v>39600</v>
      </c>
      <c r="K511" s="4" t="s">
        <v>32</v>
      </c>
      <c r="L511" s="9">
        <v>0.125</v>
      </c>
      <c r="M511" s="9">
        <v>0.05</v>
      </c>
      <c r="O511" s="7" t="s">
        <v>32</v>
      </c>
      <c r="P511" s="3">
        <f t="shared" ref="P511" si="201">(C511+(E511*F511*H511))-N511</f>
        <v>0</v>
      </c>
      <c r="Q511" s="7" t="s">
        <v>32</v>
      </c>
      <c r="R511" s="8">
        <f t="shared" si="198"/>
        <v>0</v>
      </c>
      <c r="S511" s="8">
        <f t="shared" ref="S511" si="202">P511*(J511-(J511*L511)-((J511-(J511*L511))*M511))</f>
        <v>0</v>
      </c>
    </row>
    <row r="512" spans="1:19" x14ac:dyDescent="0.2">
      <c r="A512" s="14" t="s">
        <v>748</v>
      </c>
      <c r="B512" s="2" t="s">
        <v>17</v>
      </c>
      <c r="D512" s="4" t="s">
        <v>32</v>
      </c>
      <c r="F512" s="6">
        <v>1</v>
      </c>
      <c r="G512" s="7" t="s">
        <v>19</v>
      </c>
      <c r="H512" s="6">
        <v>24</v>
      </c>
      <c r="I512" s="7" t="s">
        <v>32</v>
      </c>
      <c r="J512" s="8">
        <f>3300*24</f>
        <v>79200</v>
      </c>
      <c r="K512" s="4" t="s">
        <v>32</v>
      </c>
      <c r="L512" s="9">
        <v>0.125</v>
      </c>
      <c r="M512" s="9">
        <v>0.05</v>
      </c>
      <c r="O512" s="7" t="s">
        <v>32</v>
      </c>
      <c r="P512" s="3">
        <f t="shared" si="199"/>
        <v>0</v>
      </c>
      <c r="Q512" s="7" t="s">
        <v>32</v>
      </c>
      <c r="R512" s="8">
        <f t="shared" si="198"/>
        <v>0</v>
      </c>
      <c r="S512" s="8">
        <f t="shared" si="200"/>
        <v>0</v>
      </c>
    </row>
    <row r="513" spans="1:19" x14ac:dyDescent="0.2">
      <c r="A513" s="14" t="s">
        <v>308</v>
      </c>
      <c r="B513" s="2" t="s">
        <v>17</v>
      </c>
      <c r="D513" s="4" t="s">
        <v>32</v>
      </c>
      <c r="F513" s="6">
        <v>1</v>
      </c>
      <c r="G513" s="7" t="s">
        <v>19</v>
      </c>
      <c r="H513" s="6">
        <v>36</v>
      </c>
      <c r="I513" s="7" t="s">
        <v>32</v>
      </c>
      <c r="J513" s="8">
        <f>2450*24</f>
        <v>58800</v>
      </c>
      <c r="K513" s="4" t="s">
        <v>32</v>
      </c>
      <c r="L513" s="9">
        <v>0.125</v>
      </c>
      <c r="M513" s="9">
        <v>0.05</v>
      </c>
      <c r="O513" s="7" t="s">
        <v>32</v>
      </c>
      <c r="P513" s="3">
        <f t="shared" si="199"/>
        <v>0</v>
      </c>
      <c r="Q513" s="7" t="s">
        <v>32</v>
      </c>
      <c r="R513" s="8">
        <f t="shared" si="198"/>
        <v>0</v>
      </c>
      <c r="S513" s="8">
        <f t="shared" si="200"/>
        <v>0</v>
      </c>
    </row>
    <row r="514" spans="1:19" x14ac:dyDescent="0.2">
      <c r="A514" s="14" t="s">
        <v>885</v>
      </c>
      <c r="B514" s="2" t="s">
        <v>17</v>
      </c>
      <c r="D514" s="4" t="s">
        <v>32</v>
      </c>
      <c r="F514" s="6">
        <v>1</v>
      </c>
      <c r="G514" s="7" t="s">
        <v>19</v>
      </c>
      <c r="H514" s="6">
        <v>36</v>
      </c>
      <c r="I514" s="7" t="s">
        <v>32</v>
      </c>
      <c r="J514" s="8">
        <v>56400</v>
      </c>
      <c r="K514" s="4" t="s">
        <v>32</v>
      </c>
      <c r="L514" s="9">
        <v>0.125</v>
      </c>
      <c r="M514" s="9">
        <v>0.05</v>
      </c>
      <c r="O514" s="7" t="s">
        <v>32</v>
      </c>
      <c r="P514" s="3">
        <f t="shared" ref="P514:P515" si="203">(C514+(E514*F514*H514))-N514</f>
        <v>0</v>
      </c>
      <c r="Q514" s="7" t="s">
        <v>32</v>
      </c>
      <c r="R514" s="8">
        <f t="shared" si="198"/>
        <v>0</v>
      </c>
      <c r="S514" s="8">
        <f t="shared" ref="S514:S515" si="204">P514*(J514-(J514*L514)-((J514-(J514*L514))*M514))</f>
        <v>0</v>
      </c>
    </row>
    <row r="515" spans="1:19" x14ac:dyDescent="0.2">
      <c r="A515" s="1" t="s">
        <v>703</v>
      </c>
      <c r="B515" s="2" t="s">
        <v>17</v>
      </c>
      <c r="D515" s="4" t="s">
        <v>32</v>
      </c>
      <c r="F515" s="6">
        <v>1</v>
      </c>
      <c r="G515" s="7" t="s">
        <v>19</v>
      </c>
      <c r="H515" s="6">
        <v>36</v>
      </c>
      <c r="I515" s="7" t="s">
        <v>32</v>
      </c>
      <c r="J515" s="8">
        <v>52800</v>
      </c>
      <c r="K515" s="4" t="s">
        <v>32</v>
      </c>
      <c r="L515" s="9">
        <v>0.125</v>
      </c>
      <c r="M515" s="9">
        <v>0.05</v>
      </c>
      <c r="O515" s="7" t="s">
        <v>32</v>
      </c>
      <c r="P515" s="3">
        <f t="shared" si="203"/>
        <v>0</v>
      </c>
      <c r="Q515" s="7" t="s">
        <v>32</v>
      </c>
      <c r="R515" s="8">
        <f t="shared" si="198"/>
        <v>0</v>
      </c>
      <c r="S515" s="8">
        <f t="shared" si="204"/>
        <v>0</v>
      </c>
    </row>
    <row r="517" spans="1:19" x14ac:dyDescent="0.2">
      <c r="A517" s="1" t="s">
        <v>309</v>
      </c>
      <c r="B517" s="2" t="s">
        <v>24</v>
      </c>
      <c r="D517" s="4" t="s">
        <v>32</v>
      </c>
      <c r="F517" s="6">
        <v>1</v>
      </c>
      <c r="G517" s="7" t="s">
        <v>19</v>
      </c>
      <c r="H517" s="6">
        <v>36</v>
      </c>
      <c r="I517" s="7" t="s">
        <v>32</v>
      </c>
      <c r="J517" s="8">
        <f>2376000/36</f>
        <v>66000</v>
      </c>
      <c r="K517" s="4" t="s">
        <v>32</v>
      </c>
      <c r="M517" s="9">
        <v>0.17</v>
      </c>
      <c r="O517" s="7" t="s">
        <v>32</v>
      </c>
      <c r="P517" s="3">
        <f>(C517+(E517*F517*H517))-N517</f>
        <v>0</v>
      </c>
      <c r="Q517" s="7" t="s">
        <v>32</v>
      </c>
      <c r="R517" s="8">
        <f>S517/1.11</f>
        <v>0</v>
      </c>
      <c r="S517" s="8">
        <f>P517*(J517-(J517*L517)-((J517-(J517*L517))*M517))</f>
        <v>0</v>
      </c>
    </row>
    <row r="518" spans="1:19" x14ac:dyDescent="0.2">
      <c r="A518" s="1" t="s">
        <v>310</v>
      </c>
      <c r="B518" s="2" t="s">
        <v>24</v>
      </c>
      <c r="D518" s="4" t="s">
        <v>32</v>
      </c>
      <c r="F518" s="6">
        <v>1</v>
      </c>
      <c r="G518" s="7" t="s">
        <v>19</v>
      </c>
      <c r="H518" s="6">
        <v>36</v>
      </c>
      <c r="I518" s="7" t="s">
        <v>32</v>
      </c>
      <c r="J518" s="8">
        <f>2592000/36</f>
        <v>72000</v>
      </c>
      <c r="K518" s="4" t="s">
        <v>32</v>
      </c>
      <c r="M518" s="9">
        <v>0.17</v>
      </c>
      <c r="O518" s="7" t="s">
        <v>32</v>
      </c>
      <c r="P518" s="3">
        <f>(C518+(E518*F518*H518))-N518</f>
        <v>0</v>
      </c>
      <c r="Q518" s="7" t="s">
        <v>32</v>
      </c>
      <c r="R518" s="8">
        <f>S518/1.11</f>
        <v>0</v>
      </c>
      <c r="S518" s="8">
        <f>P518*(J518-(J518*L518)-((J518-(J518*L518))*M518))</f>
        <v>0</v>
      </c>
    </row>
    <row r="519" spans="1:19" x14ac:dyDescent="0.2">
      <c r="A519" s="1" t="s">
        <v>311</v>
      </c>
      <c r="B519" s="2" t="s">
        <v>24</v>
      </c>
      <c r="D519" s="4" t="s">
        <v>32</v>
      </c>
      <c r="F519" s="6">
        <v>1</v>
      </c>
      <c r="G519" s="7" t="s">
        <v>19</v>
      </c>
      <c r="H519" s="6">
        <v>36</v>
      </c>
      <c r="I519" s="7" t="s">
        <v>32</v>
      </c>
      <c r="J519" s="8">
        <f>2160000/36</f>
        <v>60000</v>
      </c>
      <c r="K519" s="4" t="s">
        <v>32</v>
      </c>
      <c r="M519" s="9">
        <v>0.17</v>
      </c>
      <c r="O519" s="7" t="s">
        <v>32</v>
      </c>
      <c r="P519" s="3">
        <f>(C519+(E519*F519*H519))-N519</f>
        <v>0</v>
      </c>
      <c r="Q519" s="7" t="s">
        <v>32</v>
      </c>
      <c r="R519" s="8">
        <f>S519/1.11</f>
        <v>0</v>
      </c>
      <c r="S519" s="8">
        <f>P519*(J519-(J519*L519)-((J519-(J519*L519))*M519))</f>
        <v>0</v>
      </c>
    </row>
    <row r="521" spans="1:19" x14ac:dyDescent="0.2">
      <c r="A521" s="24" t="s">
        <v>754</v>
      </c>
    </row>
    <row r="522" spans="1:19" x14ac:dyDescent="0.2">
      <c r="A522" s="1" t="s">
        <v>312</v>
      </c>
      <c r="B522" s="2" t="s">
        <v>24</v>
      </c>
      <c r="D522" s="4" t="s">
        <v>101</v>
      </c>
      <c r="F522" s="6">
        <v>1</v>
      </c>
      <c r="G522" s="7" t="s">
        <v>19</v>
      </c>
      <c r="H522" s="6">
        <v>60</v>
      </c>
      <c r="I522" s="7" t="s">
        <v>101</v>
      </c>
      <c r="J522" s="8">
        <v>18600</v>
      </c>
      <c r="K522" s="4" t="s">
        <v>101</v>
      </c>
      <c r="M522" s="9">
        <v>0.17</v>
      </c>
      <c r="O522" s="7" t="s">
        <v>101</v>
      </c>
      <c r="P522" s="3">
        <f>(C522+(E522*F522*H522))-N522</f>
        <v>0</v>
      </c>
      <c r="Q522" s="7" t="s">
        <v>101</v>
      </c>
      <c r="R522" s="8">
        <f>S522/1.11</f>
        <v>0</v>
      </c>
      <c r="S522" s="8">
        <f>P522*(J522-(J522*L522)-((J522-(J522*L522))*M522))</f>
        <v>0</v>
      </c>
    </row>
    <row r="524" spans="1:19" x14ac:dyDescent="0.2">
      <c r="A524" s="1" t="s">
        <v>755</v>
      </c>
      <c r="B524" s="1" t="s">
        <v>170</v>
      </c>
      <c r="C524" s="17"/>
      <c r="D524" s="18" t="s">
        <v>39</v>
      </c>
      <c r="E524" s="19"/>
      <c r="F524" s="20">
        <v>1</v>
      </c>
      <c r="G524" s="16" t="s">
        <v>19</v>
      </c>
      <c r="H524" s="20">
        <v>160</v>
      </c>
      <c r="I524" s="16" t="s">
        <v>39</v>
      </c>
      <c r="J524" s="21">
        <v>7750</v>
      </c>
      <c r="K524" s="18" t="s">
        <v>39</v>
      </c>
      <c r="L524" s="22">
        <v>0.05</v>
      </c>
      <c r="M524" s="22"/>
      <c r="N524" s="20"/>
      <c r="O524" s="16" t="s">
        <v>39</v>
      </c>
      <c r="P524" s="17">
        <f>(C524+(E524*F524*H524))-N524</f>
        <v>0</v>
      </c>
      <c r="Q524" s="16" t="s">
        <v>39</v>
      </c>
      <c r="R524" s="21">
        <f>S524/1.11</f>
        <v>0</v>
      </c>
      <c r="S524" s="21">
        <f>P524*(J524-(J524*L524)-((J524-(J524*L524))*M524))</f>
        <v>0</v>
      </c>
    </row>
    <row r="526" spans="1:19" x14ac:dyDescent="0.2">
      <c r="A526" s="24" t="s">
        <v>313</v>
      </c>
    </row>
    <row r="527" spans="1:19" x14ac:dyDescent="0.2">
      <c r="A527" s="1" t="s">
        <v>314</v>
      </c>
      <c r="B527" s="2" t="s">
        <v>315</v>
      </c>
      <c r="D527" s="4" t="s">
        <v>316</v>
      </c>
      <c r="F527" s="6">
        <v>1</v>
      </c>
      <c r="G527" s="7" t="s">
        <v>19</v>
      </c>
      <c r="H527" s="6">
        <v>25</v>
      </c>
      <c r="I527" s="7" t="s">
        <v>316</v>
      </c>
      <c r="J527" s="8">
        <v>55000</v>
      </c>
      <c r="K527" s="4" t="s">
        <v>316</v>
      </c>
      <c r="O527" s="7" t="s">
        <v>316</v>
      </c>
      <c r="P527" s="3">
        <f>(C527+(E527*F527*H527))-N527</f>
        <v>0</v>
      </c>
      <c r="Q527" s="7" t="s">
        <v>316</v>
      </c>
      <c r="R527" s="8">
        <f>S527/1.11</f>
        <v>0</v>
      </c>
      <c r="S527" s="8">
        <f>P527*(J527-(J527*L527)-((J527-(J527*L527))*M527))</f>
        <v>0</v>
      </c>
    </row>
    <row r="529" spans="1:19" x14ac:dyDescent="0.2">
      <c r="A529" s="24" t="s">
        <v>317</v>
      </c>
    </row>
    <row r="530" spans="1:19" x14ac:dyDescent="0.2">
      <c r="A530" s="1" t="s">
        <v>318</v>
      </c>
      <c r="B530" s="2" t="s">
        <v>17</v>
      </c>
      <c r="D530" s="4" t="s">
        <v>97</v>
      </c>
      <c r="F530" s="6">
        <v>1</v>
      </c>
      <c r="G530" s="7" t="s">
        <v>19</v>
      </c>
      <c r="H530" s="6">
        <v>192</v>
      </c>
      <c r="I530" s="7" t="s">
        <v>97</v>
      </c>
      <c r="J530" s="8">
        <v>3450</v>
      </c>
      <c r="K530" s="4" t="s">
        <v>97</v>
      </c>
      <c r="L530" s="9">
        <v>0.125</v>
      </c>
      <c r="M530" s="9">
        <v>0.05</v>
      </c>
      <c r="O530" s="7" t="s">
        <v>97</v>
      </c>
      <c r="P530" s="3">
        <f t="shared" ref="P530:P535" si="205">(C530+(E530*F530*H530))-N530</f>
        <v>0</v>
      </c>
      <c r="Q530" s="7" t="s">
        <v>97</v>
      </c>
      <c r="R530" s="8">
        <f t="shared" ref="R530:R535" si="206">S530/1.11</f>
        <v>0</v>
      </c>
      <c r="S530" s="8">
        <f t="shared" ref="S530:S535" si="207">P530*(J530-(J530*L530)-((J530-(J530*L530))*M530))</f>
        <v>0</v>
      </c>
    </row>
    <row r="531" spans="1:19" x14ac:dyDescent="0.2">
      <c r="A531" s="1" t="s">
        <v>319</v>
      </c>
      <c r="B531" s="2" t="s">
        <v>17</v>
      </c>
      <c r="C531" s="3">
        <v>19840</v>
      </c>
      <c r="D531" s="4" t="s">
        <v>97</v>
      </c>
      <c r="F531" s="6">
        <v>1</v>
      </c>
      <c r="G531" s="7" t="s">
        <v>19</v>
      </c>
      <c r="H531" s="6">
        <v>160</v>
      </c>
      <c r="I531" s="7" t="s">
        <v>97</v>
      </c>
      <c r="J531" s="8">
        <v>5400</v>
      </c>
      <c r="K531" s="4" t="s">
        <v>97</v>
      </c>
      <c r="L531" s="9">
        <v>0.125</v>
      </c>
      <c r="M531" s="9">
        <v>0.05</v>
      </c>
      <c r="O531" s="7" t="s">
        <v>97</v>
      </c>
      <c r="P531" s="3">
        <f t="shared" si="205"/>
        <v>19840</v>
      </c>
      <c r="Q531" s="7" t="s">
        <v>97</v>
      </c>
      <c r="R531" s="8">
        <f t="shared" si="206"/>
        <v>80231351.351351351</v>
      </c>
      <c r="S531" s="8">
        <f t="shared" si="207"/>
        <v>89056800</v>
      </c>
    </row>
    <row r="532" spans="1:19" x14ac:dyDescent="0.2">
      <c r="A532" s="1" t="s">
        <v>320</v>
      </c>
      <c r="B532" s="2" t="s">
        <v>17</v>
      </c>
      <c r="D532" s="4" t="s">
        <v>97</v>
      </c>
      <c r="F532" s="6">
        <v>1</v>
      </c>
      <c r="G532" s="7" t="s">
        <v>19</v>
      </c>
      <c r="H532" s="6">
        <v>192</v>
      </c>
      <c r="I532" s="7" t="s">
        <v>97</v>
      </c>
      <c r="J532" s="8">
        <v>3600</v>
      </c>
      <c r="K532" s="4" t="s">
        <v>97</v>
      </c>
      <c r="L532" s="9">
        <v>0.125</v>
      </c>
      <c r="M532" s="9">
        <v>0.05</v>
      </c>
      <c r="O532" s="7" t="s">
        <v>97</v>
      </c>
      <c r="P532" s="3">
        <f t="shared" si="205"/>
        <v>0</v>
      </c>
      <c r="Q532" s="7" t="s">
        <v>97</v>
      </c>
      <c r="R532" s="8">
        <f t="shared" si="206"/>
        <v>0</v>
      </c>
      <c r="S532" s="8">
        <f t="shared" si="207"/>
        <v>0</v>
      </c>
    </row>
    <row r="533" spans="1:19" x14ac:dyDescent="0.2">
      <c r="A533" s="1" t="s">
        <v>321</v>
      </c>
      <c r="B533" s="2" t="s">
        <v>17</v>
      </c>
      <c r="D533" s="4" t="s">
        <v>97</v>
      </c>
      <c r="F533" s="6">
        <v>1</v>
      </c>
      <c r="G533" s="7" t="s">
        <v>19</v>
      </c>
      <c r="H533" s="6">
        <v>96</v>
      </c>
      <c r="I533" s="7" t="s">
        <v>97</v>
      </c>
      <c r="J533" s="8">
        <v>7000</v>
      </c>
      <c r="K533" s="4" t="s">
        <v>97</v>
      </c>
      <c r="L533" s="9">
        <v>0.125</v>
      </c>
      <c r="M533" s="9">
        <v>0.05</v>
      </c>
      <c r="O533" s="7" t="s">
        <v>97</v>
      </c>
      <c r="P533" s="3">
        <f t="shared" si="205"/>
        <v>0</v>
      </c>
      <c r="Q533" s="7" t="s">
        <v>97</v>
      </c>
      <c r="R533" s="8">
        <f t="shared" si="206"/>
        <v>0</v>
      </c>
      <c r="S533" s="8">
        <f t="shared" si="207"/>
        <v>0</v>
      </c>
    </row>
    <row r="534" spans="1:19" x14ac:dyDescent="0.2">
      <c r="A534" s="1" t="s">
        <v>739</v>
      </c>
      <c r="B534" s="2" t="s">
        <v>17</v>
      </c>
      <c r="D534" s="4" t="s">
        <v>97</v>
      </c>
      <c r="F534" s="6">
        <v>1</v>
      </c>
      <c r="G534" s="7" t="s">
        <v>19</v>
      </c>
      <c r="H534" s="6">
        <v>160</v>
      </c>
      <c r="I534" s="7" t="s">
        <v>97</v>
      </c>
      <c r="J534" s="8">
        <v>5700</v>
      </c>
      <c r="K534" s="4" t="s">
        <v>97</v>
      </c>
      <c r="L534" s="9">
        <v>0.125</v>
      </c>
      <c r="M534" s="9">
        <v>0.05</v>
      </c>
      <c r="O534" s="7" t="s">
        <v>97</v>
      </c>
      <c r="P534" s="3">
        <f t="shared" si="205"/>
        <v>0</v>
      </c>
      <c r="Q534" s="7" t="s">
        <v>97</v>
      </c>
      <c r="R534" s="8">
        <f t="shared" si="206"/>
        <v>0</v>
      </c>
      <c r="S534" s="8">
        <f t="shared" si="207"/>
        <v>0</v>
      </c>
    </row>
    <row r="535" spans="1:19" x14ac:dyDescent="0.2">
      <c r="A535" s="1" t="s">
        <v>322</v>
      </c>
      <c r="B535" s="2" t="s">
        <v>17</v>
      </c>
      <c r="D535" s="4" t="s">
        <v>97</v>
      </c>
      <c r="F535" s="6">
        <v>1</v>
      </c>
      <c r="G535" s="7" t="s">
        <v>19</v>
      </c>
      <c r="H535" s="6">
        <v>80</v>
      </c>
      <c r="I535" s="7" t="s">
        <v>97</v>
      </c>
      <c r="J535" s="8">
        <v>10800</v>
      </c>
      <c r="K535" s="4" t="s">
        <v>97</v>
      </c>
      <c r="L535" s="9">
        <v>0.125</v>
      </c>
      <c r="M535" s="9">
        <v>0.05</v>
      </c>
      <c r="O535" s="7" t="s">
        <v>97</v>
      </c>
      <c r="P535" s="3">
        <f t="shared" si="205"/>
        <v>0</v>
      </c>
      <c r="Q535" s="7" t="s">
        <v>97</v>
      </c>
      <c r="R535" s="8">
        <f t="shared" si="206"/>
        <v>0</v>
      </c>
      <c r="S535" s="8">
        <f t="shared" si="207"/>
        <v>0</v>
      </c>
    </row>
    <row r="537" spans="1:19" x14ac:dyDescent="0.2">
      <c r="A537" s="1" t="s">
        <v>323</v>
      </c>
      <c r="B537" s="2" t="s">
        <v>24</v>
      </c>
      <c r="D537" s="4" t="s">
        <v>97</v>
      </c>
      <c r="F537" s="6">
        <v>1</v>
      </c>
      <c r="G537" s="7" t="s">
        <v>19</v>
      </c>
      <c r="H537" s="6">
        <v>192</v>
      </c>
      <c r="I537" s="7" t="s">
        <v>97</v>
      </c>
      <c r="J537" s="8">
        <f>844800/192</f>
        <v>4400</v>
      </c>
      <c r="K537" s="4" t="s">
        <v>97</v>
      </c>
      <c r="M537" s="9">
        <v>0.17</v>
      </c>
      <c r="O537" s="7" t="s">
        <v>97</v>
      </c>
      <c r="P537" s="3">
        <f>(C537+(E537*F537*H537))-N537</f>
        <v>0</v>
      </c>
      <c r="Q537" s="7" t="s">
        <v>97</v>
      </c>
      <c r="R537" s="8">
        <f>S537/1.11</f>
        <v>0</v>
      </c>
      <c r="S537" s="8">
        <f>P537*(J537-(J537*L537)-((J537-(J537*L537))*M537))</f>
        <v>0</v>
      </c>
    </row>
    <row r="538" spans="1:19" x14ac:dyDescent="0.2">
      <c r="A538" s="1" t="s">
        <v>324</v>
      </c>
      <c r="B538" s="2" t="s">
        <v>24</v>
      </c>
      <c r="D538" s="4" t="s">
        <v>97</v>
      </c>
      <c r="F538" s="6">
        <v>1</v>
      </c>
      <c r="G538" s="7" t="s">
        <v>19</v>
      </c>
      <c r="H538" s="6">
        <v>96</v>
      </c>
      <c r="I538" s="7" t="s">
        <v>97</v>
      </c>
      <c r="J538" s="8">
        <f>801600/96</f>
        <v>8350</v>
      </c>
      <c r="K538" s="4" t="s">
        <v>97</v>
      </c>
      <c r="M538" s="9">
        <v>0.17</v>
      </c>
      <c r="O538" s="7" t="s">
        <v>97</v>
      </c>
      <c r="P538" s="3">
        <f>(C538+(E538*F538*H538))-N538</f>
        <v>0</v>
      </c>
      <c r="Q538" s="7" t="s">
        <v>97</v>
      </c>
      <c r="R538" s="8">
        <f>S538/1.11</f>
        <v>0</v>
      </c>
      <c r="S538" s="8">
        <f>P538*(J538-(J538*L538)-((J538-(J538*L538))*M538))</f>
        <v>0</v>
      </c>
    </row>
    <row r="539" spans="1:19" x14ac:dyDescent="0.2">
      <c r="A539" s="1" t="s">
        <v>325</v>
      </c>
      <c r="B539" s="2" t="s">
        <v>24</v>
      </c>
      <c r="D539" s="4" t="s">
        <v>97</v>
      </c>
      <c r="F539" s="6">
        <v>1</v>
      </c>
      <c r="G539" s="7" t="s">
        <v>19</v>
      </c>
      <c r="H539" s="6">
        <v>160</v>
      </c>
      <c r="I539" s="7" t="s">
        <v>97</v>
      </c>
      <c r="J539" s="8">
        <f>1104000/160</f>
        <v>6900</v>
      </c>
      <c r="K539" s="4" t="s">
        <v>97</v>
      </c>
      <c r="M539" s="9">
        <v>0.17</v>
      </c>
      <c r="O539" s="7" t="s">
        <v>97</v>
      </c>
      <c r="P539" s="3">
        <f>(C539+(E539*F539*H539))-N539</f>
        <v>0</v>
      </c>
      <c r="Q539" s="7" t="s">
        <v>97</v>
      </c>
      <c r="R539" s="8">
        <f>S539/1.11</f>
        <v>0</v>
      </c>
      <c r="S539" s="8">
        <f>P539*(J539-(J539*L539)-((J539-(J539*L539))*M539))</f>
        <v>0</v>
      </c>
    </row>
    <row r="540" spans="1:19" x14ac:dyDescent="0.2">
      <c r="A540" s="1" t="s">
        <v>326</v>
      </c>
      <c r="B540" s="2" t="s">
        <v>24</v>
      </c>
      <c r="D540" s="4" t="s">
        <v>97</v>
      </c>
      <c r="F540" s="6">
        <v>1</v>
      </c>
      <c r="G540" s="7" t="s">
        <v>19</v>
      </c>
      <c r="H540" s="6">
        <v>80</v>
      </c>
      <c r="I540" s="7" t="s">
        <v>97</v>
      </c>
      <c r="J540" s="8">
        <f>1040000/80</f>
        <v>13000</v>
      </c>
      <c r="K540" s="4" t="s">
        <v>97</v>
      </c>
      <c r="M540" s="9">
        <v>0.17</v>
      </c>
      <c r="O540" s="7" t="s">
        <v>97</v>
      </c>
      <c r="P540" s="3">
        <f>(C540+(E540*F540*H540))-N540</f>
        <v>0</v>
      </c>
      <c r="Q540" s="7" t="s">
        <v>97</v>
      </c>
      <c r="R540" s="8">
        <f>S540/1.11</f>
        <v>0</v>
      </c>
      <c r="S540" s="8">
        <f>P540*(J540-(J540*L540)-((J540-(J540*L540))*M540))</f>
        <v>0</v>
      </c>
    </row>
    <row r="542" spans="1:19" x14ac:dyDescent="0.2">
      <c r="A542" s="24" t="s">
        <v>760</v>
      </c>
      <c r="L542" s="27"/>
      <c r="M542" s="27"/>
    </row>
    <row r="543" spans="1:19" x14ac:dyDescent="0.2">
      <c r="A543" s="1" t="s">
        <v>761</v>
      </c>
      <c r="B543" s="1" t="s">
        <v>170</v>
      </c>
      <c r="C543" s="17"/>
      <c r="D543" s="18" t="s">
        <v>18</v>
      </c>
      <c r="E543" s="19"/>
      <c r="F543" s="20">
        <v>1</v>
      </c>
      <c r="G543" s="16" t="s">
        <v>19</v>
      </c>
      <c r="H543" s="20">
        <v>10</v>
      </c>
      <c r="I543" s="16" t="s">
        <v>18</v>
      </c>
      <c r="J543" s="21">
        <v>55000</v>
      </c>
      <c r="K543" s="18" t="s">
        <v>18</v>
      </c>
      <c r="L543" s="22">
        <v>0.05</v>
      </c>
      <c r="M543" s="22"/>
      <c r="N543" s="20"/>
      <c r="O543" s="16" t="s">
        <v>18</v>
      </c>
      <c r="P543" s="17">
        <f>(C543+(E543*F543*H543))-N543</f>
        <v>0</v>
      </c>
      <c r="Q543" s="16" t="s">
        <v>18</v>
      </c>
      <c r="R543" s="21">
        <f>S543/1.11</f>
        <v>0</v>
      </c>
      <c r="S543" s="21">
        <f>P543*(J543-(J543*L543)-((J543-(J543*L543))*M543))</f>
        <v>0</v>
      </c>
    </row>
    <row r="545" spans="1:20" x14ac:dyDescent="0.2">
      <c r="A545" s="24" t="s">
        <v>327</v>
      </c>
      <c r="L545" s="27"/>
      <c r="M545" s="27"/>
    </row>
    <row r="546" spans="1:20" x14ac:dyDescent="0.2">
      <c r="A546" s="24" t="s">
        <v>328</v>
      </c>
      <c r="L546" s="27"/>
      <c r="M546" s="27"/>
    </row>
    <row r="547" spans="1:20" x14ac:dyDescent="0.2">
      <c r="A547" s="1" t="s">
        <v>329</v>
      </c>
      <c r="B547" s="2" t="s">
        <v>17</v>
      </c>
      <c r="D547" s="4" t="s">
        <v>18</v>
      </c>
      <c r="F547" s="6">
        <v>1</v>
      </c>
      <c r="G547" s="7" t="s">
        <v>19</v>
      </c>
      <c r="H547" s="6">
        <v>24</v>
      </c>
      <c r="I547" s="7" t="s">
        <v>18</v>
      </c>
      <c r="J547" s="8">
        <v>35000</v>
      </c>
      <c r="K547" s="4" t="s">
        <v>18</v>
      </c>
      <c r="L547" s="9">
        <v>0.125</v>
      </c>
      <c r="M547" s="9">
        <v>0.05</v>
      </c>
      <c r="O547" s="7" t="s">
        <v>18</v>
      </c>
      <c r="P547" s="3">
        <f t="shared" ref="P547:P552" si="208">(C547+(E547*F547*H547))-N547</f>
        <v>0</v>
      </c>
      <c r="Q547" s="7" t="s">
        <v>18</v>
      </c>
      <c r="R547" s="8">
        <f t="shared" ref="R547:R552" si="209">S547/1.11</f>
        <v>0</v>
      </c>
      <c r="S547" s="8">
        <f t="shared" ref="S547:S552" si="210">P547*(J547-(J547*L547)-((J547-(J547*L547))*M547))</f>
        <v>0</v>
      </c>
    </row>
    <row r="548" spans="1:20" x14ac:dyDescent="0.2">
      <c r="A548" s="1" t="s">
        <v>330</v>
      </c>
      <c r="B548" s="2" t="s">
        <v>17</v>
      </c>
      <c r="D548" s="4" t="s">
        <v>18</v>
      </c>
      <c r="F548" s="6">
        <v>1</v>
      </c>
      <c r="G548" s="7" t="s">
        <v>19</v>
      </c>
      <c r="H548" s="6">
        <v>72</v>
      </c>
      <c r="I548" s="7" t="s">
        <v>18</v>
      </c>
      <c r="J548" s="8">
        <v>15800</v>
      </c>
      <c r="K548" s="4" t="s">
        <v>18</v>
      </c>
      <c r="L548" s="9">
        <v>0.125</v>
      </c>
      <c r="M548" s="9">
        <v>0.05</v>
      </c>
      <c r="O548" s="7" t="s">
        <v>18</v>
      </c>
      <c r="P548" s="3">
        <f t="shared" si="208"/>
        <v>0</v>
      </c>
      <c r="Q548" s="7" t="s">
        <v>18</v>
      </c>
      <c r="R548" s="8">
        <f t="shared" si="209"/>
        <v>0</v>
      </c>
      <c r="S548" s="8">
        <f t="shared" si="210"/>
        <v>0</v>
      </c>
      <c r="T548" s="8"/>
    </row>
    <row r="549" spans="1:20" x14ac:dyDescent="0.2">
      <c r="A549" s="1" t="s">
        <v>331</v>
      </c>
      <c r="B549" s="2" t="s">
        <v>17</v>
      </c>
      <c r="D549" s="4" t="s">
        <v>18</v>
      </c>
      <c r="F549" s="6">
        <v>1</v>
      </c>
      <c r="G549" s="7" t="s">
        <v>19</v>
      </c>
      <c r="H549" s="6">
        <v>72</v>
      </c>
      <c r="I549" s="7" t="s">
        <v>18</v>
      </c>
      <c r="J549" s="8">
        <v>15800</v>
      </c>
      <c r="K549" s="4" t="s">
        <v>18</v>
      </c>
      <c r="L549" s="9">
        <v>0.125</v>
      </c>
      <c r="M549" s="9">
        <v>0.05</v>
      </c>
      <c r="O549" s="7" t="s">
        <v>18</v>
      </c>
      <c r="P549" s="3">
        <f t="shared" si="208"/>
        <v>0</v>
      </c>
      <c r="Q549" s="7" t="s">
        <v>18</v>
      </c>
      <c r="R549" s="8">
        <f t="shared" si="209"/>
        <v>0</v>
      </c>
      <c r="S549" s="8">
        <f t="shared" si="210"/>
        <v>0</v>
      </c>
      <c r="T549" s="8"/>
    </row>
    <row r="550" spans="1:20" x14ac:dyDescent="0.2">
      <c r="A550" s="1" t="s">
        <v>332</v>
      </c>
      <c r="B550" s="2" t="s">
        <v>17</v>
      </c>
      <c r="D550" s="4" t="s">
        <v>18</v>
      </c>
      <c r="F550" s="6">
        <v>1</v>
      </c>
      <c r="G550" s="7" t="s">
        <v>19</v>
      </c>
      <c r="H550" s="6">
        <v>72</v>
      </c>
      <c r="I550" s="7" t="s">
        <v>18</v>
      </c>
      <c r="J550" s="8">
        <v>20700</v>
      </c>
      <c r="K550" s="4" t="s">
        <v>18</v>
      </c>
      <c r="L550" s="9">
        <v>0.125</v>
      </c>
      <c r="M550" s="9">
        <v>0.05</v>
      </c>
      <c r="O550" s="7" t="s">
        <v>18</v>
      </c>
      <c r="P550" s="3">
        <f t="shared" si="208"/>
        <v>0</v>
      </c>
      <c r="Q550" s="7" t="s">
        <v>18</v>
      </c>
      <c r="R550" s="8">
        <f t="shared" si="209"/>
        <v>0</v>
      </c>
      <c r="S550" s="8">
        <f t="shared" si="210"/>
        <v>0</v>
      </c>
    </row>
    <row r="551" spans="1:20" x14ac:dyDescent="0.2">
      <c r="A551" s="1" t="s">
        <v>333</v>
      </c>
      <c r="B551" s="2" t="s">
        <v>17</v>
      </c>
      <c r="D551" s="4" t="s">
        <v>18</v>
      </c>
      <c r="F551" s="6">
        <v>1</v>
      </c>
      <c r="G551" s="7" t="s">
        <v>19</v>
      </c>
      <c r="H551" s="6">
        <v>72</v>
      </c>
      <c r="I551" s="7" t="s">
        <v>18</v>
      </c>
      <c r="J551" s="8">
        <v>20700</v>
      </c>
      <c r="K551" s="4" t="s">
        <v>18</v>
      </c>
      <c r="L551" s="9">
        <v>0.125</v>
      </c>
      <c r="M551" s="9">
        <v>0.05</v>
      </c>
      <c r="O551" s="7" t="s">
        <v>18</v>
      </c>
      <c r="P551" s="3">
        <f t="shared" si="208"/>
        <v>0</v>
      </c>
      <c r="Q551" s="7" t="s">
        <v>18</v>
      </c>
      <c r="R551" s="8">
        <f t="shared" si="209"/>
        <v>0</v>
      </c>
      <c r="S551" s="8">
        <f t="shared" si="210"/>
        <v>0</v>
      </c>
    </row>
    <row r="552" spans="1:20" x14ac:dyDescent="0.2">
      <c r="A552" s="1" t="s">
        <v>906</v>
      </c>
      <c r="B552" s="2" t="s">
        <v>17</v>
      </c>
      <c r="D552" s="4" t="s">
        <v>18</v>
      </c>
      <c r="F552" s="6">
        <v>1</v>
      </c>
      <c r="G552" s="7" t="s">
        <v>19</v>
      </c>
      <c r="H552" s="6">
        <v>96</v>
      </c>
      <c r="I552" s="7" t="s">
        <v>18</v>
      </c>
      <c r="J552" s="8">
        <v>19500</v>
      </c>
      <c r="K552" s="4" t="s">
        <v>18</v>
      </c>
      <c r="L552" s="9">
        <v>0.125</v>
      </c>
      <c r="M552" s="9">
        <v>0.05</v>
      </c>
      <c r="O552" s="7" t="s">
        <v>18</v>
      </c>
      <c r="P552" s="3">
        <f t="shared" si="208"/>
        <v>0</v>
      </c>
      <c r="Q552" s="7" t="s">
        <v>18</v>
      </c>
      <c r="R552" s="8">
        <f t="shared" si="209"/>
        <v>0</v>
      </c>
      <c r="S552" s="8">
        <f t="shared" si="210"/>
        <v>0</v>
      </c>
    </row>
    <row r="554" spans="1:20" x14ac:dyDescent="0.2">
      <c r="A554" s="1" t="s">
        <v>334</v>
      </c>
      <c r="B554" s="2" t="s">
        <v>24</v>
      </c>
      <c r="D554" s="4" t="s">
        <v>18</v>
      </c>
      <c r="F554" s="6">
        <v>1</v>
      </c>
      <c r="G554" s="7" t="s">
        <v>19</v>
      </c>
      <c r="H554" s="6">
        <v>72</v>
      </c>
      <c r="I554" s="7" t="s">
        <v>18</v>
      </c>
      <c r="J554" s="8">
        <f>1310400/72</f>
        <v>18200</v>
      </c>
      <c r="K554" s="4" t="s">
        <v>18</v>
      </c>
      <c r="M554" s="9">
        <v>0.17</v>
      </c>
      <c r="O554" s="7" t="s">
        <v>18</v>
      </c>
      <c r="P554" s="3">
        <f>(C554+(E554*F554*H554))-N554</f>
        <v>0</v>
      </c>
      <c r="Q554" s="7" t="s">
        <v>18</v>
      </c>
      <c r="R554" s="8">
        <f>S554/1.11</f>
        <v>0</v>
      </c>
      <c r="S554" s="8">
        <f>P554*(J554-(J554*L554)-((J554-(J554*L554))*M554))</f>
        <v>0</v>
      </c>
    </row>
    <row r="555" spans="1:20" x14ac:dyDescent="0.2">
      <c r="A555" s="1" t="s">
        <v>335</v>
      </c>
      <c r="B555" s="2" t="s">
        <v>24</v>
      </c>
      <c r="D555" s="4" t="s">
        <v>18</v>
      </c>
      <c r="F555" s="6">
        <v>1</v>
      </c>
      <c r="G555" s="7" t="s">
        <v>19</v>
      </c>
      <c r="H555" s="6">
        <v>72</v>
      </c>
      <c r="I555" s="7" t="s">
        <v>18</v>
      </c>
      <c r="J555" s="8">
        <f>1512000/72</f>
        <v>21000</v>
      </c>
      <c r="K555" s="4" t="s">
        <v>18</v>
      </c>
      <c r="L555" s="9">
        <v>0.125</v>
      </c>
      <c r="M555" s="9">
        <v>0.05</v>
      </c>
      <c r="O555" s="7" t="s">
        <v>18</v>
      </c>
      <c r="P555" s="3">
        <f>(C555+(E555*F555*H555))-N555</f>
        <v>0</v>
      </c>
      <c r="Q555" s="7" t="s">
        <v>18</v>
      </c>
      <c r="R555" s="8">
        <f>S555/1.11</f>
        <v>0</v>
      </c>
      <c r="S555" s="8">
        <f>P555*(J555-(J555*L555)-((J555-(J555*L555))*M555))</f>
        <v>0</v>
      </c>
    </row>
    <row r="556" spans="1:20" x14ac:dyDescent="0.2">
      <c r="A556" s="1" t="s">
        <v>766</v>
      </c>
      <c r="B556" s="2" t="s">
        <v>24</v>
      </c>
      <c r="D556" s="4" t="s">
        <v>18</v>
      </c>
      <c r="F556" s="6">
        <v>1</v>
      </c>
      <c r="G556" s="7" t="s">
        <v>19</v>
      </c>
      <c r="H556" s="6">
        <v>72</v>
      </c>
      <c r="I556" s="7" t="s">
        <v>18</v>
      </c>
      <c r="J556" s="8">
        <f>1224000/72</f>
        <v>17000</v>
      </c>
      <c r="K556" s="4" t="s">
        <v>18</v>
      </c>
      <c r="M556" s="9">
        <v>0.17</v>
      </c>
      <c r="O556" s="7" t="s">
        <v>18</v>
      </c>
      <c r="P556" s="3">
        <f>(C556+(E556*F556*H556))-N556</f>
        <v>0</v>
      </c>
      <c r="Q556" s="7" t="s">
        <v>18</v>
      </c>
      <c r="R556" s="8">
        <f>S556/1.11</f>
        <v>0</v>
      </c>
      <c r="S556" s="8">
        <f>P556*(J556-(J556*L556)-((J556-(J556*L556))*M556))</f>
        <v>0</v>
      </c>
    </row>
    <row r="557" spans="1:20" x14ac:dyDescent="0.2">
      <c r="A557" s="1" t="s">
        <v>336</v>
      </c>
      <c r="B557" s="2" t="s">
        <v>24</v>
      </c>
      <c r="D557" s="4" t="s">
        <v>18</v>
      </c>
      <c r="F557" s="6">
        <v>1</v>
      </c>
      <c r="G557" s="7" t="s">
        <v>19</v>
      </c>
      <c r="H557" s="6">
        <v>120</v>
      </c>
      <c r="I557" s="7" t="s">
        <v>18</v>
      </c>
      <c r="J557" s="8">
        <v>9000</v>
      </c>
      <c r="K557" s="4" t="s">
        <v>18</v>
      </c>
      <c r="M557" s="9">
        <v>0.17</v>
      </c>
      <c r="O557" s="7" t="s">
        <v>18</v>
      </c>
      <c r="P557" s="3">
        <f>(C557+(E557*F557*H557))-N557</f>
        <v>0</v>
      </c>
      <c r="Q557" s="7" t="s">
        <v>18</v>
      </c>
      <c r="R557" s="8">
        <f>S557/1.11</f>
        <v>0</v>
      </c>
      <c r="S557" s="8">
        <f>P557*(J557-(J557*L557)-((J557-(J557*L557))*M557))</f>
        <v>0</v>
      </c>
    </row>
    <row r="559" spans="1:20" x14ac:dyDescent="0.2">
      <c r="A559" s="24" t="s">
        <v>337</v>
      </c>
    </row>
    <row r="560" spans="1:20" x14ac:dyDescent="0.2">
      <c r="A560" s="1" t="s">
        <v>338</v>
      </c>
      <c r="B560" s="2" t="s">
        <v>17</v>
      </c>
      <c r="D560" s="4" t="s">
        <v>18</v>
      </c>
      <c r="F560" s="6">
        <v>2</v>
      </c>
      <c r="G560" s="7" t="s">
        <v>32</v>
      </c>
      <c r="H560" s="6">
        <v>24</v>
      </c>
      <c r="I560" s="7" t="s">
        <v>18</v>
      </c>
      <c r="J560" s="8">
        <v>9200</v>
      </c>
      <c r="K560" s="4" t="s">
        <v>18</v>
      </c>
      <c r="L560" s="9">
        <v>0.125</v>
      </c>
      <c r="M560" s="9">
        <v>0.05</v>
      </c>
      <c r="O560" s="7" t="s">
        <v>18</v>
      </c>
      <c r="P560" s="3">
        <f>(C560+(E560*F560*H560))-N560</f>
        <v>0</v>
      </c>
      <c r="Q560" s="7" t="s">
        <v>18</v>
      </c>
      <c r="R560" s="8">
        <f>S560/1.11</f>
        <v>0</v>
      </c>
      <c r="S560" s="8">
        <f>P560*(J560-(J560*L560)-((J560-(J560*L560))*M560))</f>
        <v>0</v>
      </c>
    </row>
    <row r="561" spans="1:20" x14ac:dyDescent="0.2">
      <c r="A561" s="1" t="s">
        <v>716</v>
      </c>
      <c r="B561" s="2" t="s">
        <v>17</v>
      </c>
      <c r="D561" s="4" t="s">
        <v>18</v>
      </c>
      <c r="F561" s="6">
        <v>4</v>
      </c>
      <c r="G561" s="7" t="s">
        <v>32</v>
      </c>
      <c r="H561" s="6">
        <v>24</v>
      </c>
      <c r="I561" s="7" t="s">
        <v>18</v>
      </c>
      <c r="J561" s="8">
        <v>6300</v>
      </c>
      <c r="K561" s="4" t="s">
        <v>18</v>
      </c>
      <c r="L561" s="9">
        <v>0.125</v>
      </c>
      <c r="M561" s="9">
        <v>0.05</v>
      </c>
      <c r="O561" s="7" t="s">
        <v>18</v>
      </c>
      <c r="P561" s="3">
        <f>(C561+(E561*F561*H561))-N561</f>
        <v>0</v>
      </c>
      <c r="Q561" s="7" t="s">
        <v>18</v>
      </c>
      <c r="R561" s="8">
        <f>S561/1.11</f>
        <v>0</v>
      </c>
      <c r="S561" s="8">
        <f>P561*(J561-(J561*L561)-((J561-(J561*L561))*M561))</f>
        <v>0</v>
      </c>
    </row>
    <row r="563" spans="1:20" x14ac:dyDescent="0.2">
      <c r="A563" s="1" t="s">
        <v>339</v>
      </c>
      <c r="B563" s="2" t="s">
        <v>24</v>
      </c>
      <c r="D563" s="4" t="s">
        <v>39</v>
      </c>
      <c r="F563" s="6">
        <v>1</v>
      </c>
      <c r="G563" s="7" t="s">
        <v>19</v>
      </c>
      <c r="H563" s="6">
        <v>12</v>
      </c>
      <c r="I563" s="7" t="s">
        <v>39</v>
      </c>
      <c r="J563" s="8">
        <f>741600/12</f>
        <v>61800</v>
      </c>
      <c r="K563" s="4" t="s">
        <v>39</v>
      </c>
      <c r="M563" s="9">
        <v>0.17</v>
      </c>
      <c r="O563" s="7" t="s">
        <v>39</v>
      </c>
      <c r="P563" s="3">
        <f>(C563+(E563*F563*H563))-N563</f>
        <v>0</v>
      </c>
      <c r="Q563" s="7" t="s">
        <v>39</v>
      </c>
      <c r="R563" s="8">
        <f>S563/1.11</f>
        <v>0</v>
      </c>
      <c r="S563" s="8">
        <f>P563*(J563-(J563*L563)-((J563-(J563*L563))*M563))</f>
        <v>0</v>
      </c>
    </row>
    <row r="564" spans="1:20" x14ac:dyDescent="0.2">
      <c r="A564" s="1" t="s">
        <v>340</v>
      </c>
      <c r="B564" s="2" t="s">
        <v>24</v>
      </c>
      <c r="D564" s="4" t="s">
        <v>39</v>
      </c>
      <c r="F564" s="6">
        <v>1</v>
      </c>
      <c r="G564" s="7" t="s">
        <v>19</v>
      </c>
      <c r="H564" s="6">
        <v>20</v>
      </c>
      <c r="I564" s="7" t="s">
        <v>39</v>
      </c>
      <c r="J564" s="8">
        <f>804000/20</f>
        <v>40200</v>
      </c>
      <c r="K564" s="4" t="s">
        <v>39</v>
      </c>
      <c r="M564" s="9">
        <v>0.17</v>
      </c>
      <c r="O564" s="7" t="s">
        <v>39</v>
      </c>
      <c r="P564" s="3">
        <f>(C564+(E564*F564*H564))-N564</f>
        <v>0</v>
      </c>
      <c r="Q564" s="7" t="s">
        <v>39</v>
      </c>
      <c r="R564" s="8">
        <f>S564/1.11</f>
        <v>0</v>
      </c>
      <c r="S564" s="8">
        <f>P564*(J564-(J564*L564)-((J564-(J564*L564))*M564))</f>
        <v>0</v>
      </c>
    </row>
    <row r="565" spans="1:20" x14ac:dyDescent="0.2">
      <c r="A565" s="1" t="s">
        <v>341</v>
      </c>
      <c r="B565" s="2" t="s">
        <v>24</v>
      </c>
      <c r="D565" s="4" t="s">
        <v>39</v>
      </c>
      <c r="F565" s="6">
        <v>1</v>
      </c>
      <c r="G565" s="7" t="s">
        <v>19</v>
      </c>
      <c r="H565" s="6">
        <v>6</v>
      </c>
      <c r="I565" s="7" t="s">
        <v>39</v>
      </c>
      <c r="J565" s="8">
        <f>810000/6</f>
        <v>135000</v>
      </c>
      <c r="K565" s="4" t="s">
        <v>39</v>
      </c>
      <c r="M565" s="9">
        <v>0.17</v>
      </c>
      <c r="O565" s="7" t="s">
        <v>39</v>
      </c>
      <c r="P565" s="3">
        <f>(C565+(E565*F565*H565))-N565</f>
        <v>0</v>
      </c>
      <c r="Q565" s="7" t="s">
        <v>39</v>
      </c>
      <c r="R565" s="8">
        <f>S565/1.11</f>
        <v>0</v>
      </c>
      <c r="S565" s="8">
        <f>P565*(J565-(J565*L565)-((J565-(J565*L565))*M565))</f>
        <v>0</v>
      </c>
    </row>
    <row r="567" spans="1:20" x14ac:dyDescent="0.2">
      <c r="A567" s="1" t="s">
        <v>1030</v>
      </c>
      <c r="B567" s="2" t="s">
        <v>170</v>
      </c>
      <c r="F567" s="6">
        <v>1</v>
      </c>
      <c r="G567" s="7" t="s">
        <v>19</v>
      </c>
      <c r="H567" s="6">
        <v>96</v>
      </c>
      <c r="I567" s="7" t="s">
        <v>809</v>
      </c>
      <c r="J567" s="8">
        <v>16500</v>
      </c>
      <c r="K567" s="4" t="s">
        <v>809</v>
      </c>
      <c r="L567" s="9">
        <v>7.0000000000000007E-2</v>
      </c>
      <c r="O567" s="7" t="s">
        <v>809</v>
      </c>
      <c r="P567" s="3">
        <f>(C567+(E567*F567*H567))-N567</f>
        <v>0</v>
      </c>
      <c r="Q567" s="7" t="s">
        <v>97</v>
      </c>
      <c r="R567" s="8">
        <f>S567/1.11</f>
        <v>0</v>
      </c>
      <c r="S567" s="8">
        <f>P567*(J567-(J567*L567)-((J567-(J567*L567))*M567))</f>
        <v>0</v>
      </c>
    </row>
    <row r="568" spans="1:20" x14ac:dyDescent="0.2">
      <c r="A568" s="1" t="s">
        <v>1031</v>
      </c>
      <c r="B568" s="2" t="s">
        <v>170</v>
      </c>
      <c r="F568" s="6">
        <v>1</v>
      </c>
      <c r="G568" s="7" t="s">
        <v>19</v>
      </c>
      <c r="H568" s="6">
        <v>96</v>
      </c>
      <c r="I568" s="7" t="s">
        <v>809</v>
      </c>
      <c r="J568" s="8">
        <v>16500</v>
      </c>
      <c r="K568" s="4" t="s">
        <v>809</v>
      </c>
      <c r="L568" s="9">
        <v>7.0000000000000007E-2</v>
      </c>
      <c r="O568" s="7" t="s">
        <v>809</v>
      </c>
      <c r="P568" s="3">
        <f>(C568+(E568*F568*H568))-N568</f>
        <v>0</v>
      </c>
      <c r="Q568" s="7" t="s">
        <v>97</v>
      </c>
      <c r="R568" s="8">
        <f>S568/1.11</f>
        <v>0</v>
      </c>
      <c r="S568" s="8">
        <f>P568*(J568-(J568*L568)-((J568-(J568*L568))*M568))</f>
        <v>0</v>
      </c>
    </row>
    <row r="569" spans="1:20" x14ac:dyDescent="0.2">
      <c r="A569" s="1" t="s">
        <v>1032</v>
      </c>
      <c r="B569" s="2" t="s">
        <v>170</v>
      </c>
      <c r="F569" s="6">
        <v>1</v>
      </c>
      <c r="G569" s="7" t="s">
        <v>19</v>
      </c>
      <c r="H569" s="6">
        <v>160</v>
      </c>
      <c r="I569" s="7" t="s">
        <v>809</v>
      </c>
      <c r="J569" s="8">
        <v>10000</v>
      </c>
      <c r="K569" s="4" t="s">
        <v>809</v>
      </c>
      <c r="L569" s="9">
        <v>7.0000000000000007E-2</v>
      </c>
      <c r="O569" s="7" t="s">
        <v>809</v>
      </c>
      <c r="P569" s="3">
        <f>(C569+(E569*F569*H569))-N569</f>
        <v>0</v>
      </c>
      <c r="Q569" s="7" t="s">
        <v>97</v>
      </c>
      <c r="R569" s="8">
        <f>S569/1.11</f>
        <v>0</v>
      </c>
      <c r="S569" s="8">
        <f>P569*(J569-(J569*L569)-((J569-(J569*L569))*M569))</f>
        <v>0</v>
      </c>
    </row>
    <row r="570" spans="1:20" x14ac:dyDescent="0.2">
      <c r="A570" s="1" t="s">
        <v>1033</v>
      </c>
      <c r="B570" s="2" t="s">
        <v>170</v>
      </c>
      <c r="F570" s="6">
        <v>1</v>
      </c>
      <c r="G570" s="7" t="s">
        <v>19</v>
      </c>
      <c r="H570" s="6">
        <v>160</v>
      </c>
      <c r="I570" s="7" t="s">
        <v>809</v>
      </c>
      <c r="J570" s="8">
        <v>10000</v>
      </c>
      <c r="K570" s="4" t="s">
        <v>809</v>
      </c>
      <c r="L570" s="9">
        <v>7.0000000000000007E-2</v>
      </c>
      <c r="O570" s="7" t="s">
        <v>809</v>
      </c>
      <c r="P570" s="3">
        <f t="shared" ref="P570:P571" si="211">(C570+(E570*F570*H570))-N570</f>
        <v>0</v>
      </c>
      <c r="Q570" s="7" t="s">
        <v>97</v>
      </c>
      <c r="R570" s="8">
        <f>S570/1.11</f>
        <v>0</v>
      </c>
      <c r="S570" s="8">
        <f t="shared" ref="S570:S571" si="212">P570*(J570-(J570*L570)-((J570-(J570*L570))*M570))</f>
        <v>0</v>
      </c>
    </row>
    <row r="571" spans="1:20" x14ac:dyDescent="0.2">
      <c r="A571" s="1" t="s">
        <v>1034</v>
      </c>
      <c r="B571" s="2" t="s">
        <v>170</v>
      </c>
      <c r="F571" s="6">
        <v>1</v>
      </c>
      <c r="G571" s="7" t="s">
        <v>19</v>
      </c>
      <c r="H571" s="6">
        <v>160</v>
      </c>
      <c r="I571" s="7" t="s">
        <v>809</v>
      </c>
      <c r="J571" s="8">
        <v>10000</v>
      </c>
      <c r="K571" s="4" t="s">
        <v>809</v>
      </c>
      <c r="L571" s="9">
        <v>7.0000000000000007E-2</v>
      </c>
      <c r="O571" s="7" t="s">
        <v>809</v>
      </c>
      <c r="P571" s="3">
        <f t="shared" si="211"/>
        <v>0</v>
      </c>
      <c r="Q571" s="7" t="s">
        <v>97</v>
      </c>
      <c r="R571" s="8">
        <f>S571/1.11</f>
        <v>0</v>
      </c>
      <c r="S571" s="8">
        <f t="shared" si="212"/>
        <v>0</v>
      </c>
    </row>
    <row r="573" spans="1:20" x14ac:dyDescent="0.2">
      <c r="A573" s="24" t="s">
        <v>342</v>
      </c>
      <c r="L573" s="27"/>
      <c r="M573" s="27"/>
    </row>
    <row r="574" spans="1:20" x14ac:dyDescent="0.2">
      <c r="A574" s="1" t="s">
        <v>343</v>
      </c>
      <c r="B574" s="2" t="s">
        <v>17</v>
      </c>
      <c r="D574" s="4" t="s">
        <v>150</v>
      </c>
      <c r="F574" s="6">
        <v>36</v>
      </c>
      <c r="G574" s="7" t="s">
        <v>32</v>
      </c>
      <c r="H574" s="6">
        <v>30</v>
      </c>
      <c r="I574" s="7" t="s">
        <v>150</v>
      </c>
      <c r="J574" s="8">
        <v>3200</v>
      </c>
      <c r="K574" s="4" t="s">
        <v>150</v>
      </c>
      <c r="L574" s="9">
        <v>0.125</v>
      </c>
      <c r="M574" s="9">
        <v>0.05</v>
      </c>
      <c r="O574" s="7" t="s">
        <v>150</v>
      </c>
      <c r="P574" s="3">
        <f>(C574+(E574*F574*H574))-N574</f>
        <v>0</v>
      </c>
      <c r="Q574" s="7" t="s">
        <v>150</v>
      </c>
      <c r="R574" s="8">
        <f>S574/1.11</f>
        <v>0</v>
      </c>
      <c r="S574" s="8">
        <f>P574*(J574-(J574*L574)-((J574-(J574*L574))*M574))</f>
        <v>0</v>
      </c>
      <c r="T574" s="8"/>
    </row>
    <row r="575" spans="1:20" x14ac:dyDescent="0.2">
      <c r="A575" s="1" t="s">
        <v>344</v>
      </c>
      <c r="B575" s="2" t="s">
        <v>17</v>
      </c>
      <c r="D575" s="4" t="s">
        <v>150</v>
      </c>
      <c r="F575" s="6">
        <v>36</v>
      </c>
      <c r="G575" s="7" t="s">
        <v>32</v>
      </c>
      <c r="H575" s="6">
        <v>30</v>
      </c>
      <c r="I575" s="7" t="s">
        <v>150</v>
      </c>
      <c r="J575" s="8">
        <v>2900</v>
      </c>
      <c r="K575" s="4" t="s">
        <v>150</v>
      </c>
      <c r="L575" s="9">
        <v>0.125</v>
      </c>
      <c r="M575" s="9">
        <v>0.05</v>
      </c>
      <c r="O575" s="7" t="s">
        <v>150</v>
      </c>
      <c r="P575" s="3">
        <f>(C575+(E575*F575*H575))-N575</f>
        <v>0</v>
      </c>
      <c r="Q575" s="7" t="s">
        <v>150</v>
      </c>
      <c r="R575" s="8">
        <f>S575/1.11</f>
        <v>0</v>
      </c>
      <c r="S575" s="8">
        <f>P575*(J575-(J575*L575)-((J575-(J575*L575))*M575))</f>
        <v>0</v>
      </c>
      <c r="T575" s="8"/>
    </row>
    <row r="577" spans="1:20" x14ac:dyDescent="0.2">
      <c r="A577" s="24" t="s">
        <v>345</v>
      </c>
    </row>
    <row r="578" spans="1:20" x14ac:dyDescent="0.2">
      <c r="A578" s="11" t="s">
        <v>348</v>
      </c>
      <c r="B578" s="2" t="s">
        <v>17</v>
      </c>
      <c r="D578" s="4" t="s">
        <v>97</v>
      </c>
      <c r="F578" s="6">
        <v>1</v>
      </c>
      <c r="G578" s="7" t="s">
        <v>19</v>
      </c>
      <c r="H578" s="6">
        <v>100</v>
      </c>
      <c r="I578" s="7" t="s">
        <v>97</v>
      </c>
      <c r="J578" s="8">
        <v>7600</v>
      </c>
      <c r="K578" s="4" t="s">
        <v>97</v>
      </c>
      <c r="L578" s="9">
        <v>0.125</v>
      </c>
      <c r="M578" s="9">
        <v>0.05</v>
      </c>
      <c r="O578" s="7" t="s">
        <v>97</v>
      </c>
      <c r="P578" s="3">
        <f>(C578+(E578*F578*H578))-N578</f>
        <v>0</v>
      </c>
      <c r="Q578" s="7" t="s">
        <v>97</v>
      </c>
      <c r="R578" s="8">
        <f>S578/1.11</f>
        <v>0</v>
      </c>
      <c r="S578" s="8">
        <f>P578*(J578-(J578*L578)-((J578-(J578*L578))*M578))</f>
        <v>0</v>
      </c>
      <c r="T578" s="8"/>
    </row>
    <row r="579" spans="1:20" x14ac:dyDescent="0.2">
      <c r="A579" s="11" t="s">
        <v>349</v>
      </c>
      <c r="B579" s="2" t="s">
        <v>17</v>
      </c>
      <c r="D579" s="4" t="s">
        <v>97</v>
      </c>
      <c r="F579" s="6">
        <v>1</v>
      </c>
      <c r="G579" s="7" t="s">
        <v>19</v>
      </c>
      <c r="H579" s="6">
        <v>100</v>
      </c>
      <c r="I579" s="7" t="s">
        <v>97</v>
      </c>
      <c r="J579" s="8">
        <v>8400</v>
      </c>
      <c r="K579" s="4" t="s">
        <v>97</v>
      </c>
      <c r="L579" s="9">
        <v>0.125</v>
      </c>
      <c r="M579" s="9">
        <v>0.05</v>
      </c>
      <c r="O579" s="7" t="s">
        <v>97</v>
      </c>
      <c r="P579" s="3">
        <f>(C579+(E579*F579*H579))-N579</f>
        <v>0</v>
      </c>
      <c r="Q579" s="7" t="s">
        <v>97</v>
      </c>
      <c r="R579" s="8">
        <f>S579/1.11</f>
        <v>0</v>
      </c>
      <c r="S579" s="8">
        <f>P579*(J579-(J579*L579)-((J579-(J579*L579))*M579))</f>
        <v>0</v>
      </c>
      <c r="T579" s="8"/>
    </row>
    <row r="580" spans="1:20" x14ac:dyDescent="0.2">
      <c r="A580" s="11"/>
      <c r="T580" s="8"/>
    </row>
    <row r="581" spans="1:20" x14ac:dyDescent="0.2">
      <c r="A581" s="11" t="s">
        <v>346</v>
      </c>
      <c r="B581" s="2" t="s">
        <v>24</v>
      </c>
      <c r="D581" s="4" t="s">
        <v>32</v>
      </c>
      <c r="F581" s="6">
        <v>10</v>
      </c>
      <c r="G581" s="7" t="s">
        <v>97</v>
      </c>
      <c r="H581" s="6">
        <v>10</v>
      </c>
      <c r="I581" s="7" t="s">
        <v>32</v>
      </c>
      <c r="J581" s="8">
        <f>980000/100</f>
        <v>9800</v>
      </c>
      <c r="K581" s="4" t="s">
        <v>32</v>
      </c>
      <c r="M581" s="9">
        <v>0.17</v>
      </c>
      <c r="O581" s="7" t="s">
        <v>32</v>
      </c>
      <c r="P581" s="3">
        <f>(C581+(E581*F581*H581))-N581</f>
        <v>0</v>
      </c>
      <c r="Q581" s="7" t="s">
        <v>32</v>
      </c>
      <c r="R581" s="8">
        <f>S581/1.11</f>
        <v>0</v>
      </c>
      <c r="S581" s="8">
        <f>P581*(J581-(J581*L581)-((J581-(J581*L581))*M581))</f>
        <v>0</v>
      </c>
    </row>
    <row r="582" spans="1:20" x14ac:dyDescent="0.2">
      <c r="A582" s="11" t="s">
        <v>347</v>
      </c>
      <c r="B582" s="2" t="s">
        <v>24</v>
      </c>
      <c r="D582" s="4" t="s">
        <v>32</v>
      </c>
      <c r="F582" s="6">
        <v>10</v>
      </c>
      <c r="G582" s="7" t="s">
        <v>97</v>
      </c>
      <c r="H582" s="6">
        <v>10</v>
      </c>
      <c r="I582" s="7" t="s">
        <v>32</v>
      </c>
      <c r="J582" s="8">
        <f>980000/100</f>
        <v>9800</v>
      </c>
      <c r="K582" s="4" t="s">
        <v>32</v>
      </c>
      <c r="M582" s="9">
        <v>0.17</v>
      </c>
      <c r="O582" s="7" t="s">
        <v>32</v>
      </c>
      <c r="P582" s="3">
        <f>(C582+(E582*F582*H582))-N582</f>
        <v>0</v>
      </c>
      <c r="Q582" s="7" t="s">
        <v>32</v>
      </c>
      <c r="R582" s="8">
        <f>S582/1.11</f>
        <v>0</v>
      </c>
      <c r="S582" s="8">
        <f>P582*(J582-(J582*L582)-((J582-(J582*L582))*M582))</f>
        <v>0</v>
      </c>
    </row>
    <row r="584" spans="1:20" x14ac:dyDescent="0.2">
      <c r="A584" s="24" t="s">
        <v>350</v>
      </c>
    </row>
    <row r="585" spans="1:20" x14ac:dyDescent="0.2">
      <c r="A585" s="24" t="s">
        <v>351</v>
      </c>
    </row>
    <row r="586" spans="1:20" x14ac:dyDescent="0.2">
      <c r="A586" s="1" t="s">
        <v>352</v>
      </c>
      <c r="B586" s="2" t="s">
        <v>17</v>
      </c>
      <c r="D586" s="4" t="s">
        <v>39</v>
      </c>
      <c r="F586" s="6">
        <v>1</v>
      </c>
      <c r="G586" s="7" t="s">
        <v>19</v>
      </c>
      <c r="H586" s="6">
        <v>144</v>
      </c>
      <c r="I586" s="7" t="s">
        <v>39</v>
      </c>
      <c r="J586" s="8">
        <v>28200</v>
      </c>
      <c r="K586" s="4" t="s">
        <v>39</v>
      </c>
      <c r="L586" s="9">
        <v>0.125</v>
      </c>
      <c r="M586" s="9">
        <v>0.05</v>
      </c>
      <c r="O586" s="7" t="s">
        <v>39</v>
      </c>
      <c r="P586" s="3">
        <f t="shared" ref="P586:P597" si="213">(C586+(E586*F586*H586))-N586</f>
        <v>0</v>
      </c>
      <c r="Q586" s="7" t="s">
        <v>39</v>
      </c>
      <c r="R586" s="8">
        <f t="shared" ref="R586:R601" si="214">S586/1.11</f>
        <v>0</v>
      </c>
      <c r="S586" s="8">
        <f t="shared" ref="S586:S597" si="215">P586*(J586-(J586*L586)-((J586-(J586*L586))*M586))</f>
        <v>0</v>
      </c>
    </row>
    <row r="587" spans="1:20" x14ac:dyDescent="0.2">
      <c r="A587" s="1" t="s">
        <v>982</v>
      </c>
      <c r="B587" s="2" t="s">
        <v>17</v>
      </c>
      <c r="D587" s="4" t="s">
        <v>39</v>
      </c>
      <c r="F587" s="6">
        <v>1</v>
      </c>
      <c r="G587" s="7" t="s">
        <v>19</v>
      </c>
      <c r="H587" s="6">
        <v>144</v>
      </c>
      <c r="I587" s="7" t="s">
        <v>39</v>
      </c>
      <c r="J587" s="8">
        <v>45600</v>
      </c>
      <c r="K587" s="4" t="s">
        <v>39</v>
      </c>
      <c r="L587" s="9">
        <v>0.125</v>
      </c>
      <c r="M587" s="9">
        <v>0.05</v>
      </c>
      <c r="O587" s="7" t="s">
        <v>39</v>
      </c>
      <c r="P587" s="3">
        <f>(C587+(E587*F587*H587))-N587</f>
        <v>0</v>
      </c>
      <c r="Q587" s="7" t="s">
        <v>39</v>
      </c>
      <c r="R587" s="8">
        <f t="shared" si="214"/>
        <v>0</v>
      </c>
      <c r="S587" s="8">
        <f>P587*(J587-(J587*L587)-((J587-(J587*L587))*M587))</f>
        <v>0</v>
      </c>
    </row>
    <row r="588" spans="1:20" x14ac:dyDescent="0.2">
      <c r="A588" s="1" t="s">
        <v>353</v>
      </c>
      <c r="B588" s="2" t="s">
        <v>17</v>
      </c>
      <c r="D588" s="4" t="s">
        <v>39</v>
      </c>
      <c r="F588" s="6">
        <v>1</v>
      </c>
      <c r="G588" s="7" t="s">
        <v>19</v>
      </c>
      <c r="H588" s="6">
        <v>144</v>
      </c>
      <c r="I588" s="7" t="s">
        <v>39</v>
      </c>
      <c r="J588" s="8">
        <v>7800</v>
      </c>
      <c r="K588" s="4" t="s">
        <v>39</v>
      </c>
      <c r="L588" s="9">
        <v>0.125</v>
      </c>
      <c r="M588" s="9">
        <v>0.05</v>
      </c>
      <c r="O588" s="7" t="s">
        <v>39</v>
      </c>
      <c r="P588" s="3">
        <f>(C588+(E588*F588*H588))-N588</f>
        <v>0</v>
      </c>
      <c r="Q588" s="7" t="s">
        <v>39</v>
      </c>
      <c r="R588" s="8">
        <f t="shared" si="214"/>
        <v>0</v>
      </c>
      <c r="S588" s="8">
        <f>P588*(J588-(J588*L588)-((J588-(J588*L588))*M588))</f>
        <v>0</v>
      </c>
    </row>
    <row r="589" spans="1:20" x14ac:dyDescent="0.2">
      <c r="A589" s="1" t="s">
        <v>354</v>
      </c>
      <c r="B589" s="2" t="s">
        <v>17</v>
      </c>
      <c r="C589" s="3">
        <v>144</v>
      </c>
      <c r="D589" s="4" t="s">
        <v>39</v>
      </c>
      <c r="F589" s="6">
        <v>1</v>
      </c>
      <c r="G589" s="7" t="s">
        <v>19</v>
      </c>
      <c r="H589" s="6">
        <v>144</v>
      </c>
      <c r="I589" s="7" t="s">
        <v>39</v>
      </c>
      <c r="J589" s="8">
        <v>6900</v>
      </c>
      <c r="K589" s="4" t="s">
        <v>39</v>
      </c>
      <c r="L589" s="9">
        <v>0.125</v>
      </c>
      <c r="M589" s="9">
        <v>0.05</v>
      </c>
      <c r="O589" s="7" t="s">
        <v>39</v>
      </c>
      <c r="P589" s="3">
        <f t="shared" si="213"/>
        <v>144</v>
      </c>
      <c r="Q589" s="7" t="s">
        <v>39</v>
      </c>
      <c r="R589" s="8">
        <f t="shared" si="214"/>
        <v>744081.08108108107</v>
      </c>
      <c r="S589" s="8">
        <f t="shared" si="215"/>
        <v>825930</v>
      </c>
    </row>
    <row r="590" spans="1:20" x14ac:dyDescent="0.2">
      <c r="A590" s="1" t="s">
        <v>738</v>
      </c>
      <c r="B590" s="2" t="s">
        <v>17</v>
      </c>
      <c r="C590" s="3">
        <v>144</v>
      </c>
      <c r="D590" s="4" t="s">
        <v>39</v>
      </c>
      <c r="F590" s="6">
        <v>1</v>
      </c>
      <c r="G590" s="7" t="s">
        <v>19</v>
      </c>
      <c r="H590" s="6">
        <v>144</v>
      </c>
      <c r="I590" s="7" t="s">
        <v>39</v>
      </c>
      <c r="J590" s="8">
        <v>7020</v>
      </c>
      <c r="K590" s="4" t="s">
        <v>39</v>
      </c>
      <c r="L590" s="9">
        <v>0.125</v>
      </c>
      <c r="M590" s="9">
        <v>0.05</v>
      </c>
      <c r="O590" s="7" t="s">
        <v>39</v>
      </c>
      <c r="P590" s="3">
        <f t="shared" si="213"/>
        <v>144</v>
      </c>
      <c r="Q590" s="7" t="s">
        <v>39</v>
      </c>
      <c r="R590" s="8">
        <f t="shared" si="214"/>
        <v>757021.62162162154</v>
      </c>
      <c r="S590" s="8">
        <f t="shared" si="215"/>
        <v>840294</v>
      </c>
    </row>
    <row r="591" spans="1:20" x14ac:dyDescent="0.2">
      <c r="A591" s="1" t="s">
        <v>355</v>
      </c>
      <c r="B591" s="2" t="s">
        <v>17</v>
      </c>
      <c r="D591" s="4" t="s">
        <v>39</v>
      </c>
      <c r="F591" s="6">
        <v>1</v>
      </c>
      <c r="G591" s="7" t="s">
        <v>19</v>
      </c>
      <c r="H591" s="6">
        <v>144</v>
      </c>
      <c r="I591" s="7" t="s">
        <v>39</v>
      </c>
      <c r="J591" s="8">
        <v>7200</v>
      </c>
      <c r="K591" s="4" t="s">
        <v>39</v>
      </c>
      <c r="L591" s="9">
        <v>0.125</v>
      </c>
      <c r="M591" s="9">
        <v>0.05</v>
      </c>
      <c r="O591" s="7" t="s">
        <v>39</v>
      </c>
      <c r="P591" s="3">
        <f t="shared" ref="P591" si="216">(C591+(E591*F591*H591))-N591</f>
        <v>0</v>
      </c>
      <c r="Q591" s="7" t="s">
        <v>39</v>
      </c>
      <c r="R591" s="8">
        <f t="shared" si="214"/>
        <v>0</v>
      </c>
      <c r="S591" s="8">
        <f t="shared" ref="S591" si="217">P591*(J591-(J591*L591)-((J591-(J591*L591))*M591))</f>
        <v>0</v>
      </c>
    </row>
    <row r="592" spans="1:20" x14ac:dyDescent="0.2">
      <c r="A592" s="1" t="s">
        <v>705</v>
      </c>
      <c r="B592" s="2" t="s">
        <v>17</v>
      </c>
      <c r="D592" s="4" t="s">
        <v>39</v>
      </c>
      <c r="F592" s="6">
        <v>1</v>
      </c>
      <c r="G592" s="7" t="s">
        <v>19</v>
      </c>
      <c r="H592" s="6">
        <v>144</v>
      </c>
      <c r="I592" s="7" t="s">
        <v>39</v>
      </c>
      <c r="J592" s="8">
        <v>6600</v>
      </c>
      <c r="K592" s="4" t="s">
        <v>39</v>
      </c>
      <c r="L592" s="9">
        <v>0.125</v>
      </c>
      <c r="M592" s="9">
        <v>0.05</v>
      </c>
      <c r="O592" s="7" t="s">
        <v>39</v>
      </c>
      <c r="P592" s="3">
        <f t="shared" si="213"/>
        <v>0</v>
      </c>
      <c r="Q592" s="7" t="s">
        <v>39</v>
      </c>
      <c r="R592" s="8">
        <f t="shared" si="214"/>
        <v>0</v>
      </c>
      <c r="S592" s="8">
        <f t="shared" si="215"/>
        <v>0</v>
      </c>
    </row>
    <row r="593" spans="1:19" x14ac:dyDescent="0.2">
      <c r="A593" s="1" t="s">
        <v>637</v>
      </c>
      <c r="B593" s="2" t="s">
        <v>17</v>
      </c>
      <c r="D593" s="4" t="s">
        <v>39</v>
      </c>
      <c r="F593" s="6">
        <v>1</v>
      </c>
      <c r="G593" s="7" t="s">
        <v>19</v>
      </c>
      <c r="H593" s="6">
        <v>144</v>
      </c>
      <c r="I593" s="7" t="s">
        <v>39</v>
      </c>
      <c r="J593" s="8">
        <v>6120</v>
      </c>
      <c r="K593" s="4" t="s">
        <v>39</v>
      </c>
      <c r="L593" s="9">
        <v>0.125</v>
      </c>
      <c r="M593" s="9">
        <v>0.05</v>
      </c>
      <c r="O593" s="7" t="s">
        <v>39</v>
      </c>
      <c r="P593" s="3">
        <f t="shared" ref="P593" si="218">(C593+(E593*F593*H593))-N593</f>
        <v>0</v>
      </c>
      <c r="Q593" s="7" t="s">
        <v>39</v>
      </c>
      <c r="R593" s="8">
        <f t="shared" si="214"/>
        <v>0</v>
      </c>
      <c r="S593" s="8">
        <f t="shared" ref="S593" si="219">P593*(J593-(J593*L593)-((J593-(J593*L593))*M593))</f>
        <v>0</v>
      </c>
    </row>
    <row r="594" spans="1:19" x14ac:dyDescent="0.2">
      <c r="A594" s="1" t="s">
        <v>681</v>
      </c>
      <c r="B594" s="2" t="s">
        <v>17</v>
      </c>
      <c r="D594" s="4" t="s">
        <v>39</v>
      </c>
      <c r="F594" s="6">
        <v>1</v>
      </c>
      <c r="G594" s="7" t="s">
        <v>19</v>
      </c>
      <c r="H594" s="6">
        <v>144</v>
      </c>
      <c r="I594" s="7" t="s">
        <v>39</v>
      </c>
      <c r="J594" s="8">
        <v>6000</v>
      </c>
      <c r="K594" s="4" t="s">
        <v>39</v>
      </c>
      <c r="L594" s="9">
        <v>0.125</v>
      </c>
      <c r="M594" s="9">
        <v>0.05</v>
      </c>
      <c r="O594" s="7" t="s">
        <v>39</v>
      </c>
      <c r="P594" s="3">
        <f t="shared" si="213"/>
        <v>0</v>
      </c>
      <c r="Q594" s="7" t="s">
        <v>39</v>
      </c>
      <c r="R594" s="8">
        <f t="shared" si="214"/>
        <v>0</v>
      </c>
      <c r="S594" s="8">
        <f t="shared" si="215"/>
        <v>0</v>
      </c>
    </row>
    <row r="595" spans="1:19" x14ac:dyDescent="0.2">
      <c r="A595" s="1" t="s">
        <v>905</v>
      </c>
      <c r="B595" s="2" t="s">
        <v>17</v>
      </c>
      <c r="D595" s="4" t="s">
        <v>39</v>
      </c>
      <c r="F595" s="6">
        <v>1</v>
      </c>
      <c r="G595" s="7" t="s">
        <v>19</v>
      </c>
      <c r="H595" s="6">
        <v>144</v>
      </c>
      <c r="I595" s="7" t="s">
        <v>39</v>
      </c>
      <c r="J595" s="8">
        <v>42600</v>
      </c>
      <c r="K595" s="4" t="s">
        <v>39</v>
      </c>
      <c r="L595" s="9">
        <v>0.125</v>
      </c>
      <c r="M595" s="9">
        <v>0.05</v>
      </c>
      <c r="O595" s="7" t="s">
        <v>39</v>
      </c>
      <c r="P595" s="3">
        <f t="shared" ref="P595" si="220">(C595+(E595*F595*H595))-N595</f>
        <v>0</v>
      </c>
      <c r="Q595" s="7" t="s">
        <v>39</v>
      </c>
      <c r="R595" s="8">
        <f t="shared" si="214"/>
        <v>0</v>
      </c>
      <c r="S595" s="8">
        <f t="shared" ref="S595" si="221">P595*(J595-(J595*L595)-((J595-(J595*L595))*M595))</f>
        <v>0</v>
      </c>
    </row>
    <row r="596" spans="1:19" x14ac:dyDescent="0.2">
      <c r="A596" s="1" t="s">
        <v>941</v>
      </c>
      <c r="B596" s="2" t="s">
        <v>17</v>
      </c>
      <c r="D596" s="4" t="s">
        <v>39</v>
      </c>
      <c r="F596" s="6">
        <v>1</v>
      </c>
      <c r="G596" s="7" t="s">
        <v>19</v>
      </c>
      <c r="H596" s="6">
        <v>144</v>
      </c>
      <c r="I596" s="7" t="s">
        <v>39</v>
      </c>
      <c r="J596" s="8">
        <v>7200</v>
      </c>
      <c r="K596" s="4" t="s">
        <v>39</v>
      </c>
      <c r="L596" s="9">
        <v>0.125</v>
      </c>
      <c r="M596" s="9">
        <v>0.05</v>
      </c>
      <c r="O596" s="7" t="s">
        <v>39</v>
      </c>
      <c r="P596" s="3">
        <f>(C596+(E596*F596*H596))-N596</f>
        <v>0</v>
      </c>
      <c r="Q596" s="7" t="s">
        <v>39</v>
      </c>
      <c r="R596" s="8">
        <f t="shared" si="214"/>
        <v>0</v>
      </c>
      <c r="S596" s="8">
        <f>P596*(J596-(J596*L596)-((J596-(J596*L596))*M596))</f>
        <v>0</v>
      </c>
    </row>
    <row r="597" spans="1:19" x14ac:dyDescent="0.2">
      <c r="A597" s="1" t="s">
        <v>356</v>
      </c>
      <c r="B597" s="2" t="s">
        <v>17</v>
      </c>
      <c r="D597" s="4" t="s">
        <v>39</v>
      </c>
      <c r="F597" s="6">
        <v>1</v>
      </c>
      <c r="G597" s="7" t="s">
        <v>19</v>
      </c>
      <c r="H597" s="6">
        <v>144</v>
      </c>
      <c r="I597" s="7" t="s">
        <v>39</v>
      </c>
      <c r="J597" s="8">
        <v>5100</v>
      </c>
      <c r="K597" s="4" t="s">
        <v>39</v>
      </c>
      <c r="L597" s="9">
        <v>0.125</v>
      </c>
      <c r="M597" s="9">
        <v>0.05</v>
      </c>
      <c r="O597" s="7" t="s">
        <v>39</v>
      </c>
      <c r="P597" s="3">
        <f t="shared" si="213"/>
        <v>0</v>
      </c>
      <c r="Q597" s="7" t="s">
        <v>39</v>
      </c>
      <c r="R597" s="8">
        <f t="shared" si="214"/>
        <v>0</v>
      </c>
      <c r="S597" s="8">
        <f t="shared" si="215"/>
        <v>0</v>
      </c>
    </row>
    <row r="598" spans="1:19" x14ac:dyDescent="0.2">
      <c r="A598" s="1" t="s">
        <v>357</v>
      </c>
      <c r="B598" s="2" t="s">
        <v>17</v>
      </c>
      <c r="D598" s="4" t="s">
        <v>39</v>
      </c>
      <c r="F598" s="6">
        <v>1</v>
      </c>
      <c r="G598" s="7" t="s">
        <v>19</v>
      </c>
      <c r="H598" s="6">
        <v>144</v>
      </c>
      <c r="I598" s="7" t="s">
        <v>39</v>
      </c>
      <c r="J598" s="8">
        <v>12600</v>
      </c>
      <c r="K598" s="4" t="s">
        <v>39</v>
      </c>
      <c r="L598" s="9">
        <v>0.125</v>
      </c>
      <c r="M598" s="9">
        <v>0.05</v>
      </c>
      <c r="O598" s="7" t="s">
        <v>39</v>
      </c>
      <c r="P598" s="3">
        <f>(C598+(E598*F598*H598))-N598</f>
        <v>0</v>
      </c>
      <c r="Q598" s="7" t="s">
        <v>39</v>
      </c>
      <c r="R598" s="8">
        <f t="shared" si="214"/>
        <v>0</v>
      </c>
      <c r="S598" s="8">
        <f>P598*(J598-(J598*L598)-((J598-(J598*L598))*M598))</f>
        <v>0</v>
      </c>
    </row>
    <row r="599" spans="1:19" x14ac:dyDescent="0.2">
      <c r="A599" s="1" t="s">
        <v>942</v>
      </c>
      <c r="B599" s="2" t="s">
        <v>17</v>
      </c>
      <c r="D599" s="4" t="s">
        <v>39</v>
      </c>
      <c r="F599" s="6">
        <v>1</v>
      </c>
      <c r="G599" s="7" t="s">
        <v>19</v>
      </c>
      <c r="H599" s="6">
        <v>144</v>
      </c>
      <c r="I599" s="7" t="s">
        <v>39</v>
      </c>
      <c r="J599" s="8">
        <v>13200</v>
      </c>
      <c r="K599" s="4" t="s">
        <v>39</v>
      </c>
      <c r="L599" s="9">
        <v>0.125</v>
      </c>
      <c r="M599" s="9">
        <v>0.05</v>
      </c>
      <c r="O599" s="7" t="s">
        <v>39</v>
      </c>
      <c r="P599" s="3">
        <f>(C599+(E599*F599*H599))-N599</f>
        <v>0</v>
      </c>
      <c r="Q599" s="7" t="s">
        <v>39</v>
      </c>
      <c r="R599" s="8">
        <f t="shared" si="214"/>
        <v>0</v>
      </c>
      <c r="S599" s="8">
        <f>P599*(J599-(J599*L599)-((J599-(J599*L599))*M599))</f>
        <v>0</v>
      </c>
    </row>
    <row r="600" spans="1:19" x14ac:dyDescent="0.2">
      <c r="A600" s="1" t="s">
        <v>1015</v>
      </c>
      <c r="B600" s="2" t="s">
        <v>17</v>
      </c>
      <c r="C600" s="3">
        <v>144</v>
      </c>
      <c r="D600" s="4" t="s">
        <v>39</v>
      </c>
      <c r="F600" s="6">
        <v>1</v>
      </c>
      <c r="G600" s="7" t="s">
        <v>19</v>
      </c>
      <c r="H600" s="6">
        <v>144</v>
      </c>
      <c r="I600" s="7" t="s">
        <v>39</v>
      </c>
      <c r="J600" s="8">
        <v>13200</v>
      </c>
      <c r="K600" s="4" t="s">
        <v>39</v>
      </c>
      <c r="L600" s="9">
        <v>0.125</v>
      </c>
      <c r="M600" s="9">
        <v>0.05</v>
      </c>
      <c r="O600" s="7" t="s">
        <v>39</v>
      </c>
      <c r="P600" s="3">
        <f>(C600+(E600*F600*H600))-N600</f>
        <v>144</v>
      </c>
      <c r="Q600" s="7" t="s">
        <v>39</v>
      </c>
      <c r="R600" s="8">
        <f t="shared" si="214"/>
        <v>1423459.4594594594</v>
      </c>
      <c r="S600" s="8">
        <f>P600*(J600-(J600*L600)-((J600-(J600*L600))*M600))</f>
        <v>1580040</v>
      </c>
    </row>
    <row r="601" spans="1:19" x14ac:dyDescent="0.2">
      <c r="A601" s="1" t="s">
        <v>943</v>
      </c>
      <c r="B601" s="2" t="s">
        <v>17</v>
      </c>
      <c r="D601" s="4" t="s">
        <v>39</v>
      </c>
      <c r="F601" s="6">
        <v>1</v>
      </c>
      <c r="G601" s="7" t="s">
        <v>19</v>
      </c>
      <c r="H601" s="6">
        <v>144</v>
      </c>
      <c r="I601" s="7" t="s">
        <v>39</v>
      </c>
      <c r="J601" s="8">
        <v>13200</v>
      </c>
      <c r="K601" s="4" t="s">
        <v>39</v>
      </c>
      <c r="L601" s="9">
        <v>0.125</v>
      </c>
      <c r="M601" s="9">
        <v>0.05</v>
      </c>
      <c r="O601" s="7" t="s">
        <v>39</v>
      </c>
      <c r="P601" s="3">
        <f t="shared" ref="P601" si="222">(C601+(E601*F601*H601))-N601</f>
        <v>0</v>
      </c>
      <c r="Q601" s="7" t="s">
        <v>39</v>
      </c>
      <c r="R601" s="8">
        <f t="shared" si="214"/>
        <v>0</v>
      </c>
      <c r="S601" s="8">
        <f t="shared" ref="S601" si="223">P601*(J601-(J601*L601)-((J601-(J601*L601))*M601))</f>
        <v>0</v>
      </c>
    </row>
    <row r="603" spans="1:19" x14ac:dyDescent="0.2">
      <c r="A603" s="11" t="s">
        <v>358</v>
      </c>
      <c r="B603" s="2" t="s">
        <v>24</v>
      </c>
      <c r="D603" s="4" t="s">
        <v>39</v>
      </c>
      <c r="F603" s="6">
        <v>1</v>
      </c>
      <c r="G603" s="7" t="s">
        <v>19</v>
      </c>
      <c r="H603" s="6">
        <v>144</v>
      </c>
      <c r="I603" s="7" t="s">
        <v>39</v>
      </c>
      <c r="J603" s="8">
        <v>22200</v>
      </c>
      <c r="K603" s="4" t="s">
        <v>39</v>
      </c>
      <c r="M603" s="9">
        <v>0.17</v>
      </c>
      <c r="O603" s="7" t="s">
        <v>39</v>
      </c>
      <c r="P603" s="3">
        <f t="shared" ref="P603:P606" si="224">(C603+(E603*F603*H603))-N603</f>
        <v>0</v>
      </c>
      <c r="Q603" s="7" t="s">
        <v>39</v>
      </c>
      <c r="R603" s="8">
        <f t="shared" ref="R603:R607" si="225">S603/1.11</f>
        <v>0</v>
      </c>
      <c r="S603" s="8">
        <f t="shared" ref="S603:S606" si="226">P603*(J603-(J603*L603)-((J603-(J603*L603))*M603))</f>
        <v>0</v>
      </c>
    </row>
    <row r="604" spans="1:19" x14ac:dyDescent="0.2">
      <c r="A604" s="11" t="s">
        <v>359</v>
      </c>
      <c r="B604" s="2" t="s">
        <v>24</v>
      </c>
      <c r="D604" s="4" t="s">
        <v>39</v>
      </c>
      <c r="F604" s="6">
        <v>1</v>
      </c>
      <c r="G604" s="7" t="s">
        <v>19</v>
      </c>
      <c r="H604" s="6">
        <v>144</v>
      </c>
      <c r="I604" s="7" t="s">
        <v>39</v>
      </c>
      <c r="J604" s="8">
        <f>1728000/144</f>
        <v>12000</v>
      </c>
      <c r="K604" s="4" t="s">
        <v>39</v>
      </c>
      <c r="M604" s="9">
        <v>0.17</v>
      </c>
      <c r="O604" s="7" t="s">
        <v>39</v>
      </c>
      <c r="P604" s="3">
        <f t="shared" si="224"/>
        <v>0</v>
      </c>
      <c r="Q604" s="7" t="s">
        <v>39</v>
      </c>
      <c r="R604" s="8">
        <f t="shared" si="225"/>
        <v>0</v>
      </c>
      <c r="S604" s="8">
        <f t="shared" si="226"/>
        <v>0</v>
      </c>
    </row>
    <row r="605" spans="1:19" x14ac:dyDescent="0.2">
      <c r="A605" s="11" t="s">
        <v>1019</v>
      </c>
      <c r="B605" s="2" t="s">
        <v>24</v>
      </c>
      <c r="D605" s="4" t="s">
        <v>39</v>
      </c>
      <c r="F605" s="6">
        <v>1</v>
      </c>
      <c r="G605" s="7" t="s">
        <v>19</v>
      </c>
      <c r="H605" s="6">
        <v>144</v>
      </c>
      <c r="I605" s="7" t="s">
        <v>39</v>
      </c>
      <c r="J605" s="8">
        <v>13800</v>
      </c>
      <c r="K605" s="4" t="s">
        <v>39</v>
      </c>
      <c r="M605" s="9">
        <v>0.17</v>
      </c>
      <c r="O605" s="7" t="s">
        <v>39</v>
      </c>
      <c r="P605" s="3">
        <f t="shared" si="224"/>
        <v>0</v>
      </c>
      <c r="Q605" s="7" t="s">
        <v>39</v>
      </c>
      <c r="R605" s="8">
        <f t="shared" si="225"/>
        <v>0</v>
      </c>
      <c r="S605" s="8">
        <f t="shared" si="226"/>
        <v>0</v>
      </c>
    </row>
    <row r="606" spans="1:19" x14ac:dyDescent="0.2">
      <c r="A606" s="11" t="s">
        <v>360</v>
      </c>
      <c r="B606" s="2" t="s">
        <v>24</v>
      </c>
      <c r="D606" s="4" t="s">
        <v>39</v>
      </c>
      <c r="F606" s="6">
        <v>1</v>
      </c>
      <c r="G606" s="7" t="s">
        <v>19</v>
      </c>
      <c r="H606" s="6">
        <v>144</v>
      </c>
      <c r="I606" s="7" t="s">
        <v>39</v>
      </c>
      <c r="J606" s="8">
        <f>2073600/12/12</f>
        <v>14400</v>
      </c>
      <c r="K606" s="4" t="s">
        <v>39</v>
      </c>
      <c r="M606" s="9">
        <v>0.17</v>
      </c>
      <c r="O606" s="7" t="s">
        <v>39</v>
      </c>
      <c r="P606" s="3">
        <f t="shared" si="224"/>
        <v>0</v>
      </c>
      <c r="Q606" s="7" t="s">
        <v>39</v>
      </c>
      <c r="R606" s="8">
        <f t="shared" si="225"/>
        <v>0</v>
      </c>
      <c r="S606" s="8">
        <f t="shared" si="226"/>
        <v>0</v>
      </c>
    </row>
    <row r="607" spans="1:19" x14ac:dyDescent="0.2">
      <c r="A607" s="11" t="s">
        <v>944</v>
      </c>
      <c r="B607" s="2" t="s">
        <v>24</v>
      </c>
      <c r="D607" s="4" t="s">
        <v>39</v>
      </c>
      <c r="F607" s="6">
        <v>1</v>
      </c>
      <c r="G607" s="7" t="s">
        <v>19</v>
      </c>
      <c r="H607" s="6">
        <v>144</v>
      </c>
      <c r="I607" s="7" t="s">
        <v>39</v>
      </c>
      <c r="J607" s="8">
        <v>10200</v>
      </c>
      <c r="K607" s="4" t="s">
        <v>39</v>
      </c>
      <c r="M607" s="9">
        <v>0.17</v>
      </c>
      <c r="O607" s="7" t="s">
        <v>39</v>
      </c>
      <c r="P607" s="3">
        <f t="shared" ref="P607" si="227">(C607+(E607*F607*H607))-N607</f>
        <v>0</v>
      </c>
      <c r="Q607" s="7" t="s">
        <v>39</v>
      </c>
      <c r="R607" s="8">
        <f t="shared" si="225"/>
        <v>0</v>
      </c>
      <c r="S607" s="8">
        <f t="shared" ref="S607" si="228">P607*(J607-(J607*L607)-((J607-(J607*L607))*M607))</f>
        <v>0</v>
      </c>
    </row>
    <row r="608" spans="1:19" x14ac:dyDescent="0.2">
      <c r="A608" s="11"/>
    </row>
    <row r="609" spans="1:19" x14ac:dyDescent="0.2">
      <c r="A609" s="1" t="s">
        <v>986</v>
      </c>
      <c r="B609" s="2" t="s">
        <v>170</v>
      </c>
      <c r="C609" s="3">
        <v>432</v>
      </c>
      <c r="D609" s="4" t="s">
        <v>39</v>
      </c>
      <c r="F609" s="6">
        <v>1</v>
      </c>
      <c r="G609" s="7" t="s">
        <v>19</v>
      </c>
      <c r="H609" s="6">
        <v>144</v>
      </c>
      <c r="I609" s="7" t="s">
        <v>39</v>
      </c>
      <c r="J609" s="8">
        <v>21000</v>
      </c>
      <c r="K609" s="4" t="s">
        <v>39</v>
      </c>
      <c r="L609" s="9">
        <v>7.0000000000000007E-2</v>
      </c>
      <c r="O609" s="7" t="s">
        <v>39</v>
      </c>
      <c r="P609" s="3">
        <f>(C609+(E609*F609*H609))-N609</f>
        <v>432</v>
      </c>
      <c r="Q609" s="7" t="s">
        <v>39</v>
      </c>
      <c r="R609" s="8">
        <f>S609/1.11</f>
        <v>7600864.8648648644</v>
      </c>
      <c r="S609" s="8">
        <f>P609*(J609-(J609*L609)-((J609-(J609*L609))*M609))</f>
        <v>8436960</v>
      </c>
    </row>
    <row r="610" spans="1:19" x14ac:dyDescent="0.2">
      <c r="A610" s="11"/>
    </row>
    <row r="611" spans="1:19" x14ac:dyDescent="0.2">
      <c r="A611" s="24" t="s">
        <v>361</v>
      </c>
    </row>
    <row r="612" spans="1:19" x14ac:dyDescent="0.2">
      <c r="A612" s="1" t="s">
        <v>362</v>
      </c>
      <c r="B612" s="2" t="s">
        <v>180</v>
      </c>
      <c r="C612" s="3">
        <v>1680</v>
      </c>
      <c r="D612" s="4" t="s">
        <v>39</v>
      </c>
      <c r="F612" s="6">
        <v>1</v>
      </c>
      <c r="G612" s="7" t="s">
        <v>19</v>
      </c>
      <c r="H612" s="6">
        <v>240</v>
      </c>
      <c r="I612" s="7" t="s">
        <v>39</v>
      </c>
      <c r="J612" s="8">
        <v>10000</v>
      </c>
      <c r="K612" s="4" t="s">
        <v>39</v>
      </c>
      <c r="O612" s="7" t="s">
        <v>39</v>
      </c>
      <c r="P612" s="3">
        <f>(C612+(E612*F612*H612))-N612</f>
        <v>1680</v>
      </c>
      <c r="Q612" s="7" t="s">
        <v>39</v>
      </c>
      <c r="R612" s="8">
        <f>S612/1.11</f>
        <v>15135135.135135135</v>
      </c>
      <c r="S612" s="8">
        <f>P612*(J612-(J612*L612)-((J612-(J612*L612))*M612))</f>
        <v>16800000</v>
      </c>
    </row>
    <row r="613" spans="1:19" x14ac:dyDescent="0.2">
      <c r="A613" s="1" t="s">
        <v>363</v>
      </c>
      <c r="B613" s="2" t="s">
        <v>180</v>
      </c>
      <c r="C613" s="3">
        <v>1200</v>
      </c>
      <c r="D613" s="4" t="s">
        <v>39</v>
      </c>
      <c r="F613" s="6">
        <v>1</v>
      </c>
      <c r="G613" s="7" t="s">
        <v>19</v>
      </c>
      <c r="H613" s="6">
        <v>240</v>
      </c>
      <c r="I613" s="7" t="s">
        <v>39</v>
      </c>
      <c r="J613" s="8">
        <v>10000</v>
      </c>
      <c r="K613" s="4" t="s">
        <v>39</v>
      </c>
      <c r="O613" s="7" t="s">
        <v>39</v>
      </c>
      <c r="P613" s="3">
        <f>(C613+(E613*F613*H613))-N613</f>
        <v>1200</v>
      </c>
      <c r="Q613" s="7" t="s">
        <v>39</v>
      </c>
      <c r="R613" s="8">
        <f>S613/1.11</f>
        <v>10810810.81081081</v>
      </c>
      <c r="S613" s="8">
        <f>P613*(J613-(J613*L613)-((J613-(J613*L613))*M613))</f>
        <v>12000000</v>
      </c>
    </row>
    <row r="614" spans="1:19" x14ac:dyDescent="0.2">
      <c r="A614" s="1" t="s">
        <v>364</v>
      </c>
      <c r="B614" s="2" t="s">
        <v>180</v>
      </c>
      <c r="C614" s="3">
        <v>1200</v>
      </c>
      <c r="D614" s="4" t="s">
        <v>39</v>
      </c>
      <c r="F614" s="6">
        <v>1</v>
      </c>
      <c r="G614" s="7" t="s">
        <v>19</v>
      </c>
      <c r="H614" s="6">
        <v>240</v>
      </c>
      <c r="I614" s="7" t="s">
        <v>39</v>
      </c>
      <c r="J614" s="8">
        <v>10000</v>
      </c>
      <c r="K614" s="4" t="s">
        <v>39</v>
      </c>
      <c r="O614" s="7" t="s">
        <v>39</v>
      </c>
      <c r="P614" s="3">
        <f>(C614+(E614*F614*H614))-N614</f>
        <v>1200</v>
      </c>
      <c r="Q614" s="7" t="s">
        <v>39</v>
      </c>
      <c r="R614" s="8">
        <f>S614/1.11</f>
        <v>10810810.81081081</v>
      </c>
      <c r="S614" s="8">
        <f>P614*(J614-(J614*L614)-((J614-(J614*L614))*M614))</f>
        <v>12000000</v>
      </c>
    </row>
    <row r="615" spans="1:19" x14ac:dyDescent="0.2">
      <c r="A615" s="1" t="s">
        <v>365</v>
      </c>
      <c r="B615" s="2" t="s">
        <v>180</v>
      </c>
      <c r="D615" s="4" t="s">
        <v>39</v>
      </c>
      <c r="F615" s="6">
        <v>1</v>
      </c>
      <c r="G615" s="7" t="s">
        <v>19</v>
      </c>
      <c r="H615" s="6">
        <v>240</v>
      </c>
      <c r="I615" s="7" t="s">
        <v>39</v>
      </c>
      <c r="J615" s="8">
        <v>10000</v>
      </c>
      <c r="K615" s="4" t="s">
        <v>39</v>
      </c>
      <c r="O615" s="7" t="s">
        <v>39</v>
      </c>
      <c r="P615" s="3">
        <f>(C615+(E615*F615*H615))-N615</f>
        <v>0</v>
      </c>
      <c r="Q615" s="7" t="s">
        <v>39</v>
      </c>
      <c r="R615" s="8">
        <f>S615/1.11</f>
        <v>0</v>
      </c>
      <c r="S615" s="8">
        <f>P615*(J615-(J615*L615)-((J615-(J615*L615))*M615))</f>
        <v>0</v>
      </c>
    </row>
    <row r="617" spans="1:19" x14ac:dyDescent="0.2">
      <c r="A617" s="1" t="s">
        <v>393</v>
      </c>
      <c r="B617" s="2" t="s">
        <v>258</v>
      </c>
      <c r="D617" s="4" t="s">
        <v>39</v>
      </c>
      <c r="F617" s="6">
        <v>1</v>
      </c>
      <c r="G617" s="7" t="s">
        <v>19</v>
      </c>
      <c r="H617" s="6">
        <v>120</v>
      </c>
      <c r="I617" s="7" t="s">
        <v>39</v>
      </c>
      <c r="J617" s="8">
        <v>25500</v>
      </c>
      <c r="K617" s="4" t="s">
        <v>39</v>
      </c>
      <c r="O617" s="7" t="s">
        <v>39</v>
      </c>
      <c r="P617" s="3">
        <f>(C617+(E617*F617*H617))-N617</f>
        <v>0</v>
      </c>
      <c r="Q617" s="7" t="s">
        <v>39</v>
      </c>
      <c r="R617" s="8">
        <f>S617/1.11</f>
        <v>0</v>
      </c>
      <c r="S617" s="8">
        <f>P617*(J617-(J617*L617)-((J617-(J617*L617))*M617))</f>
        <v>0</v>
      </c>
    </row>
    <row r="618" spans="1:19" x14ac:dyDescent="0.2">
      <c r="A618" s="1" t="s">
        <v>727</v>
      </c>
      <c r="B618" s="2" t="s">
        <v>258</v>
      </c>
      <c r="D618" s="4" t="s">
        <v>39</v>
      </c>
      <c r="F618" s="6">
        <v>1</v>
      </c>
      <c r="G618" s="7" t="s">
        <v>19</v>
      </c>
      <c r="H618" s="6">
        <v>120</v>
      </c>
      <c r="I618" s="7" t="s">
        <v>39</v>
      </c>
      <c r="J618" s="8">
        <v>19000</v>
      </c>
      <c r="K618" s="4" t="s">
        <v>39</v>
      </c>
      <c r="O618" s="7" t="s">
        <v>39</v>
      </c>
      <c r="P618" s="3">
        <f>(C618+(E618*F618*H618))-N618</f>
        <v>0</v>
      </c>
      <c r="Q618" s="7" t="s">
        <v>39</v>
      </c>
      <c r="R618" s="8">
        <f>S618/1.11</f>
        <v>0</v>
      </c>
      <c r="S618" s="8">
        <f>P618*(J618-(J618*L618)-((J618-(J618*L618))*M618))</f>
        <v>0</v>
      </c>
    </row>
    <row r="619" spans="1:19" x14ac:dyDescent="0.2">
      <c r="A619" s="1" t="s">
        <v>912</v>
      </c>
      <c r="B619" s="2" t="s">
        <v>258</v>
      </c>
      <c r="D619" s="4" t="s">
        <v>39</v>
      </c>
      <c r="F619" s="6">
        <v>1</v>
      </c>
      <c r="G619" s="7" t="s">
        <v>19</v>
      </c>
      <c r="H619" s="6">
        <v>120</v>
      </c>
      <c r="I619" s="7" t="s">
        <v>39</v>
      </c>
      <c r="J619" s="8">
        <v>25500</v>
      </c>
      <c r="K619" s="4" t="s">
        <v>39</v>
      </c>
      <c r="O619" s="7" t="s">
        <v>39</v>
      </c>
      <c r="P619" s="3">
        <f>(C619+(E619*F619*H619))-N619</f>
        <v>0</v>
      </c>
      <c r="Q619" s="7" t="s">
        <v>39</v>
      </c>
      <c r="R619" s="8">
        <f>S619/1.11</f>
        <v>0</v>
      </c>
      <c r="S619" s="8">
        <f>P619*(J619-(J619*L619)-((J619-(J619*L619))*M619))</f>
        <v>0</v>
      </c>
    </row>
    <row r="620" spans="1:19" x14ac:dyDescent="0.2">
      <c r="A620" s="1" t="s">
        <v>990</v>
      </c>
      <c r="B620" s="2" t="s">
        <v>258</v>
      </c>
      <c r="D620" s="4" t="s">
        <v>39</v>
      </c>
      <c r="F620" s="6">
        <v>1</v>
      </c>
      <c r="G620" s="7" t="s">
        <v>19</v>
      </c>
      <c r="H620" s="6">
        <v>120</v>
      </c>
      <c r="I620" s="7" t="s">
        <v>39</v>
      </c>
      <c r="J620" s="8">
        <v>30500</v>
      </c>
      <c r="K620" s="4" t="s">
        <v>39</v>
      </c>
      <c r="O620" s="7" t="s">
        <v>39</v>
      </c>
      <c r="P620" s="3">
        <f>(C620+(E620*F620*H620))-N620</f>
        <v>0</v>
      </c>
      <c r="Q620" s="7" t="s">
        <v>39</v>
      </c>
      <c r="R620" s="8">
        <f>S620/1.11</f>
        <v>0</v>
      </c>
      <c r="S620" s="8">
        <f>P620*(J620-(J620*L620)-((J620-(J620*L620))*M620))</f>
        <v>0</v>
      </c>
    </row>
    <row r="622" spans="1:19" x14ac:dyDescent="0.2">
      <c r="A622" s="1" t="s">
        <v>366</v>
      </c>
      <c r="B622" s="2" t="s">
        <v>17</v>
      </c>
      <c r="D622" s="4" t="s">
        <v>39</v>
      </c>
      <c r="F622" s="6">
        <v>1</v>
      </c>
      <c r="G622" s="7" t="s">
        <v>19</v>
      </c>
      <c r="H622" s="6">
        <v>144</v>
      </c>
      <c r="I622" s="7" t="s">
        <v>39</v>
      </c>
      <c r="J622" s="8">
        <v>19800</v>
      </c>
      <c r="K622" s="4" t="s">
        <v>39</v>
      </c>
      <c r="L622" s="9">
        <v>0.125</v>
      </c>
      <c r="M622" s="9">
        <v>0.05</v>
      </c>
      <c r="O622" s="7" t="s">
        <v>39</v>
      </c>
      <c r="P622" s="3">
        <f t="shared" ref="P622:P639" si="229">(C622+(E622*F622*H622))-N622</f>
        <v>0</v>
      </c>
      <c r="Q622" s="7" t="s">
        <v>39</v>
      </c>
      <c r="R622" s="8">
        <f t="shared" ref="R622:R639" si="230">S622/1.11</f>
        <v>0</v>
      </c>
      <c r="S622" s="8">
        <f t="shared" ref="S622:S639" si="231">P622*(J622-(J622*L622)-((J622-(J622*L622))*M622))</f>
        <v>0</v>
      </c>
    </row>
    <row r="623" spans="1:19" x14ac:dyDescent="0.2">
      <c r="A623" s="1" t="s">
        <v>367</v>
      </c>
      <c r="B623" s="2" t="s">
        <v>17</v>
      </c>
      <c r="D623" s="4" t="s">
        <v>39</v>
      </c>
      <c r="F623" s="6">
        <v>1</v>
      </c>
      <c r="G623" s="7" t="s">
        <v>19</v>
      </c>
      <c r="H623" s="6">
        <v>144</v>
      </c>
      <c r="I623" s="7" t="s">
        <v>39</v>
      </c>
      <c r="J623" s="8">
        <v>20400</v>
      </c>
      <c r="K623" s="4" t="s">
        <v>39</v>
      </c>
      <c r="L623" s="9">
        <v>0.125</v>
      </c>
      <c r="M623" s="9">
        <v>0.05</v>
      </c>
      <c r="O623" s="7" t="s">
        <v>39</v>
      </c>
      <c r="P623" s="3">
        <f t="shared" si="229"/>
        <v>0</v>
      </c>
      <c r="Q623" s="7" t="s">
        <v>39</v>
      </c>
      <c r="R623" s="8">
        <f t="shared" si="230"/>
        <v>0</v>
      </c>
      <c r="S623" s="8">
        <f t="shared" si="231"/>
        <v>0</v>
      </c>
    </row>
    <row r="624" spans="1:19" x14ac:dyDescent="0.2">
      <c r="A624" s="11" t="s">
        <v>646</v>
      </c>
      <c r="B624" s="2" t="s">
        <v>17</v>
      </c>
      <c r="D624" s="4" t="s">
        <v>39</v>
      </c>
      <c r="F624" s="6">
        <v>1</v>
      </c>
      <c r="G624" s="7" t="s">
        <v>19</v>
      </c>
      <c r="H624" s="6">
        <v>144</v>
      </c>
      <c r="I624" s="7" t="s">
        <v>39</v>
      </c>
      <c r="J624" s="8">
        <v>69600</v>
      </c>
      <c r="K624" s="4" t="s">
        <v>39</v>
      </c>
      <c r="L624" s="9">
        <v>0.125</v>
      </c>
      <c r="M624" s="9">
        <v>0.05</v>
      </c>
      <c r="O624" s="7" t="s">
        <v>39</v>
      </c>
      <c r="P624" s="3">
        <f t="shared" si="229"/>
        <v>0</v>
      </c>
      <c r="Q624" s="7" t="s">
        <v>39</v>
      </c>
      <c r="R624" s="8">
        <f t="shared" si="230"/>
        <v>0</v>
      </c>
      <c r="S624" s="8">
        <f t="shared" si="231"/>
        <v>0</v>
      </c>
    </row>
    <row r="625" spans="1:19" x14ac:dyDescent="0.2">
      <c r="A625" s="11" t="s">
        <v>774</v>
      </c>
      <c r="B625" s="2" t="s">
        <v>17</v>
      </c>
      <c r="D625" s="4" t="s">
        <v>39</v>
      </c>
      <c r="F625" s="6">
        <v>1</v>
      </c>
      <c r="G625" s="7" t="s">
        <v>19</v>
      </c>
      <c r="H625" s="6">
        <v>144</v>
      </c>
      <c r="I625" s="7" t="s">
        <v>39</v>
      </c>
      <c r="J625" s="8">
        <v>32400</v>
      </c>
      <c r="K625" s="4" t="s">
        <v>39</v>
      </c>
      <c r="L625" s="9">
        <v>0.125</v>
      </c>
      <c r="M625" s="9">
        <v>0.05</v>
      </c>
      <c r="O625" s="7" t="s">
        <v>39</v>
      </c>
      <c r="P625" s="3">
        <f t="shared" si="229"/>
        <v>0</v>
      </c>
      <c r="Q625" s="7" t="s">
        <v>39</v>
      </c>
      <c r="R625" s="8">
        <f t="shared" si="230"/>
        <v>0</v>
      </c>
      <c r="S625" s="8">
        <f t="shared" si="231"/>
        <v>0</v>
      </c>
    </row>
    <row r="626" spans="1:19" x14ac:dyDescent="0.2">
      <c r="A626" s="11" t="s">
        <v>877</v>
      </c>
      <c r="B626" s="2" t="s">
        <v>17</v>
      </c>
      <c r="D626" s="4" t="s">
        <v>39</v>
      </c>
      <c r="F626" s="6">
        <v>1</v>
      </c>
      <c r="G626" s="7" t="s">
        <v>19</v>
      </c>
      <c r="H626" s="6">
        <v>144</v>
      </c>
      <c r="I626" s="7" t="s">
        <v>39</v>
      </c>
      <c r="J626" s="8">
        <v>34200</v>
      </c>
      <c r="K626" s="4" t="s">
        <v>39</v>
      </c>
      <c r="L626" s="9">
        <v>0.125</v>
      </c>
      <c r="M626" s="9">
        <v>0.05</v>
      </c>
      <c r="O626" s="7" t="s">
        <v>39</v>
      </c>
      <c r="P626" s="3">
        <f t="shared" ref="P626" si="232">(C626+(E626*F626*H626))-N626</f>
        <v>0</v>
      </c>
      <c r="Q626" s="7" t="s">
        <v>39</v>
      </c>
      <c r="R626" s="8">
        <f t="shared" si="230"/>
        <v>0</v>
      </c>
      <c r="S626" s="8">
        <f t="shared" ref="S626" si="233">P626*(J626-(J626*L626)-((J626-(J626*L626))*M626))</f>
        <v>0</v>
      </c>
    </row>
    <row r="627" spans="1:19" x14ac:dyDescent="0.2">
      <c r="A627" s="11" t="s">
        <v>368</v>
      </c>
      <c r="B627" s="2" t="s">
        <v>17</v>
      </c>
      <c r="D627" s="4" t="s">
        <v>39</v>
      </c>
      <c r="F627" s="6">
        <v>1</v>
      </c>
      <c r="G627" s="7" t="s">
        <v>19</v>
      </c>
      <c r="H627" s="6">
        <v>144</v>
      </c>
      <c r="I627" s="7" t="s">
        <v>39</v>
      </c>
      <c r="J627" s="8">
        <v>27000</v>
      </c>
      <c r="K627" s="4" t="s">
        <v>39</v>
      </c>
      <c r="L627" s="9">
        <v>0.125</v>
      </c>
      <c r="M627" s="9">
        <v>0.05</v>
      </c>
      <c r="O627" s="7" t="s">
        <v>39</v>
      </c>
      <c r="P627" s="3">
        <f t="shared" si="229"/>
        <v>0</v>
      </c>
      <c r="Q627" s="7" t="s">
        <v>39</v>
      </c>
      <c r="R627" s="8">
        <f t="shared" si="230"/>
        <v>0</v>
      </c>
      <c r="S627" s="8">
        <f t="shared" si="231"/>
        <v>0</v>
      </c>
    </row>
    <row r="628" spans="1:19" x14ac:dyDescent="0.2">
      <c r="A628" s="11" t="s">
        <v>700</v>
      </c>
      <c r="B628" s="2" t="s">
        <v>17</v>
      </c>
      <c r="D628" s="4" t="s">
        <v>39</v>
      </c>
      <c r="F628" s="6">
        <v>1</v>
      </c>
      <c r="G628" s="7" t="s">
        <v>19</v>
      </c>
      <c r="H628" s="6">
        <v>144</v>
      </c>
      <c r="I628" s="7" t="s">
        <v>39</v>
      </c>
      <c r="J628" s="8">
        <v>21600</v>
      </c>
      <c r="K628" s="4" t="s">
        <v>39</v>
      </c>
      <c r="L628" s="9">
        <v>0.125</v>
      </c>
      <c r="M628" s="9">
        <v>0.05</v>
      </c>
      <c r="O628" s="7" t="s">
        <v>39</v>
      </c>
      <c r="P628" s="3">
        <f t="shared" si="229"/>
        <v>0</v>
      </c>
      <c r="Q628" s="7" t="s">
        <v>39</v>
      </c>
      <c r="R628" s="8">
        <f t="shared" si="230"/>
        <v>0</v>
      </c>
      <c r="S628" s="8">
        <f t="shared" si="231"/>
        <v>0</v>
      </c>
    </row>
    <row r="629" spans="1:19" x14ac:dyDescent="0.2">
      <c r="A629" s="11" t="s">
        <v>369</v>
      </c>
      <c r="B629" s="2" t="s">
        <v>17</v>
      </c>
      <c r="D629" s="4" t="s">
        <v>39</v>
      </c>
      <c r="F629" s="6">
        <v>1</v>
      </c>
      <c r="G629" s="7" t="s">
        <v>19</v>
      </c>
      <c r="H629" s="6">
        <v>144</v>
      </c>
      <c r="I629" s="7" t="s">
        <v>39</v>
      </c>
      <c r="J629" s="8">
        <v>43200</v>
      </c>
      <c r="K629" s="4" t="s">
        <v>39</v>
      </c>
      <c r="L629" s="9">
        <v>0.125</v>
      </c>
      <c r="M629" s="9">
        <v>0.05</v>
      </c>
      <c r="O629" s="7" t="s">
        <v>39</v>
      </c>
      <c r="P629" s="3">
        <f t="shared" si="229"/>
        <v>0</v>
      </c>
      <c r="Q629" s="7" t="s">
        <v>39</v>
      </c>
      <c r="R629" s="8">
        <f t="shared" si="230"/>
        <v>0</v>
      </c>
      <c r="S629" s="8">
        <f t="shared" si="231"/>
        <v>0</v>
      </c>
    </row>
    <row r="630" spans="1:19" x14ac:dyDescent="0.2">
      <c r="A630" s="11" t="s">
        <v>370</v>
      </c>
      <c r="B630" s="2" t="s">
        <v>17</v>
      </c>
      <c r="D630" s="4" t="s">
        <v>39</v>
      </c>
      <c r="F630" s="6">
        <v>1</v>
      </c>
      <c r="G630" s="7" t="s">
        <v>19</v>
      </c>
      <c r="H630" s="6">
        <v>144</v>
      </c>
      <c r="I630" s="7" t="s">
        <v>39</v>
      </c>
      <c r="J630" s="8">
        <v>24600</v>
      </c>
      <c r="K630" s="4" t="s">
        <v>39</v>
      </c>
      <c r="L630" s="9">
        <v>0.125</v>
      </c>
      <c r="M630" s="9">
        <v>0.05</v>
      </c>
      <c r="O630" s="7" t="s">
        <v>39</v>
      </c>
      <c r="P630" s="3">
        <f t="shared" ref="P630" si="234">(C630+(E630*F630*H630))-N630</f>
        <v>0</v>
      </c>
      <c r="Q630" s="7" t="s">
        <v>39</v>
      </c>
      <c r="R630" s="8">
        <f t="shared" si="230"/>
        <v>0</v>
      </c>
      <c r="S630" s="8">
        <f t="shared" ref="S630" si="235">P630*(J630-(J630*L630)-((J630-(J630*L630))*M630))</f>
        <v>0</v>
      </c>
    </row>
    <row r="631" spans="1:19" x14ac:dyDescent="0.2">
      <c r="A631" s="11" t="s">
        <v>371</v>
      </c>
      <c r="B631" s="2" t="s">
        <v>17</v>
      </c>
      <c r="C631" s="3">
        <v>576</v>
      </c>
      <c r="D631" s="4" t="s">
        <v>39</v>
      </c>
      <c r="F631" s="6">
        <v>1</v>
      </c>
      <c r="G631" s="7" t="s">
        <v>19</v>
      </c>
      <c r="H631" s="6">
        <v>144</v>
      </c>
      <c r="I631" s="7" t="s">
        <v>39</v>
      </c>
      <c r="J631" s="8">
        <v>28200</v>
      </c>
      <c r="K631" s="4" t="s">
        <v>39</v>
      </c>
      <c r="L631" s="9">
        <v>0.125</v>
      </c>
      <c r="M631" s="9">
        <v>0.05</v>
      </c>
      <c r="O631" s="28" t="s">
        <v>39</v>
      </c>
      <c r="P631" s="3">
        <f t="shared" ref="P631" si="236">(C631+(E631*F631*H631))-N631</f>
        <v>576</v>
      </c>
      <c r="Q631" s="7" t="s">
        <v>39</v>
      </c>
      <c r="R631" s="8">
        <f t="shared" si="230"/>
        <v>12164108.108108107</v>
      </c>
      <c r="S631" s="8">
        <f t="shared" ref="S631" si="237">P631*(J631-(J631*L631)-((J631-(J631*L631))*M631))</f>
        <v>13502160</v>
      </c>
    </row>
    <row r="632" spans="1:19" x14ac:dyDescent="0.2">
      <c r="A632" s="11" t="s">
        <v>372</v>
      </c>
      <c r="B632" s="2" t="s">
        <v>17</v>
      </c>
      <c r="D632" s="4" t="s">
        <v>39</v>
      </c>
      <c r="F632" s="6">
        <v>1</v>
      </c>
      <c r="G632" s="7" t="s">
        <v>19</v>
      </c>
      <c r="H632" s="6">
        <v>144</v>
      </c>
      <c r="I632" s="7" t="s">
        <v>39</v>
      </c>
      <c r="J632" s="8">
        <v>27600</v>
      </c>
      <c r="K632" s="4" t="s">
        <v>39</v>
      </c>
      <c r="L632" s="9">
        <v>0.125</v>
      </c>
      <c r="M632" s="9">
        <v>0.05</v>
      </c>
      <c r="O632" s="7" t="s">
        <v>39</v>
      </c>
      <c r="P632" s="3">
        <f t="shared" si="229"/>
        <v>0</v>
      </c>
      <c r="Q632" s="7" t="s">
        <v>39</v>
      </c>
      <c r="R632" s="8">
        <f t="shared" si="230"/>
        <v>0</v>
      </c>
      <c r="S632" s="8">
        <f t="shared" si="231"/>
        <v>0</v>
      </c>
    </row>
    <row r="633" spans="1:19" x14ac:dyDescent="0.2">
      <c r="A633" s="11" t="s">
        <v>373</v>
      </c>
      <c r="B633" s="2" t="s">
        <v>17</v>
      </c>
      <c r="D633" s="4" t="s">
        <v>39</v>
      </c>
      <c r="F633" s="6">
        <v>1</v>
      </c>
      <c r="G633" s="7" t="s">
        <v>19</v>
      </c>
      <c r="H633" s="6">
        <v>144</v>
      </c>
      <c r="I633" s="7" t="s">
        <v>39</v>
      </c>
      <c r="J633" s="8">
        <v>25800</v>
      </c>
      <c r="K633" s="4" t="s">
        <v>39</v>
      </c>
      <c r="L633" s="9">
        <v>0.125</v>
      </c>
      <c r="M633" s="9">
        <v>0.05</v>
      </c>
      <c r="O633" s="7" t="s">
        <v>39</v>
      </c>
      <c r="P633" s="3">
        <f t="shared" si="229"/>
        <v>0</v>
      </c>
      <c r="Q633" s="7" t="s">
        <v>39</v>
      </c>
      <c r="R633" s="8">
        <f t="shared" si="230"/>
        <v>0</v>
      </c>
      <c r="S633" s="8">
        <f t="shared" si="231"/>
        <v>0</v>
      </c>
    </row>
    <row r="634" spans="1:19" x14ac:dyDescent="0.2">
      <c r="A634" s="1" t="s">
        <v>879</v>
      </c>
      <c r="B634" s="2" t="s">
        <v>17</v>
      </c>
      <c r="D634" s="4" t="s">
        <v>39</v>
      </c>
      <c r="F634" s="6">
        <v>1</v>
      </c>
      <c r="G634" s="7" t="s">
        <v>19</v>
      </c>
      <c r="H634" s="6">
        <v>144</v>
      </c>
      <c r="I634" s="7" t="s">
        <v>39</v>
      </c>
      <c r="J634" s="8">
        <v>22200</v>
      </c>
      <c r="K634" s="4" t="s">
        <v>39</v>
      </c>
      <c r="L634" s="9">
        <v>0.125</v>
      </c>
      <c r="M634" s="9">
        <v>0.05</v>
      </c>
      <c r="O634" s="7" t="s">
        <v>39</v>
      </c>
      <c r="P634" s="3">
        <f t="shared" ref="P634" si="238">(C634+(E634*F634*H634))-N634</f>
        <v>0</v>
      </c>
      <c r="Q634" s="7" t="s">
        <v>39</v>
      </c>
      <c r="R634" s="8">
        <f t="shared" si="230"/>
        <v>0</v>
      </c>
      <c r="S634" s="8">
        <f t="shared" ref="S634" si="239">P634*(J634-(J634*L634)-((J634-(J634*L634))*M634))</f>
        <v>0</v>
      </c>
    </row>
    <row r="635" spans="1:19" x14ac:dyDescent="0.2">
      <c r="A635" s="1" t="s">
        <v>374</v>
      </c>
      <c r="B635" s="2" t="s">
        <v>17</v>
      </c>
      <c r="D635" s="4" t="s">
        <v>39</v>
      </c>
      <c r="F635" s="6">
        <v>1</v>
      </c>
      <c r="G635" s="7" t="s">
        <v>19</v>
      </c>
      <c r="H635" s="6">
        <v>144</v>
      </c>
      <c r="I635" s="7" t="s">
        <v>39</v>
      </c>
      <c r="J635" s="8">
        <v>14100</v>
      </c>
      <c r="K635" s="4" t="s">
        <v>39</v>
      </c>
      <c r="L635" s="9">
        <v>0.125</v>
      </c>
      <c r="M635" s="9">
        <v>0.05</v>
      </c>
      <c r="O635" s="7" t="s">
        <v>39</v>
      </c>
      <c r="P635" s="3">
        <f t="shared" si="229"/>
        <v>0</v>
      </c>
      <c r="Q635" s="7" t="s">
        <v>39</v>
      </c>
      <c r="R635" s="8">
        <f t="shared" si="230"/>
        <v>0</v>
      </c>
      <c r="S635" s="8">
        <f t="shared" si="231"/>
        <v>0</v>
      </c>
    </row>
    <row r="636" spans="1:19" x14ac:dyDescent="0.2">
      <c r="A636" s="1" t="s">
        <v>687</v>
      </c>
      <c r="B636" s="2" t="s">
        <v>17</v>
      </c>
      <c r="D636" s="4" t="s">
        <v>39</v>
      </c>
      <c r="F636" s="6">
        <v>1</v>
      </c>
      <c r="G636" s="7" t="s">
        <v>19</v>
      </c>
      <c r="H636" s="6">
        <v>144</v>
      </c>
      <c r="I636" s="7" t="s">
        <v>39</v>
      </c>
      <c r="J636" s="8">
        <v>25800</v>
      </c>
      <c r="K636" s="4" t="s">
        <v>39</v>
      </c>
      <c r="L636" s="9">
        <v>0.125</v>
      </c>
      <c r="M636" s="9">
        <v>0.05</v>
      </c>
      <c r="O636" s="7" t="s">
        <v>39</v>
      </c>
      <c r="P636" s="3">
        <f t="shared" si="229"/>
        <v>0</v>
      </c>
      <c r="Q636" s="7" t="s">
        <v>39</v>
      </c>
      <c r="R636" s="8">
        <f t="shared" si="230"/>
        <v>0</v>
      </c>
      <c r="S636" s="8">
        <f t="shared" si="231"/>
        <v>0</v>
      </c>
    </row>
    <row r="637" spans="1:19" x14ac:dyDescent="0.2">
      <c r="A637" s="1" t="s">
        <v>974</v>
      </c>
      <c r="B637" s="2" t="s">
        <v>17</v>
      </c>
      <c r="D637" s="4" t="s">
        <v>39</v>
      </c>
      <c r="F637" s="6">
        <v>1</v>
      </c>
      <c r="G637" s="7" t="s">
        <v>19</v>
      </c>
      <c r="H637" s="6">
        <v>144</v>
      </c>
      <c r="I637" s="7" t="s">
        <v>39</v>
      </c>
      <c r="J637" s="8">
        <v>21000</v>
      </c>
      <c r="K637" s="4" t="s">
        <v>39</v>
      </c>
      <c r="L637" s="9">
        <v>0.125</v>
      </c>
      <c r="M637" s="9">
        <v>0.05</v>
      </c>
      <c r="O637" s="7" t="s">
        <v>39</v>
      </c>
      <c r="P637" s="3">
        <f t="shared" ref="P637" si="240">(C637+(E637*F637*H637))-N637</f>
        <v>0</v>
      </c>
      <c r="Q637" s="7" t="s">
        <v>39</v>
      </c>
      <c r="R637" s="8">
        <f t="shared" si="230"/>
        <v>0</v>
      </c>
      <c r="S637" s="8">
        <f t="shared" ref="S637" si="241">P637*(J637-(J637*L637)-((J637-(J637*L637))*M637))</f>
        <v>0</v>
      </c>
    </row>
    <row r="638" spans="1:19" x14ac:dyDescent="0.2">
      <c r="A638" s="1" t="s">
        <v>375</v>
      </c>
      <c r="B638" s="2" t="s">
        <v>17</v>
      </c>
      <c r="D638" s="4" t="s">
        <v>39</v>
      </c>
      <c r="F638" s="6">
        <v>1</v>
      </c>
      <c r="G638" s="7" t="s">
        <v>19</v>
      </c>
      <c r="H638" s="6">
        <v>144</v>
      </c>
      <c r="I638" s="7" t="s">
        <v>39</v>
      </c>
      <c r="J638" s="8">
        <v>20400</v>
      </c>
      <c r="K638" s="4" t="s">
        <v>39</v>
      </c>
      <c r="L638" s="9">
        <v>0.125</v>
      </c>
      <c r="M638" s="9">
        <v>0.05</v>
      </c>
      <c r="O638" s="7" t="s">
        <v>39</v>
      </c>
      <c r="P638" s="3">
        <f t="shared" si="229"/>
        <v>0</v>
      </c>
      <c r="Q638" s="7" t="s">
        <v>39</v>
      </c>
      <c r="R638" s="8">
        <f t="shared" si="230"/>
        <v>0</v>
      </c>
      <c r="S638" s="8">
        <f t="shared" si="231"/>
        <v>0</v>
      </c>
    </row>
    <row r="639" spans="1:19" x14ac:dyDescent="0.2">
      <c r="A639" s="1" t="s">
        <v>782</v>
      </c>
      <c r="B639" s="2" t="s">
        <v>17</v>
      </c>
      <c r="D639" s="4" t="s">
        <v>39</v>
      </c>
      <c r="F639" s="6">
        <v>1</v>
      </c>
      <c r="G639" s="7" t="s">
        <v>19</v>
      </c>
      <c r="H639" s="6">
        <v>144</v>
      </c>
      <c r="I639" s="7" t="s">
        <v>39</v>
      </c>
      <c r="J639" s="8">
        <v>17400</v>
      </c>
      <c r="K639" s="4" t="s">
        <v>39</v>
      </c>
      <c r="L639" s="9">
        <v>0.125</v>
      </c>
      <c r="M639" s="9">
        <v>0.1</v>
      </c>
      <c r="O639" s="7" t="s">
        <v>39</v>
      </c>
      <c r="P639" s="3">
        <f t="shared" si="229"/>
        <v>0</v>
      </c>
      <c r="Q639" s="7" t="s">
        <v>39</v>
      </c>
      <c r="R639" s="8">
        <f t="shared" si="230"/>
        <v>0</v>
      </c>
      <c r="S639" s="8">
        <f t="shared" si="231"/>
        <v>0</v>
      </c>
    </row>
    <row r="641" spans="1:19" x14ac:dyDescent="0.2">
      <c r="A641" s="1" t="s">
        <v>376</v>
      </c>
      <c r="B641" s="2" t="s">
        <v>24</v>
      </c>
      <c r="D641" s="4" t="s">
        <v>39</v>
      </c>
      <c r="F641" s="6">
        <v>1</v>
      </c>
      <c r="G641" s="7" t="s">
        <v>19</v>
      </c>
      <c r="H641" s="6">
        <v>144</v>
      </c>
      <c r="I641" s="7" t="s">
        <v>39</v>
      </c>
      <c r="J641" s="8">
        <v>25200</v>
      </c>
      <c r="K641" s="4" t="s">
        <v>39</v>
      </c>
      <c r="M641" s="9">
        <v>0.17</v>
      </c>
      <c r="O641" s="7" t="s">
        <v>39</v>
      </c>
      <c r="P641" s="3">
        <f t="shared" ref="P641:P668" si="242">(C641+(E641*F641*H641))-N641</f>
        <v>0</v>
      </c>
      <c r="Q641" s="7" t="s">
        <v>39</v>
      </c>
      <c r="R641" s="8">
        <f t="shared" ref="R641:R668" si="243">S641/1.11</f>
        <v>0</v>
      </c>
      <c r="S641" s="8">
        <f t="shared" ref="S641:S668" si="244">P641*(J641-(J641*L641)-((J641-(J641*L641))*M641))</f>
        <v>0</v>
      </c>
    </row>
    <row r="642" spans="1:19" x14ac:dyDescent="0.2">
      <c r="A642" s="1" t="s">
        <v>660</v>
      </c>
      <c r="B642" s="2" t="s">
        <v>24</v>
      </c>
      <c r="D642" s="4" t="s">
        <v>39</v>
      </c>
      <c r="F642" s="6">
        <v>1</v>
      </c>
      <c r="G642" s="7" t="s">
        <v>19</v>
      </c>
      <c r="H642" s="6">
        <v>144</v>
      </c>
      <c r="I642" s="7" t="s">
        <v>39</v>
      </c>
      <c r="J642" s="8">
        <f>3758400/144</f>
        <v>26100</v>
      </c>
      <c r="K642" s="4" t="s">
        <v>39</v>
      </c>
      <c r="M642" s="9">
        <v>0.17</v>
      </c>
      <c r="O642" s="7" t="s">
        <v>39</v>
      </c>
      <c r="P642" s="3">
        <f t="shared" si="242"/>
        <v>0</v>
      </c>
      <c r="Q642" s="7" t="s">
        <v>39</v>
      </c>
      <c r="R642" s="8">
        <f t="shared" si="243"/>
        <v>0</v>
      </c>
      <c r="S642" s="8">
        <f t="shared" si="244"/>
        <v>0</v>
      </c>
    </row>
    <row r="643" spans="1:19" x14ac:dyDescent="0.2">
      <c r="A643" s="1" t="s">
        <v>377</v>
      </c>
      <c r="B643" s="2" t="s">
        <v>24</v>
      </c>
      <c r="D643" s="4" t="s">
        <v>39</v>
      </c>
      <c r="F643" s="6">
        <v>1</v>
      </c>
      <c r="G643" s="7" t="s">
        <v>19</v>
      </c>
      <c r="H643" s="6">
        <v>144</v>
      </c>
      <c r="I643" s="7" t="s">
        <v>39</v>
      </c>
      <c r="J643" s="8">
        <f>3715200/144</f>
        <v>25800</v>
      </c>
      <c r="K643" s="4" t="s">
        <v>39</v>
      </c>
      <c r="M643" s="9">
        <v>0.17</v>
      </c>
      <c r="O643" s="7" t="s">
        <v>39</v>
      </c>
      <c r="P643" s="3">
        <f t="shared" si="242"/>
        <v>0</v>
      </c>
      <c r="Q643" s="7" t="s">
        <v>39</v>
      </c>
      <c r="R643" s="8">
        <f t="shared" si="243"/>
        <v>0</v>
      </c>
      <c r="S643" s="8">
        <f t="shared" si="244"/>
        <v>0</v>
      </c>
    </row>
    <row r="644" spans="1:19" x14ac:dyDescent="0.2">
      <c r="A644" s="1" t="s">
        <v>388</v>
      </c>
      <c r="B644" s="2" t="s">
        <v>24</v>
      </c>
      <c r="D644" s="4" t="s">
        <v>39</v>
      </c>
      <c r="F644" s="6">
        <v>1</v>
      </c>
      <c r="G644" s="7" t="s">
        <v>19</v>
      </c>
      <c r="H644" s="6">
        <v>144</v>
      </c>
      <c r="I644" s="7" t="s">
        <v>39</v>
      </c>
      <c r="J644" s="8">
        <v>25800</v>
      </c>
      <c r="K644" s="4" t="s">
        <v>39</v>
      </c>
      <c r="M644" s="9">
        <v>0.17</v>
      </c>
      <c r="O644" s="7" t="s">
        <v>39</v>
      </c>
      <c r="P644" s="3">
        <f t="shared" si="242"/>
        <v>0</v>
      </c>
      <c r="Q644" s="7" t="s">
        <v>39</v>
      </c>
      <c r="R644" s="8">
        <f t="shared" si="243"/>
        <v>0</v>
      </c>
      <c r="S644" s="8">
        <f t="shared" si="244"/>
        <v>0</v>
      </c>
    </row>
    <row r="645" spans="1:19" x14ac:dyDescent="0.2">
      <c r="A645" s="11" t="s">
        <v>763</v>
      </c>
      <c r="B645" s="2" t="s">
        <v>24</v>
      </c>
      <c r="D645" s="4" t="s">
        <v>39</v>
      </c>
      <c r="F645" s="6">
        <v>1</v>
      </c>
      <c r="G645" s="7" t="s">
        <v>19</v>
      </c>
      <c r="H645" s="6">
        <v>144</v>
      </c>
      <c r="I645" s="7" t="s">
        <v>39</v>
      </c>
      <c r="J645" s="8">
        <f>3628800/144</f>
        <v>25200</v>
      </c>
      <c r="K645" s="4" t="s">
        <v>39</v>
      </c>
      <c r="M645" s="9">
        <v>0.17</v>
      </c>
      <c r="O645" s="7" t="s">
        <v>39</v>
      </c>
      <c r="P645" s="3">
        <f t="shared" si="242"/>
        <v>0</v>
      </c>
      <c r="Q645" s="7" t="s">
        <v>39</v>
      </c>
      <c r="R645" s="8">
        <f t="shared" si="243"/>
        <v>0</v>
      </c>
      <c r="S645" s="8">
        <f t="shared" si="244"/>
        <v>0</v>
      </c>
    </row>
    <row r="646" spans="1:19" x14ac:dyDescent="0.2">
      <c r="A646" s="11" t="s">
        <v>378</v>
      </c>
      <c r="B646" s="2" t="s">
        <v>24</v>
      </c>
      <c r="C646" s="3">
        <v>432</v>
      </c>
      <c r="D646" s="4" t="s">
        <v>39</v>
      </c>
      <c r="F646" s="6">
        <v>1</v>
      </c>
      <c r="G646" s="7" t="s">
        <v>19</v>
      </c>
      <c r="H646" s="6">
        <v>144</v>
      </c>
      <c r="I646" s="7" t="s">
        <v>39</v>
      </c>
      <c r="J646" s="8">
        <f>3758400/144</f>
        <v>26100</v>
      </c>
      <c r="K646" s="4" t="s">
        <v>39</v>
      </c>
      <c r="M646" s="9">
        <v>0.17</v>
      </c>
      <c r="O646" s="7" t="s">
        <v>39</v>
      </c>
      <c r="P646" s="3">
        <f t="shared" si="242"/>
        <v>432</v>
      </c>
      <c r="Q646" s="7" t="s">
        <v>39</v>
      </c>
      <c r="R646" s="8">
        <f t="shared" si="243"/>
        <v>8431005.405405404</v>
      </c>
      <c r="S646" s="8">
        <f t="shared" si="244"/>
        <v>9358416</v>
      </c>
    </row>
    <row r="647" spans="1:19" x14ac:dyDescent="0.2">
      <c r="A647" s="11" t="s">
        <v>379</v>
      </c>
      <c r="B647" s="2" t="s">
        <v>24</v>
      </c>
      <c r="C647" s="3">
        <v>288</v>
      </c>
      <c r="D647" s="4" t="s">
        <v>39</v>
      </c>
      <c r="F647" s="6">
        <v>1</v>
      </c>
      <c r="G647" s="7" t="s">
        <v>19</v>
      </c>
      <c r="H647" s="6">
        <v>144</v>
      </c>
      <c r="I647" s="7" t="s">
        <v>39</v>
      </c>
      <c r="J647" s="8">
        <f>3628800/144</f>
        <v>25200</v>
      </c>
      <c r="K647" s="4" t="s">
        <v>39</v>
      </c>
      <c r="M647" s="9">
        <v>0.17</v>
      </c>
      <c r="O647" s="7" t="s">
        <v>39</v>
      </c>
      <c r="P647" s="3">
        <f t="shared" si="242"/>
        <v>288</v>
      </c>
      <c r="Q647" s="7" t="s">
        <v>39</v>
      </c>
      <c r="R647" s="8">
        <f t="shared" si="243"/>
        <v>5426854.0540540535</v>
      </c>
      <c r="S647" s="8">
        <f t="shared" si="244"/>
        <v>6023808</v>
      </c>
    </row>
    <row r="648" spans="1:19" x14ac:dyDescent="0.2">
      <c r="A648" s="11" t="s">
        <v>380</v>
      </c>
      <c r="B648" s="2" t="s">
        <v>24</v>
      </c>
      <c r="D648" s="4" t="s">
        <v>39</v>
      </c>
      <c r="F648" s="6">
        <v>1</v>
      </c>
      <c r="G648" s="7" t="s">
        <v>19</v>
      </c>
      <c r="H648" s="6">
        <v>144</v>
      </c>
      <c r="I648" s="7" t="s">
        <v>39</v>
      </c>
      <c r="J648" s="8">
        <f>3628800/144</f>
        <v>25200</v>
      </c>
      <c r="K648" s="4" t="s">
        <v>39</v>
      </c>
      <c r="M648" s="9">
        <v>0.17</v>
      </c>
      <c r="O648" s="7" t="s">
        <v>39</v>
      </c>
      <c r="P648" s="3">
        <f t="shared" si="242"/>
        <v>0</v>
      </c>
      <c r="Q648" s="7" t="s">
        <v>39</v>
      </c>
      <c r="R648" s="8">
        <f t="shared" si="243"/>
        <v>0</v>
      </c>
      <c r="S648" s="8">
        <f t="shared" si="244"/>
        <v>0</v>
      </c>
    </row>
    <row r="649" spans="1:19" x14ac:dyDescent="0.2">
      <c r="A649" s="1" t="s">
        <v>843</v>
      </c>
      <c r="B649" s="2" t="s">
        <v>24</v>
      </c>
      <c r="D649" s="4" t="s">
        <v>39</v>
      </c>
      <c r="F649" s="6">
        <v>1</v>
      </c>
      <c r="G649" s="7" t="s">
        <v>19</v>
      </c>
      <c r="H649" s="6">
        <v>144</v>
      </c>
      <c r="I649" s="7" t="s">
        <v>39</v>
      </c>
      <c r="J649" s="8">
        <f>5875200/144</f>
        <v>40800</v>
      </c>
      <c r="K649" s="4" t="s">
        <v>39</v>
      </c>
      <c r="M649" s="9">
        <v>0.17</v>
      </c>
      <c r="O649" s="7" t="s">
        <v>39</v>
      </c>
      <c r="P649" s="3">
        <f t="shared" si="242"/>
        <v>0</v>
      </c>
      <c r="Q649" s="7" t="s">
        <v>39</v>
      </c>
      <c r="R649" s="8">
        <f t="shared" si="243"/>
        <v>0</v>
      </c>
      <c r="S649" s="8">
        <f t="shared" si="244"/>
        <v>0</v>
      </c>
    </row>
    <row r="650" spans="1:19" x14ac:dyDescent="0.2">
      <c r="A650" s="1" t="s">
        <v>381</v>
      </c>
      <c r="B650" s="2" t="s">
        <v>24</v>
      </c>
      <c r="C650" s="3">
        <v>432</v>
      </c>
      <c r="D650" s="4" t="s">
        <v>39</v>
      </c>
      <c r="F650" s="6">
        <v>1</v>
      </c>
      <c r="G650" s="7" t="s">
        <v>19</v>
      </c>
      <c r="H650" s="6">
        <v>144</v>
      </c>
      <c r="I650" s="7" t="s">
        <v>39</v>
      </c>
      <c r="J650" s="8">
        <f>5616000/144</f>
        <v>39000</v>
      </c>
      <c r="K650" s="4" t="s">
        <v>39</v>
      </c>
      <c r="M650" s="9">
        <v>0.17</v>
      </c>
      <c r="O650" s="7" t="s">
        <v>39</v>
      </c>
      <c r="P650" s="3">
        <f t="shared" si="242"/>
        <v>432</v>
      </c>
      <c r="Q650" s="7" t="s">
        <v>39</v>
      </c>
      <c r="R650" s="8">
        <f t="shared" si="243"/>
        <v>12598054.054054054</v>
      </c>
      <c r="S650" s="8">
        <f t="shared" si="244"/>
        <v>13983840</v>
      </c>
    </row>
    <row r="651" spans="1:19" x14ac:dyDescent="0.2">
      <c r="A651" s="1" t="s">
        <v>382</v>
      </c>
      <c r="B651" s="2" t="s">
        <v>24</v>
      </c>
      <c r="D651" s="4" t="s">
        <v>39</v>
      </c>
      <c r="F651" s="6">
        <v>1</v>
      </c>
      <c r="G651" s="7" t="s">
        <v>19</v>
      </c>
      <c r="H651" s="6">
        <v>144</v>
      </c>
      <c r="I651" s="7" t="s">
        <v>39</v>
      </c>
      <c r="J651" s="8">
        <v>39000</v>
      </c>
      <c r="K651" s="4" t="s">
        <v>39</v>
      </c>
      <c r="M651" s="9">
        <v>0.17</v>
      </c>
      <c r="O651" s="7" t="s">
        <v>39</v>
      </c>
      <c r="P651" s="3">
        <f t="shared" ref="P651" si="245">(C651+(E651*F651*H651))-N651</f>
        <v>0</v>
      </c>
      <c r="Q651" s="7" t="s">
        <v>39</v>
      </c>
      <c r="R651" s="8">
        <f t="shared" si="243"/>
        <v>0</v>
      </c>
      <c r="S651" s="8">
        <f t="shared" ref="S651" si="246">P651*(J651-(J651*L651)-((J651-(J651*L651))*M651))</f>
        <v>0</v>
      </c>
    </row>
    <row r="652" spans="1:19" x14ac:dyDescent="0.2">
      <c r="A652" s="1" t="s">
        <v>1020</v>
      </c>
      <c r="B652" s="2" t="s">
        <v>24</v>
      </c>
      <c r="D652" s="4" t="s">
        <v>39</v>
      </c>
      <c r="F652" s="6">
        <v>1</v>
      </c>
      <c r="G652" s="7" t="s">
        <v>19</v>
      </c>
      <c r="H652" s="6">
        <v>144</v>
      </c>
      <c r="I652" s="7" t="s">
        <v>39</v>
      </c>
      <c r="J652" s="8">
        <v>39000</v>
      </c>
      <c r="K652" s="4" t="s">
        <v>39</v>
      </c>
      <c r="M652" s="9">
        <v>0.17</v>
      </c>
      <c r="O652" s="7" t="s">
        <v>39</v>
      </c>
      <c r="P652" s="3">
        <f t="shared" si="242"/>
        <v>0</v>
      </c>
      <c r="Q652" s="7" t="s">
        <v>39</v>
      </c>
      <c r="R652" s="8">
        <f t="shared" si="243"/>
        <v>0</v>
      </c>
      <c r="S652" s="8">
        <f t="shared" ref="S652" si="247">P652*(J652-(J652*L652)-((J652-(J652*L652))*M652))</f>
        <v>0</v>
      </c>
    </row>
    <row r="653" spans="1:19" x14ac:dyDescent="0.2">
      <c r="A653" s="1" t="s">
        <v>383</v>
      </c>
      <c r="B653" s="2" t="s">
        <v>24</v>
      </c>
      <c r="D653" s="4" t="s">
        <v>39</v>
      </c>
      <c r="F653" s="6">
        <v>1</v>
      </c>
      <c r="G653" s="7" t="s">
        <v>19</v>
      </c>
      <c r="H653" s="6">
        <v>144</v>
      </c>
      <c r="I653" s="7" t="s">
        <v>39</v>
      </c>
      <c r="J653" s="8">
        <v>39000</v>
      </c>
      <c r="K653" s="4" t="s">
        <v>39</v>
      </c>
      <c r="M653" s="9">
        <v>0.17</v>
      </c>
      <c r="O653" s="7" t="s">
        <v>39</v>
      </c>
      <c r="P653" s="3">
        <f t="shared" ref="P653" si="248">(C653+(E653*F653*H653))-N653</f>
        <v>0</v>
      </c>
      <c r="Q653" s="7" t="s">
        <v>39</v>
      </c>
      <c r="R653" s="8">
        <f t="shared" si="243"/>
        <v>0</v>
      </c>
      <c r="S653" s="8">
        <f t="shared" ref="S653" si="249">P653*(J653-(J653*L653)-((J653-(J653*L653))*M653))</f>
        <v>0</v>
      </c>
    </row>
    <row r="654" spans="1:19" x14ac:dyDescent="0.2">
      <c r="A654" s="1" t="s">
        <v>731</v>
      </c>
      <c r="B654" s="2" t="s">
        <v>24</v>
      </c>
      <c r="D654" s="4" t="s">
        <v>39</v>
      </c>
      <c r="F654" s="6">
        <v>1</v>
      </c>
      <c r="G654" s="7" t="s">
        <v>19</v>
      </c>
      <c r="H654" s="6">
        <v>144</v>
      </c>
      <c r="I654" s="7" t="s">
        <v>39</v>
      </c>
      <c r="J654" s="8">
        <f>5702400/144</f>
        <v>39600</v>
      </c>
      <c r="K654" s="4" t="s">
        <v>39</v>
      </c>
      <c r="M654" s="9">
        <v>0.17</v>
      </c>
      <c r="O654" s="7" t="s">
        <v>39</v>
      </c>
      <c r="P654" s="3">
        <f t="shared" si="242"/>
        <v>0</v>
      </c>
      <c r="Q654" s="7" t="s">
        <v>39</v>
      </c>
      <c r="R654" s="8">
        <f t="shared" si="243"/>
        <v>0</v>
      </c>
      <c r="S654" s="8">
        <f t="shared" si="244"/>
        <v>0</v>
      </c>
    </row>
    <row r="655" spans="1:19" x14ac:dyDescent="0.2">
      <c r="A655" s="1" t="s">
        <v>732</v>
      </c>
      <c r="B655" s="2" t="s">
        <v>24</v>
      </c>
      <c r="D655" s="4" t="s">
        <v>39</v>
      </c>
      <c r="F655" s="6">
        <v>1</v>
      </c>
      <c r="G655" s="7" t="s">
        <v>19</v>
      </c>
      <c r="H655" s="6">
        <v>144</v>
      </c>
      <c r="I655" s="7" t="s">
        <v>39</v>
      </c>
      <c r="J655" s="8">
        <f>5702400/144</f>
        <v>39600</v>
      </c>
      <c r="K655" s="4" t="s">
        <v>39</v>
      </c>
      <c r="M655" s="9">
        <v>0.17</v>
      </c>
      <c r="O655" s="7" t="s">
        <v>39</v>
      </c>
      <c r="P655" s="3">
        <f t="shared" si="242"/>
        <v>0</v>
      </c>
      <c r="Q655" s="7" t="s">
        <v>39</v>
      </c>
      <c r="R655" s="8">
        <f t="shared" si="243"/>
        <v>0</v>
      </c>
      <c r="S655" s="8">
        <f t="shared" si="244"/>
        <v>0</v>
      </c>
    </row>
    <row r="656" spans="1:19" x14ac:dyDescent="0.2">
      <c r="A656" s="1" t="s">
        <v>384</v>
      </c>
      <c r="B656" s="2" t="s">
        <v>24</v>
      </c>
      <c r="C656" s="3">
        <v>720</v>
      </c>
      <c r="D656" s="4" t="s">
        <v>39</v>
      </c>
      <c r="F656" s="6">
        <v>1</v>
      </c>
      <c r="G656" s="7" t="s">
        <v>19</v>
      </c>
      <c r="H656" s="6">
        <v>144</v>
      </c>
      <c r="I656" s="7" t="s">
        <v>39</v>
      </c>
      <c r="J656" s="8">
        <f>5702400/144</f>
        <v>39600</v>
      </c>
      <c r="K656" s="4" t="s">
        <v>39</v>
      </c>
      <c r="M656" s="9">
        <v>0.17</v>
      </c>
      <c r="O656" s="7" t="s">
        <v>39</v>
      </c>
      <c r="P656" s="3">
        <f t="shared" si="242"/>
        <v>720</v>
      </c>
      <c r="Q656" s="7" t="s">
        <v>39</v>
      </c>
      <c r="R656" s="8">
        <f t="shared" si="243"/>
        <v>21319783.783783782</v>
      </c>
      <c r="S656" s="8">
        <f t="shared" si="244"/>
        <v>23664960</v>
      </c>
    </row>
    <row r="657" spans="1:19" x14ac:dyDescent="0.2">
      <c r="A657" s="1" t="s">
        <v>880</v>
      </c>
      <c r="B657" s="2" t="s">
        <v>24</v>
      </c>
      <c r="D657" s="4" t="s">
        <v>39</v>
      </c>
      <c r="F657" s="6">
        <v>1</v>
      </c>
      <c r="G657" s="7" t="s">
        <v>19</v>
      </c>
      <c r="H657" s="6">
        <v>144</v>
      </c>
      <c r="I657" s="7" t="s">
        <v>39</v>
      </c>
      <c r="J657" s="8">
        <v>33000</v>
      </c>
      <c r="K657" s="4" t="s">
        <v>39</v>
      </c>
      <c r="M657" s="9">
        <v>0.17</v>
      </c>
      <c r="O657" s="7" t="s">
        <v>39</v>
      </c>
      <c r="P657" s="3">
        <f t="shared" ref="P657" si="250">(C657+(E657*F657*H657))-N657</f>
        <v>0</v>
      </c>
      <c r="Q657" s="7" t="s">
        <v>39</v>
      </c>
      <c r="R657" s="8">
        <f t="shared" si="243"/>
        <v>0</v>
      </c>
      <c r="S657" s="8">
        <f t="shared" ref="S657" si="251">P657*(J657-(J657*L657)-((J657-(J657*L657))*M657))</f>
        <v>0</v>
      </c>
    </row>
    <row r="658" spans="1:19" x14ac:dyDescent="0.2">
      <c r="A658" s="11" t="s">
        <v>1043</v>
      </c>
      <c r="B658" s="2" t="s">
        <v>24</v>
      </c>
      <c r="D658" s="4" t="s">
        <v>39</v>
      </c>
      <c r="F658" s="6">
        <v>1</v>
      </c>
      <c r="G658" s="7" t="s">
        <v>19</v>
      </c>
      <c r="H658" s="6">
        <v>144</v>
      </c>
      <c r="I658" s="7" t="s">
        <v>39</v>
      </c>
      <c r="J658" s="8">
        <v>19200</v>
      </c>
      <c r="K658" s="4" t="s">
        <v>39</v>
      </c>
      <c r="L658" s="9">
        <v>2.5000000000000001E-2</v>
      </c>
      <c r="M658" s="9">
        <v>0.17</v>
      </c>
      <c r="O658" s="7" t="s">
        <v>39</v>
      </c>
      <c r="P658" s="3">
        <f t="shared" ref="P658" si="252">(C658+(E658*F658*H658))-N658</f>
        <v>0</v>
      </c>
      <c r="Q658" s="7" t="s">
        <v>39</v>
      </c>
      <c r="R658" s="8">
        <f>S658/1.11</f>
        <v>0</v>
      </c>
      <c r="S658" s="8">
        <f t="shared" ref="S658" si="253">P658*(J658-(J658*L658)-((J658-(J658*L658))*M658))</f>
        <v>0</v>
      </c>
    </row>
    <row r="659" spans="1:19" x14ac:dyDescent="0.2">
      <c r="A659" s="1" t="s">
        <v>385</v>
      </c>
      <c r="B659" s="2" t="s">
        <v>24</v>
      </c>
      <c r="D659" s="4" t="s">
        <v>39</v>
      </c>
      <c r="F659" s="6">
        <v>1</v>
      </c>
      <c r="G659" s="7" t="s">
        <v>19</v>
      </c>
      <c r="H659" s="6">
        <v>144</v>
      </c>
      <c r="I659" s="7" t="s">
        <v>39</v>
      </c>
      <c r="J659" s="8">
        <f>2764800/144</f>
        <v>19200</v>
      </c>
      <c r="K659" s="4" t="s">
        <v>39</v>
      </c>
      <c r="M659" s="9">
        <v>0.17</v>
      </c>
      <c r="O659" s="7" t="s">
        <v>39</v>
      </c>
      <c r="P659" s="3">
        <f t="shared" si="242"/>
        <v>0</v>
      </c>
      <c r="Q659" s="7" t="s">
        <v>39</v>
      </c>
      <c r="R659" s="8">
        <f t="shared" si="243"/>
        <v>0</v>
      </c>
      <c r="S659" s="8">
        <f t="shared" si="244"/>
        <v>0</v>
      </c>
    </row>
    <row r="660" spans="1:19" x14ac:dyDescent="0.2">
      <c r="A660" s="1" t="s">
        <v>386</v>
      </c>
      <c r="B660" s="2" t="s">
        <v>24</v>
      </c>
      <c r="D660" s="4" t="s">
        <v>39</v>
      </c>
      <c r="F660" s="6">
        <v>1</v>
      </c>
      <c r="G660" s="7" t="s">
        <v>19</v>
      </c>
      <c r="H660" s="6">
        <v>144</v>
      </c>
      <c r="I660" s="7" t="s">
        <v>39</v>
      </c>
      <c r="J660" s="8">
        <f>2764800/144</f>
        <v>19200</v>
      </c>
      <c r="K660" s="4" t="s">
        <v>39</v>
      </c>
      <c r="M660" s="9">
        <v>0.17</v>
      </c>
      <c r="O660" s="7" t="s">
        <v>39</v>
      </c>
      <c r="P660" s="3">
        <f t="shared" si="242"/>
        <v>0</v>
      </c>
      <c r="Q660" s="7" t="s">
        <v>39</v>
      </c>
      <c r="R660" s="8">
        <f t="shared" si="243"/>
        <v>0</v>
      </c>
      <c r="S660" s="8">
        <f t="shared" si="244"/>
        <v>0</v>
      </c>
    </row>
    <row r="661" spans="1:19" x14ac:dyDescent="0.2">
      <c r="A661" s="1" t="s">
        <v>387</v>
      </c>
      <c r="B661" s="2" t="s">
        <v>24</v>
      </c>
      <c r="D661" s="4" t="s">
        <v>39</v>
      </c>
      <c r="F661" s="6">
        <v>1</v>
      </c>
      <c r="G661" s="7" t="s">
        <v>19</v>
      </c>
      <c r="H661" s="6">
        <v>144</v>
      </c>
      <c r="I661" s="7" t="s">
        <v>39</v>
      </c>
      <c r="J661" s="8">
        <v>23400</v>
      </c>
      <c r="K661" s="4" t="s">
        <v>39</v>
      </c>
      <c r="M661" s="9">
        <v>0.17</v>
      </c>
      <c r="O661" s="7" t="s">
        <v>39</v>
      </c>
      <c r="P661" s="3">
        <f t="shared" si="242"/>
        <v>0</v>
      </c>
      <c r="Q661" s="7" t="s">
        <v>39</v>
      </c>
      <c r="R661" s="8">
        <f t="shared" si="243"/>
        <v>0</v>
      </c>
      <c r="S661" s="8">
        <f t="shared" si="244"/>
        <v>0</v>
      </c>
    </row>
    <row r="662" spans="1:19" x14ac:dyDescent="0.2">
      <c r="A662" s="1" t="s">
        <v>389</v>
      </c>
      <c r="B662" s="2" t="s">
        <v>24</v>
      </c>
      <c r="D662" s="4" t="s">
        <v>39</v>
      </c>
      <c r="F662" s="6">
        <v>1</v>
      </c>
      <c r="G662" s="7" t="s">
        <v>19</v>
      </c>
      <c r="H662" s="6">
        <v>144</v>
      </c>
      <c r="I662" s="7" t="s">
        <v>39</v>
      </c>
      <c r="J662" s="8">
        <f>3542400/144</f>
        <v>24600</v>
      </c>
      <c r="K662" s="4" t="s">
        <v>39</v>
      </c>
      <c r="M662" s="9">
        <v>0.17</v>
      </c>
      <c r="O662" s="7" t="s">
        <v>39</v>
      </c>
      <c r="P662" s="3">
        <f t="shared" si="242"/>
        <v>0</v>
      </c>
      <c r="Q662" s="7" t="s">
        <v>39</v>
      </c>
      <c r="R662" s="8">
        <f t="shared" si="243"/>
        <v>0</v>
      </c>
      <c r="S662" s="8">
        <f t="shared" si="244"/>
        <v>0</v>
      </c>
    </row>
    <row r="663" spans="1:19" x14ac:dyDescent="0.2">
      <c r="A663" s="1" t="s">
        <v>390</v>
      </c>
      <c r="B663" s="2" t="s">
        <v>24</v>
      </c>
      <c r="D663" s="4" t="s">
        <v>39</v>
      </c>
      <c r="F663" s="6">
        <v>1</v>
      </c>
      <c r="G663" s="7" t="s">
        <v>19</v>
      </c>
      <c r="H663" s="6">
        <v>144</v>
      </c>
      <c r="I663" s="7" t="s">
        <v>39</v>
      </c>
      <c r="J663" s="8">
        <f>3110400/144</f>
        <v>21600</v>
      </c>
      <c r="K663" s="4" t="s">
        <v>39</v>
      </c>
      <c r="M663" s="9">
        <v>0.17</v>
      </c>
      <c r="O663" s="7" t="s">
        <v>39</v>
      </c>
      <c r="P663" s="3">
        <f t="shared" si="242"/>
        <v>0</v>
      </c>
      <c r="Q663" s="7" t="s">
        <v>39</v>
      </c>
      <c r="R663" s="8">
        <f t="shared" si="243"/>
        <v>0</v>
      </c>
      <c r="S663" s="8">
        <f t="shared" si="244"/>
        <v>0</v>
      </c>
    </row>
    <row r="664" spans="1:19" x14ac:dyDescent="0.2">
      <c r="A664" s="1" t="s">
        <v>765</v>
      </c>
      <c r="B664" s="2" t="s">
        <v>24</v>
      </c>
      <c r="D664" s="4" t="s">
        <v>39</v>
      </c>
      <c r="F664" s="6">
        <v>1</v>
      </c>
      <c r="G664" s="7" t="s">
        <v>19</v>
      </c>
      <c r="H664" s="6">
        <v>144</v>
      </c>
      <c r="I664" s="7" t="s">
        <v>39</v>
      </c>
      <c r="J664" s="8">
        <f>3456000/144</f>
        <v>24000</v>
      </c>
      <c r="K664" s="4" t="s">
        <v>39</v>
      </c>
      <c r="M664" s="9">
        <v>0.17</v>
      </c>
      <c r="O664" s="7" t="s">
        <v>39</v>
      </c>
      <c r="P664" s="3">
        <f t="shared" si="242"/>
        <v>0</v>
      </c>
      <c r="Q664" s="7" t="s">
        <v>39</v>
      </c>
      <c r="R664" s="8">
        <f t="shared" si="243"/>
        <v>0</v>
      </c>
      <c r="S664" s="8">
        <f t="shared" si="244"/>
        <v>0</v>
      </c>
    </row>
    <row r="665" spans="1:19" x14ac:dyDescent="0.2">
      <c r="A665" s="1" t="s">
        <v>391</v>
      </c>
      <c r="B665" s="2" t="s">
        <v>24</v>
      </c>
      <c r="D665" s="4" t="s">
        <v>39</v>
      </c>
      <c r="F665" s="6">
        <v>1</v>
      </c>
      <c r="G665" s="7" t="s">
        <v>19</v>
      </c>
      <c r="H665" s="6">
        <v>144</v>
      </c>
      <c r="I665" s="7" t="s">
        <v>39</v>
      </c>
      <c r="J665" s="8">
        <f>3758400/144</f>
        <v>26100</v>
      </c>
      <c r="K665" s="4" t="s">
        <v>39</v>
      </c>
      <c r="M665" s="9">
        <v>0.17</v>
      </c>
      <c r="O665" s="7" t="s">
        <v>39</v>
      </c>
      <c r="P665" s="3">
        <f t="shared" si="242"/>
        <v>0</v>
      </c>
      <c r="Q665" s="7" t="s">
        <v>39</v>
      </c>
      <c r="R665" s="8">
        <f t="shared" si="243"/>
        <v>0</v>
      </c>
      <c r="S665" s="8">
        <f t="shared" si="244"/>
        <v>0</v>
      </c>
    </row>
    <row r="666" spans="1:19" x14ac:dyDescent="0.2">
      <c r="A666" s="1" t="s">
        <v>695</v>
      </c>
      <c r="B666" s="2" t="s">
        <v>24</v>
      </c>
      <c r="D666" s="4" t="s">
        <v>39</v>
      </c>
      <c r="F666" s="6">
        <v>1</v>
      </c>
      <c r="G666" s="7" t="s">
        <v>19</v>
      </c>
      <c r="H666" s="6">
        <v>144</v>
      </c>
      <c r="I666" s="7" t="s">
        <v>39</v>
      </c>
      <c r="J666" s="8">
        <f>5616000/144</f>
        <v>39000</v>
      </c>
      <c r="K666" s="4" t="s">
        <v>39</v>
      </c>
      <c r="M666" s="9">
        <v>0.17</v>
      </c>
      <c r="O666" s="7" t="s">
        <v>39</v>
      </c>
      <c r="P666" s="3">
        <f t="shared" si="242"/>
        <v>0</v>
      </c>
      <c r="Q666" s="7" t="s">
        <v>39</v>
      </c>
      <c r="R666" s="8">
        <f t="shared" si="243"/>
        <v>0</v>
      </c>
      <c r="S666" s="8">
        <f t="shared" si="244"/>
        <v>0</v>
      </c>
    </row>
    <row r="667" spans="1:19" x14ac:dyDescent="0.2">
      <c r="A667" s="1" t="s">
        <v>392</v>
      </c>
      <c r="B667" s="2" t="s">
        <v>24</v>
      </c>
      <c r="D667" s="4" t="s">
        <v>39</v>
      </c>
      <c r="F667" s="6">
        <v>1</v>
      </c>
      <c r="G667" s="7" t="s">
        <v>19</v>
      </c>
      <c r="H667" s="6">
        <v>144</v>
      </c>
      <c r="I667" s="7" t="s">
        <v>39</v>
      </c>
      <c r="J667" s="8">
        <f>5270400/144</f>
        <v>36600</v>
      </c>
      <c r="K667" s="4" t="s">
        <v>39</v>
      </c>
      <c r="M667" s="9">
        <v>0.17</v>
      </c>
      <c r="O667" s="7" t="s">
        <v>39</v>
      </c>
      <c r="P667" s="3">
        <f t="shared" si="242"/>
        <v>0</v>
      </c>
      <c r="Q667" s="7" t="s">
        <v>39</v>
      </c>
      <c r="R667" s="8">
        <f t="shared" si="243"/>
        <v>0</v>
      </c>
      <c r="S667" s="8">
        <f t="shared" si="244"/>
        <v>0</v>
      </c>
    </row>
    <row r="668" spans="1:19" x14ac:dyDescent="0.2">
      <c r="A668" s="1" t="s">
        <v>1021</v>
      </c>
      <c r="B668" s="2" t="s">
        <v>24</v>
      </c>
      <c r="D668" s="4" t="s">
        <v>39</v>
      </c>
      <c r="F668" s="6">
        <v>1</v>
      </c>
      <c r="G668" s="7" t="s">
        <v>19</v>
      </c>
      <c r="H668" s="6">
        <v>144</v>
      </c>
      <c r="I668" s="7" t="s">
        <v>39</v>
      </c>
      <c r="J668" s="8">
        <f>5616000/144</f>
        <v>39000</v>
      </c>
      <c r="K668" s="4" t="s">
        <v>39</v>
      </c>
      <c r="M668" s="9">
        <v>0.17</v>
      </c>
      <c r="O668" s="7" t="s">
        <v>39</v>
      </c>
      <c r="P668" s="3">
        <f t="shared" si="242"/>
        <v>0</v>
      </c>
      <c r="Q668" s="7" t="s">
        <v>39</v>
      </c>
      <c r="R668" s="8">
        <f t="shared" si="243"/>
        <v>0</v>
      </c>
      <c r="S668" s="8">
        <f t="shared" si="244"/>
        <v>0</v>
      </c>
    </row>
    <row r="670" spans="1:19" x14ac:dyDescent="0.2">
      <c r="A670" s="1" t="s">
        <v>394</v>
      </c>
      <c r="B670" s="2" t="s">
        <v>258</v>
      </c>
      <c r="D670" s="4" t="s">
        <v>39</v>
      </c>
      <c r="F670" s="6">
        <v>1</v>
      </c>
      <c r="G670" s="7" t="s">
        <v>19</v>
      </c>
      <c r="H670" s="6">
        <v>144</v>
      </c>
      <c r="I670" s="7" t="s">
        <v>39</v>
      </c>
      <c r="J670" s="8">
        <v>22500</v>
      </c>
      <c r="K670" s="4" t="s">
        <v>39</v>
      </c>
      <c r="O670" s="7" t="s">
        <v>39</v>
      </c>
      <c r="P670" s="3">
        <f t="shared" ref="P670:P675" si="254">(C670+(E670*F670*H670))-N670</f>
        <v>0</v>
      </c>
      <c r="Q670" s="7" t="s">
        <v>39</v>
      </c>
      <c r="R670" s="8">
        <f t="shared" ref="R670:R678" si="255">S670/1.11</f>
        <v>0</v>
      </c>
      <c r="S670" s="8">
        <f t="shared" ref="S670:S675" si="256">P670*(J670-(J670*L670)-((J670-(J670*L670))*M670))</f>
        <v>0</v>
      </c>
    </row>
    <row r="671" spans="1:19" x14ac:dyDescent="0.2">
      <c r="A671" s="1" t="s">
        <v>395</v>
      </c>
      <c r="B671" s="2" t="s">
        <v>258</v>
      </c>
      <c r="D671" s="4" t="s">
        <v>39</v>
      </c>
      <c r="F671" s="6">
        <v>1</v>
      </c>
      <c r="G671" s="7" t="s">
        <v>19</v>
      </c>
      <c r="H671" s="6">
        <v>144</v>
      </c>
      <c r="I671" s="7" t="s">
        <v>39</v>
      </c>
      <c r="J671" s="8">
        <v>26000</v>
      </c>
      <c r="K671" s="4" t="s">
        <v>39</v>
      </c>
      <c r="O671" s="7" t="s">
        <v>39</v>
      </c>
      <c r="P671" s="3">
        <f t="shared" si="254"/>
        <v>0</v>
      </c>
      <c r="Q671" s="7" t="s">
        <v>39</v>
      </c>
      <c r="R671" s="8">
        <f t="shared" si="255"/>
        <v>0</v>
      </c>
      <c r="S671" s="8">
        <f t="shared" si="256"/>
        <v>0</v>
      </c>
    </row>
    <row r="672" spans="1:19" x14ac:dyDescent="0.2">
      <c r="A672" s="1" t="s">
        <v>396</v>
      </c>
      <c r="B672" s="2" t="s">
        <v>258</v>
      </c>
      <c r="D672" s="4" t="s">
        <v>39</v>
      </c>
      <c r="F672" s="6">
        <v>1</v>
      </c>
      <c r="G672" s="7" t="s">
        <v>19</v>
      </c>
      <c r="H672" s="6">
        <v>96</v>
      </c>
      <c r="I672" s="7" t="s">
        <v>39</v>
      </c>
      <c r="J672" s="8">
        <v>31500</v>
      </c>
      <c r="K672" s="4" t="s">
        <v>39</v>
      </c>
      <c r="O672" s="7" t="s">
        <v>39</v>
      </c>
      <c r="P672" s="3">
        <f t="shared" si="254"/>
        <v>0</v>
      </c>
      <c r="Q672" s="7" t="s">
        <v>39</v>
      </c>
      <c r="R672" s="8">
        <f t="shared" si="255"/>
        <v>0</v>
      </c>
      <c r="S672" s="8">
        <f t="shared" si="256"/>
        <v>0</v>
      </c>
    </row>
    <row r="673" spans="1:21" x14ac:dyDescent="0.2">
      <c r="A673" s="1" t="s">
        <v>701</v>
      </c>
      <c r="B673" s="2" t="s">
        <v>258</v>
      </c>
      <c r="D673" s="4" t="s">
        <v>39</v>
      </c>
      <c r="F673" s="6">
        <v>1</v>
      </c>
      <c r="G673" s="7" t="s">
        <v>19</v>
      </c>
      <c r="H673" s="6">
        <v>144</v>
      </c>
      <c r="I673" s="7" t="s">
        <v>39</v>
      </c>
      <c r="J673" s="8">
        <f>31818+(31818*10%)</f>
        <v>34999.800000000003</v>
      </c>
      <c r="K673" s="4" t="s">
        <v>39</v>
      </c>
      <c r="O673" s="7" t="s">
        <v>39</v>
      </c>
      <c r="P673" s="3">
        <f t="shared" si="254"/>
        <v>0</v>
      </c>
      <c r="Q673" s="7" t="s">
        <v>39</v>
      </c>
      <c r="R673" s="8">
        <f t="shared" si="255"/>
        <v>0</v>
      </c>
      <c r="S673" s="8">
        <f t="shared" si="256"/>
        <v>0</v>
      </c>
    </row>
    <row r="674" spans="1:21" x14ac:dyDescent="0.2">
      <c r="A674" s="1" t="s">
        <v>1022</v>
      </c>
      <c r="B674" s="2" t="s">
        <v>258</v>
      </c>
      <c r="D674" s="4" t="s">
        <v>39</v>
      </c>
      <c r="F674" s="6">
        <v>1</v>
      </c>
      <c r="G674" s="7" t="s">
        <v>19</v>
      </c>
      <c r="H674" s="6">
        <v>144</v>
      </c>
      <c r="I674" s="7" t="s">
        <v>39</v>
      </c>
      <c r="J674" s="8">
        <v>18250</v>
      </c>
      <c r="K674" s="4" t="s">
        <v>39</v>
      </c>
      <c r="O674" s="7" t="s">
        <v>39</v>
      </c>
      <c r="P674" s="3">
        <f t="shared" ref="P674" si="257">(C674+(E674*F674*H674))-N674</f>
        <v>0</v>
      </c>
      <c r="Q674" s="7" t="s">
        <v>39</v>
      </c>
      <c r="R674" s="8">
        <f t="shared" si="255"/>
        <v>0</v>
      </c>
      <c r="S674" s="8">
        <f t="shared" ref="S674" si="258">P674*(J674-(J674*L674)-((J674-(J674*L674))*M674))</f>
        <v>0</v>
      </c>
    </row>
    <row r="675" spans="1:21" x14ac:dyDescent="0.2">
      <c r="A675" s="1" t="s">
        <v>1023</v>
      </c>
      <c r="B675" s="2" t="s">
        <v>258</v>
      </c>
      <c r="D675" s="4" t="s">
        <v>39</v>
      </c>
      <c r="F675" s="6">
        <v>1</v>
      </c>
      <c r="G675" s="7" t="s">
        <v>19</v>
      </c>
      <c r="H675" s="6">
        <v>120</v>
      </c>
      <c r="I675" s="7" t="s">
        <v>39</v>
      </c>
      <c r="J675" s="8">
        <v>18250</v>
      </c>
      <c r="K675" s="4" t="s">
        <v>39</v>
      </c>
      <c r="O675" s="7" t="s">
        <v>39</v>
      </c>
      <c r="P675" s="3">
        <f t="shared" si="254"/>
        <v>0</v>
      </c>
      <c r="Q675" s="7" t="s">
        <v>39</v>
      </c>
      <c r="R675" s="8">
        <f t="shared" si="255"/>
        <v>0</v>
      </c>
      <c r="S675" s="8">
        <f t="shared" si="256"/>
        <v>0</v>
      </c>
    </row>
    <row r="676" spans="1:21" x14ac:dyDescent="0.2">
      <c r="A676" s="1" t="s">
        <v>857</v>
      </c>
      <c r="B676" s="2" t="s">
        <v>258</v>
      </c>
      <c r="D676" s="4" t="s">
        <v>39</v>
      </c>
      <c r="F676" s="6">
        <v>1</v>
      </c>
      <c r="G676" s="7" t="s">
        <v>19</v>
      </c>
      <c r="H676" s="6">
        <v>60</v>
      </c>
      <c r="I676" s="7" t="s">
        <v>39</v>
      </c>
      <c r="J676" s="8">
        <v>18250</v>
      </c>
      <c r="K676" s="4" t="s">
        <v>39</v>
      </c>
      <c r="O676" s="7" t="s">
        <v>39</v>
      </c>
      <c r="P676" s="3">
        <f t="shared" ref="P676" si="259">(C676+(E676*F676*H676))-N676</f>
        <v>0</v>
      </c>
      <c r="Q676" s="7" t="s">
        <v>39</v>
      </c>
      <c r="R676" s="8">
        <f t="shared" si="255"/>
        <v>0</v>
      </c>
      <c r="S676" s="8">
        <f t="shared" ref="S676" si="260">P676*(J676-(J676*L676)-((J676-(J676*L676))*M676))</f>
        <v>0</v>
      </c>
    </row>
    <row r="677" spans="1:21" x14ac:dyDescent="0.2">
      <c r="A677" s="1" t="s">
        <v>901</v>
      </c>
      <c r="B677" s="2" t="s">
        <v>258</v>
      </c>
      <c r="D677" s="4" t="s">
        <v>39</v>
      </c>
      <c r="F677" s="6">
        <v>1</v>
      </c>
      <c r="G677" s="7" t="s">
        <v>19</v>
      </c>
      <c r="H677" s="6">
        <v>120</v>
      </c>
      <c r="I677" s="7" t="s">
        <v>890</v>
      </c>
      <c r="J677" s="8">
        <v>16750</v>
      </c>
      <c r="K677" s="4" t="s">
        <v>39</v>
      </c>
      <c r="O677" s="7" t="s">
        <v>39</v>
      </c>
      <c r="P677" s="3">
        <f t="shared" ref="P677" si="261">(C677+(E677*F677*H677))-N677</f>
        <v>0</v>
      </c>
      <c r="Q677" s="7" t="s">
        <v>39</v>
      </c>
      <c r="R677" s="8">
        <f t="shared" si="255"/>
        <v>0</v>
      </c>
      <c r="S677" s="8">
        <f t="shared" ref="S677" si="262">P677*(J677-(J677*L677)-((J677-(J677*L677))*M677))</f>
        <v>0</v>
      </c>
      <c r="U677" s="29"/>
    </row>
    <row r="678" spans="1:21" x14ac:dyDescent="0.2">
      <c r="A678" s="1" t="s">
        <v>913</v>
      </c>
      <c r="B678" s="2" t="s">
        <v>258</v>
      </c>
      <c r="D678" s="4" t="s">
        <v>39</v>
      </c>
      <c r="F678" s="6">
        <v>1</v>
      </c>
      <c r="G678" s="7" t="s">
        <v>19</v>
      </c>
      <c r="H678" s="6">
        <v>144</v>
      </c>
      <c r="I678" s="7" t="s">
        <v>890</v>
      </c>
      <c r="J678" s="8">
        <v>24000</v>
      </c>
      <c r="K678" s="4" t="s">
        <v>39</v>
      </c>
      <c r="O678" s="7" t="s">
        <v>39</v>
      </c>
      <c r="P678" s="3">
        <f t="shared" ref="P678" si="263">(C678+(E678*F678*H678))-N678</f>
        <v>0</v>
      </c>
      <c r="Q678" s="7" t="s">
        <v>39</v>
      </c>
      <c r="R678" s="8">
        <f t="shared" si="255"/>
        <v>0</v>
      </c>
      <c r="S678" s="8">
        <f t="shared" ref="S678" si="264">P678*(J678-(J678*L678)-((J678-(J678*L678))*M678))</f>
        <v>0</v>
      </c>
    </row>
    <row r="680" spans="1:21" x14ac:dyDescent="0.2">
      <c r="A680" s="1" t="s">
        <v>690</v>
      </c>
      <c r="B680" s="2" t="s">
        <v>676</v>
      </c>
      <c r="D680" s="4" t="s">
        <v>39</v>
      </c>
      <c r="F680" s="6">
        <v>1</v>
      </c>
      <c r="G680" s="7" t="s">
        <v>19</v>
      </c>
      <c r="H680" s="6">
        <v>96</v>
      </c>
      <c r="I680" s="7" t="s">
        <v>39</v>
      </c>
      <c r="J680" s="8">
        <v>26500</v>
      </c>
      <c r="K680" s="4" t="s">
        <v>39</v>
      </c>
      <c r="L680" s="9">
        <v>0.03</v>
      </c>
      <c r="O680" s="7" t="s">
        <v>39</v>
      </c>
      <c r="P680" s="3">
        <f>(C680+(E680*F680*H680))-N680</f>
        <v>0</v>
      </c>
      <c r="Q680" s="7" t="s">
        <v>39</v>
      </c>
      <c r="R680" s="8">
        <f>S680/1.11</f>
        <v>0</v>
      </c>
      <c r="S680" s="8">
        <f>P680*(J680-(J680*L680)-((J680-(J680*L680))*M680))</f>
        <v>0</v>
      </c>
      <c r="U680" s="30"/>
    </row>
    <row r="681" spans="1:21" x14ac:dyDescent="0.2">
      <c r="A681" s="1" t="s">
        <v>991</v>
      </c>
      <c r="B681" s="2" t="s">
        <v>676</v>
      </c>
      <c r="D681" s="4" t="s">
        <v>39</v>
      </c>
      <c r="F681" s="6">
        <v>1</v>
      </c>
      <c r="G681" s="7" t="s">
        <v>19</v>
      </c>
      <c r="H681" s="6">
        <v>96</v>
      </c>
      <c r="I681" s="7" t="s">
        <v>39</v>
      </c>
      <c r="J681" s="8">
        <v>26500</v>
      </c>
      <c r="K681" s="4" t="s">
        <v>39</v>
      </c>
      <c r="O681" s="7" t="s">
        <v>39</v>
      </c>
      <c r="P681" s="3">
        <f>(C681+(E681*F681*H681))-N681</f>
        <v>0</v>
      </c>
      <c r="Q681" s="7" t="s">
        <v>39</v>
      </c>
      <c r="R681" s="8">
        <f>S681/1.11</f>
        <v>0</v>
      </c>
      <c r="S681" s="8">
        <f>P681*(J681-(J681*L681)-((J681-(J681*L681))*M681))</f>
        <v>0</v>
      </c>
    </row>
    <row r="683" spans="1:21" x14ac:dyDescent="0.2">
      <c r="A683" s="1" t="s">
        <v>728</v>
      </c>
      <c r="B683" s="2" t="s">
        <v>170</v>
      </c>
      <c r="D683" s="4" t="s">
        <v>39</v>
      </c>
      <c r="F683" s="6">
        <v>1</v>
      </c>
      <c r="G683" s="7" t="s">
        <v>19</v>
      </c>
      <c r="H683" s="6">
        <v>144</v>
      </c>
      <c r="I683" s="7" t="s">
        <v>39</v>
      </c>
      <c r="J683" s="8">
        <v>19000</v>
      </c>
      <c r="K683" s="4" t="s">
        <v>39</v>
      </c>
      <c r="L683" s="9">
        <v>0.02</v>
      </c>
      <c r="O683" s="7" t="s">
        <v>39</v>
      </c>
      <c r="P683" s="3">
        <f>(C683+(E683*F683*H683))-N683</f>
        <v>0</v>
      </c>
      <c r="Q683" s="7" t="s">
        <v>39</v>
      </c>
      <c r="R683" s="8">
        <f t="shared" ref="R683:R688" si="265">S683/1.11</f>
        <v>0</v>
      </c>
      <c r="S683" s="8">
        <f>P683*(J683-(J683*L683)-((J683-(J683*L683))*M683))</f>
        <v>0</v>
      </c>
    </row>
    <row r="684" spans="1:21" x14ac:dyDescent="0.2">
      <c r="A684" s="1" t="s">
        <v>397</v>
      </c>
      <c r="B684" s="2" t="s">
        <v>170</v>
      </c>
      <c r="D684" s="4" t="s">
        <v>39</v>
      </c>
      <c r="F684" s="6">
        <v>1</v>
      </c>
      <c r="G684" s="7" t="s">
        <v>19</v>
      </c>
      <c r="H684" s="6">
        <v>192</v>
      </c>
      <c r="I684" s="7" t="s">
        <v>39</v>
      </c>
      <c r="J684" s="8">
        <v>12750</v>
      </c>
      <c r="K684" s="4" t="s">
        <v>39</v>
      </c>
      <c r="L684" s="9">
        <v>0.05</v>
      </c>
      <c r="O684" s="7" t="s">
        <v>39</v>
      </c>
      <c r="P684" s="3">
        <f>(C684+(E684*F684*H684))-N684</f>
        <v>0</v>
      </c>
      <c r="Q684" s="7" t="s">
        <v>39</v>
      </c>
      <c r="R684" s="8">
        <f t="shared" si="265"/>
        <v>0</v>
      </c>
      <c r="S684" s="8">
        <f>P684*(J684-(J684*L684)-((J684-(J684*L684))*M684))</f>
        <v>0</v>
      </c>
    </row>
    <row r="685" spans="1:21" x14ac:dyDescent="0.2">
      <c r="A685" s="1" t="s">
        <v>914</v>
      </c>
      <c r="B685" s="2" t="s">
        <v>170</v>
      </c>
      <c r="C685" s="3">
        <v>1344</v>
      </c>
      <c r="D685" s="4" t="s">
        <v>39</v>
      </c>
      <c r="F685" s="6">
        <v>1</v>
      </c>
      <c r="G685" s="7" t="s">
        <v>19</v>
      </c>
      <c r="H685" s="6">
        <v>192</v>
      </c>
      <c r="I685" s="7" t="s">
        <v>39</v>
      </c>
      <c r="J685" s="8">
        <v>9500</v>
      </c>
      <c r="K685" s="4" t="s">
        <v>39</v>
      </c>
      <c r="L685" s="9">
        <v>7.0000000000000007E-2</v>
      </c>
      <c r="O685" s="7" t="s">
        <v>39</v>
      </c>
      <c r="P685" s="3">
        <f>(C685+(E685*F685*H685))-N685</f>
        <v>1344</v>
      </c>
      <c r="Q685" s="7" t="s">
        <v>39</v>
      </c>
      <c r="R685" s="8">
        <f t="shared" si="265"/>
        <v>10697513.513513513</v>
      </c>
      <c r="S685" s="8">
        <f>P685*(J685-(J685*L685)-((J685-(J685*L685))*M685))</f>
        <v>11874240</v>
      </c>
    </row>
    <row r="686" spans="1:21" x14ac:dyDescent="0.2">
      <c r="A686" s="1" t="s">
        <v>972</v>
      </c>
      <c r="B686" s="2" t="s">
        <v>170</v>
      </c>
      <c r="C686" s="3">
        <v>192</v>
      </c>
      <c r="D686" s="4" t="s">
        <v>39</v>
      </c>
      <c r="F686" s="6">
        <v>1</v>
      </c>
      <c r="G686" s="7" t="s">
        <v>19</v>
      </c>
      <c r="H686" s="6">
        <v>192</v>
      </c>
      <c r="I686" s="7" t="s">
        <v>39</v>
      </c>
      <c r="J686" s="8">
        <v>10525</v>
      </c>
      <c r="K686" s="4" t="s">
        <v>39</v>
      </c>
      <c r="L686" s="9">
        <v>7.0000000000000007E-2</v>
      </c>
      <c r="O686" s="7" t="s">
        <v>39</v>
      </c>
      <c r="P686" s="3">
        <f t="shared" ref="P686:P687" si="266">(C686+(E686*F686*H686))-N686</f>
        <v>192</v>
      </c>
      <c r="Q686" s="7" t="s">
        <v>39</v>
      </c>
      <c r="R686" s="8">
        <f t="shared" si="265"/>
        <v>1693102.7027027025</v>
      </c>
      <c r="S686" s="8">
        <f t="shared" ref="S686:S687" si="267">P686*(J686-(J686*L686)-((J686-(J686*L686))*M686))</f>
        <v>1879344</v>
      </c>
    </row>
    <row r="687" spans="1:21" x14ac:dyDescent="0.2">
      <c r="A687" s="1" t="s">
        <v>973</v>
      </c>
      <c r="B687" s="2" t="s">
        <v>170</v>
      </c>
      <c r="C687" s="3">
        <v>144</v>
      </c>
      <c r="D687" s="4" t="s">
        <v>39</v>
      </c>
      <c r="F687" s="6">
        <v>1</v>
      </c>
      <c r="G687" s="7" t="s">
        <v>19</v>
      </c>
      <c r="H687" s="6">
        <v>144</v>
      </c>
      <c r="I687" s="7" t="s">
        <v>39</v>
      </c>
      <c r="J687" s="8">
        <v>8500</v>
      </c>
      <c r="K687" s="4" t="s">
        <v>39</v>
      </c>
      <c r="L687" s="9">
        <v>7.0000000000000007E-2</v>
      </c>
      <c r="O687" s="7" t="s">
        <v>39</v>
      </c>
      <c r="P687" s="3">
        <f t="shared" si="266"/>
        <v>144</v>
      </c>
      <c r="Q687" s="7" t="s">
        <v>39</v>
      </c>
      <c r="R687" s="8">
        <f t="shared" si="265"/>
        <v>1025513.5135135134</v>
      </c>
      <c r="S687" s="8">
        <f t="shared" si="267"/>
        <v>1138320</v>
      </c>
    </row>
    <row r="688" spans="1:21" x14ac:dyDescent="0.2">
      <c r="A688" s="1" t="s">
        <v>975</v>
      </c>
      <c r="B688" s="2" t="s">
        <v>170</v>
      </c>
      <c r="D688" s="4" t="s">
        <v>150</v>
      </c>
      <c r="F688" s="6">
        <v>1</v>
      </c>
      <c r="G688" s="7" t="s">
        <v>19</v>
      </c>
      <c r="H688" s="6">
        <v>256</v>
      </c>
      <c r="I688" s="7" t="s">
        <v>150</v>
      </c>
      <c r="J688" s="8">
        <v>14500</v>
      </c>
      <c r="K688" s="4" t="s">
        <v>150</v>
      </c>
      <c r="L688" s="9">
        <v>7.0000000000000007E-2</v>
      </c>
      <c r="O688" s="7" t="s">
        <v>150</v>
      </c>
      <c r="P688" s="3">
        <f t="shared" ref="P688" si="268">(C688+(E688*F688*H688))-N688</f>
        <v>0</v>
      </c>
      <c r="Q688" s="7" t="s">
        <v>150</v>
      </c>
      <c r="R688" s="8">
        <f t="shared" si="265"/>
        <v>0</v>
      </c>
      <c r="S688" s="8">
        <f t="shared" ref="S688" si="269">P688*(J688-(J688*L688)-((J688-(J688*L688))*M688))</f>
        <v>0</v>
      </c>
    </row>
    <row r="690" spans="1:19" x14ac:dyDescent="0.2">
      <c r="A690" s="24" t="s">
        <v>398</v>
      </c>
    </row>
    <row r="691" spans="1:19" x14ac:dyDescent="0.2">
      <c r="A691" s="15" t="s">
        <v>399</v>
      </c>
      <c r="B691" s="2" t="s">
        <v>17</v>
      </c>
      <c r="D691" s="4" t="s">
        <v>150</v>
      </c>
      <c r="F691" s="6">
        <v>8</v>
      </c>
      <c r="G691" s="7" t="s">
        <v>32</v>
      </c>
      <c r="H691" s="6">
        <v>24</v>
      </c>
      <c r="I691" s="7" t="s">
        <v>150</v>
      </c>
      <c r="J691" s="8">
        <v>16500</v>
      </c>
      <c r="K691" s="4" t="s">
        <v>150</v>
      </c>
      <c r="L691" s="9">
        <v>0.125</v>
      </c>
      <c r="M691" s="9">
        <v>0.05</v>
      </c>
      <c r="O691" s="7" t="s">
        <v>150</v>
      </c>
      <c r="P691" s="3">
        <f t="shared" ref="P691:P696" si="270">(C691+(E691*F691*H691))-N691</f>
        <v>0</v>
      </c>
      <c r="Q691" s="7" t="s">
        <v>150</v>
      </c>
      <c r="R691" s="8">
        <f t="shared" ref="R691:R696" si="271">S691/1.11</f>
        <v>0</v>
      </c>
      <c r="S691" s="8">
        <f t="shared" ref="S691:S696" si="272">P691*(J691-(J691*L691)-((J691-(J691*L691))*M691))</f>
        <v>0</v>
      </c>
    </row>
    <row r="692" spans="1:19" x14ac:dyDescent="0.2">
      <c r="A692" s="15" t="s">
        <v>783</v>
      </c>
      <c r="B692" s="2" t="s">
        <v>17</v>
      </c>
      <c r="D692" s="4" t="s">
        <v>150</v>
      </c>
      <c r="F692" s="6">
        <v>12</v>
      </c>
      <c r="G692" s="7" t="s">
        <v>32</v>
      </c>
      <c r="H692" s="6">
        <v>24</v>
      </c>
      <c r="I692" s="7" t="s">
        <v>150</v>
      </c>
      <c r="J692" s="8">
        <v>14400</v>
      </c>
      <c r="K692" s="4" t="s">
        <v>150</v>
      </c>
      <c r="L692" s="9">
        <v>0.125</v>
      </c>
      <c r="M692" s="9">
        <v>0.05</v>
      </c>
      <c r="O692" s="7" t="s">
        <v>150</v>
      </c>
      <c r="P692" s="3">
        <f t="shared" si="270"/>
        <v>0</v>
      </c>
      <c r="Q692" s="7" t="s">
        <v>150</v>
      </c>
      <c r="R692" s="8">
        <f t="shared" si="271"/>
        <v>0</v>
      </c>
      <c r="S692" s="8">
        <f t="shared" si="272"/>
        <v>0</v>
      </c>
    </row>
    <row r="693" spans="1:19" x14ac:dyDescent="0.2">
      <c r="A693" s="15" t="s">
        <v>400</v>
      </c>
      <c r="B693" s="2" t="s">
        <v>17</v>
      </c>
      <c r="D693" s="4" t="s">
        <v>150</v>
      </c>
      <c r="F693" s="6">
        <v>8</v>
      </c>
      <c r="G693" s="7" t="s">
        <v>32</v>
      </c>
      <c r="H693" s="6">
        <v>30</v>
      </c>
      <c r="I693" s="7" t="s">
        <v>150</v>
      </c>
      <c r="K693" s="4" t="s">
        <v>150</v>
      </c>
      <c r="L693" s="9">
        <v>0.1</v>
      </c>
      <c r="M693" s="9">
        <v>0.05</v>
      </c>
      <c r="O693" s="7" t="s">
        <v>150</v>
      </c>
      <c r="P693" s="3">
        <f t="shared" si="270"/>
        <v>0</v>
      </c>
      <c r="Q693" s="7" t="s">
        <v>150</v>
      </c>
      <c r="R693" s="8">
        <f t="shared" si="271"/>
        <v>0</v>
      </c>
      <c r="S693" s="8">
        <f t="shared" si="272"/>
        <v>0</v>
      </c>
    </row>
    <row r="694" spans="1:19" x14ac:dyDescent="0.2">
      <c r="A694" s="15" t="s">
        <v>401</v>
      </c>
      <c r="B694" s="2" t="s">
        <v>17</v>
      </c>
      <c r="D694" s="4" t="s">
        <v>150</v>
      </c>
      <c r="F694" s="6">
        <v>8</v>
      </c>
      <c r="G694" s="7" t="s">
        <v>32</v>
      </c>
      <c r="H694" s="6">
        <v>24</v>
      </c>
      <c r="I694" s="7" t="s">
        <v>150</v>
      </c>
      <c r="J694" s="8">
        <v>21000</v>
      </c>
      <c r="K694" s="4" t="s">
        <v>150</v>
      </c>
      <c r="L694" s="9">
        <v>0.125</v>
      </c>
      <c r="M694" s="9">
        <v>0.05</v>
      </c>
      <c r="O694" s="7" t="s">
        <v>150</v>
      </c>
      <c r="P694" s="3">
        <f t="shared" si="270"/>
        <v>0</v>
      </c>
      <c r="Q694" s="7" t="s">
        <v>150</v>
      </c>
      <c r="R694" s="8">
        <f t="shared" si="271"/>
        <v>0</v>
      </c>
      <c r="S694" s="8">
        <f t="shared" si="272"/>
        <v>0</v>
      </c>
    </row>
    <row r="695" spans="1:19" x14ac:dyDescent="0.2">
      <c r="A695" s="15" t="s">
        <v>402</v>
      </c>
      <c r="B695" s="2" t="s">
        <v>17</v>
      </c>
      <c r="D695" s="4" t="s">
        <v>150</v>
      </c>
      <c r="F695" s="6">
        <v>8</v>
      </c>
      <c r="G695" s="7" t="s">
        <v>32</v>
      </c>
      <c r="H695" s="6">
        <v>24</v>
      </c>
      <c r="I695" s="7" t="s">
        <v>150</v>
      </c>
      <c r="J695" s="8">
        <v>16800</v>
      </c>
      <c r="K695" s="4" t="s">
        <v>150</v>
      </c>
      <c r="L695" s="9">
        <v>0.125</v>
      </c>
      <c r="M695" s="9">
        <v>0.05</v>
      </c>
      <c r="O695" s="7" t="s">
        <v>150</v>
      </c>
      <c r="P695" s="3">
        <f t="shared" si="270"/>
        <v>0</v>
      </c>
      <c r="Q695" s="7" t="s">
        <v>150</v>
      </c>
      <c r="R695" s="8">
        <f t="shared" si="271"/>
        <v>0</v>
      </c>
      <c r="S695" s="8">
        <f t="shared" si="272"/>
        <v>0</v>
      </c>
    </row>
    <row r="696" spans="1:19" x14ac:dyDescent="0.2">
      <c r="A696" s="15" t="s">
        <v>403</v>
      </c>
      <c r="B696" s="2" t="s">
        <v>17</v>
      </c>
      <c r="D696" s="4" t="s">
        <v>150</v>
      </c>
      <c r="F696" s="6">
        <v>6</v>
      </c>
      <c r="G696" s="7" t="s">
        <v>32</v>
      </c>
      <c r="H696" s="6">
        <v>24</v>
      </c>
      <c r="I696" s="7" t="s">
        <v>150</v>
      </c>
      <c r="J696" s="8">
        <v>21000</v>
      </c>
      <c r="K696" s="4" t="s">
        <v>150</v>
      </c>
      <c r="L696" s="9">
        <v>0.125</v>
      </c>
      <c r="M696" s="9">
        <v>0.05</v>
      </c>
      <c r="O696" s="7" t="s">
        <v>150</v>
      </c>
      <c r="P696" s="3">
        <f t="shared" si="270"/>
        <v>0</v>
      </c>
      <c r="Q696" s="7" t="s">
        <v>150</v>
      </c>
      <c r="R696" s="8">
        <f t="shared" si="271"/>
        <v>0</v>
      </c>
      <c r="S696" s="8">
        <f t="shared" si="272"/>
        <v>0</v>
      </c>
    </row>
    <row r="697" spans="1:19" x14ac:dyDescent="0.2">
      <c r="A697" s="23"/>
    </row>
    <row r="698" spans="1:19" x14ac:dyDescent="0.2">
      <c r="A698" s="1" t="s">
        <v>404</v>
      </c>
      <c r="B698" s="2" t="s">
        <v>24</v>
      </c>
      <c r="D698" s="4" t="s">
        <v>150</v>
      </c>
      <c r="F698" s="6">
        <v>8</v>
      </c>
      <c r="G698" s="7" t="s">
        <v>32</v>
      </c>
      <c r="H698" s="6">
        <v>30</v>
      </c>
      <c r="I698" s="7" t="s">
        <v>150</v>
      </c>
      <c r="J698" s="8">
        <f>4800000/8/30</f>
        <v>20000</v>
      </c>
      <c r="K698" s="4" t="s">
        <v>150</v>
      </c>
      <c r="M698" s="9">
        <v>0.17</v>
      </c>
      <c r="O698" s="7" t="s">
        <v>150</v>
      </c>
      <c r="P698" s="3">
        <f>(C698+(E698*F698*H698))-N698</f>
        <v>0</v>
      </c>
      <c r="Q698" s="7" t="s">
        <v>150</v>
      </c>
      <c r="R698" s="8">
        <f>S698/1.11</f>
        <v>0</v>
      </c>
      <c r="S698" s="8">
        <f>P698*(J698-(J698*L698)-((J698-(J698*L698))*M698))</f>
        <v>0</v>
      </c>
    </row>
    <row r="699" spans="1:19" x14ac:dyDescent="0.2">
      <c r="A699" s="1" t="s">
        <v>661</v>
      </c>
      <c r="B699" s="2" t="s">
        <v>24</v>
      </c>
      <c r="D699" s="4" t="s">
        <v>150</v>
      </c>
      <c r="F699" s="6">
        <v>6</v>
      </c>
      <c r="G699" s="7" t="s">
        <v>32</v>
      </c>
      <c r="H699" s="6">
        <v>30</v>
      </c>
      <c r="I699" s="7" t="s">
        <v>150</v>
      </c>
      <c r="J699" s="8">
        <f>2664000/6/30</f>
        <v>14800</v>
      </c>
      <c r="K699" s="4" t="s">
        <v>150</v>
      </c>
      <c r="M699" s="9">
        <v>0.17</v>
      </c>
      <c r="O699" s="7" t="s">
        <v>150</v>
      </c>
      <c r="P699" s="3">
        <f>(C699+(E699*F699*H699))-N699</f>
        <v>0</v>
      </c>
      <c r="Q699" s="7" t="s">
        <v>150</v>
      </c>
      <c r="R699" s="8">
        <f>S699/1.11</f>
        <v>0</v>
      </c>
      <c r="S699" s="8">
        <f>P699*(J699-(J699*L699)-((J699-(J699*L699))*M699))</f>
        <v>0</v>
      </c>
    </row>
    <row r="701" spans="1:19" x14ac:dyDescent="0.2">
      <c r="A701" s="24" t="s">
        <v>405</v>
      </c>
    </row>
    <row r="702" spans="1:19" x14ac:dyDescent="0.2">
      <c r="A702" s="1" t="s">
        <v>406</v>
      </c>
      <c r="B702" s="2" t="s">
        <v>17</v>
      </c>
      <c r="D702" s="4" t="s">
        <v>39</v>
      </c>
      <c r="F702" s="6">
        <v>48</v>
      </c>
      <c r="G702" s="7" t="s">
        <v>32</v>
      </c>
      <c r="H702" s="6">
        <v>12</v>
      </c>
      <c r="I702" s="7" t="s">
        <v>18</v>
      </c>
      <c r="J702" s="8">
        <v>5800</v>
      </c>
      <c r="K702" s="4" t="s">
        <v>18</v>
      </c>
      <c r="L702" s="9">
        <v>0.125</v>
      </c>
      <c r="M702" s="9">
        <v>0.05</v>
      </c>
      <c r="O702" s="7" t="s">
        <v>18</v>
      </c>
      <c r="P702" s="3">
        <f>(C702+(E702*F702*H702))-N702</f>
        <v>0</v>
      </c>
      <c r="Q702" s="7" t="s">
        <v>18</v>
      </c>
      <c r="R702" s="8">
        <f>S702/1.11</f>
        <v>0</v>
      </c>
      <c r="S702" s="8">
        <f>P702*(J702-(J702*L702)-((J702-(J702*L702))*M702))</f>
        <v>0</v>
      </c>
    </row>
    <row r="703" spans="1:19" x14ac:dyDescent="0.2">
      <c r="A703" s="1" t="s">
        <v>929</v>
      </c>
      <c r="B703" s="2" t="s">
        <v>17</v>
      </c>
      <c r="D703" s="4" t="s">
        <v>39</v>
      </c>
      <c r="F703" s="6">
        <v>1</v>
      </c>
      <c r="G703" s="7" t="s">
        <v>19</v>
      </c>
      <c r="H703" s="6">
        <v>480</v>
      </c>
      <c r="I703" s="7" t="s">
        <v>18</v>
      </c>
      <c r="J703" s="8">
        <v>4250</v>
      </c>
      <c r="K703" s="4" t="s">
        <v>18</v>
      </c>
      <c r="L703" s="9">
        <v>0.125</v>
      </c>
      <c r="M703" s="9">
        <v>0.05</v>
      </c>
      <c r="O703" s="7" t="s">
        <v>18</v>
      </c>
      <c r="P703" s="3">
        <f>(C703+(E703*F703*H703))-N703</f>
        <v>0</v>
      </c>
      <c r="Q703" s="7" t="s">
        <v>18</v>
      </c>
      <c r="R703" s="8">
        <f>S703/1.11</f>
        <v>0</v>
      </c>
      <c r="S703" s="8">
        <f>P703*(J703-(J703*L703)-((J703-(J703*L703))*M703))</f>
        <v>0</v>
      </c>
    </row>
    <row r="705" spans="1:19" x14ac:dyDescent="0.2">
      <c r="A705" s="15" t="s">
        <v>756</v>
      </c>
      <c r="B705" s="2" t="s">
        <v>24</v>
      </c>
      <c r="D705" s="4" t="s">
        <v>18</v>
      </c>
      <c r="F705" s="6">
        <v>24</v>
      </c>
      <c r="G705" s="7" t="s">
        <v>32</v>
      </c>
      <c r="H705" s="6">
        <v>24</v>
      </c>
      <c r="I705" s="7" t="s">
        <v>18</v>
      </c>
      <c r="J705" s="8">
        <f>2822400/24/24</f>
        <v>4900</v>
      </c>
      <c r="K705" s="4" t="s">
        <v>18</v>
      </c>
      <c r="M705" s="9">
        <v>0.17</v>
      </c>
      <c r="O705" s="7" t="s">
        <v>18</v>
      </c>
      <c r="P705" s="3">
        <f>(C705+(E705*F705*H705))-N705</f>
        <v>0</v>
      </c>
      <c r="Q705" s="7" t="s">
        <v>18</v>
      </c>
      <c r="R705" s="8">
        <f>S705/1.11</f>
        <v>0</v>
      </c>
      <c r="S705" s="8">
        <f>P705*(J705-(J705*L705)-((J705-(J705*L705))*M705))</f>
        <v>0</v>
      </c>
    </row>
    <row r="706" spans="1:19" x14ac:dyDescent="0.2">
      <c r="A706" s="15" t="s">
        <v>757</v>
      </c>
      <c r="B706" s="2" t="s">
        <v>24</v>
      </c>
      <c r="D706" s="4" t="s">
        <v>39</v>
      </c>
      <c r="F706" s="6">
        <v>24</v>
      </c>
      <c r="G706" s="7" t="s">
        <v>32</v>
      </c>
      <c r="H706" s="6">
        <v>2</v>
      </c>
      <c r="I706" s="7" t="s">
        <v>39</v>
      </c>
      <c r="J706" s="8">
        <f>2592000/24/2</f>
        <v>54000</v>
      </c>
      <c r="K706" s="4" t="s">
        <v>39</v>
      </c>
      <c r="M706" s="9">
        <v>0.17</v>
      </c>
      <c r="O706" s="7" t="s">
        <v>39</v>
      </c>
      <c r="P706" s="3">
        <f>(C706+(E706*F706*H706))-N706</f>
        <v>0</v>
      </c>
      <c r="Q706" s="7" t="s">
        <v>39</v>
      </c>
      <c r="R706" s="8">
        <f>S706/1.11</f>
        <v>0</v>
      </c>
      <c r="S706" s="8">
        <f>P706*(J706-(J706*L706)-((J706-(J706*L706))*M706))</f>
        <v>0</v>
      </c>
    </row>
    <row r="707" spans="1:19" x14ac:dyDescent="0.2">
      <c r="A707" s="15" t="s">
        <v>758</v>
      </c>
      <c r="B707" s="2" t="s">
        <v>24</v>
      </c>
      <c r="D707" s="4" t="s">
        <v>18</v>
      </c>
      <c r="F707" s="6">
        <v>24</v>
      </c>
      <c r="G707" s="7" t="s">
        <v>32</v>
      </c>
      <c r="H707" s="6">
        <v>24</v>
      </c>
      <c r="I707" s="7" t="s">
        <v>18</v>
      </c>
      <c r="J707" s="8">
        <f>1900800/24/24</f>
        <v>3300</v>
      </c>
      <c r="K707" s="4" t="s">
        <v>18</v>
      </c>
      <c r="M707" s="9">
        <v>0.17</v>
      </c>
      <c r="O707" s="7" t="s">
        <v>18</v>
      </c>
      <c r="P707" s="3">
        <f>(C707+(E707*F707*H707))-N707</f>
        <v>0</v>
      </c>
      <c r="Q707" s="7" t="s">
        <v>18</v>
      </c>
      <c r="R707" s="8">
        <f>S707/1.11</f>
        <v>0</v>
      </c>
      <c r="S707" s="8">
        <f>P707*(J707-(J707*L707)-((J707-(J707*L707))*M707))</f>
        <v>0</v>
      </c>
    </row>
    <row r="708" spans="1:19" x14ac:dyDescent="0.2">
      <c r="A708" s="23"/>
    </row>
    <row r="709" spans="1:19" x14ac:dyDescent="0.2">
      <c r="A709" s="24" t="s">
        <v>1003</v>
      </c>
    </row>
    <row r="710" spans="1:19" x14ac:dyDescent="0.2">
      <c r="A710" s="15" t="s">
        <v>1004</v>
      </c>
      <c r="B710" s="2" t="s">
        <v>24</v>
      </c>
      <c r="D710" s="4" t="s">
        <v>39</v>
      </c>
      <c r="F710" s="6">
        <v>1</v>
      </c>
      <c r="G710" s="7" t="s">
        <v>19</v>
      </c>
      <c r="H710" s="6">
        <v>216</v>
      </c>
      <c r="I710" s="7" t="s">
        <v>39</v>
      </c>
      <c r="J710" s="8">
        <v>6000</v>
      </c>
      <c r="K710" s="4" t="s">
        <v>39</v>
      </c>
      <c r="L710" s="9">
        <v>0.05</v>
      </c>
      <c r="M710" s="9">
        <v>0.17</v>
      </c>
      <c r="O710" s="7" t="s">
        <v>39</v>
      </c>
      <c r="P710" s="3">
        <f t="shared" ref="P710" si="273">(C710+(E710*F710*H710))-N710</f>
        <v>0</v>
      </c>
      <c r="Q710" s="7" t="s">
        <v>39</v>
      </c>
      <c r="R710" s="8">
        <f>S710/1.11</f>
        <v>0</v>
      </c>
      <c r="S710" s="8">
        <f t="shared" ref="S710" si="274">P710*(J710-(J710*L710)-((J710-(J710*L710))*M710))</f>
        <v>0</v>
      </c>
    </row>
    <row r="711" spans="1:19" x14ac:dyDescent="0.2">
      <c r="A711" s="15" t="s">
        <v>1005</v>
      </c>
      <c r="B711" s="2" t="s">
        <v>24</v>
      </c>
      <c r="D711" s="4" t="s">
        <v>39</v>
      </c>
      <c r="F711" s="6">
        <v>1</v>
      </c>
      <c r="G711" s="7" t="s">
        <v>19</v>
      </c>
      <c r="H711" s="6">
        <v>216</v>
      </c>
      <c r="I711" s="7" t="s">
        <v>39</v>
      </c>
      <c r="J711" s="8">
        <v>6000</v>
      </c>
      <c r="K711" s="4" t="s">
        <v>39</v>
      </c>
      <c r="L711" s="9">
        <v>0.05</v>
      </c>
      <c r="M711" s="9">
        <v>0.17</v>
      </c>
      <c r="O711" s="7" t="s">
        <v>39</v>
      </c>
      <c r="P711" s="3">
        <f t="shared" ref="P711:P713" si="275">(C711+(E711*F711*H711))-N711</f>
        <v>0</v>
      </c>
      <c r="Q711" s="7" t="s">
        <v>39</v>
      </c>
      <c r="R711" s="8">
        <f>S711/1.11</f>
        <v>0</v>
      </c>
      <c r="S711" s="8">
        <f t="shared" ref="S711:S713" si="276">P711*(J711-(J711*L711)-((J711-(J711*L711))*M711))</f>
        <v>0</v>
      </c>
    </row>
    <row r="712" spans="1:19" x14ac:dyDescent="0.2">
      <c r="A712" s="15" t="s">
        <v>1006</v>
      </c>
      <c r="B712" s="2" t="s">
        <v>24</v>
      </c>
      <c r="D712" s="4" t="s">
        <v>39</v>
      </c>
      <c r="F712" s="6">
        <v>1</v>
      </c>
      <c r="G712" s="7" t="s">
        <v>19</v>
      </c>
      <c r="H712" s="6">
        <v>216</v>
      </c>
      <c r="I712" s="7" t="s">
        <v>39</v>
      </c>
      <c r="J712" s="8">
        <v>6000</v>
      </c>
      <c r="K712" s="4" t="s">
        <v>39</v>
      </c>
      <c r="L712" s="9">
        <v>0.05</v>
      </c>
      <c r="M712" s="9">
        <v>0.17</v>
      </c>
      <c r="O712" s="7" t="s">
        <v>39</v>
      </c>
      <c r="P712" s="3">
        <f t="shared" si="275"/>
        <v>0</v>
      </c>
      <c r="Q712" s="7" t="s">
        <v>39</v>
      </c>
      <c r="R712" s="8">
        <f>S712/1.11</f>
        <v>0</v>
      </c>
      <c r="S712" s="8">
        <f t="shared" si="276"/>
        <v>0</v>
      </c>
    </row>
    <row r="713" spans="1:19" x14ac:dyDescent="0.2">
      <c r="A713" s="15" t="s">
        <v>1007</v>
      </c>
      <c r="B713" s="2" t="s">
        <v>24</v>
      </c>
      <c r="D713" s="4" t="s">
        <v>39</v>
      </c>
      <c r="F713" s="6">
        <v>1</v>
      </c>
      <c r="G713" s="7" t="s">
        <v>19</v>
      </c>
      <c r="H713" s="6">
        <v>216</v>
      </c>
      <c r="I713" s="7" t="s">
        <v>39</v>
      </c>
      <c r="J713" s="8">
        <v>6000</v>
      </c>
      <c r="K713" s="4" t="s">
        <v>39</v>
      </c>
      <c r="L713" s="9">
        <v>0.05</v>
      </c>
      <c r="M713" s="9">
        <v>0.17</v>
      </c>
      <c r="O713" s="7" t="s">
        <v>39</v>
      </c>
      <c r="P713" s="3">
        <f t="shared" si="275"/>
        <v>0</v>
      </c>
      <c r="Q713" s="7" t="s">
        <v>39</v>
      </c>
      <c r="R713" s="8">
        <f>S713/1.11</f>
        <v>0</v>
      </c>
      <c r="S713" s="8">
        <f t="shared" si="276"/>
        <v>0</v>
      </c>
    </row>
    <row r="714" spans="1:19" x14ac:dyDescent="0.2">
      <c r="A714" s="23"/>
    </row>
    <row r="715" spans="1:19" x14ac:dyDescent="0.2">
      <c r="A715" s="24" t="s">
        <v>407</v>
      </c>
    </row>
    <row r="716" spans="1:19" x14ac:dyDescent="0.2">
      <c r="A716" s="1" t="s">
        <v>408</v>
      </c>
      <c r="B716" s="2" t="s">
        <v>17</v>
      </c>
      <c r="D716" s="4" t="s">
        <v>97</v>
      </c>
      <c r="F716" s="6">
        <v>18</v>
      </c>
      <c r="G716" s="7" t="s">
        <v>32</v>
      </c>
      <c r="H716" s="6">
        <v>12</v>
      </c>
      <c r="I716" s="7" t="s">
        <v>97</v>
      </c>
      <c r="J716" s="8">
        <f>36000/12</f>
        <v>3000</v>
      </c>
      <c r="K716" s="4" t="s">
        <v>97</v>
      </c>
      <c r="L716" s="9">
        <v>0.125</v>
      </c>
      <c r="M716" s="9">
        <v>0.05</v>
      </c>
      <c r="O716" s="7" t="s">
        <v>97</v>
      </c>
      <c r="P716" s="3">
        <f>(C716+(E716*F716*H716))-N716</f>
        <v>0</v>
      </c>
      <c r="Q716" s="7" t="s">
        <v>97</v>
      </c>
      <c r="R716" s="8">
        <f>S716/1.11</f>
        <v>0</v>
      </c>
      <c r="S716" s="8">
        <f>P716*(J716-(J716*L716)-((J716-(J716*L716))*M716))</f>
        <v>0</v>
      </c>
    </row>
    <row r="717" spans="1:19" x14ac:dyDescent="0.2">
      <c r="A717" s="1" t="s">
        <v>409</v>
      </c>
      <c r="B717" s="2" t="s">
        <v>17</v>
      </c>
      <c r="D717" s="4" t="s">
        <v>39</v>
      </c>
      <c r="F717" s="6">
        <v>18</v>
      </c>
      <c r="G717" s="7" t="s">
        <v>32</v>
      </c>
      <c r="H717" s="6">
        <v>24</v>
      </c>
      <c r="I717" s="7" t="s">
        <v>39</v>
      </c>
      <c r="J717" s="8">
        <v>27600</v>
      </c>
      <c r="K717" s="4" t="s">
        <v>39</v>
      </c>
      <c r="L717" s="9">
        <v>0.125</v>
      </c>
      <c r="M717" s="9">
        <v>0.05</v>
      </c>
      <c r="O717" s="7" t="s">
        <v>39</v>
      </c>
      <c r="P717" s="3">
        <f>(C717+(E717*F717*H717))-N717</f>
        <v>0</v>
      </c>
      <c r="Q717" s="7" t="s">
        <v>39</v>
      </c>
      <c r="R717" s="8">
        <f>S717/1.11</f>
        <v>0</v>
      </c>
      <c r="S717" s="8">
        <f>P717*(J717-(J717*L717)-((J717-(J717*L717))*M717))</f>
        <v>0</v>
      </c>
    </row>
    <row r="719" spans="1:19" x14ac:dyDescent="0.2">
      <c r="A719" s="1" t="s">
        <v>410</v>
      </c>
      <c r="B719" s="2" t="s">
        <v>258</v>
      </c>
      <c r="D719" s="4" t="s">
        <v>39</v>
      </c>
      <c r="F719" s="6">
        <v>1</v>
      </c>
      <c r="G719" s="7" t="s">
        <v>19</v>
      </c>
      <c r="H719" s="6">
        <v>96</v>
      </c>
      <c r="I719" s="7" t="s">
        <v>39</v>
      </c>
      <c r="J719" s="8">
        <v>9500</v>
      </c>
      <c r="K719" s="4" t="s">
        <v>39</v>
      </c>
      <c r="O719" s="7" t="s">
        <v>39</v>
      </c>
      <c r="P719" s="3">
        <f>(C719+(E719*F719*H719))-N719</f>
        <v>0</v>
      </c>
      <c r="Q719" s="7" t="s">
        <v>39</v>
      </c>
      <c r="R719" s="8">
        <f>S719/1.11</f>
        <v>0</v>
      </c>
      <c r="S719" s="8">
        <f>P719*(J719-(J719*L719)-((J719-(J719*L719))*M719))</f>
        <v>0</v>
      </c>
    </row>
    <row r="720" spans="1:19" x14ac:dyDescent="0.2">
      <c r="A720" s="1" t="s">
        <v>849</v>
      </c>
      <c r="B720" s="2" t="s">
        <v>258</v>
      </c>
      <c r="D720" s="4" t="s">
        <v>97</v>
      </c>
      <c r="F720" s="6">
        <v>1</v>
      </c>
      <c r="G720" s="7" t="s">
        <v>19</v>
      </c>
      <c r="H720" s="6">
        <v>80</v>
      </c>
      <c r="I720" s="7" t="s">
        <v>97</v>
      </c>
      <c r="J720" s="8">
        <v>22500</v>
      </c>
      <c r="K720" s="4" t="s">
        <v>97</v>
      </c>
      <c r="O720" s="7" t="s">
        <v>97</v>
      </c>
      <c r="P720" s="3">
        <f>(C720+(E720*F720*H720))-N720</f>
        <v>0</v>
      </c>
      <c r="Q720" s="7" t="s">
        <v>97</v>
      </c>
      <c r="R720" s="8">
        <f>S720/1.11</f>
        <v>0</v>
      </c>
      <c r="S720" s="8">
        <f>P720*(J720-(J720*L720)-((J720-(J720*L720))*M720))</f>
        <v>0</v>
      </c>
    </row>
    <row r="722" spans="1:19" x14ac:dyDescent="0.2">
      <c r="A722" s="1" t="s">
        <v>1011</v>
      </c>
      <c r="B722" s="2" t="s">
        <v>1012</v>
      </c>
      <c r="D722" s="4" t="s">
        <v>18</v>
      </c>
      <c r="F722" s="6">
        <v>1</v>
      </c>
      <c r="G722" s="7" t="s">
        <v>19</v>
      </c>
      <c r="H722" s="6">
        <v>2000</v>
      </c>
      <c r="I722" s="7" t="s">
        <v>18</v>
      </c>
      <c r="J722" s="8">
        <v>1</v>
      </c>
      <c r="K722" s="4" t="s">
        <v>809</v>
      </c>
      <c r="O722" s="7" t="s">
        <v>809</v>
      </c>
      <c r="P722" s="3">
        <f>(C722+(E722*F722*H722))-N722</f>
        <v>0</v>
      </c>
      <c r="Q722" s="7" t="s">
        <v>97</v>
      </c>
      <c r="R722" s="8">
        <f>S722/1.11</f>
        <v>0</v>
      </c>
      <c r="S722" s="8">
        <f>P722*(J722-(J722*L722)-((J722-(J722*L722))*M722))</f>
        <v>0</v>
      </c>
    </row>
    <row r="724" spans="1:19" x14ac:dyDescent="0.2">
      <c r="A724" s="1" t="s">
        <v>411</v>
      </c>
      <c r="B724" s="2" t="s">
        <v>24</v>
      </c>
      <c r="D724" s="4" t="s">
        <v>18</v>
      </c>
      <c r="F724" s="6">
        <v>144</v>
      </c>
      <c r="G724" s="7" t="s">
        <v>32</v>
      </c>
      <c r="H724" s="6">
        <v>24</v>
      </c>
      <c r="I724" s="7" t="s">
        <v>809</v>
      </c>
      <c r="J724" s="8">
        <v>1950</v>
      </c>
      <c r="K724" s="4" t="s">
        <v>809</v>
      </c>
      <c r="M724" s="9">
        <v>0.17</v>
      </c>
      <c r="O724" s="7" t="s">
        <v>39</v>
      </c>
      <c r="P724" s="3">
        <f>(C724+(E724*F724*H724))-N724</f>
        <v>0</v>
      </c>
      <c r="Q724" s="7" t="s">
        <v>39</v>
      </c>
      <c r="R724" s="8">
        <f>S724/1.11</f>
        <v>0</v>
      </c>
      <c r="S724" s="8">
        <f>P724*(J724-(J724*L724)-((J724-(J724*L724))*M724))</f>
        <v>0</v>
      </c>
    </row>
    <row r="725" spans="1:19" x14ac:dyDescent="0.2">
      <c r="A725" s="1" t="s">
        <v>412</v>
      </c>
      <c r="B725" s="2" t="s">
        <v>24</v>
      </c>
      <c r="D725" s="4" t="s">
        <v>32</v>
      </c>
      <c r="F725" s="6">
        <v>1</v>
      </c>
      <c r="G725" s="7" t="s">
        <v>19</v>
      </c>
      <c r="H725" s="6">
        <v>120</v>
      </c>
      <c r="I725" s="7" t="s">
        <v>32</v>
      </c>
      <c r="J725" s="8">
        <f>2160000/120</f>
        <v>18000</v>
      </c>
      <c r="K725" s="4" t="s">
        <v>32</v>
      </c>
      <c r="M725" s="9">
        <v>0.17</v>
      </c>
      <c r="O725" s="7" t="s">
        <v>32</v>
      </c>
      <c r="P725" s="3">
        <f>(C725+(E725*F725*H725))-N725</f>
        <v>0</v>
      </c>
      <c r="Q725" s="7" t="s">
        <v>32</v>
      </c>
      <c r="R725" s="8">
        <f>S725/1.11</f>
        <v>0</v>
      </c>
      <c r="S725" s="8">
        <f>P725*(J725-(J725*L725)-((J725-(J725*L725))*M725))</f>
        <v>0</v>
      </c>
    </row>
    <row r="727" spans="1:19" x14ac:dyDescent="0.2">
      <c r="A727" s="1" t="s">
        <v>413</v>
      </c>
      <c r="B727" s="2" t="s">
        <v>180</v>
      </c>
      <c r="D727" s="4" t="s">
        <v>32</v>
      </c>
      <c r="F727" s="6">
        <v>1</v>
      </c>
      <c r="G727" s="7" t="s">
        <v>19</v>
      </c>
      <c r="H727" s="6">
        <v>240</v>
      </c>
      <c r="I727" s="7" t="s">
        <v>32</v>
      </c>
      <c r="J727" s="8">
        <v>5500</v>
      </c>
      <c r="K727" s="4" t="s">
        <v>32</v>
      </c>
      <c r="O727" s="7" t="s">
        <v>32</v>
      </c>
      <c r="P727" s="3">
        <f>(C727+(E727*F727*H727))-N727</f>
        <v>0</v>
      </c>
      <c r="Q727" s="7" t="s">
        <v>32</v>
      </c>
      <c r="R727" s="8">
        <f>S727/1.11</f>
        <v>0</v>
      </c>
      <c r="S727" s="8">
        <f>P727*(J727-(J727*L727)-((J727-(J727*L727))*M727))</f>
        <v>0</v>
      </c>
    </row>
    <row r="729" spans="1:19" x14ac:dyDescent="0.2">
      <c r="A729" s="24" t="s">
        <v>500</v>
      </c>
    </row>
    <row r="730" spans="1:19" x14ac:dyDescent="0.2">
      <c r="A730" s="1" t="s">
        <v>1026</v>
      </c>
      <c r="B730" s="2" t="s">
        <v>17</v>
      </c>
      <c r="D730" s="4" t="s">
        <v>18</v>
      </c>
      <c r="F730" s="6">
        <v>48</v>
      </c>
      <c r="G730" s="7" t="s">
        <v>32</v>
      </c>
      <c r="H730" s="6">
        <v>12</v>
      </c>
      <c r="I730" s="7" t="s">
        <v>18</v>
      </c>
      <c r="J730" s="8">
        <v>2350</v>
      </c>
      <c r="K730" s="4" t="s">
        <v>18</v>
      </c>
      <c r="L730" s="9">
        <v>0.125</v>
      </c>
      <c r="M730" s="9">
        <v>0.05</v>
      </c>
      <c r="O730" s="7" t="s">
        <v>18</v>
      </c>
      <c r="P730" s="3">
        <f>(C730+(E730*F730*H730))-N730</f>
        <v>0</v>
      </c>
      <c r="Q730" s="7" t="s">
        <v>18</v>
      </c>
      <c r="R730" s="8">
        <f>S730/1.11</f>
        <v>0</v>
      </c>
      <c r="S730" s="8">
        <f>P730*(J730-(J730*L730)-((J730-(J730*L730))*M730))</f>
        <v>0</v>
      </c>
    </row>
    <row r="732" spans="1:19" x14ac:dyDescent="0.2">
      <c r="A732" s="14" t="s">
        <v>501</v>
      </c>
      <c r="B732" s="2" t="s">
        <v>24</v>
      </c>
      <c r="D732" s="4" t="s">
        <v>39</v>
      </c>
      <c r="F732" s="6">
        <v>1</v>
      </c>
      <c r="G732" s="7" t="s">
        <v>19</v>
      </c>
      <c r="H732" s="6">
        <v>60</v>
      </c>
      <c r="I732" s="7" t="s">
        <v>39</v>
      </c>
      <c r="J732" s="8">
        <f>2160000/60</f>
        <v>36000</v>
      </c>
      <c r="K732" s="4" t="s">
        <v>39</v>
      </c>
      <c r="M732" s="9">
        <v>0.17</v>
      </c>
      <c r="O732" s="7" t="s">
        <v>39</v>
      </c>
      <c r="P732" s="3">
        <f>(C732+(E732*F732*H732))-N732</f>
        <v>0</v>
      </c>
      <c r="Q732" s="7" t="s">
        <v>39</v>
      </c>
      <c r="R732" s="8">
        <f>S732/1.11</f>
        <v>0</v>
      </c>
      <c r="S732" s="8">
        <f>P732*(J732-(J732*L732)-((J732-(J732*L732))*M732))</f>
        <v>0</v>
      </c>
    </row>
    <row r="733" spans="1:19" x14ac:dyDescent="0.2">
      <c r="A733" s="14" t="s">
        <v>502</v>
      </c>
      <c r="B733" s="2" t="s">
        <v>24</v>
      </c>
      <c r="D733" s="4" t="s">
        <v>39</v>
      </c>
      <c r="F733" s="6">
        <v>12</v>
      </c>
      <c r="G733" s="7" t="s">
        <v>82</v>
      </c>
      <c r="H733" s="6">
        <v>12</v>
      </c>
      <c r="I733" s="7" t="s">
        <v>39</v>
      </c>
      <c r="J733" s="8">
        <f>1555200/144</f>
        <v>10800</v>
      </c>
      <c r="K733" s="4" t="s">
        <v>39</v>
      </c>
      <c r="L733" s="9">
        <v>0.05</v>
      </c>
      <c r="M733" s="9">
        <v>0.17</v>
      </c>
      <c r="O733" s="7" t="s">
        <v>39</v>
      </c>
      <c r="P733" s="3">
        <f>(C733+(E733*F733*H733))-N733</f>
        <v>0</v>
      </c>
      <c r="Q733" s="7" t="s">
        <v>39</v>
      </c>
      <c r="R733" s="8">
        <f>S733/1.11</f>
        <v>0</v>
      </c>
      <c r="S733" s="8">
        <f>P733*(J733-(J733*L733)-((J733-(J733*L733))*M733))</f>
        <v>0</v>
      </c>
    </row>
    <row r="734" spans="1:19" x14ac:dyDescent="0.2">
      <c r="A734" s="11"/>
    </row>
    <row r="735" spans="1:19" x14ac:dyDescent="0.2">
      <c r="A735" s="14" t="s">
        <v>963</v>
      </c>
      <c r="B735" s="2" t="s">
        <v>585</v>
      </c>
      <c r="D735" s="4" t="s">
        <v>150</v>
      </c>
      <c r="F735" s="6">
        <v>1</v>
      </c>
      <c r="G735" s="7" t="s">
        <v>97</v>
      </c>
      <c r="H735" s="6">
        <v>12</v>
      </c>
      <c r="I735" s="7" t="s">
        <v>150</v>
      </c>
      <c r="J735" s="8">
        <f>3195.95</f>
        <v>3195.95</v>
      </c>
      <c r="K735" s="4" t="s">
        <v>150</v>
      </c>
      <c r="O735" s="7" t="s">
        <v>150</v>
      </c>
      <c r="P735" s="3">
        <f>(C735+(E735*F735*H735))-N735</f>
        <v>0</v>
      </c>
      <c r="Q735" s="7" t="s">
        <v>39</v>
      </c>
      <c r="R735" s="8">
        <f>S735/1.11</f>
        <v>0</v>
      </c>
      <c r="S735" s="8">
        <f>P735*(J735-(J735*L735)-((J735-(J735*L735))*M735))</f>
        <v>0</v>
      </c>
    </row>
    <row r="736" spans="1:19" x14ac:dyDescent="0.2">
      <c r="A736" s="11"/>
    </row>
    <row r="737" spans="1:19" x14ac:dyDescent="0.2">
      <c r="A737" s="24" t="s">
        <v>503</v>
      </c>
    </row>
    <row r="738" spans="1:19" x14ac:dyDescent="0.2">
      <c r="A738" s="14" t="s">
        <v>504</v>
      </c>
      <c r="B738" s="2" t="s">
        <v>24</v>
      </c>
      <c r="D738" s="4" t="s">
        <v>39</v>
      </c>
      <c r="F738" s="6">
        <v>1</v>
      </c>
      <c r="G738" s="7" t="s">
        <v>19</v>
      </c>
      <c r="H738" s="6">
        <v>60</v>
      </c>
      <c r="I738" s="7" t="s">
        <v>39</v>
      </c>
      <c r="J738" s="8">
        <f>2268000/60</f>
        <v>37800</v>
      </c>
      <c r="K738" s="4" t="s">
        <v>39</v>
      </c>
      <c r="M738" s="9">
        <v>0.17</v>
      </c>
      <c r="O738" s="7" t="s">
        <v>39</v>
      </c>
      <c r="P738" s="3">
        <f>(C738+(E738*F738*H738))-N738</f>
        <v>0</v>
      </c>
      <c r="Q738" s="7" t="s">
        <v>39</v>
      </c>
      <c r="R738" s="8">
        <f>S738/1.11</f>
        <v>0</v>
      </c>
      <c r="S738" s="8">
        <f>P738*(J738-(J738*L738)-((J738-(J738*L738))*M738))</f>
        <v>0</v>
      </c>
    </row>
    <row r="739" spans="1:19" x14ac:dyDescent="0.2">
      <c r="A739" s="14"/>
    </row>
    <row r="740" spans="1:19" x14ac:dyDescent="0.2">
      <c r="A740" s="14" t="s">
        <v>998</v>
      </c>
      <c r="B740" s="2" t="s">
        <v>17</v>
      </c>
      <c r="C740" s="3">
        <v>2880</v>
      </c>
      <c r="D740" s="4" t="s">
        <v>809</v>
      </c>
      <c r="F740" s="6">
        <v>1</v>
      </c>
      <c r="G740" s="7" t="s">
        <v>809</v>
      </c>
      <c r="H740" s="6">
        <v>576</v>
      </c>
      <c r="I740" s="7" t="s">
        <v>809</v>
      </c>
      <c r="J740" s="8">
        <v>2300</v>
      </c>
      <c r="K740" s="4" t="s">
        <v>809</v>
      </c>
      <c r="L740" s="9">
        <v>0.125</v>
      </c>
      <c r="M740" s="9">
        <v>0.05</v>
      </c>
      <c r="O740" s="7" t="s">
        <v>809</v>
      </c>
      <c r="P740" s="3">
        <f>(C740+(E740*F740*H740))-N740</f>
        <v>2880</v>
      </c>
      <c r="Q740" s="7" t="s">
        <v>809</v>
      </c>
      <c r="R740" s="8">
        <f>S740/1.11</f>
        <v>4960540.5405405397</v>
      </c>
      <c r="S740" s="8">
        <f>P740*(J740-(J740*L740)-((J740-(J740*L740))*M740))</f>
        <v>5506200</v>
      </c>
    </row>
    <row r="742" spans="1:19" x14ac:dyDescent="0.2">
      <c r="A742" s="1" t="s">
        <v>724</v>
      </c>
      <c r="B742" s="2" t="s">
        <v>585</v>
      </c>
      <c r="D742" s="4" t="s">
        <v>150</v>
      </c>
      <c r="F742" s="6">
        <v>1</v>
      </c>
      <c r="G742" s="7" t="s">
        <v>150</v>
      </c>
      <c r="H742" s="6">
        <v>1</v>
      </c>
      <c r="I742" s="7" t="s">
        <v>150</v>
      </c>
      <c r="J742" s="8">
        <v>4000</v>
      </c>
      <c r="K742" s="4" t="s">
        <v>18</v>
      </c>
      <c r="M742" s="9">
        <v>1.0999999999999999E-2</v>
      </c>
      <c r="O742" s="7" t="s">
        <v>18</v>
      </c>
      <c r="P742" s="3">
        <f>(C742+(E742*F742*H742))-N742</f>
        <v>0</v>
      </c>
      <c r="Q742" s="7" t="s">
        <v>18</v>
      </c>
      <c r="R742" s="8">
        <f>S742/1.11</f>
        <v>0</v>
      </c>
      <c r="S742" s="8">
        <f>P742*(J742-(J742*L742)-((J742-(J742*L742))*M742))</f>
        <v>0</v>
      </c>
    </row>
    <row r="743" spans="1:19" x14ac:dyDescent="0.2">
      <c r="A743" s="11"/>
    </row>
    <row r="744" spans="1:19" x14ac:dyDescent="0.2">
      <c r="A744" s="24" t="s">
        <v>505</v>
      </c>
    </row>
    <row r="745" spans="1:19" x14ac:dyDescent="0.2">
      <c r="A745" s="1" t="s">
        <v>506</v>
      </c>
      <c r="B745" s="2" t="s">
        <v>17</v>
      </c>
      <c r="D745" s="4" t="s">
        <v>150</v>
      </c>
      <c r="F745" s="6">
        <v>8</v>
      </c>
      <c r="G745" s="7" t="s">
        <v>32</v>
      </c>
      <c r="H745" s="6">
        <v>12</v>
      </c>
      <c r="I745" s="7" t="s">
        <v>150</v>
      </c>
      <c r="J745" s="8">
        <v>19000</v>
      </c>
      <c r="K745" s="4" t="s">
        <v>150</v>
      </c>
      <c r="L745" s="9">
        <v>0.125</v>
      </c>
      <c r="M745" s="9">
        <v>0.05</v>
      </c>
      <c r="O745" s="7" t="s">
        <v>150</v>
      </c>
      <c r="P745" s="3">
        <f t="shared" ref="P745" si="277">(C745+(E745*F745*H745))-N745</f>
        <v>0</v>
      </c>
      <c r="Q745" s="7" t="s">
        <v>150</v>
      </c>
      <c r="R745" s="8">
        <f>S745/1.11</f>
        <v>0</v>
      </c>
      <c r="S745" s="8">
        <f t="shared" ref="S745" si="278">P745*(J745-(J745*L745)-((J745-(J745*L745))*M745))</f>
        <v>0</v>
      </c>
    </row>
    <row r="746" spans="1:19" x14ac:dyDescent="0.2">
      <c r="A746" s="1" t="s">
        <v>507</v>
      </c>
      <c r="B746" s="2" t="s">
        <v>17</v>
      </c>
      <c r="D746" s="4" t="s">
        <v>150</v>
      </c>
      <c r="F746" s="6">
        <v>8</v>
      </c>
      <c r="G746" s="7" t="s">
        <v>32</v>
      </c>
      <c r="H746" s="6">
        <v>6</v>
      </c>
      <c r="I746" s="7" t="s">
        <v>150</v>
      </c>
      <c r="J746" s="8">
        <v>34000</v>
      </c>
      <c r="K746" s="4" t="s">
        <v>150</v>
      </c>
      <c r="L746" s="9">
        <v>0.125</v>
      </c>
      <c r="M746" s="9">
        <v>0.05</v>
      </c>
      <c r="O746" s="7" t="s">
        <v>150</v>
      </c>
      <c r="P746" s="3">
        <f t="shared" ref="P746:P749" si="279">(C746+(E746*F746*H746))-N746</f>
        <v>0</v>
      </c>
      <c r="Q746" s="7" t="s">
        <v>150</v>
      </c>
      <c r="R746" s="8">
        <f>S746/1.11</f>
        <v>0</v>
      </c>
      <c r="S746" s="8">
        <f t="shared" ref="S746:S749" si="280">P746*(J746-(J746*L746)-((J746-(J746*L746))*M746))</f>
        <v>0</v>
      </c>
    </row>
    <row r="747" spans="1:19" x14ac:dyDescent="0.2">
      <c r="A747" s="1" t="s">
        <v>508</v>
      </c>
      <c r="B747" s="2" t="s">
        <v>17</v>
      </c>
      <c r="D747" s="4" t="s">
        <v>150</v>
      </c>
      <c r="F747" s="6">
        <v>6</v>
      </c>
      <c r="G747" s="7" t="s">
        <v>32</v>
      </c>
      <c r="H747" s="6">
        <v>24</v>
      </c>
      <c r="I747" s="7" t="s">
        <v>150</v>
      </c>
      <c r="J747" s="8">
        <v>28000</v>
      </c>
      <c r="K747" s="4" t="s">
        <v>150</v>
      </c>
      <c r="L747" s="9">
        <v>0.125</v>
      </c>
      <c r="M747" s="9">
        <v>0.05</v>
      </c>
      <c r="O747" s="7" t="s">
        <v>150</v>
      </c>
      <c r="P747" s="3">
        <f t="shared" si="279"/>
        <v>0</v>
      </c>
      <c r="Q747" s="7" t="s">
        <v>150</v>
      </c>
      <c r="R747" s="8">
        <f>S747/1.11</f>
        <v>0</v>
      </c>
      <c r="S747" s="8">
        <f t="shared" si="280"/>
        <v>0</v>
      </c>
    </row>
    <row r="748" spans="1:19" x14ac:dyDescent="0.2">
      <c r="A748" s="1" t="s">
        <v>509</v>
      </c>
      <c r="B748" s="2" t="s">
        <v>17</v>
      </c>
      <c r="D748" s="4" t="s">
        <v>150</v>
      </c>
      <c r="F748" s="6">
        <v>6</v>
      </c>
      <c r="G748" s="7" t="s">
        <v>32</v>
      </c>
      <c r="H748" s="6">
        <v>12</v>
      </c>
      <c r="I748" s="7" t="s">
        <v>150</v>
      </c>
      <c r="J748" s="8">
        <v>63000</v>
      </c>
      <c r="K748" s="4" t="s">
        <v>150</v>
      </c>
      <c r="L748" s="9">
        <v>0.125</v>
      </c>
      <c r="M748" s="9">
        <v>0.05</v>
      </c>
      <c r="O748" s="7" t="s">
        <v>150</v>
      </c>
      <c r="P748" s="3">
        <f t="shared" si="279"/>
        <v>0</v>
      </c>
      <c r="Q748" s="7" t="s">
        <v>150</v>
      </c>
      <c r="R748" s="8">
        <f>S748/1.11</f>
        <v>0</v>
      </c>
      <c r="S748" s="8">
        <f t="shared" si="280"/>
        <v>0</v>
      </c>
    </row>
    <row r="749" spans="1:19" x14ac:dyDescent="0.2">
      <c r="A749" s="1" t="s">
        <v>510</v>
      </c>
      <c r="B749" s="2" t="s">
        <v>17</v>
      </c>
      <c r="D749" s="4" t="s">
        <v>150</v>
      </c>
      <c r="F749" s="6">
        <v>6</v>
      </c>
      <c r="G749" s="7" t="s">
        <v>32</v>
      </c>
      <c r="H749" s="6">
        <v>24</v>
      </c>
      <c r="I749" s="7" t="s">
        <v>150</v>
      </c>
      <c r="K749" s="4" t="s">
        <v>150</v>
      </c>
      <c r="L749" s="9">
        <v>0.1</v>
      </c>
      <c r="M749" s="9">
        <v>0.05</v>
      </c>
      <c r="O749" s="7" t="s">
        <v>150</v>
      </c>
      <c r="P749" s="3">
        <f t="shared" si="279"/>
        <v>0</v>
      </c>
      <c r="Q749" s="7" t="s">
        <v>150</v>
      </c>
      <c r="R749" s="8">
        <f>S749/1.11</f>
        <v>0</v>
      </c>
      <c r="S749" s="8">
        <f t="shared" si="280"/>
        <v>0</v>
      </c>
    </row>
    <row r="751" spans="1:19" x14ac:dyDescent="0.2">
      <c r="A751" s="1" t="s">
        <v>845</v>
      </c>
      <c r="B751" s="2" t="s">
        <v>24</v>
      </c>
      <c r="D751" s="4" t="s">
        <v>150</v>
      </c>
      <c r="F751" s="6">
        <v>6</v>
      </c>
      <c r="G751" s="7" t="s">
        <v>32</v>
      </c>
      <c r="H751" s="6">
        <v>24</v>
      </c>
      <c r="I751" s="7" t="s">
        <v>150</v>
      </c>
      <c r="J751" s="8">
        <v>25000</v>
      </c>
      <c r="K751" s="4" t="s">
        <v>150</v>
      </c>
      <c r="L751" s="9">
        <v>0.05</v>
      </c>
      <c r="M751" s="9">
        <v>0.17</v>
      </c>
      <c r="O751" s="7" t="s">
        <v>150</v>
      </c>
      <c r="P751" s="3">
        <f>(C751+(E751*F751*H751))-N751</f>
        <v>0</v>
      </c>
      <c r="Q751" s="7" t="s">
        <v>150</v>
      </c>
      <c r="R751" s="8">
        <f>S751/1.11</f>
        <v>0</v>
      </c>
      <c r="S751" s="8">
        <f>P751*(J751-(J751*L751)-((J751-(J751*L751))*M751))</f>
        <v>0</v>
      </c>
    </row>
    <row r="752" spans="1:19" x14ac:dyDescent="0.2">
      <c r="A752" s="1" t="s">
        <v>872</v>
      </c>
      <c r="B752" s="2" t="s">
        <v>24</v>
      </c>
      <c r="D752" s="4" t="s">
        <v>150</v>
      </c>
      <c r="F752" s="6">
        <v>6</v>
      </c>
      <c r="G752" s="7" t="s">
        <v>32</v>
      </c>
      <c r="H752" s="6">
        <v>12</v>
      </c>
      <c r="I752" s="7" t="s">
        <v>150</v>
      </c>
      <c r="J752" s="8">
        <v>49000</v>
      </c>
      <c r="K752" s="4" t="s">
        <v>150</v>
      </c>
      <c r="L752" s="9">
        <v>0.05</v>
      </c>
      <c r="M752" s="9">
        <v>0.17</v>
      </c>
      <c r="O752" s="7" t="s">
        <v>150</v>
      </c>
      <c r="P752" s="3">
        <f>(C752+(E752*F752*H752))-N752</f>
        <v>0</v>
      </c>
      <c r="Q752" s="7" t="s">
        <v>150</v>
      </c>
      <c r="R752" s="8">
        <f>S752/1.11</f>
        <v>0</v>
      </c>
      <c r="S752" s="8">
        <f>P752*(J752-(J752*L752)-((J752-(J752*L752))*M752))</f>
        <v>0</v>
      </c>
    </row>
    <row r="754" spans="1:19" x14ac:dyDescent="0.2">
      <c r="A754" s="24" t="s">
        <v>414</v>
      </c>
    </row>
    <row r="755" spans="1:19" x14ac:dyDescent="0.2">
      <c r="A755" s="1" t="s">
        <v>415</v>
      </c>
      <c r="B755" s="2" t="s">
        <v>17</v>
      </c>
      <c r="D755" s="4" t="s">
        <v>82</v>
      </c>
      <c r="F755" s="6">
        <v>1</v>
      </c>
      <c r="G755" s="7" t="s">
        <v>19</v>
      </c>
      <c r="H755" s="6">
        <v>30</v>
      </c>
      <c r="I755" s="7" t="s">
        <v>82</v>
      </c>
      <c r="J755" s="8">
        <v>104400</v>
      </c>
      <c r="K755" s="4" t="s">
        <v>82</v>
      </c>
      <c r="L755" s="9">
        <v>0.125</v>
      </c>
      <c r="M755" s="9">
        <v>0.05</v>
      </c>
      <c r="O755" s="7" t="s">
        <v>82</v>
      </c>
      <c r="P755" s="3">
        <f t="shared" ref="P755:P763" si="281">(C755+(E755*F755*H755))-N755</f>
        <v>0</v>
      </c>
      <c r="Q755" s="7" t="s">
        <v>82</v>
      </c>
      <c r="R755" s="8">
        <f t="shared" ref="R755:R764" si="282">S755/1.11</f>
        <v>0</v>
      </c>
      <c r="S755" s="8">
        <f t="shared" ref="S755:S763" si="283">P755*(J755-(J755*L755)-((J755-(J755*L755))*M755))</f>
        <v>0</v>
      </c>
    </row>
    <row r="756" spans="1:19" x14ac:dyDescent="0.2">
      <c r="A756" s="1" t="s">
        <v>642</v>
      </c>
      <c r="B756" s="2" t="s">
        <v>17</v>
      </c>
      <c r="D756" s="4" t="s">
        <v>82</v>
      </c>
      <c r="F756" s="6">
        <v>1</v>
      </c>
      <c r="G756" s="7" t="s">
        <v>19</v>
      </c>
      <c r="H756" s="6">
        <v>30</v>
      </c>
      <c r="I756" s="7" t="s">
        <v>82</v>
      </c>
      <c r="J756" s="8">
        <v>102000</v>
      </c>
      <c r="K756" s="4" t="s">
        <v>82</v>
      </c>
      <c r="L756" s="9">
        <v>0.125</v>
      </c>
      <c r="M756" s="9">
        <v>0.05</v>
      </c>
      <c r="O756" s="7" t="s">
        <v>82</v>
      </c>
      <c r="P756" s="3">
        <f t="shared" si="281"/>
        <v>0</v>
      </c>
      <c r="Q756" s="7" t="s">
        <v>82</v>
      </c>
      <c r="R756" s="8">
        <f t="shared" si="282"/>
        <v>0</v>
      </c>
      <c r="S756" s="8">
        <f t="shared" si="283"/>
        <v>0</v>
      </c>
    </row>
    <row r="757" spans="1:19" x14ac:dyDescent="0.2">
      <c r="A757" s="1" t="s">
        <v>642</v>
      </c>
      <c r="B757" s="2" t="s">
        <v>17</v>
      </c>
      <c r="D757" s="4" t="s">
        <v>82</v>
      </c>
      <c r="F757" s="6">
        <v>1</v>
      </c>
      <c r="G757" s="7" t="s">
        <v>19</v>
      </c>
      <c r="H757" s="6">
        <v>30</v>
      </c>
      <c r="I757" s="7" t="s">
        <v>82</v>
      </c>
      <c r="J757" s="8">
        <v>109200</v>
      </c>
      <c r="K757" s="4" t="s">
        <v>82</v>
      </c>
      <c r="L757" s="9">
        <v>0.125</v>
      </c>
      <c r="M757" s="9">
        <v>0.05</v>
      </c>
      <c r="O757" s="7" t="s">
        <v>82</v>
      </c>
      <c r="P757" s="3">
        <f t="shared" ref="P757" si="284">(C757+(E757*F757*H757))-N757</f>
        <v>0</v>
      </c>
      <c r="Q757" s="7" t="s">
        <v>82</v>
      </c>
      <c r="R757" s="8">
        <f t="shared" si="282"/>
        <v>0</v>
      </c>
      <c r="S757" s="8">
        <f t="shared" ref="S757" si="285">P757*(J757-(J757*L757)-((J757-(J757*L757))*M757))</f>
        <v>0</v>
      </c>
    </row>
    <row r="758" spans="1:19" x14ac:dyDescent="0.2">
      <c r="A758" s="1" t="s">
        <v>416</v>
      </c>
      <c r="B758" s="2" t="s">
        <v>17</v>
      </c>
      <c r="D758" s="4" t="s">
        <v>82</v>
      </c>
      <c r="F758" s="6">
        <v>1</v>
      </c>
      <c r="G758" s="7" t="s">
        <v>19</v>
      </c>
      <c r="H758" s="6">
        <v>30</v>
      </c>
      <c r="I758" s="7" t="s">
        <v>82</v>
      </c>
      <c r="J758" s="8">
        <v>99000</v>
      </c>
      <c r="K758" s="4" t="s">
        <v>82</v>
      </c>
      <c r="L758" s="9">
        <v>0.125</v>
      </c>
      <c r="M758" s="9">
        <v>0.05</v>
      </c>
      <c r="O758" s="7" t="s">
        <v>82</v>
      </c>
      <c r="P758" s="3">
        <f t="shared" si="281"/>
        <v>0</v>
      </c>
      <c r="Q758" s="7" t="s">
        <v>82</v>
      </c>
      <c r="R758" s="8">
        <f t="shared" si="282"/>
        <v>0</v>
      </c>
      <c r="S758" s="8">
        <f t="shared" si="283"/>
        <v>0</v>
      </c>
    </row>
    <row r="759" spans="1:19" x14ac:dyDescent="0.2">
      <c r="A759" s="1" t="s">
        <v>927</v>
      </c>
      <c r="B759" s="2" t="s">
        <v>17</v>
      </c>
      <c r="D759" s="4" t="s">
        <v>82</v>
      </c>
      <c r="F759" s="6">
        <v>1</v>
      </c>
      <c r="G759" s="7" t="s">
        <v>19</v>
      </c>
      <c r="H759" s="6">
        <v>30</v>
      </c>
      <c r="I759" s="7" t="s">
        <v>82</v>
      </c>
      <c r="J759" s="8">
        <v>139200</v>
      </c>
      <c r="K759" s="4" t="s">
        <v>82</v>
      </c>
      <c r="L759" s="9">
        <v>0.125</v>
      </c>
      <c r="M759" s="9">
        <v>0.05</v>
      </c>
      <c r="O759" s="7" t="s">
        <v>82</v>
      </c>
      <c r="P759" s="3">
        <f t="shared" ref="P759" si="286">(C759+(E759*F759*H759))-N759</f>
        <v>0</v>
      </c>
      <c r="Q759" s="7" t="s">
        <v>82</v>
      </c>
      <c r="R759" s="8">
        <f t="shared" si="282"/>
        <v>0</v>
      </c>
      <c r="S759" s="8">
        <f t="shared" ref="S759" si="287">P759*(J759-(J759*L759)-((J759-(J759*L759))*M759))</f>
        <v>0</v>
      </c>
    </row>
    <row r="760" spans="1:19" x14ac:dyDescent="0.2">
      <c r="A760" s="1" t="s">
        <v>417</v>
      </c>
      <c r="B760" s="2" t="s">
        <v>17</v>
      </c>
      <c r="D760" s="4" t="s">
        <v>82</v>
      </c>
      <c r="F760" s="6">
        <v>1</v>
      </c>
      <c r="G760" s="7" t="s">
        <v>19</v>
      </c>
      <c r="H760" s="6">
        <v>30</v>
      </c>
      <c r="I760" s="7" t="s">
        <v>82</v>
      </c>
      <c r="J760" s="8">
        <v>96000</v>
      </c>
      <c r="K760" s="4" t="s">
        <v>82</v>
      </c>
      <c r="L760" s="9">
        <v>0.125</v>
      </c>
      <c r="M760" s="9">
        <v>0.05</v>
      </c>
      <c r="O760" s="7" t="s">
        <v>82</v>
      </c>
      <c r="P760" s="3">
        <f t="shared" si="281"/>
        <v>0</v>
      </c>
      <c r="Q760" s="7" t="s">
        <v>82</v>
      </c>
      <c r="R760" s="8">
        <f t="shared" si="282"/>
        <v>0</v>
      </c>
      <c r="S760" s="8">
        <f t="shared" si="283"/>
        <v>0</v>
      </c>
    </row>
    <row r="761" spans="1:19" x14ac:dyDescent="0.2">
      <c r="A761" s="1" t="s">
        <v>418</v>
      </c>
      <c r="B761" s="2" t="s">
        <v>17</v>
      </c>
      <c r="D761" s="4" t="s">
        <v>82</v>
      </c>
      <c r="F761" s="6">
        <v>1</v>
      </c>
      <c r="G761" s="7" t="s">
        <v>19</v>
      </c>
      <c r="H761" s="6">
        <v>30</v>
      </c>
      <c r="I761" s="7" t="s">
        <v>82</v>
      </c>
      <c r="J761" s="8">
        <v>109000</v>
      </c>
      <c r="K761" s="4" t="s">
        <v>82</v>
      </c>
      <c r="L761" s="9">
        <v>0.125</v>
      </c>
      <c r="M761" s="9">
        <v>0.05</v>
      </c>
      <c r="O761" s="7" t="s">
        <v>82</v>
      </c>
      <c r="P761" s="3">
        <f t="shared" si="281"/>
        <v>0</v>
      </c>
      <c r="Q761" s="7" t="s">
        <v>82</v>
      </c>
      <c r="R761" s="8">
        <f t="shared" si="282"/>
        <v>0</v>
      </c>
      <c r="S761" s="8">
        <f t="shared" si="283"/>
        <v>0</v>
      </c>
    </row>
    <row r="762" spans="1:19" x14ac:dyDescent="0.2">
      <c r="A762" s="1" t="s">
        <v>995</v>
      </c>
      <c r="B762" s="2" t="s">
        <v>17</v>
      </c>
      <c r="D762" s="4" t="s">
        <v>82</v>
      </c>
      <c r="F762" s="6">
        <v>1</v>
      </c>
      <c r="G762" s="7" t="s">
        <v>19</v>
      </c>
      <c r="H762" s="6">
        <v>30</v>
      </c>
      <c r="I762" s="7" t="s">
        <v>82</v>
      </c>
      <c r="J762" s="8">
        <v>144000</v>
      </c>
      <c r="K762" s="4" t="s">
        <v>82</v>
      </c>
      <c r="L762" s="9">
        <v>0.125</v>
      </c>
      <c r="M762" s="9">
        <v>0.05</v>
      </c>
      <c r="O762" s="7" t="s">
        <v>82</v>
      </c>
      <c r="P762" s="3">
        <f t="shared" si="281"/>
        <v>0</v>
      </c>
      <c r="Q762" s="7" t="s">
        <v>82</v>
      </c>
      <c r="R762" s="8">
        <f t="shared" si="282"/>
        <v>0</v>
      </c>
      <c r="S762" s="8">
        <f t="shared" si="283"/>
        <v>0</v>
      </c>
    </row>
    <row r="763" spans="1:19" x14ac:dyDescent="0.2">
      <c r="A763" s="1" t="s">
        <v>718</v>
      </c>
      <c r="B763" s="2" t="s">
        <v>17</v>
      </c>
      <c r="D763" s="4" t="s">
        <v>82</v>
      </c>
      <c r="F763" s="6">
        <v>1</v>
      </c>
      <c r="G763" s="7" t="s">
        <v>19</v>
      </c>
      <c r="H763" s="6">
        <v>30</v>
      </c>
      <c r="I763" s="7" t="s">
        <v>82</v>
      </c>
      <c r="J763" s="8">
        <v>144000</v>
      </c>
      <c r="K763" s="4" t="s">
        <v>82</v>
      </c>
      <c r="L763" s="9">
        <v>0.125</v>
      </c>
      <c r="M763" s="9">
        <v>0.05</v>
      </c>
      <c r="O763" s="7" t="s">
        <v>82</v>
      </c>
      <c r="P763" s="3">
        <f t="shared" si="281"/>
        <v>0</v>
      </c>
      <c r="Q763" s="7" t="s">
        <v>82</v>
      </c>
      <c r="R763" s="8">
        <f t="shared" si="282"/>
        <v>0</v>
      </c>
      <c r="S763" s="8">
        <f t="shared" si="283"/>
        <v>0</v>
      </c>
    </row>
    <row r="764" spans="1:19" x14ac:dyDescent="0.2">
      <c r="A764" s="1" t="s">
        <v>887</v>
      </c>
      <c r="B764" s="2" t="s">
        <v>17</v>
      </c>
      <c r="D764" s="4" t="s">
        <v>82</v>
      </c>
      <c r="F764" s="6">
        <v>1</v>
      </c>
      <c r="G764" s="7" t="s">
        <v>19</v>
      </c>
      <c r="H764" s="6">
        <v>30</v>
      </c>
      <c r="I764" s="7" t="s">
        <v>82</v>
      </c>
      <c r="J764" s="8">
        <v>99000</v>
      </c>
      <c r="K764" s="4" t="s">
        <v>82</v>
      </c>
      <c r="L764" s="9">
        <v>0.125</v>
      </c>
      <c r="M764" s="9">
        <v>0.05</v>
      </c>
      <c r="O764" s="7" t="s">
        <v>82</v>
      </c>
      <c r="P764" s="3">
        <f t="shared" ref="P764" si="288">(C764+(E764*F764*H764))-N764</f>
        <v>0</v>
      </c>
      <c r="Q764" s="7" t="s">
        <v>82</v>
      </c>
      <c r="R764" s="8">
        <f t="shared" si="282"/>
        <v>0</v>
      </c>
      <c r="S764" s="8">
        <f t="shared" ref="S764" si="289">P764*(J764-(J764*L764)-((J764-(J764*L764))*M764))</f>
        <v>0</v>
      </c>
    </row>
    <row r="766" spans="1:19" s="1" customFormat="1" x14ac:dyDescent="0.2">
      <c r="A766" s="11" t="s">
        <v>737</v>
      </c>
      <c r="B766" s="1" t="s">
        <v>24</v>
      </c>
      <c r="C766" s="17"/>
      <c r="D766" s="18" t="s">
        <v>82</v>
      </c>
      <c r="E766" s="19"/>
      <c r="F766" s="20">
        <v>1</v>
      </c>
      <c r="G766" s="16" t="s">
        <v>19</v>
      </c>
      <c r="H766" s="20">
        <v>20</v>
      </c>
      <c r="I766" s="16" t="s">
        <v>82</v>
      </c>
      <c r="J766" s="21">
        <f>2448000/20</f>
        <v>122400</v>
      </c>
      <c r="K766" s="18" t="s">
        <v>82</v>
      </c>
      <c r="L766" s="22"/>
      <c r="M766" s="22">
        <v>0.17</v>
      </c>
      <c r="N766" s="20"/>
      <c r="O766" s="16" t="s">
        <v>82</v>
      </c>
      <c r="P766" s="17">
        <f t="shared" ref="P766:P787" si="290">(C766+(E766*F766*H766))-N766</f>
        <v>0</v>
      </c>
      <c r="Q766" s="16" t="s">
        <v>82</v>
      </c>
      <c r="R766" s="8">
        <f t="shared" ref="R766:R787" si="291">S766/1.11</f>
        <v>0</v>
      </c>
      <c r="S766" s="21">
        <f t="shared" ref="S766:S787" si="292">P766*(J766-(J766*L766)-((J766-(J766*L766))*M766))</f>
        <v>0</v>
      </c>
    </row>
    <row r="767" spans="1:19" s="1" customFormat="1" x14ac:dyDescent="0.2">
      <c r="A767" s="11" t="s">
        <v>419</v>
      </c>
      <c r="B767" s="1" t="s">
        <v>24</v>
      </c>
      <c r="C767" s="17"/>
      <c r="D767" s="18" t="s">
        <v>82</v>
      </c>
      <c r="E767" s="19"/>
      <c r="F767" s="20">
        <v>1</v>
      </c>
      <c r="G767" s="16" t="s">
        <v>19</v>
      </c>
      <c r="H767" s="20">
        <v>20</v>
      </c>
      <c r="I767" s="16" t="s">
        <v>82</v>
      </c>
      <c r="J767" s="21">
        <v>115200</v>
      </c>
      <c r="K767" s="18" t="s">
        <v>82</v>
      </c>
      <c r="L767" s="22"/>
      <c r="M767" s="22">
        <v>0.17</v>
      </c>
      <c r="N767" s="20"/>
      <c r="O767" s="16" t="s">
        <v>82</v>
      </c>
      <c r="P767" s="17">
        <f t="shared" ref="P767" si="293">(C767+(E767*F767*H767))-N767</f>
        <v>0</v>
      </c>
      <c r="Q767" s="16" t="s">
        <v>82</v>
      </c>
      <c r="R767" s="8">
        <f t="shared" si="291"/>
        <v>0</v>
      </c>
      <c r="S767" s="21">
        <f t="shared" ref="S767" si="294">P767*(J767-(J767*L767)-((J767-(J767*L767))*M767))</f>
        <v>0</v>
      </c>
    </row>
    <row r="768" spans="1:19" s="1" customFormat="1" x14ac:dyDescent="0.2">
      <c r="A768" s="11" t="s">
        <v>729</v>
      </c>
      <c r="B768" s="1" t="s">
        <v>24</v>
      </c>
      <c r="C768" s="17"/>
      <c r="D768" s="18" t="s">
        <v>82</v>
      </c>
      <c r="E768" s="19"/>
      <c r="F768" s="20">
        <v>1</v>
      </c>
      <c r="G768" s="16" t="s">
        <v>19</v>
      </c>
      <c r="H768" s="20">
        <v>20</v>
      </c>
      <c r="I768" s="16" t="s">
        <v>82</v>
      </c>
      <c r="J768" s="21">
        <f>2880000/20</f>
        <v>144000</v>
      </c>
      <c r="K768" s="18" t="s">
        <v>82</v>
      </c>
      <c r="L768" s="22"/>
      <c r="M768" s="22">
        <v>0.17</v>
      </c>
      <c r="N768" s="20"/>
      <c r="O768" s="16" t="s">
        <v>82</v>
      </c>
      <c r="P768" s="17">
        <f t="shared" si="290"/>
        <v>0</v>
      </c>
      <c r="Q768" s="16" t="s">
        <v>82</v>
      </c>
      <c r="R768" s="8">
        <f t="shared" si="291"/>
        <v>0</v>
      </c>
      <c r="S768" s="21">
        <f t="shared" si="292"/>
        <v>0</v>
      </c>
    </row>
    <row r="769" spans="1:19" s="1" customFormat="1" x14ac:dyDescent="0.2">
      <c r="A769" s="11" t="s">
        <v>997</v>
      </c>
      <c r="B769" s="1" t="s">
        <v>24</v>
      </c>
      <c r="C769" s="17"/>
      <c r="D769" s="18" t="s">
        <v>82</v>
      </c>
      <c r="E769" s="19"/>
      <c r="F769" s="20">
        <v>1</v>
      </c>
      <c r="G769" s="16" t="s">
        <v>19</v>
      </c>
      <c r="H769" s="20">
        <v>20</v>
      </c>
      <c r="I769" s="16" t="s">
        <v>82</v>
      </c>
      <c r="J769" s="21">
        <v>122400</v>
      </c>
      <c r="K769" s="18" t="s">
        <v>82</v>
      </c>
      <c r="L769" s="22"/>
      <c r="M769" s="22">
        <v>0.17</v>
      </c>
      <c r="N769" s="20"/>
      <c r="O769" s="16" t="s">
        <v>82</v>
      </c>
      <c r="P769" s="17">
        <f t="shared" ref="P769" si="295">(C769+(E769*F769*H769))-N769</f>
        <v>0</v>
      </c>
      <c r="Q769" s="16" t="s">
        <v>82</v>
      </c>
      <c r="R769" s="8">
        <f t="shared" si="291"/>
        <v>0</v>
      </c>
      <c r="S769" s="21">
        <f t="shared" ref="S769" si="296">P769*(J769-(J769*L769)-((J769-(J769*L769))*M769))</f>
        <v>0</v>
      </c>
    </row>
    <row r="770" spans="1:19" s="1" customFormat="1" x14ac:dyDescent="0.2">
      <c r="A770" s="11" t="s">
        <v>645</v>
      </c>
      <c r="B770" s="1" t="s">
        <v>24</v>
      </c>
      <c r="C770" s="17"/>
      <c r="D770" s="18" t="s">
        <v>82</v>
      </c>
      <c r="E770" s="19"/>
      <c r="F770" s="20">
        <v>1</v>
      </c>
      <c r="G770" s="16" t="s">
        <v>19</v>
      </c>
      <c r="H770" s="20">
        <v>20</v>
      </c>
      <c r="I770" s="16" t="s">
        <v>82</v>
      </c>
      <c r="J770" s="21">
        <f>2448000/20</f>
        <v>122400</v>
      </c>
      <c r="K770" s="18" t="s">
        <v>82</v>
      </c>
      <c r="L770" s="22"/>
      <c r="M770" s="22">
        <v>0.17</v>
      </c>
      <c r="N770" s="20"/>
      <c r="O770" s="16" t="s">
        <v>82</v>
      </c>
      <c r="P770" s="17">
        <f t="shared" si="290"/>
        <v>0</v>
      </c>
      <c r="Q770" s="16" t="s">
        <v>82</v>
      </c>
      <c r="R770" s="8">
        <f t="shared" si="291"/>
        <v>0</v>
      </c>
      <c r="S770" s="21">
        <f t="shared" si="292"/>
        <v>0</v>
      </c>
    </row>
    <row r="771" spans="1:19" s="1" customFormat="1" x14ac:dyDescent="0.2">
      <c r="A771" s="11" t="s">
        <v>420</v>
      </c>
      <c r="B771" s="1" t="s">
        <v>24</v>
      </c>
      <c r="C771" s="17"/>
      <c r="D771" s="18" t="s">
        <v>82</v>
      </c>
      <c r="E771" s="19"/>
      <c r="F771" s="20">
        <v>1</v>
      </c>
      <c r="G771" s="16" t="s">
        <v>19</v>
      </c>
      <c r="H771" s="20">
        <v>20</v>
      </c>
      <c r="I771" s="16" t="s">
        <v>82</v>
      </c>
      <c r="J771" s="21">
        <f>2112000/20</f>
        <v>105600</v>
      </c>
      <c r="K771" s="18" t="s">
        <v>82</v>
      </c>
      <c r="L771" s="22"/>
      <c r="M771" s="22">
        <v>0.17</v>
      </c>
      <c r="N771" s="20"/>
      <c r="O771" s="16" t="s">
        <v>82</v>
      </c>
      <c r="P771" s="17">
        <f t="shared" si="290"/>
        <v>0</v>
      </c>
      <c r="Q771" s="16" t="s">
        <v>82</v>
      </c>
      <c r="R771" s="8">
        <f t="shared" si="291"/>
        <v>0</v>
      </c>
      <c r="S771" s="21">
        <f t="shared" si="292"/>
        <v>0</v>
      </c>
    </row>
    <row r="772" spans="1:19" s="1" customFormat="1" x14ac:dyDescent="0.2">
      <c r="A772" s="11" t="s">
        <v>421</v>
      </c>
      <c r="B772" s="1" t="s">
        <v>24</v>
      </c>
      <c r="C772" s="17"/>
      <c r="D772" s="18" t="s">
        <v>82</v>
      </c>
      <c r="E772" s="19"/>
      <c r="F772" s="20">
        <v>1</v>
      </c>
      <c r="G772" s="16" t="s">
        <v>19</v>
      </c>
      <c r="H772" s="20">
        <v>20</v>
      </c>
      <c r="I772" s="16" t="s">
        <v>82</v>
      </c>
      <c r="J772" s="21">
        <f>2448000/20</f>
        <v>122400</v>
      </c>
      <c r="K772" s="18" t="s">
        <v>82</v>
      </c>
      <c r="L772" s="22"/>
      <c r="M772" s="22">
        <v>0.17</v>
      </c>
      <c r="N772" s="20"/>
      <c r="O772" s="16" t="s">
        <v>82</v>
      </c>
      <c r="P772" s="17">
        <f t="shared" si="290"/>
        <v>0</v>
      </c>
      <c r="Q772" s="16" t="s">
        <v>82</v>
      </c>
      <c r="R772" s="8">
        <f t="shared" si="291"/>
        <v>0</v>
      </c>
      <c r="S772" s="21">
        <f t="shared" si="292"/>
        <v>0</v>
      </c>
    </row>
    <row r="773" spans="1:19" s="1" customFormat="1" x14ac:dyDescent="0.2">
      <c r="A773" s="11" t="s">
        <v>422</v>
      </c>
      <c r="B773" s="1" t="s">
        <v>24</v>
      </c>
      <c r="C773" s="17"/>
      <c r="D773" s="18" t="s">
        <v>82</v>
      </c>
      <c r="E773" s="19"/>
      <c r="F773" s="20">
        <v>1</v>
      </c>
      <c r="G773" s="16" t="s">
        <v>19</v>
      </c>
      <c r="H773" s="20">
        <v>20</v>
      </c>
      <c r="I773" s="16" t="s">
        <v>82</v>
      </c>
      <c r="J773" s="21">
        <f>2256000/20</f>
        <v>112800</v>
      </c>
      <c r="K773" s="18" t="s">
        <v>82</v>
      </c>
      <c r="L773" s="22"/>
      <c r="M773" s="22">
        <v>0.17</v>
      </c>
      <c r="N773" s="20"/>
      <c r="O773" s="16" t="s">
        <v>82</v>
      </c>
      <c r="P773" s="17">
        <f t="shared" si="290"/>
        <v>0</v>
      </c>
      <c r="Q773" s="16" t="s">
        <v>82</v>
      </c>
      <c r="R773" s="8">
        <f t="shared" si="291"/>
        <v>0</v>
      </c>
      <c r="S773" s="21">
        <f t="shared" si="292"/>
        <v>0</v>
      </c>
    </row>
    <row r="774" spans="1:19" s="1" customFormat="1" x14ac:dyDescent="0.2">
      <c r="A774" s="11" t="s">
        <v>423</v>
      </c>
      <c r="B774" s="1" t="s">
        <v>24</v>
      </c>
      <c r="C774" s="17"/>
      <c r="D774" s="18" t="s">
        <v>82</v>
      </c>
      <c r="E774" s="19"/>
      <c r="F774" s="20">
        <v>1</v>
      </c>
      <c r="G774" s="16" t="s">
        <v>19</v>
      </c>
      <c r="H774" s="20">
        <v>20</v>
      </c>
      <c r="I774" s="16" t="s">
        <v>82</v>
      </c>
      <c r="J774" s="21">
        <f>8500*12</f>
        <v>102000</v>
      </c>
      <c r="K774" s="18" t="s">
        <v>82</v>
      </c>
      <c r="L774" s="22"/>
      <c r="M774" s="22">
        <v>0.17</v>
      </c>
      <c r="N774" s="31"/>
      <c r="O774" s="16" t="s">
        <v>82</v>
      </c>
      <c r="P774" s="17">
        <f t="shared" si="290"/>
        <v>0</v>
      </c>
      <c r="Q774" s="16" t="s">
        <v>82</v>
      </c>
      <c r="R774" s="8">
        <f t="shared" si="291"/>
        <v>0</v>
      </c>
      <c r="S774" s="21">
        <f t="shared" si="292"/>
        <v>0</v>
      </c>
    </row>
    <row r="775" spans="1:19" s="1" customFormat="1" x14ac:dyDescent="0.2">
      <c r="A775" s="11" t="s">
        <v>958</v>
      </c>
      <c r="B775" s="1" t="s">
        <v>24</v>
      </c>
      <c r="C775" s="17"/>
      <c r="D775" s="18" t="s">
        <v>82</v>
      </c>
      <c r="E775" s="19"/>
      <c r="F775" s="20">
        <v>1</v>
      </c>
      <c r="G775" s="16" t="s">
        <v>19</v>
      </c>
      <c r="H775" s="20">
        <v>20</v>
      </c>
      <c r="I775" s="16" t="s">
        <v>82</v>
      </c>
      <c r="J775" s="21">
        <v>105600</v>
      </c>
      <c r="K775" s="18" t="s">
        <v>82</v>
      </c>
      <c r="L775" s="22"/>
      <c r="M775" s="22">
        <v>0.17</v>
      </c>
      <c r="N775" s="31"/>
      <c r="O775" s="16" t="s">
        <v>82</v>
      </c>
      <c r="P775" s="17">
        <f t="shared" ref="P775" si="297">(C775+(E775*F775*H775))-N775</f>
        <v>0</v>
      </c>
      <c r="Q775" s="16" t="s">
        <v>82</v>
      </c>
      <c r="R775" s="8">
        <f t="shared" si="291"/>
        <v>0</v>
      </c>
      <c r="S775" s="21">
        <f t="shared" ref="S775" si="298">P775*(J775-(J775*L775)-((J775-(J775*L775))*M775))</f>
        <v>0</v>
      </c>
    </row>
    <row r="776" spans="1:19" s="1" customFormat="1" x14ac:dyDescent="0.2">
      <c r="A776" s="11" t="s">
        <v>424</v>
      </c>
      <c r="B776" s="1" t="s">
        <v>24</v>
      </c>
      <c r="C776" s="17"/>
      <c r="D776" s="18" t="s">
        <v>82</v>
      </c>
      <c r="E776" s="19"/>
      <c r="F776" s="20">
        <v>1</v>
      </c>
      <c r="G776" s="16" t="s">
        <v>19</v>
      </c>
      <c r="H776" s="20">
        <v>20</v>
      </c>
      <c r="I776" s="16" t="s">
        <v>82</v>
      </c>
      <c r="J776" s="21">
        <v>103200</v>
      </c>
      <c r="K776" s="18" t="s">
        <v>82</v>
      </c>
      <c r="L776" s="22"/>
      <c r="M776" s="22">
        <v>0.17</v>
      </c>
      <c r="N776" s="20"/>
      <c r="O776" s="16" t="s">
        <v>82</v>
      </c>
      <c r="P776" s="17">
        <f t="shared" si="290"/>
        <v>0</v>
      </c>
      <c r="Q776" s="16" t="s">
        <v>82</v>
      </c>
      <c r="R776" s="8">
        <f t="shared" si="291"/>
        <v>0</v>
      </c>
      <c r="S776" s="21">
        <f t="shared" si="292"/>
        <v>0</v>
      </c>
    </row>
    <row r="777" spans="1:19" x14ac:dyDescent="0.2">
      <c r="A777" s="1" t="s">
        <v>425</v>
      </c>
      <c r="B777" s="2" t="s">
        <v>24</v>
      </c>
      <c r="D777" s="4" t="s">
        <v>82</v>
      </c>
      <c r="F777" s="6">
        <v>1</v>
      </c>
      <c r="G777" s="7" t="s">
        <v>19</v>
      </c>
      <c r="H777" s="6">
        <v>20</v>
      </c>
      <c r="I777" s="7" t="s">
        <v>82</v>
      </c>
      <c r="J777" s="8">
        <f>1980000/20</f>
        <v>99000</v>
      </c>
      <c r="K777" s="4" t="s">
        <v>82</v>
      </c>
      <c r="M777" s="9">
        <v>0.17</v>
      </c>
      <c r="O777" s="7" t="s">
        <v>82</v>
      </c>
      <c r="P777" s="3">
        <f t="shared" si="290"/>
        <v>0</v>
      </c>
      <c r="Q777" s="7" t="s">
        <v>82</v>
      </c>
      <c r="R777" s="8">
        <f t="shared" si="291"/>
        <v>0</v>
      </c>
      <c r="S777" s="8">
        <f t="shared" si="292"/>
        <v>0</v>
      </c>
    </row>
    <row r="778" spans="1:19" s="1" customFormat="1" x14ac:dyDescent="0.2">
      <c r="A778" s="11" t="s">
        <v>426</v>
      </c>
      <c r="B778" s="1" t="s">
        <v>24</v>
      </c>
      <c r="C778" s="17"/>
      <c r="D778" s="18" t="s">
        <v>82</v>
      </c>
      <c r="E778" s="19"/>
      <c r="F778" s="20">
        <v>1</v>
      </c>
      <c r="G778" s="16" t="s">
        <v>19</v>
      </c>
      <c r="H778" s="20">
        <v>20</v>
      </c>
      <c r="I778" s="16" t="s">
        <v>82</v>
      </c>
      <c r="J778" s="21">
        <f>2208000/20</f>
        <v>110400</v>
      </c>
      <c r="K778" s="18" t="s">
        <v>82</v>
      </c>
      <c r="L778" s="22"/>
      <c r="M778" s="22">
        <v>0.17</v>
      </c>
      <c r="N778" s="20"/>
      <c r="O778" s="16" t="s">
        <v>82</v>
      </c>
      <c r="P778" s="17">
        <f t="shared" si="290"/>
        <v>0</v>
      </c>
      <c r="Q778" s="16" t="s">
        <v>82</v>
      </c>
      <c r="R778" s="8">
        <f t="shared" si="291"/>
        <v>0</v>
      </c>
      <c r="S778" s="21">
        <f t="shared" si="292"/>
        <v>0</v>
      </c>
    </row>
    <row r="779" spans="1:19" s="1" customFormat="1" x14ac:dyDescent="0.2">
      <c r="A779" s="11" t="s">
        <v>427</v>
      </c>
      <c r="B779" s="1" t="s">
        <v>24</v>
      </c>
      <c r="C779" s="17"/>
      <c r="D779" s="18" t="s">
        <v>82</v>
      </c>
      <c r="E779" s="19"/>
      <c r="F779" s="20">
        <v>1</v>
      </c>
      <c r="G779" s="16" t="s">
        <v>19</v>
      </c>
      <c r="H779" s="20">
        <v>20</v>
      </c>
      <c r="I779" s="16" t="s">
        <v>82</v>
      </c>
      <c r="J779" s="21">
        <f>2208000/20</f>
        <v>110400</v>
      </c>
      <c r="K779" s="18" t="s">
        <v>82</v>
      </c>
      <c r="L779" s="22"/>
      <c r="M779" s="22">
        <v>0.17</v>
      </c>
      <c r="N779" s="20"/>
      <c r="O779" s="16" t="s">
        <v>82</v>
      </c>
      <c r="P779" s="17">
        <f t="shared" si="290"/>
        <v>0</v>
      </c>
      <c r="Q779" s="16" t="s">
        <v>82</v>
      </c>
      <c r="R779" s="8">
        <f t="shared" si="291"/>
        <v>0</v>
      </c>
      <c r="S779" s="21">
        <f t="shared" si="292"/>
        <v>0</v>
      </c>
    </row>
    <row r="780" spans="1:19" s="1" customFormat="1" x14ac:dyDescent="0.2">
      <c r="A780" s="11" t="s">
        <v>996</v>
      </c>
      <c r="B780" s="1" t="s">
        <v>24</v>
      </c>
      <c r="C780" s="17">
        <v>20</v>
      </c>
      <c r="D780" s="18" t="s">
        <v>82</v>
      </c>
      <c r="E780" s="19"/>
      <c r="F780" s="20">
        <v>1</v>
      </c>
      <c r="G780" s="16" t="s">
        <v>19</v>
      </c>
      <c r="H780" s="20">
        <v>20</v>
      </c>
      <c r="I780" s="16" t="s">
        <v>82</v>
      </c>
      <c r="J780" s="21">
        <v>112800</v>
      </c>
      <c r="K780" s="18" t="s">
        <v>82</v>
      </c>
      <c r="L780" s="22"/>
      <c r="M780" s="22">
        <v>0.17</v>
      </c>
      <c r="N780" s="20"/>
      <c r="O780" s="16" t="s">
        <v>82</v>
      </c>
      <c r="P780" s="17">
        <f t="shared" ref="P780" si="299">(C780+(E780*F780*H780))-N780</f>
        <v>20</v>
      </c>
      <c r="Q780" s="16" t="s">
        <v>82</v>
      </c>
      <c r="R780" s="8">
        <f t="shared" si="291"/>
        <v>1686918.9189189188</v>
      </c>
      <c r="S780" s="21">
        <f t="shared" ref="S780" si="300">P780*(J780-(J780*L780)-((J780-(J780*L780))*M780))</f>
        <v>1872480</v>
      </c>
    </row>
    <row r="781" spans="1:19" s="1" customFormat="1" x14ac:dyDescent="0.2">
      <c r="A781" s="11" t="s">
        <v>428</v>
      </c>
      <c r="B781" s="1" t="s">
        <v>24</v>
      </c>
      <c r="C781" s="17"/>
      <c r="D781" s="18" t="s">
        <v>82</v>
      </c>
      <c r="E781" s="19"/>
      <c r="F781" s="20">
        <v>1</v>
      </c>
      <c r="G781" s="16" t="s">
        <v>19</v>
      </c>
      <c r="H781" s="20">
        <v>20</v>
      </c>
      <c r="I781" s="16" t="s">
        <v>82</v>
      </c>
      <c r="J781" s="21">
        <f>2160000/20</f>
        <v>108000</v>
      </c>
      <c r="K781" s="18" t="s">
        <v>82</v>
      </c>
      <c r="L781" s="22"/>
      <c r="M781" s="22">
        <v>0.17</v>
      </c>
      <c r="N781" s="20"/>
      <c r="O781" s="16" t="s">
        <v>82</v>
      </c>
      <c r="P781" s="17">
        <f t="shared" si="290"/>
        <v>0</v>
      </c>
      <c r="Q781" s="16" t="s">
        <v>82</v>
      </c>
      <c r="R781" s="8">
        <f t="shared" si="291"/>
        <v>0</v>
      </c>
      <c r="S781" s="21">
        <f t="shared" si="292"/>
        <v>0</v>
      </c>
    </row>
    <row r="782" spans="1:19" s="1" customFormat="1" x14ac:dyDescent="0.2">
      <c r="A782" s="11" t="s">
        <v>429</v>
      </c>
      <c r="B782" s="1" t="s">
        <v>24</v>
      </c>
      <c r="C782" s="17"/>
      <c r="D782" s="18" t="s">
        <v>82</v>
      </c>
      <c r="E782" s="19"/>
      <c r="F782" s="20">
        <v>1</v>
      </c>
      <c r="G782" s="16" t="s">
        <v>19</v>
      </c>
      <c r="H782" s="20">
        <v>20</v>
      </c>
      <c r="I782" s="16" t="s">
        <v>82</v>
      </c>
      <c r="J782" s="21">
        <f>2160000/20</f>
        <v>108000</v>
      </c>
      <c r="K782" s="18" t="s">
        <v>82</v>
      </c>
      <c r="L782" s="22"/>
      <c r="M782" s="22">
        <v>0.17</v>
      </c>
      <c r="N782" s="20"/>
      <c r="O782" s="16" t="s">
        <v>82</v>
      </c>
      <c r="P782" s="17">
        <f t="shared" si="290"/>
        <v>0</v>
      </c>
      <c r="Q782" s="16" t="s">
        <v>82</v>
      </c>
      <c r="R782" s="8">
        <f t="shared" si="291"/>
        <v>0</v>
      </c>
      <c r="S782" s="21">
        <f t="shared" si="292"/>
        <v>0</v>
      </c>
    </row>
    <row r="783" spans="1:19" s="1" customFormat="1" x14ac:dyDescent="0.2">
      <c r="A783" s="11" t="s">
        <v>696</v>
      </c>
      <c r="B783" s="1" t="s">
        <v>24</v>
      </c>
      <c r="C783" s="17"/>
      <c r="D783" s="18" t="s">
        <v>82</v>
      </c>
      <c r="E783" s="19"/>
      <c r="F783" s="20">
        <v>1</v>
      </c>
      <c r="G783" s="16" t="s">
        <v>19</v>
      </c>
      <c r="H783" s="20">
        <v>20</v>
      </c>
      <c r="I783" s="16" t="s">
        <v>82</v>
      </c>
      <c r="J783" s="21">
        <f>2256000/20</f>
        <v>112800</v>
      </c>
      <c r="K783" s="18" t="s">
        <v>82</v>
      </c>
      <c r="L783" s="22"/>
      <c r="M783" s="22">
        <v>0.17</v>
      </c>
      <c r="N783" s="20"/>
      <c r="O783" s="16" t="s">
        <v>82</v>
      </c>
      <c r="P783" s="17">
        <f t="shared" si="290"/>
        <v>0</v>
      </c>
      <c r="Q783" s="16" t="s">
        <v>82</v>
      </c>
      <c r="R783" s="8">
        <f t="shared" si="291"/>
        <v>0</v>
      </c>
      <c r="S783" s="21">
        <f t="shared" si="292"/>
        <v>0</v>
      </c>
    </row>
    <row r="784" spans="1:19" s="1" customFormat="1" x14ac:dyDescent="0.2">
      <c r="A784" s="11" t="s">
        <v>959</v>
      </c>
      <c r="B784" s="1" t="s">
        <v>24</v>
      </c>
      <c r="C784" s="17"/>
      <c r="D784" s="18" t="s">
        <v>82</v>
      </c>
      <c r="E784" s="19"/>
      <c r="F784" s="20">
        <v>1</v>
      </c>
      <c r="G784" s="16" t="s">
        <v>19</v>
      </c>
      <c r="H784" s="20">
        <v>20</v>
      </c>
      <c r="I784" s="16" t="s">
        <v>82</v>
      </c>
      <c r="J784" s="21">
        <v>120000</v>
      </c>
      <c r="K784" s="18" t="s">
        <v>82</v>
      </c>
      <c r="L784" s="22"/>
      <c r="M784" s="22">
        <v>0.17</v>
      </c>
      <c r="N784" s="20"/>
      <c r="O784" s="16" t="s">
        <v>82</v>
      </c>
      <c r="P784" s="17">
        <f t="shared" ref="P784" si="301">(C784+(E784*F784*H784))-N784</f>
        <v>0</v>
      </c>
      <c r="Q784" s="16" t="s">
        <v>82</v>
      </c>
      <c r="R784" s="8">
        <f t="shared" si="291"/>
        <v>0</v>
      </c>
      <c r="S784" s="21">
        <f t="shared" ref="S784" si="302">P784*(J784-(J784*L784)-((J784-(J784*L784))*M784))</f>
        <v>0</v>
      </c>
    </row>
    <row r="785" spans="1:19" s="1" customFormat="1" x14ac:dyDescent="0.2">
      <c r="A785" s="11" t="s">
        <v>430</v>
      </c>
      <c r="B785" s="1" t="s">
        <v>24</v>
      </c>
      <c r="C785" s="17"/>
      <c r="D785" s="18" t="s">
        <v>82</v>
      </c>
      <c r="E785" s="19"/>
      <c r="F785" s="20">
        <v>1</v>
      </c>
      <c r="G785" s="16" t="s">
        <v>19</v>
      </c>
      <c r="H785" s="20">
        <v>20</v>
      </c>
      <c r="I785" s="16" t="s">
        <v>82</v>
      </c>
      <c r="J785" s="21">
        <f>2112000/20</f>
        <v>105600</v>
      </c>
      <c r="K785" s="18" t="s">
        <v>82</v>
      </c>
      <c r="L785" s="22"/>
      <c r="M785" s="22">
        <v>0.17</v>
      </c>
      <c r="N785" s="20"/>
      <c r="O785" s="16" t="s">
        <v>82</v>
      </c>
      <c r="P785" s="17">
        <f t="shared" si="290"/>
        <v>0</v>
      </c>
      <c r="Q785" s="16" t="s">
        <v>82</v>
      </c>
      <c r="R785" s="8">
        <f t="shared" si="291"/>
        <v>0</v>
      </c>
      <c r="S785" s="21">
        <f t="shared" si="292"/>
        <v>0</v>
      </c>
    </row>
    <row r="786" spans="1:19" s="1" customFormat="1" x14ac:dyDescent="0.2">
      <c r="A786" s="11" t="s">
        <v>431</v>
      </c>
      <c r="B786" s="1" t="s">
        <v>24</v>
      </c>
      <c r="C786" s="17"/>
      <c r="D786" s="18" t="s">
        <v>82</v>
      </c>
      <c r="E786" s="19"/>
      <c r="F786" s="20">
        <v>1</v>
      </c>
      <c r="G786" s="16" t="s">
        <v>19</v>
      </c>
      <c r="H786" s="20">
        <v>20</v>
      </c>
      <c r="I786" s="16" t="s">
        <v>82</v>
      </c>
      <c r="J786" s="21">
        <f>2352000/20</f>
        <v>117600</v>
      </c>
      <c r="K786" s="18" t="s">
        <v>82</v>
      </c>
      <c r="L786" s="22"/>
      <c r="M786" s="22">
        <v>0.17</v>
      </c>
      <c r="N786" s="20"/>
      <c r="O786" s="16" t="s">
        <v>82</v>
      </c>
      <c r="P786" s="17">
        <f t="shared" si="290"/>
        <v>0</v>
      </c>
      <c r="Q786" s="16" t="s">
        <v>82</v>
      </c>
      <c r="R786" s="8">
        <f t="shared" si="291"/>
        <v>0</v>
      </c>
      <c r="S786" s="21">
        <f t="shared" si="292"/>
        <v>0</v>
      </c>
    </row>
    <row r="787" spans="1:19" s="1" customFormat="1" x14ac:dyDescent="0.2">
      <c r="A787" s="11" t="s">
        <v>730</v>
      </c>
      <c r="B787" s="1" t="s">
        <v>24</v>
      </c>
      <c r="C787" s="17"/>
      <c r="D787" s="18" t="s">
        <v>82</v>
      </c>
      <c r="E787" s="19"/>
      <c r="F787" s="20">
        <v>1</v>
      </c>
      <c r="G787" s="16" t="s">
        <v>19</v>
      </c>
      <c r="H787" s="20">
        <v>20</v>
      </c>
      <c r="I787" s="16" t="s">
        <v>82</v>
      </c>
      <c r="J787" s="21">
        <f>2256000/20</f>
        <v>112800</v>
      </c>
      <c r="K787" s="18" t="s">
        <v>82</v>
      </c>
      <c r="L787" s="22"/>
      <c r="M787" s="22">
        <v>0.17</v>
      </c>
      <c r="N787" s="20"/>
      <c r="O787" s="16" t="s">
        <v>82</v>
      </c>
      <c r="P787" s="17">
        <f t="shared" si="290"/>
        <v>0</v>
      </c>
      <c r="Q787" s="16" t="s">
        <v>82</v>
      </c>
      <c r="R787" s="8">
        <f t="shared" si="291"/>
        <v>0</v>
      </c>
      <c r="S787" s="21">
        <f t="shared" si="292"/>
        <v>0</v>
      </c>
    </row>
    <row r="788" spans="1:19" s="1" customFormat="1" x14ac:dyDescent="0.2">
      <c r="A788" s="11"/>
      <c r="C788" s="17"/>
      <c r="D788" s="18"/>
      <c r="E788" s="19"/>
      <c r="F788" s="20"/>
      <c r="G788" s="16"/>
      <c r="H788" s="20"/>
      <c r="I788" s="16"/>
      <c r="J788" s="21"/>
      <c r="K788" s="18"/>
      <c r="L788" s="22"/>
      <c r="M788" s="22"/>
      <c r="N788" s="20"/>
      <c r="O788" s="16"/>
      <c r="P788" s="17"/>
      <c r="Q788" s="16"/>
      <c r="R788" s="8"/>
      <c r="S788" s="21"/>
    </row>
    <row r="789" spans="1:19" s="1" customFormat="1" x14ac:dyDescent="0.2">
      <c r="A789" s="11" t="s">
        <v>432</v>
      </c>
      <c r="B789" s="1" t="s">
        <v>180</v>
      </c>
      <c r="C789" s="17">
        <v>60</v>
      </c>
      <c r="D789" s="18" t="s">
        <v>82</v>
      </c>
      <c r="E789" s="19"/>
      <c r="F789" s="20">
        <v>1</v>
      </c>
      <c r="G789" s="16" t="s">
        <v>19</v>
      </c>
      <c r="H789" s="20">
        <v>30</v>
      </c>
      <c r="I789" s="16" t="s">
        <v>82</v>
      </c>
      <c r="J789" s="21">
        <v>155000</v>
      </c>
      <c r="K789" s="18" t="s">
        <v>82</v>
      </c>
      <c r="L789" s="22"/>
      <c r="M789" s="22"/>
      <c r="N789" s="20"/>
      <c r="O789" s="16" t="s">
        <v>82</v>
      </c>
      <c r="P789" s="17">
        <f>(C789+(E789*F789*H789))-N789</f>
        <v>60</v>
      </c>
      <c r="Q789" s="16" t="s">
        <v>82</v>
      </c>
      <c r="R789" s="8">
        <f>S789/1.11</f>
        <v>8378378.3783783773</v>
      </c>
      <c r="S789" s="21">
        <f>P789*(J789-(J789*L789)-((J789-(J789*L789))*M789))</f>
        <v>9300000</v>
      </c>
    </row>
    <row r="790" spans="1:19" s="1" customFormat="1" x14ac:dyDescent="0.2">
      <c r="A790" s="11" t="s">
        <v>900</v>
      </c>
      <c r="B790" s="1" t="s">
        <v>180</v>
      </c>
      <c r="C790" s="17">
        <v>1400</v>
      </c>
      <c r="D790" s="18" t="s">
        <v>32</v>
      </c>
      <c r="E790" s="19"/>
      <c r="F790" s="20">
        <v>1</v>
      </c>
      <c r="G790" s="16" t="s">
        <v>19</v>
      </c>
      <c r="H790" s="20">
        <v>40</v>
      </c>
      <c r="I790" s="16" t="s">
        <v>32</v>
      </c>
      <c r="J790" s="21">
        <v>53154</v>
      </c>
      <c r="K790" s="18" t="s">
        <v>32</v>
      </c>
      <c r="L790" s="22"/>
      <c r="M790" s="22"/>
      <c r="N790" s="20"/>
      <c r="O790" s="16" t="s">
        <v>32</v>
      </c>
      <c r="P790" s="17">
        <f>(C790+(E790*F790*H790))-N790</f>
        <v>1400</v>
      </c>
      <c r="Q790" s="16" t="s">
        <v>32</v>
      </c>
      <c r="R790" s="8">
        <f>S790/1.11</f>
        <v>67041081.081081077</v>
      </c>
      <c r="S790" s="21">
        <f>P790*(J790-(J790*L790)-((J790-(J790*L790))*M790))</f>
        <v>74415600</v>
      </c>
    </row>
    <row r="791" spans="1:19" s="1" customFormat="1" x14ac:dyDescent="0.2">
      <c r="A791" s="11"/>
      <c r="C791" s="17"/>
      <c r="D791" s="18"/>
      <c r="E791" s="19"/>
      <c r="F791" s="20"/>
      <c r="G791" s="16"/>
      <c r="H791" s="20"/>
      <c r="I791" s="16"/>
      <c r="J791" s="21"/>
      <c r="K791" s="18"/>
      <c r="L791" s="22"/>
      <c r="M791" s="22"/>
      <c r="N791" s="20"/>
      <c r="O791" s="16"/>
      <c r="P791" s="17"/>
      <c r="Q791" s="16"/>
      <c r="R791" s="8"/>
      <c r="S791" s="21"/>
    </row>
    <row r="792" spans="1:19" x14ac:dyDescent="0.2">
      <c r="A792" s="24" t="s">
        <v>433</v>
      </c>
    </row>
    <row r="793" spans="1:19" x14ac:dyDescent="0.2">
      <c r="A793" s="1" t="s">
        <v>434</v>
      </c>
      <c r="B793" s="2" t="s">
        <v>180</v>
      </c>
      <c r="C793" s="3">
        <v>320</v>
      </c>
      <c r="D793" s="4" t="s">
        <v>32</v>
      </c>
      <c r="F793" s="6">
        <v>1</v>
      </c>
      <c r="G793" s="7" t="s">
        <v>19</v>
      </c>
      <c r="H793" s="6">
        <v>40</v>
      </c>
      <c r="I793" s="7" t="s">
        <v>32</v>
      </c>
      <c r="J793" s="8">
        <v>33600</v>
      </c>
      <c r="K793" s="4" t="s">
        <v>32</v>
      </c>
      <c r="O793" s="7" t="s">
        <v>32</v>
      </c>
      <c r="P793" s="3">
        <f>(C793+(E793*F793*H793))-N793</f>
        <v>320</v>
      </c>
      <c r="Q793" s="7" t="s">
        <v>32</v>
      </c>
      <c r="R793" s="8">
        <f>S793/1.11</f>
        <v>9686486.4864864852</v>
      </c>
      <c r="S793" s="8">
        <f>P793*(J793-(J793*L793)-((J793-(J793*L793))*M793))</f>
        <v>10752000</v>
      </c>
    </row>
    <row r="794" spans="1:19" x14ac:dyDescent="0.2">
      <c r="A794" s="1" t="s">
        <v>435</v>
      </c>
      <c r="B794" s="2" t="s">
        <v>180</v>
      </c>
      <c r="D794" s="4" t="s">
        <v>32</v>
      </c>
      <c r="F794" s="6">
        <v>1</v>
      </c>
      <c r="G794" s="7" t="s">
        <v>19</v>
      </c>
      <c r="H794" s="6">
        <v>40</v>
      </c>
      <c r="I794" s="7" t="s">
        <v>32</v>
      </c>
      <c r="J794" s="8">
        <v>33600</v>
      </c>
      <c r="K794" s="4" t="s">
        <v>32</v>
      </c>
      <c r="O794" s="7" t="s">
        <v>32</v>
      </c>
      <c r="P794" s="3">
        <f>(C794+(E794*F794*H794))-N794</f>
        <v>0</v>
      </c>
      <c r="Q794" s="7" t="s">
        <v>32</v>
      </c>
      <c r="R794" s="8">
        <f>S794/1.11</f>
        <v>0</v>
      </c>
      <c r="S794" s="8">
        <f>P794*(J794-(J794*L794)-((J794-(J794*L794))*M794))</f>
        <v>0</v>
      </c>
    </row>
    <row r="795" spans="1:19" x14ac:dyDescent="0.2">
      <c r="A795" s="1" t="s">
        <v>436</v>
      </c>
      <c r="B795" s="2" t="s">
        <v>180</v>
      </c>
      <c r="C795" s="3">
        <v>240</v>
      </c>
      <c r="D795" s="4" t="s">
        <v>32</v>
      </c>
      <c r="F795" s="6">
        <v>1</v>
      </c>
      <c r="G795" s="7" t="s">
        <v>19</v>
      </c>
      <c r="H795" s="6">
        <v>40</v>
      </c>
      <c r="I795" s="7" t="s">
        <v>32</v>
      </c>
      <c r="J795" s="8">
        <v>33600</v>
      </c>
      <c r="K795" s="4" t="s">
        <v>32</v>
      </c>
      <c r="O795" s="7" t="s">
        <v>32</v>
      </c>
      <c r="P795" s="3">
        <f>(C795+(E795*F795*H795))-N795</f>
        <v>240</v>
      </c>
      <c r="Q795" s="7" t="s">
        <v>32</v>
      </c>
      <c r="R795" s="8">
        <f>S795/1.11</f>
        <v>7264864.8648648644</v>
      </c>
      <c r="S795" s="8">
        <f>P795*(J795-(J795*L795)-((J795-(J795*L795))*M795))</f>
        <v>8064000</v>
      </c>
    </row>
    <row r="796" spans="1:19" x14ac:dyDescent="0.2">
      <c r="A796" s="1" t="s">
        <v>437</v>
      </c>
      <c r="B796" s="2" t="s">
        <v>180</v>
      </c>
      <c r="D796" s="4" t="s">
        <v>32</v>
      </c>
      <c r="F796" s="6">
        <v>1</v>
      </c>
      <c r="G796" s="7" t="s">
        <v>19</v>
      </c>
      <c r="H796" s="6">
        <v>40</v>
      </c>
      <c r="I796" s="7" t="s">
        <v>32</v>
      </c>
      <c r="J796" s="8">
        <v>33600</v>
      </c>
      <c r="K796" s="4" t="s">
        <v>32</v>
      </c>
      <c r="O796" s="7" t="s">
        <v>32</v>
      </c>
      <c r="P796" s="3">
        <f>(C796+(E796*F796*H796))-N796</f>
        <v>0</v>
      </c>
      <c r="Q796" s="7" t="s">
        <v>32</v>
      </c>
      <c r="R796" s="8">
        <f>S796/1.11</f>
        <v>0</v>
      </c>
      <c r="S796" s="8">
        <f>P796*(J796-(J796*L796)-((J796-(J796*L796))*M796))</f>
        <v>0</v>
      </c>
    </row>
    <row r="797" spans="1:19" x14ac:dyDescent="0.2">
      <c r="A797" s="1" t="s">
        <v>438</v>
      </c>
      <c r="B797" s="2" t="s">
        <v>180</v>
      </c>
      <c r="D797" s="4" t="s">
        <v>32</v>
      </c>
      <c r="F797" s="6">
        <v>1</v>
      </c>
      <c r="G797" s="7" t="s">
        <v>19</v>
      </c>
      <c r="H797" s="6">
        <v>24</v>
      </c>
      <c r="I797" s="7" t="s">
        <v>32</v>
      </c>
      <c r="J797" s="8">
        <v>38400</v>
      </c>
      <c r="K797" s="4" t="s">
        <v>32</v>
      </c>
      <c r="O797" s="7" t="s">
        <v>32</v>
      </c>
      <c r="P797" s="3">
        <f>(C797+(E797*F797*H797))-N797</f>
        <v>0</v>
      </c>
      <c r="Q797" s="7" t="s">
        <v>32</v>
      </c>
      <c r="R797" s="8">
        <f>S797/1.11</f>
        <v>0</v>
      </c>
      <c r="S797" s="8">
        <f>P797*(J797-(J797*L797)-((J797-(J797*L797))*M797))</f>
        <v>0</v>
      </c>
    </row>
    <row r="799" spans="1:19" x14ac:dyDescent="0.2">
      <c r="A799" s="24" t="s">
        <v>439</v>
      </c>
    </row>
    <row r="800" spans="1:19" x14ac:dyDescent="0.2">
      <c r="A800" s="23" t="s">
        <v>440</v>
      </c>
      <c r="B800" s="2" t="s">
        <v>17</v>
      </c>
      <c r="D800" s="4" t="s">
        <v>82</v>
      </c>
      <c r="F800" s="6">
        <v>1</v>
      </c>
      <c r="G800" s="7" t="s">
        <v>19</v>
      </c>
      <c r="H800" s="6">
        <v>12</v>
      </c>
      <c r="I800" s="7" t="s">
        <v>82</v>
      </c>
      <c r="J800" s="8">
        <v>255600</v>
      </c>
      <c r="K800" s="4" t="s">
        <v>82</v>
      </c>
      <c r="L800" s="9">
        <v>0.125</v>
      </c>
      <c r="M800" s="9">
        <v>0.05</v>
      </c>
      <c r="O800" s="7" t="s">
        <v>82</v>
      </c>
      <c r="P800" s="3">
        <f>(C800+(E800*F800*H800))-N800</f>
        <v>0</v>
      </c>
      <c r="Q800" s="7" t="s">
        <v>82</v>
      </c>
      <c r="R800" s="8">
        <f>S800/1.11</f>
        <v>0</v>
      </c>
      <c r="S800" s="8">
        <f>P800*(J800-(J800*L800)-((J800-(J800*L800))*M800))</f>
        <v>0</v>
      </c>
    </row>
    <row r="801" spans="1:19" x14ac:dyDescent="0.2">
      <c r="A801" s="23" t="s">
        <v>441</v>
      </c>
      <c r="B801" s="2" t="s">
        <v>24</v>
      </c>
      <c r="D801" s="4" t="s">
        <v>39</v>
      </c>
      <c r="F801" s="6">
        <v>12</v>
      </c>
      <c r="G801" s="7" t="s">
        <v>32</v>
      </c>
      <c r="H801" s="6">
        <v>6</v>
      </c>
      <c r="I801" s="7" t="s">
        <v>39</v>
      </c>
      <c r="J801" s="8">
        <v>21000</v>
      </c>
      <c r="K801" s="4" t="s">
        <v>39</v>
      </c>
      <c r="M801" s="9">
        <v>0.17</v>
      </c>
      <c r="O801" s="7" t="s">
        <v>39</v>
      </c>
      <c r="P801" s="3">
        <f>(C801+(E801*F801*H801))-N801</f>
        <v>0</v>
      </c>
      <c r="Q801" s="7" t="s">
        <v>39</v>
      </c>
      <c r="R801" s="8">
        <f>S801/1.11</f>
        <v>0</v>
      </c>
      <c r="S801" s="8">
        <f>P801*(J801-(J801*L801)-((J801-(J801*L801))*M801))</f>
        <v>0</v>
      </c>
    </row>
    <row r="802" spans="1:19" x14ac:dyDescent="0.2">
      <c r="A802" s="23"/>
    </row>
    <row r="803" spans="1:19" x14ac:dyDescent="0.2">
      <c r="A803" s="24" t="s">
        <v>442</v>
      </c>
    </row>
    <row r="804" spans="1:19" x14ac:dyDescent="0.2">
      <c r="A804" s="23" t="s">
        <v>443</v>
      </c>
      <c r="B804" s="2" t="s">
        <v>17</v>
      </c>
      <c r="D804" s="4" t="s">
        <v>39</v>
      </c>
      <c r="F804" s="6">
        <v>1</v>
      </c>
      <c r="G804" s="7" t="s">
        <v>19</v>
      </c>
      <c r="H804" s="6">
        <v>144</v>
      </c>
      <c r="I804" s="7" t="s">
        <v>39</v>
      </c>
      <c r="J804" s="8">
        <v>49200</v>
      </c>
      <c r="K804" s="4" t="s">
        <v>39</v>
      </c>
      <c r="L804" s="9">
        <v>0.125</v>
      </c>
      <c r="M804" s="9">
        <v>0.05</v>
      </c>
      <c r="O804" s="7" t="s">
        <v>39</v>
      </c>
      <c r="P804" s="3">
        <f t="shared" ref="P804:P810" si="303">(C804+(E804*F804*H804))-N804</f>
        <v>0</v>
      </c>
      <c r="Q804" s="7" t="s">
        <v>39</v>
      </c>
      <c r="R804" s="8">
        <f t="shared" ref="R804:R810" si="304">S804/1.11</f>
        <v>0</v>
      </c>
      <c r="S804" s="8">
        <f t="shared" ref="S804:S810" si="305">P804*(J804-(J804*L804)-((J804-(J804*L804))*M804))</f>
        <v>0</v>
      </c>
    </row>
    <row r="805" spans="1:19" x14ac:dyDescent="0.2">
      <c r="A805" s="23" t="s">
        <v>444</v>
      </c>
      <c r="B805" s="2" t="s">
        <v>17</v>
      </c>
      <c r="D805" s="4" t="s">
        <v>39</v>
      </c>
      <c r="F805" s="6">
        <v>1</v>
      </c>
      <c r="G805" s="7" t="s">
        <v>19</v>
      </c>
      <c r="H805" s="6">
        <v>120</v>
      </c>
      <c r="I805" s="7" t="s">
        <v>39</v>
      </c>
      <c r="J805" s="8">
        <v>30600</v>
      </c>
      <c r="K805" s="4" t="s">
        <v>39</v>
      </c>
      <c r="L805" s="9">
        <v>0.125</v>
      </c>
      <c r="M805" s="9">
        <v>0.05</v>
      </c>
      <c r="O805" s="7" t="s">
        <v>39</v>
      </c>
      <c r="P805" s="3">
        <f t="shared" si="303"/>
        <v>0</v>
      </c>
      <c r="Q805" s="7" t="s">
        <v>39</v>
      </c>
      <c r="R805" s="8">
        <f t="shared" si="304"/>
        <v>0</v>
      </c>
      <c r="S805" s="8">
        <f t="shared" si="305"/>
        <v>0</v>
      </c>
    </row>
    <row r="806" spans="1:19" x14ac:dyDescent="0.2">
      <c r="A806" s="23" t="s">
        <v>445</v>
      </c>
      <c r="B806" s="2" t="s">
        <v>17</v>
      </c>
      <c r="D806" s="4" t="s">
        <v>39</v>
      </c>
      <c r="F806" s="6">
        <v>1</v>
      </c>
      <c r="G806" s="7" t="s">
        <v>19</v>
      </c>
      <c r="H806" s="6">
        <v>144</v>
      </c>
      <c r="I806" s="7" t="s">
        <v>39</v>
      </c>
      <c r="J806" s="8">
        <v>23400</v>
      </c>
      <c r="K806" s="4" t="s">
        <v>39</v>
      </c>
      <c r="L806" s="9">
        <v>0.125</v>
      </c>
      <c r="M806" s="9">
        <v>0.05</v>
      </c>
      <c r="O806" s="7" t="s">
        <v>39</v>
      </c>
      <c r="P806" s="3">
        <f t="shared" si="303"/>
        <v>0</v>
      </c>
      <c r="Q806" s="7" t="s">
        <v>39</v>
      </c>
      <c r="R806" s="8">
        <f t="shared" si="304"/>
        <v>0</v>
      </c>
      <c r="S806" s="8">
        <f t="shared" si="305"/>
        <v>0</v>
      </c>
    </row>
    <row r="807" spans="1:19" x14ac:dyDescent="0.2">
      <c r="A807" s="23" t="s">
        <v>446</v>
      </c>
      <c r="B807" s="2" t="s">
        <v>17</v>
      </c>
      <c r="D807" s="4" t="s">
        <v>39</v>
      </c>
      <c r="F807" s="6">
        <v>1</v>
      </c>
      <c r="G807" s="7" t="s">
        <v>19</v>
      </c>
      <c r="H807" s="6">
        <v>144</v>
      </c>
      <c r="I807" s="7" t="s">
        <v>39</v>
      </c>
      <c r="J807" s="8">
        <v>40800</v>
      </c>
      <c r="K807" s="4" t="s">
        <v>39</v>
      </c>
      <c r="L807" s="9">
        <v>0.125</v>
      </c>
      <c r="M807" s="9">
        <v>0.05</v>
      </c>
      <c r="O807" s="7" t="s">
        <v>39</v>
      </c>
      <c r="P807" s="3">
        <f t="shared" si="303"/>
        <v>0</v>
      </c>
      <c r="Q807" s="7" t="s">
        <v>39</v>
      </c>
      <c r="R807" s="8">
        <f t="shared" si="304"/>
        <v>0</v>
      </c>
      <c r="S807" s="8">
        <f t="shared" si="305"/>
        <v>0</v>
      </c>
    </row>
    <row r="808" spans="1:19" x14ac:dyDescent="0.2">
      <c r="A808" s="23" t="s">
        <v>719</v>
      </c>
      <c r="B808" s="2" t="s">
        <v>17</v>
      </c>
      <c r="D808" s="4" t="s">
        <v>39</v>
      </c>
      <c r="F808" s="6">
        <v>1</v>
      </c>
      <c r="G808" s="7" t="s">
        <v>19</v>
      </c>
      <c r="H808" s="6">
        <v>144</v>
      </c>
      <c r="I808" s="7" t="s">
        <v>39</v>
      </c>
      <c r="J808" s="8">
        <v>40800</v>
      </c>
      <c r="K808" s="4" t="s">
        <v>39</v>
      </c>
      <c r="L808" s="9">
        <v>0.125</v>
      </c>
      <c r="M808" s="9">
        <v>0.05</v>
      </c>
      <c r="O808" s="7" t="s">
        <v>39</v>
      </c>
      <c r="P808" s="3">
        <f t="shared" si="303"/>
        <v>0</v>
      </c>
      <c r="Q808" s="7" t="s">
        <v>39</v>
      </c>
      <c r="R808" s="8">
        <f t="shared" si="304"/>
        <v>0</v>
      </c>
      <c r="S808" s="8">
        <f t="shared" si="305"/>
        <v>0</v>
      </c>
    </row>
    <row r="809" spans="1:19" x14ac:dyDescent="0.2">
      <c r="A809" s="23" t="s">
        <v>447</v>
      </c>
      <c r="B809" s="2" t="s">
        <v>17</v>
      </c>
      <c r="D809" s="4" t="s">
        <v>39</v>
      </c>
      <c r="F809" s="6">
        <v>1</v>
      </c>
      <c r="G809" s="7" t="s">
        <v>19</v>
      </c>
      <c r="H809" s="6">
        <v>144</v>
      </c>
      <c r="I809" s="7" t="s">
        <v>39</v>
      </c>
      <c r="J809" s="8">
        <v>40800</v>
      </c>
      <c r="K809" s="4" t="s">
        <v>39</v>
      </c>
      <c r="L809" s="9">
        <v>0.125</v>
      </c>
      <c r="M809" s="9">
        <v>0.05</v>
      </c>
      <c r="O809" s="7" t="s">
        <v>39</v>
      </c>
      <c r="P809" s="3">
        <f t="shared" ref="P809" si="306">(C809+(E809*F809*H809))-N809</f>
        <v>0</v>
      </c>
      <c r="Q809" s="7" t="s">
        <v>39</v>
      </c>
      <c r="R809" s="8">
        <f t="shared" si="304"/>
        <v>0</v>
      </c>
      <c r="S809" s="8">
        <f t="shared" ref="S809" si="307">P809*(J809-(J809*L809)-((J809-(J809*L809))*M809))</f>
        <v>0</v>
      </c>
    </row>
    <row r="810" spans="1:19" x14ac:dyDescent="0.2">
      <c r="A810" s="23" t="s">
        <v>779</v>
      </c>
      <c r="B810" s="2" t="s">
        <v>17</v>
      </c>
      <c r="D810" s="4" t="s">
        <v>39</v>
      </c>
      <c r="F810" s="6">
        <v>1</v>
      </c>
      <c r="G810" s="7" t="s">
        <v>19</v>
      </c>
      <c r="H810" s="6">
        <v>144</v>
      </c>
      <c r="I810" s="7" t="s">
        <v>39</v>
      </c>
      <c r="J810" s="8">
        <v>25200</v>
      </c>
      <c r="K810" s="4" t="s">
        <v>39</v>
      </c>
      <c r="L810" s="9">
        <v>0.125</v>
      </c>
      <c r="M810" s="9">
        <v>0.05</v>
      </c>
      <c r="O810" s="7" t="s">
        <v>39</v>
      </c>
      <c r="P810" s="3">
        <f t="shared" si="303"/>
        <v>0</v>
      </c>
      <c r="Q810" s="7" t="s">
        <v>39</v>
      </c>
      <c r="R810" s="8">
        <f t="shared" si="304"/>
        <v>0</v>
      </c>
      <c r="S810" s="8">
        <f t="shared" si="305"/>
        <v>0</v>
      </c>
    </row>
    <row r="811" spans="1:19" x14ac:dyDescent="0.2">
      <c r="A811" s="23"/>
    </row>
    <row r="812" spans="1:19" x14ac:dyDescent="0.2">
      <c r="A812" s="1" t="s">
        <v>448</v>
      </c>
      <c r="B812" s="2" t="s">
        <v>24</v>
      </c>
      <c r="D812" s="4" t="s">
        <v>39</v>
      </c>
      <c r="F812" s="6">
        <v>1</v>
      </c>
      <c r="G812" s="7" t="s">
        <v>19</v>
      </c>
      <c r="H812" s="6">
        <v>144</v>
      </c>
      <c r="I812" s="7" t="s">
        <v>39</v>
      </c>
      <c r="J812" s="8">
        <v>51600</v>
      </c>
      <c r="K812" s="4" t="s">
        <v>39</v>
      </c>
      <c r="M812" s="9">
        <v>0.17</v>
      </c>
      <c r="O812" s="7" t="s">
        <v>39</v>
      </c>
      <c r="P812" s="3">
        <f t="shared" ref="P812:P816" si="308">(C812+(E812*F812*H812))-N812</f>
        <v>0</v>
      </c>
      <c r="Q812" s="7" t="s">
        <v>39</v>
      </c>
      <c r="R812" s="8">
        <f>S812/1.11</f>
        <v>0</v>
      </c>
      <c r="S812" s="8">
        <f t="shared" ref="S812:S816" si="309">P812*(J812-(J812*L812)-((J812-(J812*L812))*M812))</f>
        <v>0</v>
      </c>
    </row>
    <row r="813" spans="1:19" x14ac:dyDescent="0.2">
      <c r="A813" s="1" t="s">
        <v>449</v>
      </c>
      <c r="B813" s="2" t="s">
        <v>24</v>
      </c>
      <c r="D813" s="4" t="s">
        <v>39</v>
      </c>
      <c r="F813" s="6">
        <v>1</v>
      </c>
      <c r="G813" s="7" t="s">
        <v>19</v>
      </c>
      <c r="H813" s="6">
        <v>144</v>
      </c>
      <c r="I813" s="7" t="s">
        <v>39</v>
      </c>
      <c r="J813" s="8">
        <v>32000</v>
      </c>
      <c r="K813" s="4" t="s">
        <v>39</v>
      </c>
      <c r="M813" s="9">
        <v>0.17</v>
      </c>
      <c r="O813" s="7" t="s">
        <v>39</v>
      </c>
      <c r="P813" s="3">
        <f t="shared" ref="P813" si="310">(C813+(E813*F813*H813))-N813</f>
        <v>0</v>
      </c>
      <c r="Q813" s="7" t="s">
        <v>39</v>
      </c>
      <c r="R813" s="8">
        <f>S813/1.11</f>
        <v>0</v>
      </c>
      <c r="S813" s="8">
        <f t="shared" ref="S813" si="311">P813*(J813-(J813*L813)-((J813-(J813*L813))*M813))</f>
        <v>0</v>
      </c>
    </row>
    <row r="814" spans="1:19" x14ac:dyDescent="0.2">
      <c r="A814" s="1" t="s">
        <v>450</v>
      </c>
      <c r="B814" s="2" t="s">
        <v>24</v>
      </c>
      <c r="D814" s="4" t="s">
        <v>39</v>
      </c>
      <c r="F814" s="6">
        <v>1</v>
      </c>
      <c r="G814" s="7" t="s">
        <v>19</v>
      </c>
      <c r="H814" s="6">
        <v>144</v>
      </c>
      <c r="I814" s="7" t="s">
        <v>39</v>
      </c>
      <c r="J814" s="8">
        <v>29400</v>
      </c>
      <c r="K814" s="4" t="s">
        <v>39</v>
      </c>
      <c r="M814" s="9">
        <v>0.17</v>
      </c>
      <c r="O814" s="7" t="s">
        <v>39</v>
      </c>
      <c r="P814" s="3">
        <f t="shared" si="308"/>
        <v>0</v>
      </c>
      <c r="Q814" s="7" t="s">
        <v>39</v>
      </c>
      <c r="R814" s="8">
        <f>S814/1.11</f>
        <v>0</v>
      </c>
      <c r="S814" s="8">
        <f t="shared" si="309"/>
        <v>0</v>
      </c>
    </row>
    <row r="815" spans="1:19" x14ac:dyDescent="0.2">
      <c r="A815" s="1" t="s">
        <v>451</v>
      </c>
      <c r="B815" s="2" t="s">
        <v>24</v>
      </c>
      <c r="D815" s="4" t="s">
        <v>39</v>
      </c>
      <c r="F815" s="6">
        <v>1</v>
      </c>
      <c r="G815" s="7" t="s">
        <v>19</v>
      </c>
      <c r="H815" s="6">
        <v>144</v>
      </c>
      <c r="I815" s="7" t="s">
        <v>39</v>
      </c>
      <c r="J815" s="8">
        <v>22200</v>
      </c>
      <c r="K815" s="4" t="s">
        <v>39</v>
      </c>
      <c r="M815" s="9">
        <v>0.17</v>
      </c>
      <c r="O815" s="7" t="s">
        <v>39</v>
      </c>
      <c r="P815" s="3">
        <f t="shared" si="308"/>
        <v>0</v>
      </c>
      <c r="Q815" s="7" t="s">
        <v>39</v>
      </c>
      <c r="R815" s="8">
        <f>S815/1.11</f>
        <v>0</v>
      </c>
      <c r="S815" s="8">
        <f t="shared" si="309"/>
        <v>0</v>
      </c>
    </row>
    <row r="816" spans="1:19" x14ac:dyDescent="0.2">
      <c r="A816" s="1" t="s">
        <v>452</v>
      </c>
      <c r="B816" s="2" t="s">
        <v>24</v>
      </c>
      <c r="D816" s="4" t="s">
        <v>39</v>
      </c>
      <c r="F816" s="6">
        <v>1</v>
      </c>
      <c r="G816" s="7" t="s">
        <v>19</v>
      </c>
      <c r="H816" s="6">
        <v>144</v>
      </c>
      <c r="I816" s="7" t="s">
        <v>39</v>
      </c>
      <c r="J816" s="8">
        <f>3369600/144</f>
        <v>23400</v>
      </c>
      <c r="K816" s="4" t="s">
        <v>39</v>
      </c>
      <c r="M816" s="9">
        <v>0.17</v>
      </c>
      <c r="O816" s="7" t="s">
        <v>39</v>
      </c>
      <c r="P816" s="3">
        <f t="shared" si="308"/>
        <v>0</v>
      </c>
      <c r="Q816" s="7" t="s">
        <v>39</v>
      </c>
      <c r="R816" s="8">
        <f>S816/1.11</f>
        <v>0</v>
      </c>
      <c r="S816" s="8">
        <f t="shared" si="309"/>
        <v>0</v>
      </c>
    </row>
    <row r="818" spans="1:19" x14ac:dyDescent="0.2">
      <c r="A818" s="1" t="s">
        <v>1038</v>
      </c>
      <c r="B818" s="2" t="s">
        <v>258</v>
      </c>
      <c r="D818" s="4" t="s">
        <v>39</v>
      </c>
      <c r="F818" s="6">
        <v>1</v>
      </c>
      <c r="G818" s="7" t="s">
        <v>19</v>
      </c>
      <c r="H818" s="6">
        <v>144</v>
      </c>
      <c r="I818" s="7" t="s">
        <v>39</v>
      </c>
      <c r="J818" s="8">
        <v>12500</v>
      </c>
      <c r="K818" s="4" t="s">
        <v>39</v>
      </c>
      <c r="O818" s="7" t="s">
        <v>39</v>
      </c>
      <c r="P818" s="3">
        <f t="shared" ref="P818:P821" si="312">(C818+(E818*F818*H818))-N818</f>
        <v>0</v>
      </c>
      <c r="Q818" s="7" t="s">
        <v>39</v>
      </c>
      <c r="R818" s="8">
        <f>S818/1.11</f>
        <v>0</v>
      </c>
      <c r="S818" s="8">
        <f t="shared" ref="S818:S821" si="313">P818*(J818-(J818*L818)-((J818-(J818*L818))*M818))</f>
        <v>0</v>
      </c>
    </row>
    <row r="819" spans="1:19" x14ac:dyDescent="0.2">
      <c r="A819" s="1" t="s">
        <v>1039</v>
      </c>
      <c r="B819" s="2" t="s">
        <v>258</v>
      </c>
      <c r="D819" s="4" t="s">
        <v>39</v>
      </c>
      <c r="F819" s="6">
        <v>1</v>
      </c>
      <c r="G819" s="7" t="s">
        <v>19</v>
      </c>
      <c r="H819" s="6">
        <v>144</v>
      </c>
      <c r="I819" s="7" t="s">
        <v>39</v>
      </c>
      <c r="J819" s="8">
        <v>12500</v>
      </c>
      <c r="K819" s="4" t="s">
        <v>39</v>
      </c>
      <c r="O819" s="7" t="s">
        <v>39</v>
      </c>
      <c r="P819" s="3">
        <f t="shared" si="312"/>
        <v>0</v>
      </c>
      <c r="Q819" s="7" t="s">
        <v>39</v>
      </c>
      <c r="R819" s="8">
        <f>S819/1.11</f>
        <v>0</v>
      </c>
      <c r="S819" s="8">
        <f t="shared" si="313"/>
        <v>0</v>
      </c>
    </row>
    <row r="820" spans="1:19" x14ac:dyDescent="0.2">
      <c r="A820" s="1" t="s">
        <v>1037</v>
      </c>
      <c r="B820" s="2" t="s">
        <v>258</v>
      </c>
      <c r="D820" s="4" t="s">
        <v>39</v>
      </c>
      <c r="F820" s="6">
        <v>1</v>
      </c>
      <c r="G820" s="7" t="s">
        <v>19</v>
      </c>
      <c r="H820" s="6">
        <v>144</v>
      </c>
      <c r="I820" s="7" t="s">
        <v>39</v>
      </c>
      <c r="J820" s="8">
        <v>13250</v>
      </c>
      <c r="K820" s="4" t="s">
        <v>39</v>
      </c>
      <c r="O820" s="7" t="s">
        <v>39</v>
      </c>
      <c r="P820" s="3">
        <f>(C820+(E820*F820*H820))-N820</f>
        <v>0</v>
      </c>
      <c r="Q820" s="7" t="s">
        <v>39</v>
      </c>
      <c r="R820" s="8">
        <f>S820/1.11</f>
        <v>0</v>
      </c>
      <c r="S820" s="8">
        <f>P820*(J820-(J820*L820)-((J820-(J820*L820))*M820))</f>
        <v>0</v>
      </c>
    </row>
    <row r="821" spans="1:19" x14ac:dyDescent="0.2">
      <c r="A821" s="1" t="s">
        <v>916</v>
      </c>
      <c r="B821" s="2" t="s">
        <v>258</v>
      </c>
      <c r="D821" s="4" t="s">
        <v>39</v>
      </c>
      <c r="F821" s="6">
        <v>1</v>
      </c>
      <c r="G821" s="7" t="s">
        <v>19</v>
      </c>
      <c r="H821" s="6">
        <v>96</v>
      </c>
      <c r="I821" s="7" t="s">
        <v>39</v>
      </c>
      <c r="J821" s="8">
        <v>29000</v>
      </c>
      <c r="K821" s="4" t="s">
        <v>39</v>
      </c>
      <c r="O821" s="7" t="s">
        <v>39</v>
      </c>
      <c r="P821" s="3">
        <f t="shared" si="312"/>
        <v>0</v>
      </c>
      <c r="Q821" s="7" t="s">
        <v>39</v>
      </c>
      <c r="R821" s="8">
        <f>S821/1.11</f>
        <v>0</v>
      </c>
      <c r="S821" s="8">
        <f t="shared" si="313"/>
        <v>0</v>
      </c>
    </row>
    <row r="823" spans="1:19" x14ac:dyDescent="0.2">
      <c r="A823" s="24" t="s">
        <v>653</v>
      </c>
    </row>
    <row r="824" spans="1:19" x14ac:dyDescent="0.2">
      <c r="A824" s="23" t="s">
        <v>654</v>
      </c>
      <c r="B824" s="2" t="s">
        <v>17</v>
      </c>
      <c r="D824" s="4" t="s">
        <v>82</v>
      </c>
      <c r="F824" s="6">
        <v>1</v>
      </c>
      <c r="G824" s="7" t="s">
        <v>19</v>
      </c>
      <c r="H824" s="6">
        <v>12</v>
      </c>
      <c r="I824" s="7" t="s">
        <v>82</v>
      </c>
      <c r="J824" s="8">
        <v>176400</v>
      </c>
      <c r="K824" s="4" t="s">
        <v>82</v>
      </c>
      <c r="L824" s="9">
        <v>0.125</v>
      </c>
      <c r="M824" s="9">
        <v>0.05</v>
      </c>
      <c r="O824" s="7" t="s">
        <v>82</v>
      </c>
      <c r="P824" s="3">
        <f t="shared" ref="P824:P829" si="314">(C824+(E824*F824*H824))-N824</f>
        <v>0</v>
      </c>
      <c r="Q824" s="7" t="s">
        <v>82</v>
      </c>
      <c r="R824" s="8">
        <f t="shared" ref="R824:R829" si="315">S824/1.11</f>
        <v>0</v>
      </c>
      <c r="S824" s="8">
        <f t="shared" ref="S824:S829" si="316">P824*(J824-(J824*L824)-((J824-(J824*L824))*M824))</f>
        <v>0</v>
      </c>
    </row>
    <row r="825" spans="1:19" x14ac:dyDescent="0.2">
      <c r="A825" s="23" t="s">
        <v>655</v>
      </c>
      <c r="B825" s="2" t="s">
        <v>17</v>
      </c>
      <c r="D825" s="4" t="s">
        <v>82</v>
      </c>
      <c r="F825" s="6">
        <v>12</v>
      </c>
      <c r="G825" s="7" t="s">
        <v>32</v>
      </c>
      <c r="H825" s="6">
        <v>1</v>
      </c>
      <c r="I825" s="7" t="s">
        <v>82</v>
      </c>
      <c r="J825" s="8">
        <v>183600</v>
      </c>
      <c r="K825" s="4" t="s">
        <v>82</v>
      </c>
      <c r="L825" s="9">
        <v>0.125</v>
      </c>
      <c r="M825" s="9">
        <v>0.05</v>
      </c>
      <c r="O825" s="7" t="s">
        <v>82</v>
      </c>
      <c r="P825" s="3">
        <f t="shared" si="314"/>
        <v>0</v>
      </c>
      <c r="Q825" s="7" t="s">
        <v>82</v>
      </c>
      <c r="R825" s="8">
        <f t="shared" si="315"/>
        <v>0</v>
      </c>
      <c r="S825" s="8">
        <f t="shared" si="316"/>
        <v>0</v>
      </c>
    </row>
    <row r="826" spans="1:19" x14ac:dyDescent="0.2">
      <c r="A826" s="23" t="s">
        <v>656</v>
      </c>
      <c r="B826" s="2" t="s">
        <v>17</v>
      </c>
      <c r="D826" s="4" t="s">
        <v>39</v>
      </c>
      <c r="F826" s="6">
        <v>12</v>
      </c>
      <c r="G826" s="7" t="s">
        <v>82</v>
      </c>
      <c r="H826" s="6">
        <v>12</v>
      </c>
      <c r="I826" s="7" t="s">
        <v>39</v>
      </c>
      <c r="J826" s="8">
        <v>19800</v>
      </c>
      <c r="K826" s="4" t="s">
        <v>39</v>
      </c>
      <c r="L826" s="9">
        <v>0.125</v>
      </c>
      <c r="M826" s="9">
        <v>0.05</v>
      </c>
      <c r="O826" s="7" t="s">
        <v>39</v>
      </c>
      <c r="P826" s="3">
        <f t="shared" ref="P826" si="317">(C826+(E826*F826*H826))-N826</f>
        <v>0</v>
      </c>
      <c r="Q826" s="7" t="s">
        <v>39</v>
      </c>
      <c r="R826" s="8">
        <f t="shared" si="315"/>
        <v>0</v>
      </c>
      <c r="S826" s="8">
        <f t="shared" ref="S826" si="318">P826*(J826-(J826*L826)-((J826-(J826*L826))*M826))</f>
        <v>0</v>
      </c>
    </row>
    <row r="827" spans="1:19" x14ac:dyDescent="0.2">
      <c r="A827" s="23" t="s">
        <v>657</v>
      </c>
      <c r="B827" s="2" t="s">
        <v>17</v>
      </c>
      <c r="D827" s="4" t="s">
        <v>39</v>
      </c>
      <c r="F827" s="6">
        <v>12</v>
      </c>
      <c r="G827" s="7" t="s">
        <v>82</v>
      </c>
      <c r="H827" s="6">
        <v>6</v>
      </c>
      <c r="I827" s="7" t="s">
        <v>39</v>
      </c>
      <c r="J827" s="8">
        <f>3100*12</f>
        <v>37200</v>
      </c>
      <c r="K827" s="4" t="s">
        <v>39</v>
      </c>
      <c r="L827" s="9">
        <v>0.125</v>
      </c>
      <c r="M827" s="9">
        <v>0.05</v>
      </c>
      <c r="O827" s="7" t="s">
        <v>39</v>
      </c>
      <c r="P827" s="3">
        <f t="shared" ref="P827" si="319">(C827+(E827*F827*H827))-N827</f>
        <v>0</v>
      </c>
      <c r="Q827" s="7" t="s">
        <v>39</v>
      </c>
      <c r="R827" s="8">
        <f t="shared" si="315"/>
        <v>0</v>
      </c>
      <c r="S827" s="8">
        <f t="shared" ref="S827" si="320">P827*(J827-(J827*L827)-((J827-(J827*L827))*M827))</f>
        <v>0</v>
      </c>
    </row>
    <row r="828" spans="1:19" x14ac:dyDescent="0.2">
      <c r="A828" s="23" t="s">
        <v>658</v>
      </c>
      <c r="B828" s="2" t="s">
        <v>17</v>
      </c>
      <c r="D828" s="4" t="s">
        <v>82</v>
      </c>
      <c r="F828" s="6">
        <v>1</v>
      </c>
      <c r="G828" s="7" t="s">
        <v>19</v>
      </c>
      <c r="H828" s="6">
        <v>12</v>
      </c>
      <c r="I828" s="7" t="s">
        <v>82</v>
      </c>
      <c r="J828" s="8">
        <v>198000</v>
      </c>
      <c r="K828" s="4" t="s">
        <v>82</v>
      </c>
      <c r="L828" s="9">
        <v>0.125</v>
      </c>
      <c r="M828" s="9">
        <v>0.05</v>
      </c>
      <c r="O828" s="7" t="s">
        <v>82</v>
      </c>
      <c r="P828" s="3">
        <f t="shared" ref="P828" si="321">(C828+(E828*F828*H828))-N828</f>
        <v>0</v>
      </c>
      <c r="Q828" s="7" t="s">
        <v>82</v>
      </c>
      <c r="R828" s="8">
        <f t="shared" si="315"/>
        <v>0</v>
      </c>
      <c r="S828" s="8">
        <f t="shared" ref="S828" si="322">P828*(J828-(J828*L828)-((J828-(J828*L828))*M828))</f>
        <v>0</v>
      </c>
    </row>
    <row r="829" spans="1:19" x14ac:dyDescent="0.2">
      <c r="A829" s="23" t="s">
        <v>720</v>
      </c>
      <c r="B829" s="2" t="s">
        <v>17</v>
      </c>
      <c r="D829" s="4" t="s">
        <v>39</v>
      </c>
      <c r="F829" s="6">
        <v>1</v>
      </c>
      <c r="G829" s="7" t="s">
        <v>19</v>
      </c>
      <c r="H829" s="6">
        <v>72</v>
      </c>
      <c r="I829" s="7" t="s">
        <v>39</v>
      </c>
      <c r="J829" s="8">
        <v>39600</v>
      </c>
      <c r="K829" s="4" t="s">
        <v>39</v>
      </c>
      <c r="L829" s="9">
        <v>0.125</v>
      </c>
      <c r="M829" s="9">
        <v>0.05</v>
      </c>
      <c r="O829" s="7" t="s">
        <v>82</v>
      </c>
      <c r="P829" s="3">
        <f t="shared" si="314"/>
        <v>0</v>
      </c>
      <c r="Q829" s="7" t="s">
        <v>82</v>
      </c>
      <c r="R829" s="8">
        <f t="shared" si="315"/>
        <v>0</v>
      </c>
      <c r="S829" s="8">
        <f t="shared" si="316"/>
        <v>0</v>
      </c>
    </row>
    <row r="830" spans="1:19" x14ac:dyDescent="0.2">
      <c r="A830" s="23"/>
    </row>
    <row r="831" spans="1:19" x14ac:dyDescent="0.2">
      <c r="A831" s="23" t="s">
        <v>1040</v>
      </c>
      <c r="B831" s="2" t="s">
        <v>24</v>
      </c>
      <c r="D831" s="4" t="s">
        <v>82</v>
      </c>
      <c r="F831" s="6">
        <v>1</v>
      </c>
      <c r="G831" s="7" t="s">
        <v>19</v>
      </c>
      <c r="H831" s="6">
        <v>18</v>
      </c>
      <c r="I831" s="7" t="s">
        <v>82</v>
      </c>
      <c r="J831" s="8">
        <f>3240000/18</f>
        <v>180000</v>
      </c>
      <c r="K831" s="4" t="s">
        <v>82</v>
      </c>
      <c r="M831" s="9">
        <v>0.17</v>
      </c>
      <c r="O831" s="7" t="s">
        <v>82</v>
      </c>
      <c r="P831" s="3">
        <f>(C831+(E831*F831*H831))-N831</f>
        <v>0</v>
      </c>
      <c r="Q831" s="7" t="s">
        <v>82</v>
      </c>
      <c r="R831" s="8">
        <f>S831/1.11</f>
        <v>0</v>
      </c>
      <c r="S831" s="8">
        <f>P831*(J831-(J831*L831)-((J831-(J831*L831))*M831))</f>
        <v>0</v>
      </c>
    </row>
    <row r="832" spans="1:19" x14ac:dyDescent="0.2">
      <c r="A832" s="1" t="s">
        <v>659</v>
      </c>
      <c r="B832" s="2" t="s">
        <v>24</v>
      </c>
      <c r="D832" s="4" t="s">
        <v>39</v>
      </c>
      <c r="F832" s="6">
        <v>12</v>
      </c>
      <c r="G832" s="7" t="s">
        <v>82</v>
      </c>
      <c r="H832" s="6">
        <v>12</v>
      </c>
      <c r="I832" s="7" t="s">
        <v>39</v>
      </c>
      <c r="J832" s="8">
        <v>16200</v>
      </c>
      <c r="K832" s="4" t="s">
        <v>39</v>
      </c>
      <c r="M832" s="9">
        <v>0.17</v>
      </c>
      <c r="O832" s="7" t="s">
        <v>39</v>
      </c>
      <c r="P832" s="3">
        <f>(C832+(E832*F832*H832))-N832</f>
        <v>0</v>
      </c>
      <c r="Q832" s="7" t="s">
        <v>39</v>
      </c>
      <c r="R832" s="8">
        <f>S832/1.11</f>
        <v>0</v>
      </c>
      <c r="S832" s="8">
        <f>P832*(J832-(J832*L832)-((J832-(J832*L832))*M832))</f>
        <v>0</v>
      </c>
    </row>
    <row r="833" spans="1:19" x14ac:dyDescent="0.2">
      <c r="A833" s="1" t="s">
        <v>1041</v>
      </c>
      <c r="B833" s="2" t="s">
        <v>24</v>
      </c>
      <c r="D833" s="4" t="s">
        <v>39</v>
      </c>
      <c r="F833" s="6">
        <v>12</v>
      </c>
      <c r="G833" s="7" t="s">
        <v>82</v>
      </c>
      <c r="H833" s="6">
        <v>12</v>
      </c>
      <c r="I833" s="7" t="s">
        <v>39</v>
      </c>
      <c r="J833" s="8">
        <f>2937600/12/12</f>
        <v>20400</v>
      </c>
      <c r="K833" s="4" t="s">
        <v>39</v>
      </c>
      <c r="M833" s="9">
        <v>0.17</v>
      </c>
      <c r="O833" s="7" t="s">
        <v>39</v>
      </c>
      <c r="P833" s="3">
        <f>(C833+(E833*F833*H833))-N833</f>
        <v>0</v>
      </c>
      <c r="Q833" s="7" t="s">
        <v>39</v>
      </c>
      <c r="R833" s="8">
        <f>S833/1.11</f>
        <v>0</v>
      </c>
      <c r="S833" s="8">
        <f>P833*(J833-(J833*L833)-((J833-(J833*L833))*M833))</f>
        <v>0</v>
      </c>
    </row>
    <row r="835" spans="1:19" x14ac:dyDescent="0.2">
      <c r="A835" s="1" t="s">
        <v>762</v>
      </c>
      <c r="B835" s="2" t="s">
        <v>180</v>
      </c>
      <c r="C835" s="3">
        <v>14400</v>
      </c>
      <c r="D835" s="4" t="s">
        <v>150</v>
      </c>
      <c r="F835" s="6">
        <v>40</v>
      </c>
      <c r="G835" s="7" t="s">
        <v>32</v>
      </c>
      <c r="H835" s="6">
        <f>1600/40</f>
        <v>40</v>
      </c>
      <c r="I835" s="7" t="s">
        <v>150</v>
      </c>
      <c r="J835" s="8">
        <v>1532</v>
      </c>
      <c r="K835" s="4" t="s">
        <v>150</v>
      </c>
      <c r="O835" s="7" t="s">
        <v>150</v>
      </c>
      <c r="P835" s="3">
        <f>(C835+(E835*F835*H835))-N835</f>
        <v>14400</v>
      </c>
      <c r="Q835" s="7" t="s">
        <v>150</v>
      </c>
      <c r="R835" s="8">
        <f>S835/1.11</f>
        <v>19874594.594594594</v>
      </c>
      <c r="S835" s="8">
        <f>P835*(J835-(J835*L835)-((J835-(J835*L835))*M835))</f>
        <v>22060800</v>
      </c>
    </row>
    <row r="837" spans="1:19" x14ac:dyDescent="0.2">
      <c r="A837" s="24" t="s">
        <v>453</v>
      </c>
    </row>
    <row r="838" spans="1:19" x14ac:dyDescent="0.2">
      <c r="A838" s="1" t="s">
        <v>888</v>
      </c>
      <c r="B838" s="2" t="s">
        <v>17</v>
      </c>
      <c r="D838" s="4" t="s">
        <v>150</v>
      </c>
      <c r="F838" s="6">
        <v>12</v>
      </c>
      <c r="G838" s="7" t="s">
        <v>32</v>
      </c>
      <c r="H838" s="6">
        <v>12</v>
      </c>
      <c r="I838" s="7" t="s">
        <v>150</v>
      </c>
      <c r="J838" s="8">
        <v>12200</v>
      </c>
      <c r="K838" s="4" t="s">
        <v>150</v>
      </c>
      <c r="L838" s="9">
        <v>0.125</v>
      </c>
      <c r="M838" s="9">
        <v>0.05</v>
      </c>
      <c r="O838" s="7" t="s">
        <v>150</v>
      </c>
      <c r="P838" s="3">
        <f t="shared" ref="P838" si="323">(C838+(E838*F838*H838))-N838</f>
        <v>0</v>
      </c>
      <c r="Q838" s="7" t="s">
        <v>150</v>
      </c>
      <c r="R838" s="8">
        <f t="shared" ref="R838:R853" si="324">S838/1.11</f>
        <v>0</v>
      </c>
      <c r="S838" s="8">
        <f t="shared" ref="S838" si="325">P838*(J838-(J838*L838)-((J838-(J838*L838))*M838))</f>
        <v>0</v>
      </c>
    </row>
    <row r="839" spans="1:19" x14ac:dyDescent="0.2">
      <c r="A839" s="1" t="s">
        <v>454</v>
      </c>
      <c r="B839" s="2" t="s">
        <v>17</v>
      </c>
      <c r="D839" s="4" t="s">
        <v>150</v>
      </c>
      <c r="F839" s="6">
        <v>12</v>
      </c>
      <c r="G839" s="7" t="s">
        <v>32</v>
      </c>
      <c r="H839" s="6">
        <v>24</v>
      </c>
      <c r="I839" s="7" t="s">
        <v>150</v>
      </c>
      <c r="J839" s="8">
        <v>6700</v>
      </c>
      <c r="K839" s="4" t="s">
        <v>150</v>
      </c>
      <c r="L839" s="9">
        <v>0.125</v>
      </c>
      <c r="M839" s="9">
        <v>0.05</v>
      </c>
      <c r="O839" s="7" t="s">
        <v>150</v>
      </c>
      <c r="P839" s="3">
        <f t="shared" ref="P839:P853" si="326">(C839+(E839*F839*H839))-N839</f>
        <v>0</v>
      </c>
      <c r="Q839" s="7" t="s">
        <v>150</v>
      </c>
      <c r="R839" s="8">
        <f t="shared" si="324"/>
        <v>0</v>
      </c>
      <c r="S839" s="8">
        <f t="shared" ref="S839:S853" si="327">P839*(J839-(J839*L839)-((J839-(J839*L839))*M839))</f>
        <v>0</v>
      </c>
    </row>
    <row r="840" spans="1:19" x14ac:dyDescent="0.2">
      <c r="A840" s="1" t="s">
        <v>455</v>
      </c>
      <c r="B840" s="2" t="s">
        <v>17</v>
      </c>
      <c r="D840" s="4" t="s">
        <v>150</v>
      </c>
      <c r="F840" s="6">
        <v>12</v>
      </c>
      <c r="G840" s="7" t="s">
        <v>32</v>
      </c>
      <c r="H840" s="6">
        <v>12</v>
      </c>
      <c r="I840" s="7" t="s">
        <v>150</v>
      </c>
      <c r="J840" s="8">
        <v>13800</v>
      </c>
      <c r="K840" s="4" t="s">
        <v>150</v>
      </c>
      <c r="L840" s="9">
        <v>0.125</v>
      </c>
      <c r="M840" s="9">
        <v>0.05</v>
      </c>
      <c r="O840" s="7" t="s">
        <v>150</v>
      </c>
      <c r="P840" s="3">
        <f t="shared" si="326"/>
        <v>0</v>
      </c>
      <c r="Q840" s="7" t="s">
        <v>150</v>
      </c>
      <c r="R840" s="8">
        <f t="shared" si="324"/>
        <v>0</v>
      </c>
      <c r="S840" s="8">
        <f t="shared" si="327"/>
        <v>0</v>
      </c>
    </row>
    <row r="841" spans="1:19" x14ac:dyDescent="0.2">
      <c r="A841" s="1" t="s">
        <v>456</v>
      </c>
      <c r="B841" s="2" t="s">
        <v>17</v>
      </c>
      <c r="D841" s="4" t="s">
        <v>150</v>
      </c>
      <c r="F841" s="6">
        <v>12</v>
      </c>
      <c r="G841" s="7" t="s">
        <v>32</v>
      </c>
      <c r="H841" s="6">
        <v>12</v>
      </c>
      <c r="I841" s="7" t="s">
        <v>150</v>
      </c>
      <c r="J841" s="8">
        <v>10600</v>
      </c>
      <c r="K841" s="4" t="s">
        <v>150</v>
      </c>
      <c r="L841" s="9">
        <v>0.125</v>
      </c>
      <c r="M841" s="9">
        <v>0.05</v>
      </c>
      <c r="O841" s="7" t="s">
        <v>150</v>
      </c>
      <c r="P841" s="3">
        <f t="shared" si="326"/>
        <v>0</v>
      </c>
      <c r="Q841" s="7" t="s">
        <v>150</v>
      </c>
      <c r="R841" s="8">
        <f t="shared" si="324"/>
        <v>0</v>
      </c>
      <c r="S841" s="8">
        <f t="shared" si="327"/>
        <v>0</v>
      </c>
    </row>
    <row r="842" spans="1:19" x14ac:dyDescent="0.2">
      <c r="A842" s="1" t="s">
        <v>457</v>
      </c>
      <c r="B842" s="2" t="s">
        <v>17</v>
      </c>
      <c r="D842" s="4" t="s">
        <v>150</v>
      </c>
      <c r="F842" s="6">
        <v>12</v>
      </c>
      <c r="G842" s="7" t="s">
        <v>32</v>
      </c>
      <c r="H842" s="6">
        <v>6</v>
      </c>
      <c r="I842" s="7" t="s">
        <v>150</v>
      </c>
      <c r="J842" s="8">
        <v>21200</v>
      </c>
      <c r="K842" s="4" t="s">
        <v>150</v>
      </c>
      <c r="L842" s="9">
        <v>0.125</v>
      </c>
      <c r="M842" s="9">
        <v>0.05</v>
      </c>
      <c r="O842" s="7" t="s">
        <v>150</v>
      </c>
      <c r="P842" s="3">
        <f t="shared" si="326"/>
        <v>0</v>
      </c>
      <c r="Q842" s="7" t="s">
        <v>150</v>
      </c>
      <c r="R842" s="8">
        <f t="shared" si="324"/>
        <v>0</v>
      </c>
      <c r="S842" s="8">
        <f t="shared" si="327"/>
        <v>0</v>
      </c>
    </row>
    <row r="843" spans="1:19" x14ac:dyDescent="0.2">
      <c r="A843" s="1" t="s">
        <v>458</v>
      </c>
      <c r="B843" s="2" t="s">
        <v>17</v>
      </c>
      <c r="D843" s="4" t="s">
        <v>150</v>
      </c>
      <c r="F843" s="6">
        <v>8</v>
      </c>
      <c r="G843" s="7" t="s">
        <v>32</v>
      </c>
      <c r="H843" s="6">
        <v>6</v>
      </c>
      <c r="I843" s="7" t="s">
        <v>150</v>
      </c>
      <c r="J843" s="8">
        <v>35000</v>
      </c>
      <c r="K843" s="4" t="s">
        <v>150</v>
      </c>
      <c r="L843" s="9">
        <v>0.125</v>
      </c>
      <c r="M843" s="9">
        <v>0.05</v>
      </c>
      <c r="O843" s="7" t="s">
        <v>150</v>
      </c>
      <c r="P843" s="3">
        <f t="shared" si="326"/>
        <v>0</v>
      </c>
      <c r="Q843" s="7" t="s">
        <v>150</v>
      </c>
      <c r="R843" s="8">
        <f t="shared" si="324"/>
        <v>0</v>
      </c>
      <c r="S843" s="8">
        <f t="shared" si="327"/>
        <v>0</v>
      </c>
    </row>
    <row r="844" spans="1:19" x14ac:dyDescent="0.2">
      <c r="A844" s="1" t="s">
        <v>459</v>
      </c>
      <c r="B844" s="2" t="s">
        <v>17</v>
      </c>
      <c r="D844" s="4" t="s">
        <v>150</v>
      </c>
      <c r="F844" s="6">
        <v>12</v>
      </c>
      <c r="G844" s="7" t="s">
        <v>32</v>
      </c>
      <c r="H844" s="6">
        <v>12</v>
      </c>
      <c r="I844" s="7" t="s">
        <v>150</v>
      </c>
      <c r="J844" s="8">
        <v>9600</v>
      </c>
      <c r="K844" s="4" t="s">
        <v>150</v>
      </c>
      <c r="L844" s="9">
        <v>0.125</v>
      </c>
      <c r="M844" s="9">
        <v>0.05</v>
      </c>
      <c r="O844" s="7" t="s">
        <v>150</v>
      </c>
      <c r="P844" s="3">
        <f t="shared" si="326"/>
        <v>0</v>
      </c>
      <c r="Q844" s="7" t="s">
        <v>150</v>
      </c>
      <c r="R844" s="8">
        <f t="shared" si="324"/>
        <v>0</v>
      </c>
      <c r="S844" s="8">
        <f t="shared" si="327"/>
        <v>0</v>
      </c>
    </row>
    <row r="845" spans="1:19" x14ac:dyDescent="0.2">
      <c r="A845" s="1" t="s">
        <v>460</v>
      </c>
      <c r="B845" s="2" t="s">
        <v>17</v>
      </c>
      <c r="D845" s="4" t="s">
        <v>150</v>
      </c>
      <c r="F845" s="6">
        <v>12</v>
      </c>
      <c r="G845" s="7" t="s">
        <v>32</v>
      </c>
      <c r="H845" s="6">
        <v>6</v>
      </c>
      <c r="I845" s="7" t="s">
        <v>150</v>
      </c>
      <c r="J845" s="8">
        <v>19200</v>
      </c>
      <c r="K845" s="4" t="s">
        <v>150</v>
      </c>
      <c r="L845" s="9">
        <v>0.125</v>
      </c>
      <c r="M845" s="9">
        <v>0.05</v>
      </c>
      <c r="O845" s="7" t="s">
        <v>150</v>
      </c>
      <c r="P845" s="3">
        <f t="shared" si="326"/>
        <v>0</v>
      </c>
      <c r="Q845" s="7" t="s">
        <v>150</v>
      </c>
      <c r="R845" s="8">
        <f t="shared" si="324"/>
        <v>0</v>
      </c>
      <c r="S845" s="8">
        <f t="shared" si="327"/>
        <v>0</v>
      </c>
    </row>
    <row r="846" spans="1:19" x14ac:dyDescent="0.2">
      <c r="A846" s="1" t="s">
        <v>461</v>
      </c>
      <c r="B846" s="2" t="s">
        <v>17</v>
      </c>
      <c r="D846" s="4" t="s">
        <v>150</v>
      </c>
      <c r="F846" s="6">
        <v>12</v>
      </c>
      <c r="G846" s="7" t="s">
        <v>32</v>
      </c>
      <c r="H846" s="6">
        <v>24</v>
      </c>
      <c r="I846" s="7" t="s">
        <v>150</v>
      </c>
      <c r="J846" s="8">
        <v>5800</v>
      </c>
      <c r="K846" s="4" t="s">
        <v>150</v>
      </c>
      <c r="L846" s="9">
        <v>0.125</v>
      </c>
      <c r="M846" s="9">
        <v>0.05</v>
      </c>
      <c r="O846" s="7" t="s">
        <v>150</v>
      </c>
      <c r="P846" s="3">
        <f t="shared" si="326"/>
        <v>0</v>
      </c>
      <c r="Q846" s="7" t="s">
        <v>150</v>
      </c>
      <c r="R846" s="8">
        <f t="shared" si="324"/>
        <v>0</v>
      </c>
      <c r="S846" s="8">
        <f t="shared" si="327"/>
        <v>0</v>
      </c>
    </row>
    <row r="847" spans="1:19" x14ac:dyDescent="0.2">
      <c r="A847" s="1" t="s">
        <v>462</v>
      </c>
      <c r="B847" s="2" t="s">
        <v>17</v>
      </c>
      <c r="D847" s="4" t="s">
        <v>150</v>
      </c>
      <c r="F847" s="6">
        <v>12</v>
      </c>
      <c r="G847" s="7" t="s">
        <v>32</v>
      </c>
      <c r="H847" s="6">
        <v>12</v>
      </c>
      <c r="I847" s="7" t="s">
        <v>150</v>
      </c>
      <c r="J847" s="8">
        <v>8400</v>
      </c>
      <c r="K847" s="4" t="s">
        <v>150</v>
      </c>
      <c r="L847" s="9">
        <v>0.125</v>
      </c>
      <c r="M847" s="9">
        <v>0.05</v>
      </c>
      <c r="O847" s="7" t="s">
        <v>150</v>
      </c>
      <c r="P847" s="3">
        <f t="shared" ref="P847" si="328">(C847+(E847*F847*H847))-N847</f>
        <v>0</v>
      </c>
      <c r="Q847" s="7" t="s">
        <v>150</v>
      </c>
      <c r="R847" s="8">
        <f t="shared" si="324"/>
        <v>0</v>
      </c>
      <c r="S847" s="8">
        <f t="shared" ref="S847" si="329">P847*(J847-(J847*L847)-((J847-(J847*L847))*M847))</f>
        <v>0</v>
      </c>
    </row>
    <row r="848" spans="1:19" x14ac:dyDescent="0.2">
      <c r="A848" s="1" t="s">
        <v>787</v>
      </c>
      <c r="B848" s="2" t="s">
        <v>17</v>
      </c>
      <c r="D848" s="4" t="s">
        <v>150</v>
      </c>
      <c r="F848" s="6">
        <v>12</v>
      </c>
      <c r="G848" s="7" t="s">
        <v>32</v>
      </c>
      <c r="H848" s="6">
        <v>6</v>
      </c>
      <c r="I848" s="7" t="s">
        <v>150</v>
      </c>
      <c r="J848" s="8">
        <v>16800</v>
      </c>
      <c r="K848" s="4" t="s">
        <v>150</v>
      </c>
      <c r="L848" s="9">
        <v>0.125</v>
      </c>
      <c r="M848" s="9">
        <v>0.05</v>
      </c>
      <c r="O848" s="7" t="s">
        <v>150</v>
      </c>
      <c r="P848" s="3">
        <f t="shared" si="326"/>
        <v>0</v>
      </c>
      <c r="Q848" s="7" t="s">
        <v>150</v>
      </c>
      <c r="R848" s="8">
        <f t="shared" si="324"/>
        <v>0</v>
      </c>
      <c r="S848" s="8">
        <f t="shared" si="327"/>
        <v>0</v>
      </c>
    </row>
    <row r="849" spans="1:19" x14ac:dyDescent="0.2">
      <c r="A849" s="1" t="s">
        <v>463</v>
      </c>
      <c r="B849" s="2" t="s">
        <v>17</v>
      </c>
      <c r="D849" s="4" t="s">
        <v>150</v>
      </c>
      <c r="F849" s="6">
        <v>12</v>
      </c>
      <c r="G849" s="7" t="s">
        <v>32</v>
      </c>
      <c r="H849" s="6">
        <v>12</v>
      </c>
      <c r="I849" s="7" t="s">
        <v>150</v>
      </c>
      <c r="J849" s="8">
        <v>11000</v>
      </c>
      <c r="K849" s="4" t="s">
        <v>150</v>
      </c>
      <c r="L849" s="9">
        <v>0.125</v>
      </c>
      <c r="M849" s="9">
        <v>0.05</v>
      </c>
      <c r="O849" s="7" t="s">
        <v>150</v>
      </c>
      <c r="P849" s="3">
        <f t="shared" si="326"/>
        <v>0</v>
      </c>
      <c r="Q849" s="7" t="s">
        <v>150</v>
      </c>
      <c r="R849" s="8">
        <f t="shared" si="324"/>
        <v>0</v>
      </c>
      <c r="S849" s="8">
        <f t="shared" si="327"/>
        <v>0</v>
      </c>
    </row>
    <row r="850" spans="1:19" x14ac:dyDescent="0.2">
      <c r="A850" s="1" t="s">
        <v>464</v>
      </c>
      <c r="B850" s="2" t="s">
        <v>17</v>
      </c>
      <c r="D850" s="4" t="s">
        <v>150</v>
      </c>
      <c r="F850" s="6">
        <v>12</v>
      </c>
      <c r="G850" s="7" t="s">
        <v>32</v>
      </c>
      <c r="H850" s="6">
        <v>24</v>
      </c>
      <c r="I850" s="7" t="s">
        <v>150</v>
      </c>
      <c r="J850" s="8">
        <v>5400</v>
      </c>
      <c r="K850" s="4" t="s">
        <v>150</v>
      </c>
      <c r="L850" s="9">
        <v>0.125</v>
      </c>
      <c r="M850" s="9">
        <v>0.05</v>
      </c>
      <c r="O850" s="7" t="s">
        <v>150</v>
      </c>
      <c r="P850" s="3">
        <f t="shared" si="326"/>
        <v>0</v>
      </c>
      <c r="Q850" s="7" t="s">
        <v>150</v>
      </c>
      <c r="R850" s="8">
        <f t="shared" si="324"/>
        <v>0</v>
      </c>
      <c r="S850" s="8">
        <f t="shared" si="327"/>
        <v>0</v>
      </c>
    </row>
    <row r="851" spans="1:19" x14ac:dyDescent="0.2">
      <c r="A851" s="1" t="s">
        <v>981</v>
      </c>
      <c r="B851" s="2" t="s">
        <v>17</v>
      </c>
      <c r="D851" s="4" t="s">
        <v>150</v>
      </c>
      <c r="F851" s="6">
        <v>12</v>
      </c>
      <c r="G851" s="7" t="s">
        <v>32</v>
      </c>
      <c r="H851" s="6">
        <v>24</v>
      </c>
      <c r="I851" s="7" t="s">
        <v>150</v>
      </c>
      <c r="J851" s="8">
        <v>6700</v>
      </c>
      <c r="K851" s="4" t="s">
        <v>150</v>
      </c>
      <c r="L851" s="9">
        <v>0.125</v>
      </c>
      <c r="M851" s="9">
        <v>0.05</v>
      </c>
      <c r="O851" s="7" t="s">
        <v>150</v>
      </c>
      <c r="P851" s="3">
        <f t="shared" ref="P851" si="330">(C851+(E851*F851*H851))-N851</f>
        <v>0</v>
      </c>
      <c r="Q851" s="7" t="s">
        <v>150</v>
      </c>
      <c r="R851" s="8">
        <f t="shared" si="324"/>
        <v>0</v>
      </c>
      <c r="S851" s="8">
        <f t="shared" ref="S851" si="331">P851*(J851-(J851*L851)-((J851-(J851*L851))*M851))</f>
        <v>0</v>
      </c>
    </row>
    <row r="852" spans="1:19" x14ac:dyDescent="0.2">
      <c r="A852" s="1" t="s">
        <v>465</v>
      </c>
      <c r="B852" s="2" t="s">
        <v>17</v>
      </c>
      <c r="D852" s="4" t="s">
        <v>150</v>
      </c>
      <c r="F852" s="6">
        <v>12</v>
      </c>
      <c r="G852" s="7" t="s">
        <v>32</v>
      </c>
      <c r="H852" s="6">
        <v>12</v>
      </c>
      <c r="I852" s="7" t="s">
        <v>150</v>
      </c>
      <c r="J852" s="8">
        <v>16900</v>
      </c>
      <c r="K852" s="4" t="s">
        <v>150</v>
      </c>
      <c r="L852" s="9">
        <v>0.125</v>
      </c>
      <c r="M852" s="9">
        <v>0.05</v>
      </c>
      <c r="O852" s="7" t="s">
        <v>150</v>
      </c>
      <c r="P852" s="3">
        <f t="shared" si="326"/>
        <v>0</v>
      </c>
      <c r="Q852" s="7" t="s">
        <v>150</v>
      </c>
      <c r="R852" s="8">
        <f t="shared" si="324"/>
        <v>0</v>
      </c>
      <c r="S852" s="8">
        <f t="shared" si="327"/>
        <v>0</v>
      </c>
    </row>
    <row r="853" spans="1:19" x14ac:dyDescent="0.2">
      <c r="A853" s="1" t="s">
        <v>466</v>
      </c>
      <c r="B853" s="2" t="s">
        <v>17</v>
      </c>
      <c r="D853" s="4" t="s">
        <v>150</v>
      </c>
      <c r="F853" s="6">
        <v>12</v>
      </c>
      <c r="G853" s="7" t="s">
        <v>32</v>
      </c>
      <c r="H853" s="6">
        <v>6</v>
      </c>
      <c r="I853" s="7" t="s">
        <v>150</v>
      </c>
      <c r="J853" s="8">
        <v>33800</v>
      </c>
      <c r="K853" s="4" t="s">
        <v>150</v>
      </c>
      <c r="L853" s="9">
        <v>0.125</v>
      </c>
      <c r="M853" s="9">
        <v>0.05</v>
      </c>
      <c r="O853" s="7" t="s">
        <v>150</v>
      </c>
      <c r="P853" s="3">
        <f t="shared" si="326"/>
        <v>0</v>
      </c>
      <c r="Q853" s="7" t="s">
        <v>150</v>
      </c>
      <c r="R853" s="8">
        <f t="shared" si="324"/>
        <v>0</v>
      </c>
      <c r="S853" s="8">
        <f t="shared" si="327"/>
        <v>0</v>
      </c>
    </row>
    <row r="855" spans="1:19" x14ac:dyDescent="0.2">
      <c r="A855" s="1" t="s">
        <v>467</v>
      </c>
      <c r="B855" s="2" t="s">
        <v>24</v>
      </c>
      <c r="C855" s="3">
        <v>576</v>
      </c>
      <c r="D855" s="4" t="s">
        <v>39</v>
      </c>
      <c r="F855" s="6">
        <v>24</v>
      </c>
      <c r="G855" s="7" t="s">
        <v>32</v>
      </c>
      <c r="H855" s="6">
        <v>2</v>
      </c>
      <c r="I855" s="7" t="s">
        <v>39</v>
      </c>
      <c r="J855" s="8">
        <f>3801600/24/2</f>
        <v>79200</v>
      </c>
      <c r="K855" s="4" t="s">
        <v>39</v>
      </c>
      <c r="L855" s="9">
        <v>0.03</v>
      </c>
      <c r="M855" s="9">
        <v>0.17</v>
      </c>
      <c r="O855" s="7" t="s">
        <v>39</v>
      </c>
      <c r="P855" s="3">
        <f t="shared" ref="P855" si="332">(C855+(E855*F855*H855))-N855</f>
        <v>576</v>
      </c>
      <c r="Q855" s="7" t="s">
        <v>39</v>
      </c>
      <c r="R855" s="8">
        <f t="shared" ref="R855:R866" si="333">S855/1.11</f>
        <v>33088304.432432432</v>
      </c>
      <c r="S855" s="8">
        <f t="shared" ref="S855" si="334">P855*(J855-(J855*L855)-((J855-(J855*L855))*M855))</f>
        <v>36728017.920000002</v>
      </c>
    </row>
    <row r="856" spans="1:19" x14ac:dyDescent="0.2">
      <c r="A856" s="1" t="s">
        <v>468</v>
      </c>
      <c r="B856" s="2" t="s">
        <v>24</v>
      </c>
      <c r="C856" s="3">
        <v>2208</v>
      </c>
      <c r="D856" s="4" t="s">
        <v>39</v>
      </c>
      <c r="F856" s="6">
        <v>1</v>
      </c>
      <c r="G856" s="7" t="s">
        <v>19</v>
      </c>
      <c r="H856" s="6">
        <v>24</v>
      </c>
      <c r="I856" s="7" t="s">
        <v>39</v>
      </c>
      <c r="J856" s="8">
        <f>2980800/24</f>
        <v>124200</v>
      </c>
      <c r="K856" s="4" t="s">
        <v>39</v>
      </c>
      <c r="L856" s="9">
        <v>0.03</v>
      </c>
      <c r="M856" s="9">
        <v>0.17</v>
      </c>
      <c r="O856" s="7" t="s">
        <v>39</v>
      </c>
      <c r="P856" s="3">
        <f t="shared" ref="P856" si="335">(C856+(E856*F856*H856))-N856</f>
        <v>2208</v>
      </c>
      <c r="Q856" s="7" t="s">
        <v>39</v>
      </c>
      <c r="R856" s="8">
        <f t="shared" si="333"/>
        <v>198905830.05405402</v>
      </c>
      <c r="S856" s="8">
        <f t="shared" ref="S856" si="336">P856*(J856-(J856*L856)-((J856-(J856*L856))*M856))</f>
        <v>220785471.35999998</v>
      </c>
    </row>
    <row r="857" spans="1:19" x14ac:dyDescent="0.2">
      <c r="A857" s="1" t="s">
        <v>469</v>
      </c>
      <c r="B857" s="2" t="s">
        <v>24</v>
      </c>
      <c r="D857" s="4" t="s">
        <v>39</v>
      </c>
      <c r="F857" s="6">
        <v>1</v>
      </c>
      <c r="G857" s="7" t="s">
        <v>19</v>
      </c>
      <c r="H857" s="6">
        <v>12</v>
      </c>
      <c r="I857" s="7" t="s">
        <v>39</v>
      </c>
      <c r="J857" s="8">
        <f>2980800/12</f>
        <v>248400</v>
      </c>
      <c r="K857" s="4" t="s">
        <v>39</v>
      </c>
      <c r="M857" s="9">
        <v>0.17</v>
      </c>
      <c r="O857" s="7" t="s">
        <v>39</v>
      </c>
      <c r="P857" s="3">
        <f t="shared" ref="P857:P866" si="337">(C857+(E857*F857*H857))-N857</f>
        <v>0</v>
      </c>
      <c r="Q857" s="7" t="s">
        <v>39</v>
      </c>
      <c r="R857" s="8">
        <f t="shared" si="333"/>
        <v>0</v>
      </c>
      <c r="S857" s="8">
        <f t="shared" ref="S857:S866" si="338">P857*(J857-(J857*L857)-((J857-(J857*L857))*M857))</f>
        <v>0</v>
      </c>
    </row>
    <row r="858" spans="1:19" x14ac:dyDescent="0.2">
      <c r="A858" s="1" t="s">
        <v>663</v>
      </c>
      <c r="B858" s="2" t="s">
        <v>24</v>
      </c>
      <c r="D858" s="4" t="s">
        <v>150</v>
      </c>
      <c r="F858" s="6">
        <v>20</v>
      </c>
      <c r="G858" s="7" t="s">
        <v>32</v>
      </c>
      <c r="H858" s="6">
        <v>4</v>
      </c>
      <c r="I858" s="7" t="s">
        <v>150</v>
      </c>
      <c r="J858" s="8">
        <f>2640000/20/4</f>
        <v>33000</v>
      </c>
      <c r="K858" s="4" t="s">
        <v>150</v>
      </c>
      <c r="M858" s="9">
        <v>0.17</v>
      </c>
      <c r="O858" s="7" t="s">
        <v>150</v>
      </c>
      <c r="P858" s="3">
        <f t="shared" si="337"/>
        <v>0</v>
      </c>
      <c r="Q858" s="7" t="s">
        <v>150</v>
      </c>
      <c r="R858" s="8">
        <f t="shared" si="333"/>
        <v>0</v>
      </c>
      <c r="S858" s="8">
        <f t="shared" si="338"/>
        <v>0</v>
      </c>
    </row>
    <row r="859" spans="1:19" x14ac:dyDescent="0.2">
      <c r="A859" s="1" t="s">
        <v>470</v>
      </c>
      <c r="B859" s="2" t="s">
        <v>24</v>
      </c>
      <c r="D859" s="4" t="s">
        <v>39</v>
      </c>
      <c r="F859" s="6">
        <v>1</v>
      </c>
      <c r="G859" s="7" t="s">
        <v>19</v>
      </c>
      <c r="H859" s="6">
        <v>24</v>
      </c>
      <c r="I859" s="7" t="s">
        <v>39</v>
      </c>
      <c r="J859" s="8">
        <f>2448000/24</f>
        <v>102000</v>
      </c>
      <c r="K859" s="4" t="s">
        <v>39</v>
      </c>
      <c r="M859" s="9">
        <v>0.17</v>
      </c>
      <c r="O859" s="7" t="s">
        <v>39</v>
      </c>
      <c r="P859" s="3">
        <f t="shared" si="337"/>
        <v>0</v>
      </c>
      <c r="Q859" s="7" t="s">
        <v>39</v>
      </c>
      <c r="R859" s="8">
        <f t="shared" si="333"/>
        <v>0</v>
      </c>
      <c r="S859" s="8">
        <f t="shared" si="338"/>
        <v>0</v>
      </c>
    </row>
    <row r="860" spans="1:19" x14ac:dyDescent="0.2">
      <c r="A860" s="1" t="s">
        <v>471</v>
      </c>
      <c r="B860" s="2" t="s">
        <v>24</v>
      </c>
      <c r="D860" s="4" t="s">
        <v>39</v>
      </c>
      <c r="F860" s="6">
        <v>1</v>
      </c>
      <c r="G860" s="7" t="s">
        <v>19</v>
      </c>
      <c r="H860" s="6">
        <v>16</v>
      </c>
      <c r="I860" s="7" t="s">
        <v>39</v>
      </c>
      <c r="J860" s="8">
        <v>126000</v>
      </c>
      <c r="K860" s="4" t="s">
        <v>39</v>
      </c>
      <c r="M860" s="9">
        <v>0.17</v>
      </c>
      <c r="O860" s="7" t="s">
        <v>39</v>
      </c>
      <c r="P860" s="3">
        <f t="shared" ref="P860" si="339">(C860+(E860*F860*H860))-N860</f>
        <v>0</v>
      </c>
      <c r="Q860" s="7" t="s">
        <v>39</v>
      </c>
      <c r="R860" s="8">
        <f t="shared" si="333"/>
        <v>0</v>
      </c>
      <c r="S860" s="8">
        <f t="shared" ref="S860" si="340">P860*(J860-(J860*L860)-((J860-(J860*L860))*M860))</f>
        <v>0</v>
      </c>
    </row>
    <row r="861" spans="1:19" x14ac:dyDescent="0.2">
      <c r="A861" s="1" t="s">
        <v>666</v>
      </c>
      <c r="B861" s="2" t="s">
        <v>24</v>
      </c>
      <c r="D861" s="4" t="s">
        <v>150</v>
      </c>
      <c r="F861" s="6">
        <v>24</v>
      </c>
      <c r="G861" s="7" t="s">
        <v>32</v>
      </c>
      <c r="H861" s="6">
        <v>6</v>
      </c>
      <c r="I861" s="7" t="s">
        <v>150</v>
      </c>
      <c r="J861" s="8">
        <f>2448000/24/6</f>
        <v>17000</v>
      </c>
      <c r="K861" s="4" t="s">
        <v>150</v>
      </c>
      <c r="M861" s="9">
        <v>0.17</v>
      </c>
      <c r="O861" s="7" t="s">
        <v>150</v>
      </c>
      <c r="P861" s="3">
        <f t="shared" si="337"/>
        <v>0</v>
      </c>
      <c r="Q861" s="7" t="s">
        <v>150</v>
      </c>
      <c r="R861" s="8">
        <f t="shared" si="333"/>
        <v>0</v>
      </c>
      <c r="S861" s="8">
        <f t="shared" si="338"/>
        <v>0</v>
      </c>
    </row>
    <row r="862" spans="1:19" x14ac:dyDescent="0.2">
      <c r="A862" s="1" t="s">
        <v>472</v>
      </c>
      <c r="B862" s="2" t="s">
        <v>24</v>
      </c>
      <c r="D862" s="4" t="s">
        <v>150</v>
      </c>
      <c r="F862" s="6">
        <v>10</v>
      </c>
      <c r="G862" s="7" t="s">
        <v>39</v>
      </c>
      <c r="H862" s="6">
        <v>12</v>
      </c>
      <c r="I862" s="7" t="s">
        <v>150</v>
      </c>
      <c r="J862" s="8">
        <f>2040000/10/12</f>
        <v>17000</v>
      </c>
      <c r="K862" s="4" t="s">
        <v>150</v>
      </c>
      <c r="M862" s="9">
        <v>0.17</v>
      </c>
      <c r="O862" s="7" t="s">
        <v>150</v>
      </c>
      <c r="P862" s="3">
        <f t="shared" si="337"/>
        <v>0</v>
      </c>
      <c r="Q862" s="7" t="s">
        <v>150</v>
      </c>
      <c r="R862" s="8">
        <f t="shared" si="333"/>
        <v>0</v>
      </c>
      <c r="S862" s="8">
        <f t="shared" si="338"/>
        <v>0</v>
      </c>
    </row>
    <row r="863" spans="1:19" x14ac:dyDescent="0.2">
      <c r="A863" s="1" t="s">
        <v>473</v>
      </c>
      <c r="B863" s="2" t="s">
        <v>24</v>
      </c>
      <c r="D863" s="4" t="s">
        <v>150</v>
      </c>
      <c r="F863" s="6">
        <v>10</v>
      </c>
      <c r="G863" s="7" t="s">
        <v>32</v>
      </c>
      <c r="H863" s="6">
        <v>6</v>
      </c>
      <c r="I863" s="7" t="s">
        <v>150</v>
      </c>
      <c r="J863" s="8">
        <f>2040000/10/6</f>
        <v>34000</v>
      </c>
      <c r="K863" s="4" t="s">
        <v>150</v>
      </c>
      <c r="M863" s="9">
        <v>0.17</v>
      </c>
      <c r="O863" s="7" t="s">
        <v>150</v>
      </c>
      <c r="P863" s="3">
        <f t="shared" si="337"/>
        <v>0</v>
      </c>
      <c r="Q863" s="7" t="s">
        <v>150</v>
      </c>
      <c r="R863" s="8">
        <f t="shared" si="333"/>
        <v>0</v>
      </c>
      <c r="S863" s="8">
        <f t="shared" si="338"/>
        <v>0</v>
      </c>
    </row>
    <row r="864" spans="1:19" x14ac:dyDescent="0.2">
      <c r="A864" s="1" t="s">
        <v>474</v>
      </c>
      <c r="B864" s="2" t="s">
        <v>24</v>
      </c>
      <c r="D864" s="4" t="s">
        <v>150</v>
      </c>
      <c r="F864" s="6">
        <v>24</v>
      </c>
      <c r="G864" s="7" t="s">
        <v>39</v>
      </c>
      <c r="H864" s="6">
        <v>12</v>
      </c>
      <c r="I864" s="7" t="s">
        <v>150</v>
      </c>
      <c r="J864" s="8">
        <f>3571200/24/12</f>
        <v>12400</v>
      </c>
      <c r="K864" s="4" t="s">
        <v>150</v>
      </c>
      <c r="M864" s="9">
        <v>0.17</v>
      </c>
      <c r="O864" s="7" t="s">
        <v>150</v>
      </c>
      <c r="P864" s="3">
        <f t="shared" si="337"/>
        <v>0</v>
      </c>
      <c r="Q864" s="7" t="s">
        <v>150</v>
      </c>
      <c r="R864" s="8">
        <f t="shared" si="333"/>
        <v>0</v>
      </c>
      <c r="S864" s="8">
        <f t="shared" si="338"/>
        <v>0</v>
      </c>
    </row>
    <row r="865" spans="1:19" x14ac:dyDescent="0.2">
      <c r="A865" s="1" t="s">
        <v>475</v>
      </c>
      <c r="B865" s="2" t="s">
        <v>24</v>
      </c>
      <c r="D865" s="4" t="s">
        <v>150</v>
      </c>
      <c r="F865" s="6">
        <v>16</v>
      </c>
      <c r="G865" s="7" t="s">
        <v>39</v>
      </c>
      <c r="H865" s="6">
        <v>12</v>
      </c>
      <c r="I865" s="7" t="s">
        <v>150</v>
      </c>
      <c r="J865" s="8">
        <f>3648000/16/12</f>
        <v>19000</v>
      </c>
      <c r="K865" s="4" t="s">
        <v>150</v>
      </c>
      <c r="M865" s="9">
        <v>0.17</v>
      </c>
      <c r="O865" s="7" t="s">
        <v>150</v>
      </c>
      <c r="P865" s="3">
        <f t="shared" si="337"/>
        <v>0</v>
      </c>
      <c r="Q865" s="7" t="s">
        <v>150</v>
      </c>
      <c r="R865" s="8">
        <f t="shared" si="333"/>
        <v>0</v>
      </c>
      <c r="S865" s="8">
        <f t="shared" si="338"/>
        <v>0</v>
      </c>
    </row>
    <row r="866" spans="1:19" x14ac:dyDescent="0.2">
      <c r="A866" s="1" t="s">
        <v>476</v>
      </c>
      <c r="B866" s="2" t="s">
        <v>24</v>
      </c>
      <c r="D866" s="4" t="s">
        <v>150</v>
      </c>
      <c r="F866" s="6">
        <v>24</v>
      </c>
      <c r="G866" s="7" t="s">
        <v>32</v>
      </c>
      <c r="H866" s="6">
        <v>6</v>
      </c>
      <c r="I866" s="7" t="s">
        <v>150</v>
      </c>
      <c r="J866" s="8">
        <v>22000</v>
      </c>
      <c r="K866" s="4" t="s">
        <v>150</v>
      </c>
      <c r="M866" s="9">
        <v>0.17</v>
      </c>
      <c r="O866" s="7" t="s">
        <v>150</v>
      </c>
      <c r="P866" s="3">
        <f t="shared" si="337"/>
        <v>0</v>
      </c>
      <c r="Q866" s="7" t="s">
        <v>150</v>
      </c>
      <c r="R866" s="8">
        <f t="shared" si="333"/>
        <v>0</v>
      </c>
      <c r="S866" s="8">
        <f t="shared" si="338"/>
        <v>0</v>
      </c>
    </row>
    <row r="868" spans="1:19" x14ac:dyDescent="0.2">
      <c r="A868" s="1" t="s">
        <v>851</v>
      </c>
      <c r="B868" s="2" t="s">
        <v>258</v>
      </c>
      <c r="D868" s="4" t="s">
        <v>150</v>
      </c>
      <c r="F868" s="6">
        <v>1</v>
      </c>
      <c r="G868" s="7" t="s">
        <v>19</v>
      </c>
      <c r="H868" s="6">
        <v>144</v>
      </c>
      <c r="I868" s="7" t="s">
        <v>150</v>
      </c>
      <c r="J868" s="8">
        <v>18500</v>
      </c>
      <c r="K868" s="4" t="s">
        <v>150</v>
      </c>
      <c r="O868" s="7" t="s">
        <v>150</v>
      </c>
      <c r="P868" s="3">
        <f t="shared" ref="P868" si="341">(C868+(E868*F868*H868))-N868</f>
        <v>0</v>
      </c>
      <c r="Q868" s="7" t="s">
        <v>150</v>
      </c>
      <c r="R868" s="8">
        <f t="shared" ref="R868:R876" si="342">S868/1.11</f>
        <v>0</v>
      </c>
      <c r="S868" s="8">
        <f t="shared" ref="S868" si="343">P868*(J868-(J868*L868)-((J868-(J868*L868))*M868))</f>
        <v>0</v>
      </c>
    </row>
    <row r="869" spans="1:19" x14ac:dyDescent="0.2">
      <c r="A869" s="1" t="s">
        <v>852</v>
      </c>
      <c r="B869" s="2" t="s">
        <v>258</v>
      </c>
      <c r="D869" s="4" t="s">
        <v>150</v>
      </c>
      <c r="F869" s="6">
        <v>1</v>
      </c>
      <c r="G869" s="7" t="s">
        <v>19</v>
      </c>
      <c r="H869" s="6">
        <v>240</v>
      </c>
      <c r="I869" s="7" t="s">
        <v>150</v>
      </c>
      <c r="J869" s="8">
        <v>8800</v>
      </c>
      <c r="K869" s="4" t="s">
        <v>150</v>
      </c>
      <c r="O869" s="7" t="s">
        <v>150</v>
      </c>
      <c r="P869" s="3">
        <f t="shared" ref="P869:P871" si="344">(C869+(E869*F869*H869))-N869</f>
        <v>0</v>
      </c>
      <c r="Q869" s="7" t="s">
        <v>150</v>
      </c>
      <c r="R869" s="8">
        <f t="shared" si="342"/>
        <v>0</v>
      </c>
      <c r="S869" s="8">
        <f t="shared" ref="S869:S871" si="345">P869*(J869-(J869*L869)-((J869-(J869*L869))*M869))</f>
        <v>0</v>
      </c>
    </row>
    <row r="870" spans="1:19" x14ac:dyDescent="0.2">
      <c r="A870" s="1" t="s">
        <v>853</v>
      </c>
      <c r="B870" s="2" t="s">
        <v>258</v>
      </c>
      <c r="D870" s="4" t="s">
        <v>150</v>
      </c>
      <c r="F870" s="6">
        <v>1</v>
      </c>
      <c r="G870" s="7" t="s">
        <v>19</v>
      </c>
      <c r="H870" s="6">
        <v>288</v>
      </c>
      <c r="I870" s="7" t="s">
        <v>150</v>
      </c>
      <c r="J870" s="8">
        <v>10800</v>
      </c>
      <c r="K870" s="4" t="s">
        <v>150</v>
      </c>
      <c r="O870" s="7" t="s">
        <v>150</v>
      </c>
      <c r="P870" s="3">
        <f t="shared" si="344"/>
        <v>0</v>
      </c>
      <c r="Q870" s="7" t="s">
        <v>150</v>
      </c>
      <c r="R870" s="8">
        <f t="shared" si="342"/>
        <v>0</v>
      </c>
      <c r="S870" s="8">
        <f t="shared" si="345"/>
        <v>0</v>
      </c>
    </row>
    <row r="871" spans="1:19" x14ac:dyDescent="0.2">
      <c r="A871" s="1" t="s">
        <v>952</v>
      </c>
      <c r="B871" s="2" t="s">
        <v>258</v>
      </c>
      <c r="D871" s="4" t="s">
        <v>150</v>
      </c>
      <c r="F871" s="6">
        <v>1</v>
      </c>
      <c r="G871" s="7" t="s">
        <v>19</v>
      </c>
      <c r="H871" s="6">
        <v>360</v>
      </c>
      <c r="I871" s="7" t="s">
        <v>890</v>
      </c>
      <c r="J871" s="8">
        <v>8100</v>
      </c>
      <c r="K871" s="4" t="s">
        <v>890</v>
      </c>
      <c r="O871" s="7" t="s">
        <v>890</v>
      </c>
      <c r="P871" s="3">
        <f t="shared" si="344"/>
        <v>0</v>
      </c>
      <c r="Q871" s="7" t="s">
        <v>890</v>
      </c>
      <c r="R871" s="8">
        <f t="shared" si="342"/>
        <v>0</v>
      </c>
      <c r="S871" s="8">
        <f t="shared" si="345"/>
        <v>0</v>
      </c>
    </row>
    <row r="872" spans="1:19" x14ac:dyDescent="0.2">
      <c r="A872" s="1" t="s">
        <v>953</v>
      </c>
      <c r="B872" s="2" t="s">
        <v>258</v>
      </c>
      <c r="D872" s="4" t="s">
        <v>150</v>
      </c>
      <c r="F872" s="6">
        <v>1</v>
      </c>
      <c r="G872" s="7" t="s">
        <v>19</v>
      </c>
      <c r="H872" s="6">
        <v>360</v>
      </c>
      <c r="I872" s="7" t="s">
        <v>890</v>
      </c>
      <c r="J872" s="8">
        <v>7700</v>
      </c>
      <c r="K872" s="4" t="s">
        <v>890</v>
      </c>
      <c r="O872" s="7" t="s">
        <v>890</v>
      </c>
      <c r="P872" s="3">
        <f t="shared" ref="P872:P876" si="346">(C872+(E872*F872*H872))-N872</f>
        <v>0</v>
      </c>
      <c r="Q872" s="7" t="s">
        <v>890</v>
      </c>
      <c r="R872" s="8">
        <f t="shared" si="342"/>
        <v>0</v>
      </c>
      <c r="S872" s="8">
        <f t="shared" ref="S872:S876" si="347">P872*(J872-(J872*L872)-((J872-(J872*L872))*M872))</f>
        <v>0</v>
      </c>
    </row>
    <row r="873" spans="1:19" x14ac:dyDescent="0.2">
      <c r="A873" s="1" t="s">
        <v>954</v>
      </c>
      <c r="B873" s="2" t="s">
        <v>258</v>
      </c>
      <c r="D873" s="4" t="s">
        <v>150</v>
      </c>
      <c r="F873" s="6">
        <v>1</v>
      </c>
      <c r="G873" s="7" t="s">
        <v>19</v>
      </c>
      <c r="H873" s="6">
        <v>360</v>
      </c>
      <c r="I873" s="7" t="s">
        <v>890</v>
      </c>
      <c r="J873" s="8">
        <v>7700</v>
      </c>
      <c r="K873" s="4" t="s">
        <v>890</v>
      </c>
      <c r="O873" s="7" t="s">
        <v>890</v>
      </c>
      <c r="P873" s="3">
        <f t="shared" si="346"/>
        <v>0</v>
      </c>
      <c r="Q873" s="7" t="s">
        <v>890</v>
      </c>
      <c r="R873" s="8">
        <f t="shared" si="342"/>
        <v>0</v>
      </c>
      <c r="S873" s="8">
        <f t="shared" si="347"/>
        <v>0</v>
      </c>
    </row>
    <row r="874" spans="1:19" x14ac:dyDescent="0.2">
      <c r="A874" s="1" t="s">
        <v>955</v>
      </c>
      <c r="B874" s="2" t="s">
        <v>258</v>
      </c>
      <c r="D874" s="4" t="s">
        <v>150</v>
      </c>
      <c r="F874" s="6">
        <v>1</v>
      </c>
      <c r="G874" s="7" t="s">
        <v>19</v>
      </c>
      <c r="H874" s="6">
        <v>360</v>
      </c>
      <c r="I874" s="7" t="s">
        <v>890</v>
      </c>
      <c r="J874" s="8">
        <v>7700</v>
      </c>
      <c r="K874" s="4" t="s">
        <v>890</v>
      </c>
      <c r="O874" s="7" t="s">
        <v>890</v>
      </c>
      <c r="P874" s="3">
        <f t="shared" si="346"/>
        <v>0</v>
      </c>
      <c r="Q874" s="7" t="s">
        <v>890</v>
      </c>
      <c r="R874" s="8">
        <f t="shared" si="342"/>
        <v>0</v>
      </c>
      <c r="S874" s="8">
        <f t="shared" si="347"/>
        <v>0</v>
      </c>
    </row>
    <row r="875" spans="1:19" x14ac:dyDescent="0.2">
      <c r="A875" s="1" t="s">
        <v>956</v>
      </c>
      <c r="B875" s="2" t="s">
        <v>258</v>
      </c>
      <c r="D875" s="4" t="s">
        <v>150</v>
      </c>
      <c r="F875" s="6">
        <v>1</v>
      </c>
      <c r="G875" s="7" t="s">
        <v>19</v>
      </c>
      <c r="H875" s="6">
        <v>360</v>
      </c>
      <c r="I875" s="7" t="s">
        <v>890</v>
      </c>
      <c r="J875" s="8">
        <v>7700</v>
      </c>
      <c r="K875" s="4" t="s">
        <v>890</v>
      </c>
      <c r="O875" s="7" t="s">
        <v>890</v>
      </c>
      <c r="P875" s="3">
        <f t="shared" si="346"/>
        <v>0</v>
      </c>
      <c r="Q875" s="7" t="s">
        <v>890</v>
      </c>
      <c r="R875" s="8">
        <f t="shared" si="342"/>
        <v>0</v>
      </c>
      <c r="S875" s="8">
        <f t="shared" si="347"/>
        <v>0</v>
      </c>
    </row>
    <row r="876" spans="1:19" x14ac:dyDescent="0.2">
      <c r="A876" s="1" t="s">
        <v>957</v>
      </c>
      <c r="B876" s="2" t="s">
        <v>258</v>
      </c>
      <c r="D876" s="4" t="s">
        <v>150</v>
      </c>
      <c r="F876" s="6">
        <v>1</v>
      </c>
      <c r="G876" s="7" t="s">
        <v>19</v>
      </c>
      <c r="H876" s="6">
        <v>360</v>
      </c>
      <c r="I876" s="7" t="s">
        <v>890</v>
      </c>
      <c r="J876" s="8">
        <v>7700</v>
      </c>
      <c r="K876" s="4" t="s">
        <v>890</v>
      </c>
      <c r="O876" s="7" t="s">
        <v>890</v>
      </c>
      <c r="P876" s="3">
        <f t="shared" si="346"/>
        <v>0</v>
      </c>
      <c r="Q876" s="7" t="s">
        <v>890</v>
      </c>
      <c r="R876" s="8">
        <f t="shared" si="342"/>
        <v>0</v>
      </c>
      <c r="S876" s="8">
        <f t="shared" si="347"/>
        <v>0</v>
      </c>
    </row>
    <row r="878" spans="1:19" x14ac:dyDescent="0.2">
      <c r="A878" s="1" t="s">
        <v>928</v>
      </c>
      <c r="B878" s="2" t="s">
        <v>170</v>
      </c>
      <c r="D878" s="4" t="s">
        <v>150</v>
      </c>
      <c r="F878" s="6">
        <v>1</v>
      </c>
      <c r="G878" s="7" t="s">
        <v>19</v>
      </c>
      <c r="H878" s="6">
        <v>240</v>
      </c>
      <c r="I878" s="7" t="s">
        <v>150</v>
      </c>
      <c r="J878" s="8">
        <v>4850</v>
      </c>
      <c r="K878" s="4" t="s">
        <v>150</v>
      </c>
      <c r="M878" s="9">
        <v>7.0000000000000007E-2</v>
      </c>
      <c r="O878" s="7" t="s">
        <v>150</v>
      </c>
      <c r="P878" s="3">
        <f t="shared" ref="P878" si="348">(C878+(E878*F878*H878))-N878</f>
        <v>0</v>
      </c>
      <c r="Q878" s="7" t="s">
        <v>150</v>
      </c>
      <c r="R878" s="8">
        <f>S878/1.11</f>
        <v>0</v>
      </c>
      <c r="S878" s="8">
        <f t="shared" ref="S878" si="349">P878*(J878-(J878*L878)-((J878-(J878*L878))*M878))</f>
        <v>0</v>
      </c>
    </row>
    <row r="880" spans="1:19" x14ac:dyDescent="0.2">
      <c r="A880" s="24" t="s">
        <v>477</v>
      </c>
    </row>
    <row r="881" spans="1:19" x14ac:dyDescent="0.2">
      <c r="A881" s="1" t="s">
        <v>478</v>
      </c>
      <c r="B881" s="2" t="s">
        <v>17</v>
      </c>
      <c r="D881" s="4" t="s">
        <v>18</v>
      </c>
      <c r="F881" s="6">
        <v>12</v>
      </c>
      <c r="G881" s="7" t="s">
        <v>32</v>
      </c>
      <c r="H881" s="6">
        <v>24</v>
      </c>
      <c r="I881" s="7" t="s">
        <v>18</v>
      </c>
      <c r="J881" s="8">
        <v>3550</v>
      </c>
      <c r="K881" s="4" t="s">
        <v>18</v>
      </c>
      <c r="L881" s="9">
        <v>0.125</v>
      </c>
      <c r="M881" s="9">
        <v>0.05</v>
      </c>
      <c r="O881" s="7" t="s">
        <v>18</v>
      </c>
      <c r="P881" s="3">
        <f t="shared" ref="P881:P884" si="350">(C881+(E881*F881*H881))-N881</f>
        <v>0</v>
      </c>
      <c r="Q881" s="7" t="s">
        <v>18</v>
      </c>
      <c r="R881" s="8">
        <f>S881/1.11</f>
        <v>0</v>
      </c>
      <c r="S881" s="8">
        <f t="shared" ref="S881:S884" si="351">P881*(J881-(J881*L881)-((J881-(J881*L881))*M881))</f>
        <v>0</v>
      </c>
    </row>
    <row r="882" spans="1:19" x14ac:dyDescent="0.2">
      <c r="A882" s="1" t="s">
        <v>479</v>
      </c>
      <c r="B882" s="2" t="s">
        <v>17</v>
      </c>
      <c r="D882" s="4" t="s">
        <v>18</v>
      </c>
      <c r="F882" s="6">
        <v>1</v>
      </c>
      <c r="G882" s="7" t="s">
        <v>19</v>
      </c>
      <c r="H882" s="6">
        <v>288</v>
      </c>
      <c r="I882" s="7" t="s">
        <v>18</v>
      </c>
      <c r="J882" s="8">
        <v>4000</v>
      </c>
      <c r="K882" s="4" t="s">
        <v>18</v>
      </c>
      <c r="L882" s="9">
        <v>0.125</v>
      </c>
      <c r="M882" s="9">
        <v>0.05</v>
      </c>
      <c r="O882" s="7" t="s">
        <v>18</v>
      </c>
      <c r="P882" s="3">
        <f t="shared" si="350"/>
        <v>0</v>
      </c>
      <c r="Q882" s="7" t="s">
        <v>18</v>
      </c>
      <c r="R882" s="8">
        <f>S882/1.11</f>
        <v>0</v>
      </c>
      <c r="S882" s="8">
        <f t="shared" si="351"/>
        <v>0</v>
      </c>
    </row>
    <row r="883" spans="1:19" x14ac:dyDescent="0.2">
      <c r="A883" s="1" t="s">
        <v>480</v>
      </c>
      <c r="B883" s="2" t="s">
        <v>17</v>
      </c>
      <c r="D883" s="4" t="s">
        <v>18</v>
      </c>
      <c r="F883" s="6">
        <v>1</v>
      </c>
      <c r="G883" s="7" t="s">
        <v>19</v>
      </c>
      <c r="H883" s="6">
        <v>288</v>
      </c>
      <c r="I883" s="7" t="s">
        <v>18</v>
      </c>
      <c r="J883" s="8">
        <v>4800</v>
      </c>
      <c r="K883" s="4" t="s">
        <v>18</v>
      </c>
      <c r="L883" s="9">
        <v>0.125</v>
      </c>
      <c r="M883" s="9">
        <v>0.05</v>
      </c>
      <c r="O883" s="7" t="s">
        <v>18</v>
      </c>
      <c r="P883" s="3">
        <f t="shared" si="350"/>
        <v>0</v>
      </c>
      <c r="Q883" s="7" t="s">
        <v>18</v>
      </c>
      <c r="R883" s="8">
        <f>S883/1.11</f>
        <v>0</v>
      </c>
      <c r="S883" s="8">
        <f t="shared" si="351"/>
        <v>0</v>
      </c>
    </row>
    <row r="884" spans="1:19" x14ac:dyDescent="0.2">
      <c r="A884" s="1" t="s">
        <v>886</v>
      </c>
      <c r="B884" s="2" t="s">
        <v>17</v>
      </c>
      <c r="D884" s="4" t="s">
        <v>18</v>
      </c>
      <c r="F884" s="6">
        <v>1</v>
      </c>
      <c r="G884" s="7" t="s">
        <v>19</v>
      </c>
      <c r="H884" s="6">
        <v>288</v>
      </c>
      <c r="I884" s="7" t="s">
        <v>18</v>
      </c>
      <c r="J884" s="8">
        <v>4800</v>
      </c>
      <c r="K884" s="4" t="s">
        <v>18</v>
      </c>
      <c r="L884" s="9">
        <v>0.125</v>
      </c>
      <c r="M884" s="9">
        <v>0.05</v>
      </c>
      <c r="O884" s="7" t="s">
        <v>18</v>
      </c>
      <c r="P884" s="3">
        <f t="shared" si="350"/>
        <v>0</v>
      </c>
      <c r="Q884" s="7" t="s">
        <v>18</v>
      </c>
      <c r="R884" s="8">
        <f>S884/1.11</f>
        <v>0</v>
      </c>
      <c r="S884" s="8">
        <f t="shared" si="351"/>
        <v>0</v>
      </c>
    </row>
    <row r="886" spans="1:19" x14ac:dyDescent="0.2">
      <c r="A886" s="1" t="s">
        <v>481</v>
      </c>
      <c r="B886" s="2" t="s">
        <v>24</v>
      </c>
      <c r="D886" s="4" t="s">
        <v>39</v>
      </c>
      <c r="F886" s="6">
        <v>1</v>
      </c>
      <c r="G886" s="7" t="s">
        <v>19</v>
      </c>
      <c r="H886" s="6">
        <v>24</v>
      </c>
      <c r="I886" s="7" t="s">
        <v>39</v>
      </c>
      <c r="J886" s="8">
        <f>1497600/24</f>
        <v>62400</v>
      </c>
      <c r="K886" s="4" t="s">
        <v>39</v>
      </c>
      <c r="M886" s="9">
        <v>0.17</v>
      </c>
      <c r="O886" s="7" t="s">
        <v>39</v>
      </c>
      <c r="P886" s="3">
        <f>(C886+(E886*F886*H886))-N886</f>
        <v>0</v>
      </c>
      <c r="Q886" s="7" t="s">
        <v>39</v>
      </c>
      <c r="R886" s="8">
        <f>S886/1.11</f>
        <v>0</v>
      </c>
      <c r="S886" s="8">
        <f>P886*(J886-(J886*L886)-((J886-(J886*L886))*M886))</f>
        <v>0</v>
      </c>
    </row>
    <row r="888" spans="1:19" x14ac:dyDescent="0.2">
      <c r="A888" s="12" t="s">
        <v>482</v>
      </c>
      <c r="B888" s="2" t="s">
        <v>170</v>
      </c>
      <c r="D888" s="4" t="s">
        <v>18</v>
      </c>
      <c r="F888" s="6">
        <v>1</v>
      </c>
      <c r="G888" s="7" t="s">
        <v>19</v>
      </c>
      <c r="H888" s="6">
        <v>120</v>
      </c>
      <c r="I888" s="7" t="s">
        <v>18</v>
      </c>
      <c r="J888" s="8">
        <v>11500</v>
      </c>
      <c r="K888" s="4" t="s">
        <v>18</v>
      </c>
      <c r="O888" s="7" t="s">
        <v>18</v>
      </c>
      <c r="P888" s="3">
        <f t="shared" ref="P888:P890" si="352">(C888+(E888*F888*H888))-N888</f>
        <v>0</v>
      </c>
      <c r="Q888" s="7" t="s">
        <v>18</v>
      </c>
      <c r="R888" s="8">
        <f t="shared" ref="R888:R915" si="353">S888/1.11</f>
        <v>0</v>
      </c>
      <c r="S888" s="8">
        <f t="shared" ref="S888:S890" si="354">P888*(J888-(J888*L888)-((J888-(J888*L888))*M888))</f>
        <v>0</v>
      </c>
    </row>
    <row r="889" spans="1:19" x14ac:dyDescent="0.2">
      <c r="A889" s="12" t="s">
        <v>702</v>
      </c>
      <c r="B889" s="2" t="s">
        <v>170</v>
      </c>
      <c r="D889" s="4" t="s">
        <v>18</v>
      </c>
      <c r="F889" s="6">
        <v>1</v>
      </c>
      <c r="G889" s="7" t="s">
        <v>19</v>
      </c>
      <c r="H889" s="6">
        <v>100</v>
      </c>
      <c r="I889" s="7" t="s">
        <v>18</v>
      </c>
      <c r="J889" s="8">
        <v>13500</v>
      </c>
      <c r="K889" s="4" t="s">
        <v>18</v>
      </c>
      <c r="L889" s="9">
        <v>0.05</v>
      </c>
      <c r="O889" s="7" t="s">
        <v>18</v>
      </c>
      <c r="P889" s="3">
        <f t="shared" si="352"/>
        <v>0</v>
      </c>
      <c r="Q889" s="7" t="s">
        <v>18</v>
      </c>
      <c r="R889" s="8">
        <f t="shared" si="353"/>
        <v>0</v>
      </c>
      <c r="S889" s="8">
        <f t="shared" si="354"/>
        <v>0</v>
      </c>
    </row>
    <row r="890" spans="1:19" x14ac:dyDescent="0.2">
      <c r="A890" s="12" t="s">
        <v>483</v>
      </c>
      <c r="B890" s="2" t="s">
        <v>170</v>
      </c>
      <c r="D890" s="4" t="s">
        <v>18</v>
      </c>
      <c r="F890" s="6">
        <v>1</v>
      </c>
      <c r="G890" s="7" t="s">
        <v>19</v>
      </c>
      <c r="H890" s="6">
        <v>96</v>
      </c>
      <c r="I890" s="7" t="s">
        <v>18</v>
      </c>
      <c r="J890" s="8">
        <v>21000</v>
      </c>
      <c r="K890" s="4" t="s">
        <v>18</v>
      </c>
      <c r="O890" s="7" t="s">
        <v>18</v>
      </c>
      <c r="P890" s="3">
        <f t="shared" si="352"/>
        <v>0</v>
      </c>
      <c r="Q890" s="7" t="s">
        <v>18</v>
      </c>
      <c r="R890" s="8">
        <f t="shared" si="353"/>
        <v>0</v>
      </c>
      <c r="S890" s="8">
        <f t="shared" si="354"/>
        <v>0</v>
      </c>
    </row>
    <row r="891" spans="1:19" x14ac:dyDescent="0.2">
      <c r="A891" s="12" t="s">
        <v>917</v>
      </c>
      <c r="B891" s="2" t="s">
        <v>170</v>
      </c>
      <c r="C891" s="3">
        <v>6720</v>
      </c>
      <c r="D891" s="4" t="s">
        <v>18</v>
      </c>
      <c r="F891" s="6">
        <v>1</v>
      </c>
      <c r="G891" s="7" t="s">
        <v>19</v>
      </c>
      <c r="H891" s="6">
        <v>160</v>
      </c>
      <c r="I891" s="7" t="s">
        <v>18</v>
      </c>
      <c r="J891" s="8">
        <v>8500</v>
      </c>
      <c r="K891" s="4" t="s">
        <v>18</v>
      </c>
      <c r="L891" s="9">
        <v>7.0000000000000007E-2</v>
      </c>
      <c r="O891" s="7" t="s">
        <v>18</v>
      </c>
      <c r="P891" s="3">
        <f t="shared" ref="P891:P915" si="355">(C891+(E891*F891*H891))-N891</f>
        <v>6720</v>
      </c>
      <c r="Q891" s="7" t="s">
        <v>18</v>
      </c>
      <c r="R891" s="8">
        <f t="shared" si="353"/>
        <v>47857297.297297291</v>
      </c>
      <c r="S891" s="8">
        <f t="shared" ref="S891:S915" si="356">P891*(J891-(J891*L891)-((J891-(J891*L891))*M891))</f>
        <v>53121600</v>
      </c>
    </row>
    <row r="892" spans="1:19" x14ac:dyDescent="0.2">
      <c r="A892" s="12" t="s">
        <v>918</v>
      </c>
      <c r="B892" s="2" t="s">
        <v>170</v>
      </c>
      <c r="C892" s="3">
        <v>840</v>
      </c>
      <c r="D892" s="4" t="s">
        <v>18</v>
      </c>
      <c r="F892" s="6">
        <v>1</v>
      </c>
      <c r="G892" s="7" t="s">
        <v>19</v>
      </c>
      <c r="H892" s="6">
        <v>120</v>
      </c>
      <c r="I892" s="7" t="s">
        <v>18</v>
      </c>
      <c r="J892" s="8">
        <v>11500</v>
      </c>
      <c r="K892" s="4" t="s">
        <v>18</v>
      </c>
      <c r="L892" s="9">
        <v>7.0000000000000007E-2</v>
      </c>
      <c r="O892" s="7" t="s">
        <v>18</v>
      </c>
      <c r="P892" s="3">
        <f t="shared" si="355"/>
        <v>840</v>
      </c>
      <c r="Q892" s="7" t="s">
        <v>18</v>
      </c>
      <c r="R892" s="8">
        <f t="shared" si="353"/>
        <v>8093513.5135135129</v>
      </c>
      <c r="S892" s="8">
        <f t="shared" si="356"/>
        <v>8983800</v>
      </c>
    </row>
    <row r="893" spans="1:19" x14ac:dyDescent="0.2">
      <c r="A893" s="12" t="s">
        <v>919</v>
      </c>
      <c r="B893" s="2" t="s">
        <v>170</v>
      </c>
      <c r="C893" s="3">
        <v>3168</v>
      </c>
      <c r="D893" s="4" t="s">
        <v>18</v>
      </c>
      <c r="F893" s="6">
        <v>1</v>
      </c>
      <c r="G893" s="7" t="s">
        <v>19</v>
      </c>
      <c r="H893" s="6">
        <v>144</v>
      </c>
      <c r="I893" s="7" t="s">
        <v>18</v>
      </c>
      <c r="J893" s="8">
        <v>9250</v>
      </c>
      <c r="K893" s="4" t="s">
        <v>18</v>
      </c>
      <c r="L893" s="9">
        <v>7.0000000000000007E-2</v>
      </c>
      <c r="O893" s="7" t="s">
        <v>18</v>
      </c>
      <c r="P893" s="3">
        <f t="shared" si="355"/>
        <v>3168</v>
      </c>
      <c r="Q893" s="7" t="s">
        <v>18</v>
      </c>
      <c r="R893" s="8">
        <f t="shared" si="353"/>
        <v>24551999.999999996</v>
      </c>
      <c r="S893" s="8">
        <f t="shared" si="356"/>
        <v>27252720</v>
      </c>
    </row>
    <row r="894" spans="1:19" x14ac:dyDescent="0.2">
      <c r="A894" s="16" t="s">
        <v>920</v>
      </c>
      <c r="B894" s="2" t="s">
        <v>170</v>
      </c>
      <c r="C894" s="3">
        <v>2560</v>
      </c>
      <c r="D894" s="4" t="s">
        <v>18</v>
      </c>
      <c r="F894" s="6">
        <v>1</v>
      </c>
      <c r="G894" s="7" t="s">
        <v>19</v>
      </c>
      <c r="H894" s="6">
        <v>160</v>
      </c>
      <c r="I894" s="7" t="s">
        <v>18</v>
      </c>
      <c r="J894" s="8">
        <v>9250</v>
      </c>
      <c r="K894" s="4" t="s">
        <v>18</v>
      </c>
      <c r="L894" s="9">
        <v>7.0000000000000007E-2</v>
      </c>
      <c r="O894" s="7" t="s">
        <v>18</v>
      </c>
      <c r="P894" s="3">
        <f t="shared" si="355"/>
        <v>2560</v>
      </c>
      <c r="Q894" s="7" t="s">
        <v>18</v>
      </c>
      <c r="R894" s="8">
        <f t="shared" si="353"/>
        <v>19840000</v>
      </c>
      <c r="S894" s="8">
        <f t="shared" si="356"/>
        <v>22022400</v>
      </c>
    </row>
    <row r="895" spans="1:19" x14ac:dyDescent="0.2">
      <c r="A895" s="16" t="s">
        <v>810</v>
      </c>
      <c r="B895" s="2" t="s">
        <v>170</v>
      </c>
      <c r="D895" s="4" t="s">
        <v>18</v>
      </c>
      <c r="F895" s="6">
        <v>1</v>
      </c>
      <c r="G895" s="7" t="s">
        <v>19</v>
      </c>
      <c r="H895" s="6">
        <v>160</v>
      </c>
      <c r="I895" s="7" t="s">
        <v>18</v>
      </c>
      <c r="J895" s="8">
        <v>9500</v>
      </c>
      <c r="K895" s="4" t="s">
        <v>18</v>
      </c>
      <c r="L895" s="9">
        <v>0.05</v>
      </c>
      <c r="O895" s="7" t="s">
        <v>18</v>
      </c>
      <c r="P895" s="3">
        <f t="shared" si="355"/>
        <v>0</v>
      </c>
      <c r="Q895" s="7" t="s">
        <v>18</v>
      </c>
      <c r="R895" s="8">
        <f t="shared" si="353"/>
        <v>0</v>
      </c>
      <c r="S895" s="8">
        <f t="shared" si="356"/>
        <v>0</v>
      </c>
    </row>
    <row r="896" spans="1:19" x14ac:dyDescent="0.2">
      <c r="A896" s="16" t="s">
        <v>807</v>
      </c>
      <c r="B896" s="2" t="s">
        <v>170</v>
      </c>
      <c r="C896" s="3">
        <v>3264</v>
      </c>
      <c r="D896" s="4" t="s">
        <v>18</v>
      </c>
      <c r="F896" s="6">
        <v>1</v>
      </c>
      <c r="G896" s="7" t="s">
        <v>19</v>
      </c>
      <c r="H896" s="6">
        <v>192</v>
      </c>
      <c r="I896" s="7" t="s">
        <v>18</v>
      </c>
      <c r="J896" s="8">
        <v>9250</v>
      </c>
      <c r="K896" s="4" t="s">
        <v>18</v>
      </c>
      <c r="L896" s="9">
        <v>7.0000000000000007E-2</v>
      </c>
      <c r="O896" s="7" t="s">
        <v>18</v>
      </c>
      <c r="P896" s="3">
        <f t="shared" si="355"/>
        <v>3264</v>
      </c>
      <c r="Q896" s="7" t="s">
        <v>18</v>
      </c>
      <c r="R896" s="8">
        <f t="shared" si="353"/>
        <v>25295999.999999996</v>
      </c>
      <c r="S896" s="8">
        <f t="shared" si="356"/>
        <v>28078560</v>
      </c>
    </row>
    <row r="897" spans="1:19" x14ac:dyDescent="0.2">
      <c r="A897" s="16" t="s">
        <v>949</v>
      </c>
      <c r="B897" s="2" t="s">
        <v>170</v>
      </c>
      <c r="C897" s="3">
        <v>3840</v>
      </c>
      <c r="D897" s="4" t="s">
        <v>18</v>
      </c>
      <c r="F897" s="6">
        <v>1</v>
      </c>
      <c r="G897" s="7" t="s">
        <v>19</v>
      </c>
      <c r="H897" s="6">
        <v>192</v>
      </c>
      <c r="I897" s="7" t="s">
        <v>18</v>
      </c>
      <c r="J897" s="8">
        <v>9250</v>
      </c>
      <c r="K897" s="4" t="s">
        <v>18</v>
      </c>
      <c r="L897" s="9">
        <v>7.0000000000000007E-2</v>
      </c>
      <c r="O897" s="7" t="s">
        <v>18</v>
      </c>
      <c r="P897" s="3">
        <f t="shared" si="355"/>
        <v>3840</v>
      </c>
      <c r="Q897" s="7" t="s">
        <v>18</v>
      </c>
      <c r="R897" s="8">
        <f t="shared" si="353"/>
        <v>29759999.999999996</v>
      </c>
      <c r="S897" s="8">
        <f t="shared" si="356"/>
        <v>33033600</v>
      </c>
    </row>
    <row r="898" spans="1:19" x14ac:dyDescent="0.2">
      <c r="A898" s="16" t="s">
        <v>858</v>
      </c>
      <c r="B898" s="2" t="s">
        <v>170</v>
      </c>
      <c r="C898" s="3">
        <v>3744</v>
      </c>
      <c r="D898" s="4" t="s">
        <v>18</v>
      </c>
      <c r="F898" s="6">
        <v>1</v>
      </c>
      <c r="G898" s="7" t="s">
        <v>19</v>
      </c>
      <c r="H898" s="6">
        <v>144</v>
      </c>
      <c r="I898" s="7" t="s">
        <v>18</v>
      </c>
      <c r="J898" s="8">
        <v>9250</v>
      </c>
      <c r="K898" s="4" t="s">
        <v>18</v>
      </c>
      <c r="L898" s="9">
        <v>7.0000000000000007E-2</v>
      </c>
      <c r="O898" s="7" t="s">
        <v>18</v>
      </c>
      <c r="P898" s="3">
        <f t="shared" si="355"/>
        <v>3744</v>
      </c>
      <c r="Q898" s="7" t="s">
        <v>18</v>
      </c>
      <c r="R898" s="8">
        <f t="shared" si="353"/>
        <v>29015999.999999996</v>
      </c>
      <c r="S898" s="8">
        <f t="shared" si="356"/>
        <v>32207760</v>
      </c>
    </row>
    <row r="899" spans="1:19" x14ac:dyDescent="0.2">
      <c r="A899" s="16" t="s">
        <v>859</v>
      </c>
      <c r="B899" s="2" t="s">
        <v>170</v>
      </c>
      <c r="C899" s="3">
        <v>2880</v>
      </c>
      <c r="D899" s="4" t="s">
        <v>18</v>
      </c>
      <c r="F899" s="6">
        <v>1</v>
      </c>
      <c r="G899" s="7" t="s">
        <v>19</v>
      </c>
      <c r="H899" s="6">
        <v>144</v>
      </c>
      <c r="I899" s="7" t="s">
        <v>18</v>
      </c>
      <c r="J899" s="8">
        <v>9250</v>
      </c>
      <c r="K899" s="4" t="s">
        <v>18</v>
      </c>
      <c r="L899" s="9">
        <v>7.0000000000000007E-2</v>
      </c>
      <c r="O899" s="7" t="s">
        <v>18</v>
      </c>
      <c r="P899" s="3">
        <f t="shared" si="355"/>
        <v>2880</v>
      </c>
      <c r="Q899" s="7" t="s">
        <v>18</v>
      </c>
      <c r="R899" s="8">
        <f t="shared" si="353"/>
        <v>22319999.999999996</v>
      </c>
      <c r="S899" s="8">
        <f t="shared" si="356"/>
        <v>24775200</v>
      </c>
    </row>
    <row r="900" spans="1:19" x14ac:dyDescent="0.2">
      <c r="A900" s="16" t="s">
        <v>891</v>
      </c>
      <c r="B900" s="2" t="s">
        <v>170</v>
      </c>
      <c r="D900" s="4" t="s">
        <v>18</v>
      </c>
      <c r="F900" s="6">
        <v>1</v>
      </c>
      <c r="G900" s="7" t="s">
        <v>19</v>
      </c>
      <c r="H900" s="6">
        <v>144</v>
      </c>
      <c r="I900" s="7" t="s">
        <v>18</v>
      </c>
      <c r="J900" s="8">
        <v>10000</v>
      </c>
      <c r="K900" s="4" t="s">
        <v>18</v>
      </c>
      <c r="L900" s="9">
        <v>0.05</v>
      </c>
      <c r="O900" s="7" t="s">
        <v>18</v>
      </c>
      <c r="P900" s="3">
        <f t="shared" si="355"/>
        <v>0</v>
      </c>
      <c r="Q900" s="7" t="s">
        <v>18</v>
      </c>
      <c r="R900" s="8">
        <f t="shared" si="353"/>
        <v>0</v>
      </c>
      <c r="S900" s="8">
        <f t="shared" si="356"/>
        <v>0</v>
      </c>
    </row>
    <row r="901" spans="1:19" x14ac:dyDescent="0.2">
      <c r="A901" s="16" t="s">
        <v>892</v>
      </c>
      <c r="B901" s="2" t="s">
        <v>170</v>
      </c>
      <c r="D901" s="4" t="s">
        <v>18</v>
      </c>
      <c r="F901" s="6">
        <v>1</v>
      </c>
      <c r="G901" s="7" t="s">
        <v>19</v>
      </c>
      <c r="H901" s="6">
        <v>144</v>
      </c>
      <c r="I901" s="7" t="s">
        <v>18</v>
      </c>
      <c r="J901" s="8">
        <v>10000</v>
      </c>
      <c r="K901" s="4" t="s">
        <v>18</v>
      </c>
      <c r="L901" s="9">
        <v>0.05</v>
      </c>
      <c r="O901" s="7" t="s">
        <v>18</v>
      </c>
      <c r="P901" s="3">
        <f t="shared" si="355"/>
        <v>0</v>
      </c>
      <c r="Q901" s="7" t="s">
        <v>18</v>
      </c>
      <c r="R901" s="8">
        <f t="shared" si="353"/>
        <v>0</v>
      </c>
      <c r="S901" s="8">
        <f t="shared" si="356"/>
        <v>0</v>
      </c>
    </row>
    <row r="902" spans="1:19" x14ac:dyDescent="0.2">
      <c r="A902" s="16" t="s">
        <v>893</v>
      </c>
      <c r="B902" s="2" t="s">
        <v>170</v>
      </c>
      <c r="C902" s="3">
        <v>864</v>
      </c>
      <c r="D902" s="4" t="s">
        <v>18</v>
      </c>
      <c r="F902" s="6">
        <v>1</v>
      </c>
      <c r="G902" s="7" t="s">
        <v>19</v>
      </c>
      <c r="H902" s="6">
        <v>144</v>
      </c>
      <c r="I902" s="7" t="s">
        <v>18</v>
      </c>
      <c r="J902" s="8">
        <v>10500</v>
      </c>
      <c r="K902" s="4" t="s">
        <v>18</v>
      </c>
      <c r="L902" s="9">
        <v>7.0000000000000007E-2</v>
      </c>
      <c r="O902" s="7" t="s">
        <v>18</v>
      </c>
      <c r="P902" s="3">
        <f t="shared" si="355"/>
        <v>864</v>
      </c>
      <c r="Q902" s="7" t="s">
        <v>18</v>
      </c>
      <c r="R902" s="8">
        <f t="shared" si="353"/>
        <v>7600864.8648648644</v>
      </c>
      <c r="S902" s="8">
        <f t="shared" si="356"/>
        <v>8436960</v>
      </c>
    </row>
    <row r="903" spans="1:19" x14ac:dyDescent="0.2">
      <c r="A903" s="16" t="s">
        <v>894</v>
      </c>
      <c r="B903" s="2" t="s">
        <v>170</v>
      </c>
      <c r="D903" s="4" t="s">
        <v>18</v>
      </c>
      <c r="F903" s="6">
        <v>1</v>
      </c>
      <c r="G903" s="7" t="s">
        <v>19</v>
      </c>
      <c r="H903" s="6">
        <v>144</v>
      </c>
      <c r="I903" s="7" t="s">
        <v>18</v>
      </c>
      <c r="J903" s="8">
        <v>10500</v>
      </c>
      <c r="K903" s="4" t="s">
        <v>18</v>
      </c>
      <c r="L903" s="9">
        <v>0.05</v>
      </c>
      <c r="O903" s="7" t="s">
        <v>18</v>
      </c>
      <c r="P903" s="3">
        <f t="shared" si="355"/>
        <v>0</v>
      </c>
      <c r="Q903" s="7" t="s">
        <v>18</v>
      </c>
      <c r="R903" s="8">
        <f t="shared" si="353"/>
        <v>0</v>
      </c>
      <c r="S903" s="8">
        <f t="shared" si="356"/>
        <v>0</v>
      </c>
    </row>
    <row r="904" spans="1:19" x14ac:dyDescent="0.2">
      <c r="A904" s="16" t="s">
        <v>950</v>
      </c>
      <c r="B904" s="2" t="s">
        <v>170</v>
      </c>
      <c r="C904" s="3">
        <v>1728</v>
      </c>
      <c r="D904" s="4" t="s">
        <v>18</v>
      </c>
      <c r="F904" s="6">
        <v>1</v>
      </c>
      <c r="G904" s="7" t="s">
        <v>19</v>
      </c>
      <c r="H904" s="6">
        <v>192</v>
      </c>
      <c r="I904" s="7" t="s">
        <v>18</v>
      </c>
      <c r="J904" s="8">
        <v>9250</v>
      </c>
      <c r="K904" s="4" t="s">
        <v>18</v>
      </c>
      <c r="L904" s="9">
        <v>7.0000000000000007E-2</v>
      </c>
      <c r="O904" s="7" t="s">
        <v>18</v>
      </c>
      <c r="P904" s="3">
        <f t="shared" si="355"/>
        <v>1728</v>
      </c>
      <c r="Q904" s="7" t="s">
        <v>18</v>
      </c>
      <c r="R904" s="8">
        <f t="shared" si="353"/>
        <v>13391999.999999998</v>
      </c>
      <c r="S904" s="8">
        <f t="shared" si="356"/>
        <v>14865120</v>
      </c>
    </row>
    <row r="905" spans="1:19" x14ac:dyDescent="0.2">
      <c r="A905" s="16" t="s">
        <v>673</v>
      </c>
      <c r="B905" s="2" t="s">
        <v>170</v>
      </c>
      <c r="D905" s="4" t="s">
        <v>18</v>
      </c>
      <c r="F905" s="6">
        <v>1</v>
      </c>
      <c r="G905" s="7" t="s">
        <v>19</v>
      </c>
      <c r="H905" s="6">
        <v>144</v>
      </c>
      <c r="I905" s="7" t="s">
        <v>18</v>
      </c>
      <c r="J905" s="8">
        <v>8750</v>
      </c>
      <c r="K905" s="4" t="s">
        <v>18</v>
      </c>
      <c r="O905" s="7" t="s">
        <v>18</v>
      </c>
      <c r="P905" s="3">
        <f t="shared" si="355"/>
        <v>0</v>
      </c>
      <c r="Q905" s="7" t="s">
        <v>18</v>
      </c>
      <c r="R905" s="8">
        <f t="shared" si="353"/>
        <v>0</v>
      </c>
      <c r="S905" s="8">
        <f t="shared" si="356"/>
        <v>0</v>
      </c>
    </row>
    <row r="906" spans="1:19" x14ac:dyDescent="0.2">
      <c r="A906" s="16" t="s">
        <v>674</v>
      </c>
      <c r="B906" s="2" t="s">
        <v>170</v>
      </c>
      <c r="D906" s="4" t="s">
        <v>18</v>
      </c>
      <c r="F906" s="6">
        <v>1</v>
      </c>
      <c r="G906" s="7" t="s">
        <v>19</v>
      </c>
      <c r="H906" s="6">
        <v>144</v>
      </c>
      <c r="I906" s="7" t="s">
        <v>18</v>
      </c>
      <c r="J906" s="8">
        <v>8750</v>
      </c>
      <c r="K906" s="4" t="s">
        <v>18</v>
      </c>
      <c r="O906" s="7" t="s">
        <v>18</v>
      </c>
      <c r="P906" s="3">
        <f t="shared" si="355"/>
        <v>0</v>
      </c>
      <c r="Q906" s="7" t="s">
        <v>18</v>
      </c>
      <c r="R906" s="8">
        <f t="shared" si="353"/>
        <v>0</v>
      </c>
      <c r="S906" s="8">
        <f t="shared" si="356"/>
        <v>0</v>
      </c>
    </row>
    <row r="907" spans="1:19" x14ac:dyDescent="0.2">
      <c r="A907" s="16" t="s">
        <v>675</v>
      </c>
      <c r="B907" s="2" t="s">
        <v>170</v>
      </c>
      <c r="D907" s="4" t="s">
        <v>18</v>
      </c>
      <c r="F907" s="6">
        <v>1</v>
      </c>
      <c r="G907" s="7" t="s">
        <v>19</v>
      </c>
      <c r="H907" s="6">
        <v>160</v>
      </c>
      <c r="I907" s="7" t="s">
        <v>18</v>
      </c>
      <c r="J907" s="8">
        <v>8750</v>
      </c>
      <c r="K907" s="4" t="s">
        <v>18</v>
      </c>
      <c r="O907" s="7" t="s">
        <v>18</v>
      </c>
      <c r="P907" s="3">
        <f t="shared" si="355"/>
        <v>0</v>
      </c>
      <c r="Q907" s="7" t="s">
        <v>18</v>
      </c>
      <c r="R907" s="8">
        <f t="shared" si="353"/>
        <v>0</v>
      </c>
      <c r="S907" s="8">
        <f t="shared" si="356"/>
        <v>0</v>
      </c>
    </row>
    <row r="908" spans="1:19" x14ac:dyDescent="0.2">
      <c r="A908" s="16" t="s">
        <v>921</v>
      </c>
      <c r="B908" s="2" t="s">
        <v>170</v>
      </c>
      <c r="D908" s="4" t="s">
        <v>18</v>
      </c>
      <c r="F908" s="6">
        <v>1</v>
      </c>
      <c r="G908" s="7" t="s">
        <v>19</v>
      </c>
      <c r="H908" s="6">
        <v>192</v>
      </c>
      <c r="I908" s="7" t="s">
        <v>18</v>
      </c>
      <c r="J908" s="8">
        <v>10000</v>
      </c>
      <c r="K908" s="4" t="s">
        <v>18</v>
      </c>
      <c r="L908" s="9">
        <v>7.0000000000000007E-2</v>
      </c>
      <c r="O908" s="7" t="s">
        <v>18</v>
      </c>
      <c r="P908" s="3">
        <f t="shared" si="355"/>
        <v>0</v>
      </c>
      <c r="Q908" s="7" t="s">
        <v>18</v>
      </c>
      <c r="R908" s="8">
        <f t="shared" si="353"/>
        <v>0</v>
      </c>
      <c r="S908" s="8">
        <f t="shared" si="356"/>
        <v>0</v>
      </c>
    </row>
    <row r="909" spans="1:19" x14ac:dyDescent="0.2">
      <c r="A909" s="16" t="s">
        <v>922</v>
      </c>
      <c r="B909" s="2" t="s">
        <v>170</v>
      </c>
      <c r="C909" s="3">
        <v>288</v>
      </c>
      <c r="D909" s="4" t="s">
        <v>18</v>
      </c>
      <c r="F909" s="6">
        <v>1</v>
      </c>
      <c r="G909" s="7" t="s">
        <v>19</v>
      </c>
      <c r="H909" s="6">
        <v>144</v>
      </c>
      <c r="I909" s="7" t="s">
        <v>18</v>
      </c>
      <c r="J909" s="8">
        <v>11500</v>
      </c>
      <c r="K909" s="4" t="s">
        <v>18</v>
      </c>
      <c r="L909" s="9">
        <v>7.0000000000000007E-2</v>
      </c>
      <c r="O909" s="7" t="s">
        <v>18</v>
      </c>
      <c r="P909" s="3">
        <f t="shared" si="355"/>
        <v>288</v>
      </c>
      <c r="Q909" s="7" t="s">
        <v>18</v>
      </c>
      <c r="R909" s="8">
        <f t="shared" si="353"/>
        <v>2774918.9189189188</v>
      </c>
      <c r="S909" s="8">
        <f t="shared" si="356"/>
        <v>3080160</v>
      </c>
    </row>
    <row r="910" spans="1:19" x14ac:dyDescent="0.2">
      <c r="A910" s="16" t="s">
        <v>923</v>
      </c>
      <c r="B910" s="2" t="s">
        <v>170</v>
      </c>
      <c r="C910" s="3">
        <v>3744</v>
      </c>
      <c r="D910" s="4" t="s">
        <v>18</v>
      </c>
      <c r="F910" s="6">
        <v>1</v>
      </c>
      <c r="G910" s="7" t="s">
        <v>19</v>
      </c>
      <c r="H910" s="6">
        <v>144</v>
      </c>
      <c r="I910" s="7" t="s">
        <v>18</v>
      </c>
      <c r="J910" s="8">
        <v>10500</v>
      </c>
      <c r="K910" s="4" t="s">
        <v>18</v>
      </c>
      <c r="L910" s="9">
        <v>7.0000000000000007E-2</v>
      </c>
      <c r="O910" s="7" t="s">
        <v>18</v>
      </c>
      <c r="P910" s="3">
        <f t="shared" si="355"/>
        <v>3744</v>
      </c>
      <c r="Q910" s="7" t="s">
        <v>18</v>
      </c>
      <c r="R910" s="8">
        <f t="shared" si="353"/>
        <v>32937081.081081077</v>
      </c>
      <c r="S910" s="8">
        <f t="shared" si="356"/>
        <v>36560160</v>
      </c>
    </row>
    <row r="911" spans="1:19" x14ac:dyDescent="0.2">
      <c r="A911" s="16" t="s">
        <v>924</v>
      </c>
      <c r="B911" s="2" t="s">
        <v>170</v>
      </c>
      <c r="C911" s="3">
        <v>288</v>
      </c>
      <c r="D911" s="4" t="s">
        <v>18</v>
      </c>
      <c r="F911" s="6">
        <v>1</v>
      </c>
      <c r="G911" s="7" t="s">
        <v>19</v>
      </c>
      <c r="H911" s="6">
        <v>144</v>
      </c>
      <c r="I911" s="7" t="s">
        <v>18</v>
      </c>
      <c r="J911" s="8">
        <v>11000</v>
      </c>
      <c r="K911" s="4" t="s">
        <v>18</v>
      </c>
      <c r="L911" s="9">
        <v>7.0000000000000007E-2</v>
      </c>
      <c r="O911" s="7" t="s">
        <v>18</v>
      </c>
      <c r="P911" s="3">
        <f t="shared" si="355"/>
        <v>288</v>
      </c>
      <c r="Q911" s="7" t="s">
        <v>18</v>
      </c>
      <c r="R911" s="8">
        <f t="shared" si="353"/>
        <v>2654270.2702702698</v>
      </c>
      <c r="S911" s="8">
        <f t="shared" si="356"/>
        <v>2946240</v>
      </c>
    </row>
    <row r="912" spans="1:19" x14ac:dyDescent="0.2">
      <c r="A912" s="16" t="s">
        <v>925</v>
      </c>
      <c r="B912" s="2" t="s">
        <v>170</v>
      </c>
      <c r="C912" s="3">
        <v>2736</v>
      </c>
      <c r="D912" s="4" t="s">
        <v>18</v>
      </c>
      <c r="F912" s="6">
        <v>1</v>
      </c>
      <c r="G912" s="7" t="s">
        <v>19</v>
      </c>
      <c r="H912" s="6">
        <v>144</v>
      </c>
      <c r="I912" s="7" t="s">
        <v>18</v>
      </c>
      <c r="J912" s="8">
        <v>11500</v>
      </c>
      <c r="K912" s="4" t="s">
        <v>18</v>
      </c>
      <c r="L912" s="9">
        <v>7.0000000000000007E-2</v>
      </c>
      <c r="O912" s="7" t="s">
        <v>18</v>
      </c>
      <c r="P912" s="3">
        <f t="shared" si="355"/>
        <v>2736</v>
      </c>
      <c r="Q912" s="7" t="s">
        <v>18</v>
      </c>
      <c r="R912" s="8">
        <f t="shared" si="353"/>
        <v>26361729.729729727</v>
      </c>
      <c r="S912" s="8">
        <f t="shared" si="356"/>
        <v>29261520</v>
      </c>
    </row>
    <row r="913" spans="1:19" x14ac:dyDescent="0.2">
      <c r="A913" s="16" t="s">
        <v>926</v>
      </c>
      <c r="B913" s="2" t="s">
        <v>170</v>
      </c>
      <c r="D913" s="4" t="s">
        <v>18</v>
      </c>
      <c r="F913" s="6">
        <v>1</v>
      </c>
      <c r="G913" s="7" t="s">
        <v>19</v>
      </c>
      <c r="H913" s="6">
        <v>144</v>
      </c>
      <c r="I913" s="7" t="s">
        <v>18</v>
      </c>
      <c r="J913" s="8">
        <v>11000</v>
      </c>
      <c r="K913" s="4" t="s">
        <v>18</v>
      </c>
      <c r="L913" s="9">
        <v>7.0000000000000007E-2</v>
      </c>
      <c r="O913" s="7" t="s">
        <v>18</v>
      </c>
      <c r="P913" s="3">
        <f t="shared" si="355"/>
        <v>0</v>
      </c>
      <c r="Q913" s="7" t="s">
        <v>18</v>
      </c>
      <c r="R913" s="8">
        <f t="shared" si="353"/>
        <v>0</v>
      </c>
      <c r="S913" s="8">
        <f t="shared" si="356"/>
        <v>0</v>
      </c>
    </row>
    <row r="914" spans="1:19" x14ac:dyDescent="0.2">
      <c r="A914" s="16" t="s">
        <v>951</v>
      </c>
      <c r="B914" s="2" t="s">
        <v>170</v>
      </c>
      <c r="C914" s="3">
        <v>4608</v>
      </c>
      <c r="D914" s="4" t="s">
        <v>18</v>
      </c>
      <c r="F914" s="6">
        <v>1</v>
      </c>
      <c r="G914" s="7" t="s">
        <v>19</v>
      </c>
      <c r="H914" s="6">
        <v>192</v>
      </c>
      <c r="I914" s="7" t="s">
        <v>18</v>
      </c>
      <c r="J914" s="8">
        <v>9500</v>
      </c>
      <c r="K914" s="4" t="s">
        <v>18</v>
      </c>
      <c r="L914" s="9">
        <v>7.0000000000000007E-2</v>
      </c>
      <c r="O914" s="7" t="s">
        <v>18</v>
      </c>
      <c r="P914" s="3">
        <f t="shared" si="355"/>
        <v>4608</v>
      </c>
      <c r="Q914" s="7" t="s">
        <v>18</v>
      </c>
      <c r="R914" s="8">
        <f t="shared" si="353"/>
        <v>36677189.189189188</v>
      </c>
      <c r="S914" s="8">
        <f t="shared" si="356"/>
        <v>40711680</v>
      </c>
    </row>
    <row r="915" spans="1:19" x14ac:dyDescent="0.2">
      <c r="A915" s="16" t="s">
        <v>934</v>
      </c>
      <c r="B915" s="2" t="s">
        <v>170</v>
      </c>
      <c r="C915" s="3">
        <v>7200</v>
      </c>
      <c r="D915" s="4" t="s">
        <v>18</v>
      </c>
      <c r="F915" s="6">
        <v>1</v>
      </c>
      <c r="G915" s="7" t="s">
        <v>19</v>
      </c>
      <c r="H915" s="6">
        <v>144</v>
      </c>
      <c r="I915" s="7" t="s">
        <v>18</v>
      </c>
      <c r="J915" s="8">
        <v>8500</v>
      </c>
      <c r="K915" s="4" t="s">
        <v>18</v>
      </c>
      <c r="L915" s="9">
        <v>7.0000000000000007E-2</v>
      </c>
      <c r="O915" s="7" t="s">
        <v>18</v>
      </c>
      <c r="P915" s="3">
        <f t="shared" si="355"/>
        <v>7200</v>
      </c>
      <c r="Q915" s="7" t="s">
        <v>18</v>
      </c>
      <c r="R915" s="8">
        <f t="shared" si="353"/>
        <v>51275675.675675668</v>
      </c>
      <c r="S915" s="8">
        <f t="shared" si="356"/>
        <v>56916000</v>
      </c>
    </row>
    <row r="916" spans="1:19" x14ac:dyDescent="0.2">
      <c r="A916" s="16"/>
    </row>
    <row r="917" spans="1:19" x14ac:dyDescent="0.2">
      <c r="A917" s="1" t="s">
        <v>669</v>
      </c>
      <c r="B917" s="2" t="s">
        <v>258</v>
      </c>
      <c r="D917" s="4" t="s">
        <v>18</v>
      </c>
      <c r="E917" s="19"/>
      <c r="F917" s="6">
        <v>1</v>
      </c>
      <c r="G917" s="7" t="s">
        <v>19</v>
      </c>
      <c r="H917" s="32">
        <v>480</v>
      </c>
      <c r="I917" s="7" t="s">
        <v>18</v>
      </c>
      <c r="J917" s="8">
        <v>26000</v>
      </c>
      <c r="K917" s="4" t="s">
        <v>18</v>
      </c>
      <c r="L917" s="33">
        <v>0.2</v>
      </c>
      <c r="O917" s="7" t="s">
        <v>18</v>
      </c>
      <c r="P917" s="3">
        <f>(C917+(E917*F917*H917))-N917</f>
        <v>0</v>
      </c>
      <c r="Q917" s="7" t="s">
        <v>18</v>
      </c>
      <c r="R917" s="8">
        <f>S917/1.11</f>
        <v>0</v>
      </c>
      <c r="S917" s="8">
        <f>P917*(J917-(J917*L917)-((J917-(J917*L917))*M917))</f>
        <v>0</v>
      </c>
    </row>
    <row r="918" spans="1:19" x14ac:dyDescent="0.2">
      <c r="A918" s="1" t="s">
        <v>671</v>
      </c>
      <c r="B918" s="2" t="s">
        <v>258</v>
      </c>
      <c r="D918" s="4" t="s">
        <v>18</v>
      </c>
      <c r="E918" s="19"/>
      <c r="F918" s="6">
        <v>1</v>
      </c>
      <c r="G918" s="7" t="s">
        <v>19</v>
      </c>
      <c r="H918" s="32">
        <v>480</v>
      </c>
      <c r="I918" s="7" t="s">
        <v>18</v>
      </c>
      <c r="J918" s="8">
        <v>20800</v>
      </c>
      <c r="K918" s="4" t="s">
        <v>18</v>
      </c>
      <c r="L918" s="33">
        <v>0.3</v>
      </c>
      <c r="O918" s="7" t="s">
        <v>18</v>
      </c>
      <c r="P918" s="3">
        <f>(C918+(E918*F918*H918))-N918</f>
        <v>0</v>
      </c>
      <c r="Q918" s="7" t="s">
        <v>18</v>
      </c>
      <c r="R918" s="8">
        <f>S918/1.11</f>
        <v>0</v>
      </c>
      <c r="S918" s="8">
        <f>P918*(J918-(J918*L918)-((J918-(J918*L918))*M918))</f>
        <v>0</v>
      </c>
    </row>
    <row r="919" spans="1:19" x14ac:dyDescent="0.2">
      <c r="A919" s="1" t="s">
        <v>667</v>
      </c>
      <c r="B919" s="2" t="s">
        <v>258</v>
      </c>
      <c r="C919" s="3">
        <v>960</v>
      </c>
      <c r="D919" s="4" t="s">
        <v>18</v>
      </c>
      <c r="E919" s="19"/>
      <c r="F919" s="6">
        <v>1</v>
      </c>
      <c r="G919" s="7" t="s">
        <v>19</v>
      </c>
      <c r="H919" s="32">
        <v>480</v>
      </c>
      <c r="I919" s="7" t="s">
        <v>18</v>
      </c>
      <c r="J919" s="8">
        <v>15000</v>
      </c>
      <c r="K919" s="4" t="s">
        <v>18</v>
      </c>
      <c r="L919" s="33">
        <v>0.2</v>
      </c>
      <c r="O919" s="7" t="s">
        <v>18</v>
      </c>
      <c r="P919" s="3">
        <f>(C919+(E919*F919*H919))-N919</f>
        <v>960</v>
      </c>
      <c r="Q919" s="7" t="s">
        <v>18</v>
      </c>
      <c r="R919" s="8">
        <f>S919/1.11</f>
        <v>10378378.378378378</v>
      </c>
      <c r="S919" s="8">
        <f>P919*(J919-(J919*L919)-((J919-(J919*L919))*M919))</f>
        <v>11520000</v>
      </c>
    </row>
    <row r="920" spans="1:19" x14ac:dyDescent="0.2">
      <c r="A920" s="1" t="s">
        <v>670</v>
      </c>
      <c r="B920" s="2" t="s">
        <v>258</v>
      </c>
      <c r="C920" s="3">
        <v>2400</v>
      </c>
      <c r="D920" s="4" t="s">
        <v>18</v>
      </c>
      <c r="E920" s="19"/>
      <c r="F920" s="6">
        <v>1</v>
      </c>
      <c r="G920" s="7" t="s">
        <v>19</v>
      </c>
      <c r="H920" s="32">
        <v>480</v>
      </c>
      <c r="I920" s="7" t="s">
        <v>18</v>
      </c>
      <c r="J920" s="8">
        <v>29900</v>
      </c>
      <c r="K920" s="4" t="s">
        <v>18</v>
      </c>
      <c r="L920" s="33">
        <v>0.25</v>
      </c>
      <c r="O920" s="7" t="s">
        <v>18</v>
      </c>
      <c r="P920" s="3">
        <f>(C920+(E920*F920*H920))-N920</f>
        <v>2400</v>
      </c>
      <c r="Q920" s="7" t="s">
        <v>18</v>
      </c>
      <c r="R920" s="8">
        <f>S920/1.11</f>
        <v>48486486.48648648</v>
      </c>
      <c r="S920" s="8">
        <f>P920*(J920-(J920*L920)-((J920-(J920*L920))*M920))</f>
        <v>53820000</v>
      </c>
    </row>
    <row r="921" spans="1:19" x14ac:dyDescent="0.2">
      <c r="A921" s="1" t="s">
        <v>668</v>
      </c>
      <c r="B921" s="2" t="s">
        <v>258</v>
      </c>
      <c r="D921" s="4" t="s">
        <v>18</v>
      </c>
      <c r="E921" s="19"/>
      <c r="F921" s="6">
        <v>1</v>
      </c>
      <c r="G921" s="7" t="s">
        <v>19</v>
      </c>
      <c r="H921" s="32">
        <v>384</v>
      </c>
      <c r="I921" s="7" t="s">
        <v>18</v>
      </c>
      <c r="J921" s="8">
        <v>16000</v>
      </c>
      <c r="K921" s="4" t="s">
        <v>18</v>
      </c>
      <c r="L921" s="33">
        <v>0.25</v>
      </c>
      <c r="O921" s="7" t="s">
        <v>18</v>
      </c>
      <c r="P921" s="3">
        <f>(C921+(E921*F921*H921))-N921</f>
        <v>0</v>
      </c>
      <c r="Q921" s="7" t="s">
        <v>18</v>
      </c>
      <c r="R921" s="8">
        <f>S921/1.11</f>
        <v>0</v>
      </c>
      <c r="S921" s="8">
        <f>P921*(J921-(J921*L921)-((J921-(J921*L921))*M921))</f>
        <v>0</v>
      </c>
    </row>
    <row r="923" spans="1:19" x14ac:dyDescent="0.2">
      <c r="A923" s="24" t="s">
        <v>484</v>
      </c>
    </row>
    <row r="924" spans="1:19" x14ac:dyDescent="0.2">
      <c r="A924" s="24" t="s">
        <v>485</v>
      </c>
    </row>
    <row r="925" spans="1:19" x14ac:dyDescent="0.2">
      <c r="A925" s="1" t="s">
        <v>749</v>
      </c>
      <c r="B925" s="2" t="s">
        <v>17</v>
      </c>
      <c r="C925" s="3">
        <v>48</v>
      </c>
      <c r="D925" s="4" t="s">
        <v>32</v>
      </c>
      <c r="F925" s="6">
        <v>1</v>
      </c>
      <c r="G925" s="7" t="s">
        <v>19</v>
      </c>
      <c r="H925" s="6">
        <v>48</v>
      </c>
      <c r="I925" s="7" t="s">
        <v>32</v>
      </c>
      <c r="J925" s="8">
        <v>31200</v>
      </c>
      <c r="K925" s="4" t="s">
        <v>32</v>
      </c>
      <c r="L925" s="9">
        <v>0.125</v>
      </c>
      <c r="M925" s="9">
        <v>0.05</v>
      </c>
      <c r="O925" s="7" t="s">
        <v>32</v>
      </c>
      <c r="P925" s="3">
        <f>(C925+(E925*F925*H925))-N925</f>
        <v>48</v>
      </c>
      <c r="Q925" s="7" t="s">
        <v>32</v>
      </c>
      <c r="R925" s="8">
        <f>S925/1.11</f>
        <v>1121513.5135135134</v>
      </c>
      <c r="S925" s="8">
        <f>P925*(J925-(J925*L925)-((J925-(J925*L925))*M925))</f>
        <v>1244880</v>
      </c>
    </row>
    <row r="927" spans="1:19" x14ac:dyDescent="0.2">
      <c r="A927" s="11" t="s">
        <v>750</v>
      </c>
      <c r="B927" s="2" t="s">
        <v>24</v>
      </c>
      <c r="D927" s="4" t="s">
        <v>39</v>
      </c>
      <c r="F927" s="6">
        <v>1</v>
      </c>
      <c r="G927" s="7" t="s">
        <v>19</v>
      </c>
      <c r="H927" s="6">
        <v>48</v>
      </c>
      <c r="I927" s="7" t="s">
        <v>39</v>
      </c>
      <c r="J927" s="8">
        <f>1584000/48</f>
        <v>33000</v>
      </c>
      <c r="K927" s="4" t="s">
        <v>39</v>
      </c>
      <c r="M927" s="9">
        <v>0.17</v>
      </c>
      <c r="O927" s="7" t="s">
        <v>39</v>
      </c>
      <c r="P927" s="3">
        <f>(C927+(E927*F927*H927))-N927</f>
        <v>0</v>
      </c>
      <c r="Q927" s="7" t="s">
        <v>39</v>
      </c>
      <c r="R927" s="8">
        <f>S927/1.11</f>
        <v>0</v>
      </c>
      <c r="S927" s="8">
        <f>P927*(J927-(J927*L927)-((J927-(J927*L927))*M927))</f>
        <v>0</v>
      </c>
    </row>
    <row r="928" spans="1:19" x14ac:dyDescent="0.2">
      <c r="A928" s="11"/>
    </row>
    <row r="929" spans="1:19" x14ac:dyDescent="0.2">
      <c r="A929" s="11" t="s">
        <v>994</v>
      </c>
      <c r="B929" s="2" t="s">
        <v>17</v>
      </c>
      <c r="D929" s="4" t="s">
        <v>32</v>
      </c>
      <c r="F929" s="6">
        <v>1</v>
      </c>
      <c r="G929" s="7" t="s">
        <v>19</v>
      </c>
      <c r="H929" s="6">
        <v>100</v>
      </c>
      <c r="I929" s="7" t="s">
        <v>32</v>
      </c>
      <c r="J929" s="8">
        <v>22000</v>
      </c>
      <c r="K929" s="4" t="s">
        <v>32</v>
      </c>
      <c r="L929" s="9">
        <v>0.125</v>
      </c>
      <c r="M929" s="9">
        <v>0.05</v>
      </c>
      <c r="O929" s="7" t="s">
        <v>32</v>
      </c>
      <c r="P929" s="3">
        <f>(C929+(E929*F929*H929))-N929</f>
        <v>0</v>
      </c>
      <c r="Q929" s="7" t="s">
        <v>32</v>
      </c>
      <c r="R929" s="8">
        <f>S929/1.11</f>
        <v>0</v>
      </c>
      <c r="S929" s="8">
        <f>P929*(J929-(J929*L929)-((J929-(J929*L929))*M929))</f>
        <v>0</v>
      </c>
    </row>
    <row r="931" spans="1:19" x14ac:dyDescent="0.2">
      <c r="A931" s="24" t="s">
        <v>486</v>
      </c>
    </row>
    <row r="932" spans="1:19" x14ac:dyDescent="0.2">
      <c r="A932" s="1" t="s">
        <v>647</v>
      </c>
      <c r="B932" s="2" t="s">
        <v>17</v>
      </c>
      <c r="D932" s="4" t="s">
        <v>18</v>
      </c>
      <c r="F932" s="6">
        <v>10</v>
      </c>
      <c r="G932" s="7" t="s">
        <v>32</v>
      </c>
      <c r="H932" s="6">
        <v>12</v>
      </c>
      <c r="I932" s="7" t="s">
        <v>18</v>
      </c>
      <c r="J932" s="8">
        <v>11600</v>
      </c>
      <c r="K932" s="4" t="s">
        <v>18</v>
      </c>
      <c r="L932" s="9">
        <v>0.125</v>
      </c>
      <c r="M932" s="9">
        <v>0.05</v>
      </c>
      <c r="O932" s="7" t="s">
        <v>18</v>
      </c>
      <c r="P932" s="3">
        <f t="shared" ref="P932" si="357">(C932+(E932*F932*H932))-N932</f>
        <v>0</v>
      </c>
      <c r="Q932" s="7" t="s">
        <v>18</v>
      </c>
      <c r="R932" s="8">
        <f t="shared" ref="R932:R937" si="358">S932/1.11</f>
        <v>0</v>
      </c>
      <c r="S932" s="8">
        <f t="shared" ref="S932" si="359">P932*(J932-(J932*L932)-((J932-(J932*L932))*M932))</f>
        <v>0</v>
      </c>
    </row>
    <row r="933" spans="1:19" x14ac:dyDescent="0.2">
      <c r="A933" s="1" t="s">
        <v>648</v>
      </c>
      <c r="B933" s="2" t="s">
        <v>17</v>
      </c>
      <c r="D933" s="4" t="s">
        <v>18</v>
      </c>
      <c r="F933" s="6">
        <v>10</v>
      </c>
      <c r="G933" s="7" t="s">
        <v>32</v>
      </c>
      <c r="H933" s="6">
        <v>12</v>
      </c>
      <c r="I933" s="7" t="s">
        <v>18</v>
      </c>
      <c r="J933" s="8">
        <v>12400</v>
      </c>
      <c r="K933" s="4" t="s">
        <v>18</v>
      </c>
      <c r="L933" s="9">
        <v>0.125</v>
      </c>
      <c r="M933" s="9">
        <v>0.05</v>
      </c>
      <c r="O933" s="7" t="s">
        <v>18</v>
      </c>
      <c r="P933" s="3">
        <f t="shared" ref="P933:P937" si="360">(C933+(E933*F933*H933))-N933</f>
        <v>0</v>
      </c>
      <c r="Q933" s="7" t="s">
        <v>18</v>
      </c>
      <c r="R933" s="8">
        <f t="shared" si="358"/>
        <v>0</v>
      </c>
      <c r="S933" s="8">
        <f t="shared" ref="S933:S937" si="361">P933*(J933-(J933*L933)-((J933-(J933*L933))*M933))</f>
        <v>0</v>
      </c>
    </row>
    <row r="934" spans="1:19" x14ac:dyDescent="0.2">
      <c r="A934" s="1" t="s">
        <v>487</v>
      </c>
      <c r="B934" s="2" t="s">
        <v>17</v>
      </c>
      <c r="D934" s="4" t="s">
        <v>18</v>
      </c>
      <c r="F934" s="6">
        <v>10</v>
      </c>
      <c r="G934" s="7" t="s">
        <v>32</v>
      </c>
      <c r="H934" s="6">
        <v>12</v>
      </c>
      <c r="I934" s="7" t="s">
        <v>18</v>
      </c>
      <c r="J934" s="8">
        <v>12950</v>
      </c>
      <c r="K934" s="4" t="s">
        <v>18</v>
      </c>
      <c r="L934" s="9">
        <v>0.125</v>
      </c>
      <c r="M934" s="9">
        <v>0.05</v>
      </c>
      <c r="O934" s="7" t="s">
        <v>18</v>
      </c>
      <c r="P934" s="3">
        <f t="shared" si="360"/>
        <v>0</v>
      </c>
      <c r="Q934" s="7" t="s">
        <v>18</v>
      </c>
      <c r="R934" s="8">
        <f t="shared" si="358"/>
        <v>0</v>
      </c>
      <c r="S934" s="8">
        <f t="shared" si="361"/>
        <v>0</v>
      </c>
    </row>
    <row r="935" spans="1:19" x14ac:dyDescent="0.2">
      <c r="A935" s="1" t="s">
        <v>488</v>
      </c>
      <c r="B935" s="2" t="s">
        <v>17</v>
      </c>
      <c r="D935" s="4" t="s">
        <v>18</v>
      </c>
      <c r="F935" s="6">
        <v>5</v>
      </c>
      <c r="G935" s="7" t="s">
        <v>32</v>
      </c>
      <c r="H935" s="6">
        <v>12</v>
      </c>
      <c r="I935" s="7" t="s">
        <v>18</v>
      </c>
      <c r="J935" s="8">
        <v>29500</v>
      </c>
      <c r="K935" s="4" t="s">
        <v>18</v>
      </c>
      <c r="L935" s="9">
        <v>0.125</v>
      </c>
      <c r="M935" s="9">
        <v>0.05</v>
      </c>
      <c r="O935" s="7" t="s">
        <v>18</v>
      </c>
      <c r="P935" s="3">
        <f t="shared" ref="P935" si="362">(C935+(E935*F935*H935))-N935</f>
        <v>0</v>
      </c>
      <c r="Q935" s="7" t="s">
        <v>18</v>
      </c>
      <c r="R935" s="8">
        <f t="shared" si="358"/>
        <v>0</v>
      </c>
      <c r="S935" s="8">
        <f t="shared" ref="S935" si="363">P935*(J935-(J935*L935)-((J935-(J935*L935))*M935))</f>
        <v>0</v>
      </c>
    </row>
    <row r="936" spans="1:19" x14ac:dyDescent="0.2">
      <c r="A936" s="1" t="s">
        <v>489</v>
      </c>
      <c r="B936" s="2" t="s">
        <v>17</v>
      </c>
      <c r="D936" s="4" t="s">
        <v>18</v>
      </c>
      <c r="F936" s="6">
        <v>1</v>
      </c>
      <c r="G936" s="7" t="s">
        <v>19</v>
      </c>
      <c r="H936" s="6">
        <v>24</v>
      </c>
      <c r="I936" s="7" t="s">
        <v>18</v>
      </c>
      <c r="J936" s="8">
        <v>40000</v>
      </c>
      <c r="K936" s="4" t="s">
        <v>18</v>
      </c>
      <c r="L936" s="9">
        <v>0.125</v>
      </c>
      <c r="M936" s="9">
        <v>0.05</v>
      </c>
      <c r="O936" s="7" t="s">
        <v>18</v>
      </c>
      <c r="P936" s="3">
        <f t="shared" si="360"/>
        <v>0</v>
      </c>
      <c r="Q936" s="7" t="s">
        <v>18</v>
      </c>
      <c r="R936" s="8">
        <f t="shared" si="358"/>
        <v>0</v>
      </c>
      <c r="S936" s="8">
        <f t="shared" si="361"/>
        <v>0</v>
      </c>
    </row>
    <row r="937" spans="1:19" x14ac:dyDescent="0.2">
      <c r="A937" s="1" t="s">
        <v>490</v>
      </c>
      <c r="B937" s="2" t="s">
        <v>17</v>
      </c>
      <c r="D937" s="4" t="s">
        <v>18</v>
      </c>
      <c r="F937" s="6">
        <v>1</v>
      </c>
      <c r="G937" s="7" t="s">
        <v>19</v>
      </c>
      <c r="H937" s="6">
        <v>24</v>
      </c>
      <c r="I937" s="7" t="s">
        <v>18</v>
      </c>
      <c r="J937" s="8">
        <v>45500</v>
      </c>
      <c r="K937" s="4" t="s">
        <v>18</v>
      </c>
      <c r="L937" s="9">
        <v>0.125</v>
      </c>
      <c r="M937" s="9">
        <v>0.05</v>
      </c>
      <c r="O937" s="7" t="s">
        <v>18</v>
      </c>
      <c r="P937" s="3">
        <f t="shared" si="360"/>
        <v>0</v>
      </c>
      <c r="Q937" s="7" t="s">
        <v>18</v>
      </c>
      <c r="R937" s="8">
        <f t="shared" si="358"/>
        <v>0</v>
      </c>
      <c r="S937" s="8">
        <f t="shared" si="361"/>
        <v>0</v>
      </c>
    </row>
    <row r="939" spans="1:19" x14ac:dyDescent="0.2">
      <c r="A939" s="1" t="s">
        <v>491</v>
      </c>
      <c r="B939" s="2" t="s">
        <v>24</v>
      </c>
      <c r="D939" s="4" t="s">
        <v>18</v>
      </c>
      <c r="F939" s="6">
        <v>10</v>
      </c>
      <c r="G939" s="7" t="s">
        <v>39</v>
      </c>
      <c r="H939" s="6">
        <v>12</v>
      </c>
      <c r="I939" s="7" t="s">
        <v>18</v>
      </c>
      <c r="J939" s="8">
        <f>1500000/10/12</f>
        <v>12500</v>
      </c>
      <c r="K939" s="4" t="s">
        <v>18</v>
      </c>
      <c r="M939" s="9">
        <v>0.17</v>
      </c>
      <c r="O939" s="7" t="s">
        <v>18</v>
      </c>
      <c r="P939" s="3">
        <f t="shared" ref="P939:P947" si="364">(C939+(E939*F939*H939))-N939</f>
        <v>0</v>
      </c>
      <c r="Q939" s="7" t="s">
        <v>18</v>
      </c>
      <c r="R939" s="8">
        <f t="shared" ref="R939:R947" si="365">S939/1.11</f>
        <v>0</v>
      </c>
      <c r="S939" s="8">
        <f t="shared" ref="S939:S947" si="366">P939*(J939-(J939*L939)-((J939-(J939*L939))*M939))</f>
        <v>0</v>
      </c>
    </row>
    <row r="940" spans="1:19" x14ac:dyDescent="0.2">
      <c r="A940" s="1" t="s">
        <v>492</v>
      </c>
      <c r="B940" s="2" t="s">
        <v>24</v>
      </c>
      <c r="D940" s="4" t="s">
        <v>39</v>
      </c>
      <c r="F940" s="6">
        <v>1</v>
      </c>
      <c r="G940" s="7" t="s">
        <v>19</v>
      </c>
      <c r="H940" s="6">
        <v>10</v>
      </c>
      <c r="I940" s="7" t="s">
        <v>39</v>
      </c>
      <c r="J940" s="8">
        <f>1560000/10</f>
        <v>156000</v>
      </c>
      <c r="K940" s="4" t="s">
        <v>39</v>
      </c>
      <c r="M940" s="9">
        <v>0.17</v>
      </c>
      <c r="O940" s="7" t="s">
        <v>39</v>
      </c>
      <c r="P940" s="3">
        <f t="shared" si="364"/>
        <v>0</v>
      </c>
      <c r="Q940" s="7" t="s">
        <v>39</v>
      </c>
      <c r="R940" s="8">
        <f t="shared" si="365"/>
        <v>0</v>
      </c>
      <c r="S940" s="8">
        <f t="shared" si="366"/>
        <v>0</v>
      </c>
    </row>
    <row r="941" spans="1:19" x14ac:dyDescent="0.2">
      <c r="A941" s="1" t="s">
        <v>493</v>
      </c>
      <c r="B941" s="2" t="s">
        <v>24</v>
      </c>
      <c r="D941" s="4" t="s">
        <v>18</v>
      </c>
      <c r="F941" s="6">
        <v>10</v>
      </c>
      <c r="G941" s="7" t="s">
        <v>39</v>
      </c>
      <c r="H941" s="6">
        <v>12</v>
      </c>
      <c r="I941" s="7" t="s">
        <v>18</v>
      </c>
      <c r="J941" s="8">
        <f>13000</f>
        <v>13000</v>
      </c>
      <c r="K941" s="4" t="s">
        <v>18</v>
      </c>
      <c r="M941" s="9">
        <v>0.17</v>
      </c>
      <c r="O941" s="7" t="s">
        <v>18</v>
      </c>
      <c r="P941" s="3">
        <f t="shared" si="364"/>
        <v>0</v>
      </c>
      <c r="Q941" s="7" t="s">
        <v>18</v>
      </c>
      <c r="R941" s="8">
        <f t="shared" si="365"/>
        <v>0</v>
      </c>
      <c r="S941" s="8">
        <f t="shared" si="366"/>
        <v>0</v>
      </c>
    </row>
    <row r="942" spans="1:19" x14ac:dyDescent="0.2">
      <c r="A942" s="1" t="s">
        <v>494</v>
      </c>
      <c r="B942" s="2" t="s">
        <v>24</v>
      </c>
      <c r="D942" s="4" t="s">
        <v>39</v>
      </c>
      <c r="F942" s="6">
        <v>4</v>
      </c>
      <c r="G942" s="7" t="s">
        <v>32</v>
      </c>
      <c r="H942" s="6">
        <v>2</v>
      </c>
      <c r="I942" s="7" t="s">
        <v>39</v>
      </c>
      <c r="J942" s="8">
        <f>1440000/4/2</f>
        <v>180000</v>
      </c>
      <c r="K942" s="4" t="s">
        <v>39</v>
      </c>
      <c r="M942" s="9">
        <v>0.17</v>
      </c>
      <c r="O942" s="7" t="s">
        <v>39</v>
      </c>
      <c r="P942" s="3">
        <f t="shared" si="364"/>
        <v>0</v>
      </c>
      <c r="Q942" s="7" t="s">
        <v>39</v>
      </c>
      <c r="R942" s="8">
        <f t="shared" si="365"/>
        <v>0</v>
      </c>
      <c r="S942" s="8">
        <f t="shared" si="366"/>
        <v>0</v>
      </c>
    </row>
    <row r="943" spans="1:19" x14ac:dyDescent="0.2">
      <c r="A943" s="1" t="s">
        <v>495</v>
      </c>
      <c r="B943" s="2" t="s">
        <v>24</v>
      </c>
      <c r="D943" s="4" t="s">
        <v>39</v>
      </c>
      <c r="F943" s="6">
        <v>1</v>
      </c>
      <c r="G943" s="7" t="s">
        <v>19</v>
      </c>
      <c r="H943" s="6">
        <v>5</v>
      </c>
      <c r="I943" s="7" t="s">
        <v>39</v>
      </c>
      <c r="J943" s="8">
        <f>1410000/5</f>
        <v>282000</v>
      </c>
      <c r="K943" s="4" t="s">
        <v>18</v>
      </c>
      <c r="M943" s="9">
        <v>0.17</v>
      </c>
      <c r="O943" s="7" t="s">
        <v>39</v>
      </c>
      <c r="P943" s="3">
        <f t="shared" si="364"/>
        <v>0</v>
      </c>
      <c r="Q943" s="7" t="s">
        <v>39</v>
      </c>
      <c r="R943" s="8">
        <f t="shared" si="365"/>
        <v>0</v>
      </c>
      <c r="S943" s="8">
        <f t="shared" si="366"/>
        <v>0</v>
      </c>
    </row>
    <row r="944" spans="1:19" x14ac:dyDescent="0.2">
      <c r="A944" s="1" t="s">
        <v>496</v>
      </c>
      <c r="B944" s="2" t="s">
        <v>24</v>
      </c>
      <c r="C944" s="3">
        <v>4</v>
      </c>
      <c r="D944" s="4" t="s">
        <v>39</v>
      </c>
      <c r="F944" s="6">
        <v>1</v>
      </c>
      <c r="G944" s="7" t="s">
        <v>19</v>
      </c>
      <c r="H944" s="6">
        <v>4</v>
      </c>
      <c r="I944" s="7" t="s">
        <v>39</v>
      </c>
      <c r="J944" s="8">
        <v>384000</v>
      </c>
      <c r="K944" s="4" t="s">
        <v>39</v>
      </c>
      <c r="M944" s="9">
        <v>0.17</v>
      </c>
      <c r="O944" s="7" t="s">
        <v>39</v>
      </c>
      <c r="P944" s="3">
        <f t="shared" ref="P944" si="367">(C944+(E944*F944*H944))-N944</f>
        <v>4</v>
      </c>
      <c r="Q944" s="7" t="s">
        <v>39</v>
      </c>
      <c r="R944" s="8">
        <f t="shared" si="365"/>
        <v>1148540.5405405404</v>
      </c>
      <c r="S944" s="8">
        <f t="shared" ref="S944" si="368">P944*(J944-(J944*L944)-((J944-(J944*L944))*M944))</f>
        <v>1274880</v>
      </c>
    </row>
    <row r="945" spans="1:19" x14ac:dyDescent="0.2">
      <c r="A945" s="1" t="s">
        <v>497</v>
      </c>
      <c r="B945" s="2" t="s">
        <v>24</v>
      </c>
      <c r="D945" s="4" t="s">
        <v>18</v>
      </c>
      <c r="F945" s="6">
        <v>1</v>
      </c>
      <c r="G945" s="7" t="s">
        <v>19</v>
      </c>
      <c r="H945" s="6">
        <v>24</v>
      </c>
      <c r="I945" s="7" t="s">
        <v>18</v>
      </c>
      <c r="J945" s="8">
        <f>1164000/24</f>
        <v>48500</v>
      </c>
      <c r="K945" s="4" t="s">
        <v>18</v>
      </c>
      <c r="M945" s="9">
        <v>0.17</v>
      </c>
      <c r="O945" s="7" t="s">
        <v>18</v>
      </c>
      <c r="P945" s="3">
        <f t="shared" si="364"/>
        <v>0</v>
      </c>
      <c r="Q945" s="7" t="s">
        <v>18</v>
      </c>
      <c r="R945" s="8">
        <f t="shared" si="365"/>
        <v>0</v>
      </c>
      <c r="S945" s="8">
        <f t="shared" si="366"/>
        <v>0</v>
      </c>
    </row>
    <row r="946" spans="1:19" x14ac:dyDescent="0.2">
      <c r="A946" s="1" t="s">
        <v>498</v>
      </c>
      <c r="B946" s="2" t="s">
        <v>24</v>
      </c>
      <c r="D946" s="4" t="s">
        <v>18</v>
      </c>
      <c r="F946" s="6">
        <v>1</v>
      </c>
      <c r="G946" s="7" t="s">
        <v>19</v>
      </c>
      <c r="H946" s="6">
        <v>24</v>
      </c>
      <c r="I946" s="7" t="s">
        <v>18</v>
      </c>
      <c r="J946" s="8">
        <f>1020000/24</f>
        <v>42500</v>
      </c>
      <c r="K946" s="4" t="s">
        <v>18</v>
      </c>
      <c r="M946" s="9">
        <v>0.17</v>
      </c>
      <c r="O946" s="7" t="s">
        <v>18</v>
      </c>
      <c r="P946" s="3">
        <f t="shared" si="364"/>
        <v>0</v>
      </c>
      <c r="Q946" s="7" t="s">
        <v>18</v>
      </c>
      <c r="R946" s="8">
        <f t="shared" si="365"/>
        <v>0</v>
      </c>
      <c r="S946" s="8">
        <f t="shared" si="366"/>
        <v>0</v>
      </c>
    </row>
    <row r="947" spans="1:19" x14ac:dyDescent="0.2">
      <c r="A947" s="1" t="s">
        <v>499</v>
      </c>
      <c r="B947" s="2" t="s">
        <v>24</v>
      </c>
      <c r="D947" s="4" t="s">
        <v>18</v>
      </c>
      <c r="F947" s="6">
        <v>1</v>
      </c>
      <c r="G947" s="7" t="s">
        <v>19</v>
      </c>
      <c r="H947" s="6">
        <v>24</v>
      </c>
      <c r="I947" s="7" t="s">
        <v>18</v>
      </c>
      <c r="J947" s="8">
        <f>1416000/24</f>
        <v>59000</v>
      </c>
      <c r="K947" s="4" t="s">
        <v>18</v>
      </c>
      <c r="M947" s="9">
        <v>0.17</v>
      </c>
      <c r="O947" s="7" t="s">
        <v>18</v>
      </c>
      <c r="P947" s="3">
        <f t="shared" si="364"/>
        <v>0</v>
      </c>
      <c r="Q947" s="7" t="s">
        <v>18</v>
      </c>
      <c r="R947" s="8">
        <f t="shared" si="365"/>
        <v>0</v>
      </c>
      <c r="S947" s="8">
        <f t="shared" si="366"/>
        <v>0</v>
      </c>
    </row>
    <row r="949" spans="1:19" x14ac:dyDescent="0.2">
      <c r="A949" s="24" t="s">
        <v>960</v>
      </c>
    </row>
    <row r="950" spans="1:19" x14ac:dyDescent="0.2">
      <c r="A950" s="1" t="s">
        <v>961</v>
      </c>
      <c r="B950" s="2" t="s">
        <v>1016</v>
      </c>
      <c r="D950" s="4" t="s">
        <v>809</v>
      </c>
      <c r="F950" s="6">
        <v>1</v>
      </c>
      <c r="G950" s="7" t="s">
        <v>19</v>
      </c>
      <c r="H950" s="6">
        <v>180</v>
      </c>
      <c r="I950" s="7" t="s">
        <v>809</v>
      </c>
      <c r="J950" s="8">
        <v>7555</v>
      </c>
      <c r="K950" s="4" t="s">
        <v>809</v>
      </c>
      <c r="L950" s="9">
        <v>0.1</v>
      </c>
      <c r="M950" s="9">
        <v>0.1</v>
      </c>
      <c r="O950" s="7" t="s">
        <v>809</v>
      </c>
      <c r="P950" s="3">
        <f>(C950+(E950*F950*H950))-N950</f>
        <v>0</v>
      </c>
      <c r="Q950" s="7" t="s">
        <v>809</v>
      </c>
      <c r="R950" s="8">
        <f>S950/1.11</f>
        <v>0</v>
      </c>
      <c r="S950" s="8">
        <f>P950*(J950-(J950*L950)-((J950-(J950*L950))*M950))</f>
        <v>0</v>
      </c>
    </row>
    <row r="951" spans="1:19" x14ac:dyDescent="0.2">
      <c r="A951" s="1" t="s">
        <v>962</v>
      </c>
      <c r="B951" s="2" t="s">
        <v>1016</v>
      </c>
      <c r="D951" s="4" t="s">
        <v>809</v>
      </c>
      <c r="F951" s="6">
        <v>1</v>
      </c>
      <c r="G951" s="7" t="s">
        <v>19</v>
      </c>
      <c r="H951" s="6">
        <v>240</v>
      </c>
      <c r="I951" s="7" t="s">
        <v>809</v>
      </c>
      <c r="J951" s="8">
        <v>5485</v>
      </c>
      <c r="K951" s="4" t="s">
        <v>809</v>
      </c>
      <c r="L951" s="9">
        <v>0.1</v>
      </c>
      <c r="M951" s="9">
        <v>0.1</v>
      </c>
      <c r="O951" s="7" t="s">
        <v>809</v>
      </c>
      <c r="P951" s="3">
        <f>(C951+(E951*F951*H951))-N951</f>
        <v>0</v>
      </c>
      <c r="Q951" s="7" t="s">
        <v>809</v>
      </c>
      <c r="R951" s="8">
        <f>S951/1.11</f>
        <v>0</v>
      </c>
      <c r="S951" s="8">
        <f>P951*(J951-(J951*L951)-((J951-(J951*L951))*M951))</f>
        <v>0</v>
      </c>
    </row>
    <row r="953" spans="1:19" x14ac:dyDescent="0.2">
      <c r="A953" s="24" t="s">
        <v>511</v>
      </c>
    </row>
    <row r="954" spans="1:19" x14ac:dyDescent="0.2">
      <c r="A954" s="1" t="s">
        <v>512</v>
      </c>
      <c r="B954" s="2" t="s">
        <v>17</v>
      </c>
      <c r="D954" s="4" t="s">
        <v>18</v>
      </c>
      <c r="F954" s="6">
        <v>72</v>
      </c>
      <c r="G954" s="7" t="s">
        <v>32</v>
      </c>
      <c r="H954" s="6">
        <v>10</v>
      </c>
      <c r="I954" s="7" t="s">
        <v>18</v>
      </c>
      <c r="J954" s="8">
        <v>3700</v>
      </c>
      <c r="K954" s="4" t="s">
        <v>18</v>
      </c>
      <c r="L954" s="9">
        <v>0.125</v>
      </c>
      <c r="M954" s="9">
        <v>0.05</v>
      </c>
      <c r="O954" s="7" t="s">
        <v>18</v>
      </c>
      <c r="P954" s="3">
        <f>(C954+(E954*F954*H954))-N954</f>
        <v>0</v>
      </c>
      <c r="Q954" s="7" t="s">
        <v>18</v>
      </c>
      <c r="R954" s="8">
        <f>S954/1.11</f>
        <v>0</v>
      </c>
      <c r="S954" s="8">
        <f>P954*(J954-(J954*L954)-((J954-(J954*L954))*M954))</f>
        <v>0</v>
      </c>
    </row>
    <row r="955" spans="1:19" x14ac:dyDescent="0.2">
      <c r="A955" s="1" t="s">
        <v>948</v>
      </c>
      <c r="B955" s="2" t="s">
        <v>17</v>
      </c>
      <c r="D955" s="4" t="s">
        <v>18</v>
      </c>
      <c r="F955" s="6">
        <v>72</v>
      </c>
      <c r="G955" s="7" t="s">
        <v>32</v>
      </c>
      <c r="H955" s="6">
        <v>10</v>
      </c>
      <c r="I955" s="7" t="s">
        <v>18</v>
      </c>
      <c r="J955" s="8">
        <v>3700</v>
      </c>
      <c r="K955" s="4" t="s">
        <v>18</v>
      </c>
      <c r="L955" s="9">
        <v>0.125</v>
      </c>
      <c r="M955" s="9">
        <v>0.05</v>
      </c>
      <c r="O955" s="7" t="s">
        <v>18</v>
      </c>
      <c r="P955" s="3">
        <f>(C955+(E955*F955*H955))-N955</f>
        <v>0</v>
      </c>
      <c r="Q955" s="7" t="s">
        <v>18</v>
      </c>
      <c r="R955" s="8">
        <f>S955/1.11</f>
        <v>0</v>
      </c>
      <c r="S955" s="8">
        <f>P955*(J955-(J955*L955)-((J955-(J955*L955))*M955))</f>
        <v>0</v>
      </c>
    </row>
    <row r="956" spans="1:19" x14ac:dyDescent="0.2">
      <c r="A956" s="1" t="s">
        <v>513</v>
      </c>
      <c r="B956" s="2" t="s">
        <v>17</v>
      </c>
      <c r="D956" s="4" t="s">
        <v>150</v>
      </c>
      <c r="F956" s="6">
        <v>12</v>
      </c>
      <c r="G956" s="7" t="s">
        <v>32</v>
      </c>
      <c r="H956" s="6">
        <v>24</v>
      </c>
      <c r="I956" s="7" t="s">
        <v>150</v>
      </c>
      <c r="J956" s="8">
        <v>16500</v>
      </c>
      <c r="K956" s="4" t="s">
        <v>150</v>
      </c>
      <c r="L956" s="9">
        <v>0.125</v>
      </c>
      <c r="M956" s="9">
        <v>0.05</v>
      </c>
      <c r="O956" s="7" t="s">
        <v>150</v>
      </c>
      <c r="P956" s="3">
        <f>(C956+(E956*F956*H956))-N956</f>
        <v>0</v>
      </c>
      <c r="Q956" s="7" t="s">
        <v>150</v>
      </c>
      <c r="R956" s="8">
        <f>S956/1.11</f>
        <v>0</v>
      </c>
      <c r="S956" s="8">
        <f>P956*(J956-(J956*L956)-((J956-(J956*L956))*M956))</f>
        <v>0</v>
      </c>
    </row>
    <row r="958" spans="1:19" x14ac:dyDescent="0.2">
      <c r="A958" s="1" t="s">
        <v>514</v>
      </c>
      <c r="B958" s="2" t="s">
        <v>24</v>
      </c>
      <c r="D958" s="4" t="s">
        <v>18</v>
      </c>
      <c r="F958" s="6">
        <v>48</v>
      </c>
      <c r="G958" s="7" t="s">
        <v>32</v>
      </c>
      <c r="H958" s="6">
        <v>10</v>
      </c>
      <c r="I958" s="7" t="s">
        <v>18</v>
      </c>
      <c r="J958" s="8">
        <f>30500/10</f>
        <v>3050</v>
      </c>
      <c r="K958" s="4" t="s">
        <v>18</v>
      </c>
      <c r="M958" s="9">
        <v>0.17</v>
      </c>
      <c r="O958" s="7" t="s">
        <v>18</v>
      </c>
      <c r="P958" s="3">
        <f>(C958+(E958*F958*H958))-N958</f>
        <v>0</v>
      </c>
      <c r="Q958" s="7" t="s">
        <v>18</v>
      </c>
      <c r="R958" s="8">
        <f>S958/1.11</f>
        <v>0</v>
      </c>
      <c r="S958" s="8">
        <f>P958*(J958-(J958*L958)-((J958-(J958*L958))*M958))</f>
        <v>0</v>
      </c>
    </row>
    <row r="959" spans="1:19" x14ac:dyDescent="0.2">
      <c r="A959" s="1" t="s">
        <v>515</v>
      </c>
      <c r="B959" s="2" t="s">
        <v>24</v>
      </c>
      <c r="C959" s="3">
        <v>1920</v>
      </c>
      <c r="D959" s="4" t="s">
        <v>18</v>
      </c>
      <c r="F959" s="6">
        <v>48</v>
      </c>
      <c r="G959" s="7" t="s">
        <v>32</v>
      </c>
      <c r="H959" s="6">
        <v>10</v>
      </c>
      <c r="I959" s="7" t="s">
        <v>18</v>
      </c>
      <c r="J959" s="8">
        <f>30500/10</f>
        <v>3050</v>
      </c>
      <c r="K959" s="4" t="s">
        <v>18</v>
      </c>
      <c r="M959" s="9">
        <v>0.17</v>
      </c>
      <c r="O959" s="7" t="s">
        <v>18</v>
      </c>
      <c r="P959" s="3">
        <f>(C959+(E959*F959*H959))-N959</f>
        <v>1920</v>
      </c>
      <c r="Q959" s="7" t="s">
        <v>18</v>
      </c>
      <c r="R959" s="8">
        <f>S959/1.11</f>
        <v>4378810.8108108109</v>
      </c>
      <c r="S959" s="8">
        <f>P959*(J959-(J959*L959)-((J959-(J959*L959))*M959))</f>
        <v>4860480</v>
      </c>
    </row>
    <row r="960" spans="1:19" x14ac:dyDescent="0.2">
      <c r="A960" s="1" t="s">
        <v>516</v>
      </c>
      <c r="B960" s="2" t="s">
        <v>24</v>
      </c>
      <c r="D960" s="4" t="s">
        <v>39</v>
      </c>
      <c r="F960" s="6">
        <v>12</v>
      </c>
      <c r="G960" s="7" t="s">
        <v>32</v>
      </c>
      <c r="H960" s="6">
        <v>12</v>
      </c>
      <c r="I960" s="7" t="s">
        <v>39</v>
      </c>
      <c r="J960" s="8">
        <v>25800</v>
      </c>
      <c r="K960" s="4" t="s">
        <v>39</v>
      </c>
      <c r="M960" s="9">
        <v>0.17</v>
      </c>
      <c r="O960" s="7" t="s">
        <v>39</v>
      </c>
      <c r="P960" s="3">
        <f>(C960+(E960*F960*H960))-N960</f>
        <v>0</v>
      </c>
      <c r="Q960" s="7" t="s">
        <v>39</v>
      </c>
      <c r="R960" s="8">
        <f>S960/1.11</f>
        <v>0</v>
      </c>
      <c r="S960" s="8">
        <f>P960*(J960-(J960*L960)-((J960-(J960*L960))*M960))</f>
        <v>0</v>
      </c>
    </row>
    <row r="961" spans="1:19" x14ac:dyDescent="0.2">
      <c r="A961" s="1" t="s">
        <v>915</v>
      </c>
      <c r="B961" s="2" t="s">
        <v>24</v>
      </c>
      <c r="C961" s="3">
        <v>960</v>
      </c>
      <c r="D961" s="4" t="s">
        <v>18</v>
      </c>
      <c r="F961" s="6">
        <v>48</v>
      </c>
      <c r="G961" s="7" t="s">
        <v>32</v>
      </c>
      <c r="H961" s="6">
        <v>10</v>
      </c>
      <c r="I961" s="7" t="s">
        <v>18</v>
      </c>
      <c r="J961" s="8">
        <v>2400</v>
      </c>
      <c r="K961" s="4" t="s">
        <v>18</v>
      </c>
      <c r="L961" s="9">
        <v>2.5000000000000001E-2</v>
      </c>
      <c r="M961" s="9">
        <v>0.17</v>
      </c>
      <c r="O961" s="7" t="s">
        <v>18</v>
      </c>
      <c r="P961" s="3">
        <f>(C961+(E961*F961*H961))-N961</f>
        <v>960</v>
      </c>
      <c r="Q961" s="7" t="s">
        <v>18</v>
      </c>
      <c r="R961" s="8">
        <f>S961/1.11</f>
        <v>1679740.5405405404</v>
      </c>
      <c r="S961" s="8">
        <f>P961*(J961-(J961*L961)-((J961-(J961*L961))*M961))</f>
        <v>1864512</v>
      </c>
    </row>
    <row r="963" spans="1:19" ht="13.5" customHeight="1" x14ac:dyDescent="0.2">
      <c r="A963" s="1" t="s">
        <v>517</v>
      </c>
      <c r="B963" s="2" t="s">
        <v>258</v>
      </c>
      <c r="D963" s="4" t="s">
        <v>97</v>
      </c>
      <c r="F963" s="6">
        <v>1</v>
      </c>
      <c r="G963" s="7" t="s">
        <v>19</v>
      </c>
      <c r="H963" s="6">
        <v>24</v>
      </c>
      <c r="I963" s="7" t="s">
        <v>97</v>
      </c>
      <c r="J963" s="8">
        <v>106000</v>
      </c>
      <c r="K963" s="4" t="s">
        <v>97</v>
      </c>
      <c r="O963" s="7" t="s">
        <v>97</v>
      </c>
      <c r="P963" s="3">
        <f>(C963+(E963*F963*H963))-N963</f>
        <v>0</v>
      </c>
      <c r="Q963" s="7" t="s">
        <v>97</v>
      </c>
      <c r="R963" s="8">
        <f>S963/1.11</f>
        <v>0</v>
      </c>
      <c r="S963" s="8">
        <f>P963*(J963-(J963*L963)-((J963-(J963*L963))*M963))</f>
        <v>0</v>
      </c>
    </row>
    <row r="964" spans="1:19" x14ac:dyDescent="0.2">
      <c r="A964" s="1" t="s">
        <v>848</v>
      </c>
      <c r="B964" s="2" t="s">
        <v>258</v>
      </c>
      <c r="D964" s="4" t="s">
        <v>97</v>
      </c>
      <c r="F964" s="6">
        <v>1</v>
      </c>
      <c r="G964" s="7" t="s">
        <v>19</v>
      </c>
      <c r="H964" s="6">
        <v>32</v>
      </c>
      <c r="I964" s="7" t="s">
        <v>97</v>
      </c>
      <c r="J964" s="8">
        <v>49500</v>
      </c>
      <c r="K964" s="4" t="s">
        <v>97</v>
      </c>
      <c r="O964" s="7" t="s">
        <v>97</v>
      </c>
      <c r="P964" s="3">
        <f>(C964+(E964*F964*H964))-N964</f>
        <v>0</v>
      </c>
      <c r="Q964" s="7" t="s">
        <v>97</v>
      </c>
      <c r="R964" s="8">
        <f>S964/1.11</f>
        <v>0</v>
      </c>
      <c r="S964" s="8">
        <f>P964*(J964-(J964*L964)-((J964-(J964*L964))*M964))</f>
        <v>0</v>
      </c>
    </row>
    <row r="966" spans="1:19" x14ac:dyDescent="0.2">
      <c r="A966" s="1" t="s">
        <v>518</v>
      </c>
      <c r="B966" s="2" t="s">
        <v>170</v>
      </c>
      <c r="D966" s="4" t="s">
        <v>39</v>
      </c>
      <c r="F966" s="6">
        <v>1</v>
      </c>
      <c r="G966" s="7" t="s">
        <v>19</v>
      </c>
      <c r="H966" s="6">
        <v>108</v>
      </c>
      <c r="I966" s="7" t="s">
        <v>39</v>
      </c>
      <c r="J966" s="8">
        <v>18000</v>
      </c>
      <c r="K966" s="4" t="s">
        <v>39</v>
      </c>
      <c r="L966" s="9">
        <v>0.05</v>
      </c>
      <c r="O966" s="7" t="s">
        <v>39</v>
      </c>
      <c r="P966" s="3">
        <f>(C966+(E966*F966*H966))-N966</f>
        <v>0</v>
      </c>
      <c r="Q966" s="7" t="s">
        <v>39</v>
      </c>
      <c r="R966" s="8">
        <f>S966/1.11</f>
        <v>0</v>
      </c>
      <c r="S966" s="8">
        <f>P966*(J966-(J966*L966)-((J966-(J966*L966))*M966))</f>
        <v>0</v>
      </c>
    </row>
    <row r="967" spans="1:19" x14ac:dyDescent="0.2">
      <c r="A967" s="1" t="s">
        <v>808</v>
      </c>
      <c r="B967" s="2" t="s">
        <v>170</v>
      </c>
      <c r="C967" s="3">
        <v>300</v>
      </c>
      <c r="D967" s="4" t="s">
        <v>39</v>
      </c>
      <c r="F967" s="6">
        <v>1</v>
      </c>
      <c r="G967" s="7" t="s">
        <v>19</v>
      </c>
      <c r="H967" s="6">
        <v>100</v>
      </c>
      <c r="I967" s="7" t="s">
        <v>39</v>
      </c>
      <c r="J967" s="8">
        <v>18000</v>
      </c>
      <c r="K967" s="4" t="s">
        <v>39</v>
      </c>
      <c r="L967" s="9">
        <v>7.0000000000000007E-2</v>
      </c>
      <c r="O967" s="7" t="s">
        <v>39</v>
      </c>
      <c r="P967" s="3">
        <f>(C967+(E967*F967*H967))-N967</f>
        <v>300</v>
      </c>
      <c r="Q967" s="7" t="s">
        <v>39</v>
      </c>
      <c r="R967" s="8">
        <f>S967/1.11</f>
        <v>4524324.3243243238</v>
      </c>
      <c r="S967" s="8">
        <f>P967*(J967-(J967*L967)-((J967-(J967*L967))*M967))</f>
        <v>5022000</v>
      </c>
    </row>
    <row r="968" spans="1:19" x14ac:dyDescent="0.2">
      <c r="A968" s="1" t="s">
        <v>976</v>
      </c>
      <c r="B968" s="2" t="s">
        <v>170</v>
      </c>
      <c r="D968" s="4" t="s">
        <v>39</v>
      </c>
      <c r="F968" s="6">
        <v>1</v>
      </c>
      <c r="G968" s="7" t="s">
        <v>19</v>
      </c>
      <c r="H968" s="6">
        <v>100</v>
      </c>
      <c r="I968" s="7" t="s">
        <v>39</v>
      </c>
      <c r="J968" s="8">
        <v>18500</v>
      </c>
      <c r="K968" s="4" t="s">
        <v>39</v>
      </c>
      <c r="L968" s="9">
        <v>7.0000000000000007E-2</v>
      </c>
      <c r="O968" s="7" t="s">
        <v>39</v>
      </c>
      <c r="P968" s="3">
        <f>(C968+(E968*F968*H968))-N968</f>
        <v>0</v>
      </c>
      <c r="Q968" s="7" t="s">
        <v>39</v>
      </c>
      <c r="R968" s="8">
        <f>S968/1.11</f>
        <v>0</v>
      </c>
      <c r="S968" s="8">
        <f>P968*(J968-(J968*L968)-((J968-(J968*L968))*M968))</f>
        <v>0</v>
      </c>
    </row>
    <row r="970" spans="1:19" x14ac:dyDescent="0.2">
      <c r="A970" s="1" t="s">
        <v>651</v>
      </c>
      <c r="B970" s="2" t="s">
        <v>585</v>
      </c>
      <c r="C970" s="3">
        <v>6000</v>
      </c>
      <c r="D970" s="4" t="s">
        <v>18</v>
      </c>
      <c r="F970" s="6">
        <v>1</v>
      </c>
      <c r="G970" s="7" t="s">
        <v>19</v>
      </c>
      <c r="H970" s="6">
        <v>600</v>
      </c>
      <c r="I970" s="7" t="s">
        <v>18</v>
      </c>
      <c r="J970" s="8">
        <v>2700</v>
      </c>
      <c r="K970" s="4" t="s">
        <v>18</v>
      </c>
      <c r="L970" s="9">
        <v>0.3</v>
      </c>
      <c r="O970" s="7" t="s">
        <v>18</v>
      </c>
      <c r="P970" s="3">
        <f>(C970+(E970*F970*H970))-N970</f>
        <v>6000</v>
      </c>
      <c r="Q970" s="7" t="s">
        <v>18</v>
      </c>
      <c r="R970" s="8">
        <f>S970/1.11</f>
        <v>10216216.216216216</v>
      </c>
      <c r="S970" s="8">
        <f>P970*(J970-(J970*L970)-((J970-(J970*L970))*M970))</f>
        <v>11340000</v>
      </c>
    </row>
    <row r="972" spans="1:19" s="37" customFormat="1" x14ac:dyDescent="0.2">
      <c r="A972" s="45" t="s">
        <v>1035</v>
      </c>
      <c r="B972" s="37" t="s">
        <v>180</v>
      </c>
      <c r="C972" s="38"/>
      <c r="D972" s="39" t="s">
        <v>150</v>
      </c>
      <c r="E972" s="40"/>
      <c r="F972" s="41">
        <v>1</v>
      </c>
      <c r="G972" s="42" t="s">
        <v>19</v>
      </c>
      <c r="H972" s="41">
        <v>12</v>
      </c>
      <c r="I972" s="42" t="s">
        <v>150</v>
      </c>
      <c r="J972" s="43">
        <v>25000</v>
      </c>
      <c r="K972" s="39" t="s">
        <v>39</v>
      </c>
      <c r="L972" s="44"/>
      <c r="M972" s="44"/>
      <c r="N972" s="41"/>
      <c r="O972" s="42" t="s">
        <v>39</v>
      </c>
      <c r="P972" s="38">
        <f t="shared" ref="P972:P973" si="369">(C972+(E972*F972*H972))-N972</f>
        <v>0</v>
      </c>
      <c r="Q972" s="42" t="s">
        <v>39</v>
      </c>
      <c r="R972" s="43">
        <f t="shared" ref="R972:R973" si="370">P972*(J972-(J972*L972)-((J972-(J972*L972))*M972))</f>
        <v>0</v>
      </c>
      <c r="S972" s="43">
        <f t="shared" ref="S972:S973" si="371">R972/1.11</f>
        <v>0</v>
      </c>
    </row>
    <row r="973" spans="1:19" s="37" customFormat="1" x14ac:dyDescent="0.2">
      <c r="A973" s="45" t="s">
        <v>1036</v>
      </c>
      <c r="B973" s="37" t="s">
        <v>180</v>
      </c>
      <c r="C973" s="38"/>
      <c r="D973" s="39" t="s">
        <v>150</v>
      </c>
      <c r="E973" s="40"/>
      <c r="F973" s="41">
        <v>1</v>
      </c>
      <c r="G973" s="42" t="s">
        <v>19</v>
      </c>
      <c r="H973" s="41">
        <v>12</v>
      </c>
      <c r="I973" s="42" t="s">
        <v>150</v>
      </c>
      <c r="J973" s="43">
        <v>120000</v>
      </c>
      <c r="K973" s="39" t="s">
        <v>39</v>
      </c>
      <c r="L973" s="44"/>
      <c r="M973" s="44"/>
      <c r="N973" s="41"/>
      <c r="O973" s="42" t="s">
        <v>39</v>
      </c>
      <c r="P973" s="38">
        <f t="shared" si="369"/>
        <v>0</v>
      </c>
      <c r="Q973" s="42" t="s">
        <v>39</v>
      </c>
      <c r="R973" s="43">
        <f t="shared" si="370"/>
        <v>0</v>
      </c>
      <c r="S973" s="43">
        <f t="shared" si="371"/>
        <v>0</v>
      </c>
    </row>
    <row r="974" spans="1:19" s="37" customFormat="1" x14ac:dyDescent="0.2">
      <c r="A974" s="45"/>
      <c r="C974" s="38"/>
      <c r="D974" s="39"/>
      <c r="E974" s="40"/>
      <c r="F974" s="41"/>
      <c r="G974" s="42"/>
      <c r="H974" s="41"/>
      <c r="I974" s="42"/>
      <c r="J974" s="43"/>
      <c r="K974" s="39"/>
      <c r="L974" s="44"/>
      <c r="M974" s="44"/>
      <c r="N974" s="41"/>
      <c r="O974" s="42"/>
      <c r="P974" s="38"/>
      <c r="Q974" s="42"/>
      <c r="R974" s="43"/>
      <c r="S974" s="43"/>
    </row>
    <row r="975" spans="1:19" x14ac:dyDescent="0.2">
      <c r="A975" s="24" t="s">
        <v>519</v>
      </c>
    </row>
    <row r="976" spans="1:19" x14ac:dyDescent="0.2">
      <c r="A976" s="24" t="s">
        <v>520</v>
      </c>
    </row>
    <row r="977" spans="1:19" x14ac:dyDescent="0.2">
      <c r="A977" s="1" t="s">
        <v>521</v>
      </c>
      <c r="B977" s="2" t="s">
        <v>17</v>
      </c>
      <c r="D977" s="4" t="s">
        <v>18</v>
      </c>
      <c r="F977" s="6">
        <v>40</v>
      </c>
      <c r="G977" s="7" t="s">
        <v>97</v>
      </c>
      <c r="H977" s="6">
        <v>12</v>
      </c>
      <c r="I977" s="7" t="s">
        <v>18</v>
      </c>
      <c r="J977" s="8">
        <v>6700</v>
      </c>
      <c r="K977" s="4" t="s">
        <v>18</v>
      </c>
      <c r="L977" s="9">
        <v>0.125</v>
      </c>
      <c r="M977" s="9">
        <v>0.05</v>
      </c>
      <c r="O977" s="7" t="s">
        <v>18</v>
      </c>
      <c r="P977" s="3">
        <f>(C977+(E977*F977*H977))-N977</f>
        <v>0</v>
      </c>
      <c r="Q977" s="7" t="s">
        <v>18</v>
      </c>
      <c r="R977" s="8">
        <f>S977/1.11</f>
        <v>0</v>
      </c>
      <c r="S977" s="8">
        <f>P977*(J977-(J977*L977)-((J977-(J977*L977))*M977))</f>
        <v>0</v>
      </c>
    </row>
    <row r="978" spans="1:19" x14ac:dyDescent="0.2">
      <c r="A978" s="1" t="s">
        <v>847</v>
      </c>
      <c r="B978" s="2" t="s">
        <v>17</v>
      </c>
      <c r="D978" s="4" t="s">
        <v>18</v>
      </c>
      <c r="F978" s="6">
        <v>40</v>
      </c>
      <c r="G978" s="7" t="s">
        <v>97</v>
      </c>
      <c r="H978" s="6">
        <v>12</v>
      </c>
      <c r="I978" s="7" t="s">
        <v>18</v>
      </c>
      <c r="J978" s="8">
        <v>6600</v>
      </c>
      <c r="K978" s="4" t="s">
        <v>18</v>
      </c>
      <c r="L978" s="9">
        <v>0.125</v>
      </c>
      <c r="M978" s="9">
        <v>0.05</v>
      </c>
      <c r="O978" s="7" t="s">
        <v>18</v>
      </c>
      <c r="P978" s="3">
        <f>(C978+(E978*F978*H978))-N978</f>
        <v>0</v>
      </c>
      <c r="Q978" s="7" t="s">
        <v>18</v>
      </c>
      <c r="R978" s="8">
        <f>S978/1.11</f>
        <v>0</v>
      </c>
      <c r="S978" s="8">
        <f>P978*(J978-(J978*L978)-((J978-(J978*L978))*M978))</f>
        <v>0</v>
      </c>
    </row>
    <row r="979" spans="1:19" x14ac:dyDescent="0.2">
      <c r="A979" s="1" t="s">
        <v>522</v>
      </c>
      <c r="B979" s="2" t="s">
        <v>17</v>
      </c>
      <c r="D979" s="4" t="s">
        <v>18</v>
      </c>
      <c r="F979" s="6">
        <v>20</v>
      </c>
      <c r="G979" s="7" t="s">
        <v>97</v>
      </c>
      <c r="H979" s="6">
        <v>12</v>
      </c>
      <c r="I979" s="7" t="s">
        <v>18</v>
      </c>
      <c r="J979" s="8">
        <v>8600</v>
      </c>
      <c r="K979" s="4" t="s">
        <v>18</v>
      </c>
      <c r="L979" s="9">
        <v>0.125</v>
      </c>
      <c r="M979" s="9">
        <v>0.05</v>
      </c>
      <c r="O979" s="7" t="s">
        <v>18</v>
      </c>
      <c r="P979" s="3">
        <f>(C979+(E979*F979*H979))-N979</f>
        <v>0</v>
      </c>
      <c r="Q979" s="7" t="s">
        <v>18</v>
      </c>
      <c r="R979" s="8">
        <f>S979/1.11</f>
        <v>0</v>
      </c>
      <c r="S979" s="8">
        <f>P979*(J979-(J979*L979)-((J979-(J979*L979))*M979))</f>
        <v>0</v>
      </c>
    </row>
    <row r="981" spans="1:19" x14ac:dyDescent="0.2">
      <c r="A981" s="11" t="s">
        <v>523</v>
      </c>
      <c r="B981" s="2" t="s">
        <v>24</v>
      </c>
      <c r="D981" s="4" t="s">
        <v>39</v>
      </c>
      <c r="F981" s="6">
        <v>1</v>
      </c>
      <c r="G981" s="7" t="s">
        <v>19</v>
      </c>
      <c r="H981" s="6">
        <v>40</v>
      </c>
      <c r="I981" s="7" t="s">
        <v>39</v>
      </c>
      <c r="J981" s="8">
        <f>3096000/40</f>
        <v>77400</v>
      </c>
      <c r="K981" s="4" t="s">
        <v>39</v>
      </c>
      <c r="M981" s="9">
        <v>0.17</v>
      </c>
      <c r="O981" s="7" t="s">
        <v>39</v>
      </c>
      <c r="P981" s="3">
        <f t="shared" ref="P981:P986" si="372">(C981+(E981*F981*H981))-N981</f>
        <v>0</v>
      </c>
      <c r="Q981" s="7" t="s">
        <v>39</v>
      </c>
      <c r="R981" s="8">
        <f t="shared" ref="R981:R986" si="373">S981/1.11</f>
        <v>0</v>
      </c>
      <c r="S981" s="8">
        <f t="shared" ref="S981:S986" si="374">P981*(J981-(J981*L981)-((J981-(J981*L981))*M981))</f>
        <v>0</v>
      </c>
    </row>
    <row r="982" spans="1:19" x14ac:dyDescent="0.2">
      <c r="A982" s="11" t="s">
        <v>524</v>
      </c>
      <c r="B982" s="2" t="s">
        <v>24</v>
      </c>
      <c r="D982" s="4" t="s">
        <v>39</v>
      </c>
      <c r="F982" s="6">
        <v>1</v>
      </c>
      <c r="G982" s="7" t="s">
        <v>19</v>
      </c>
      <c r="H982" s="6">
        <v>40</v>
      </c>
      <c r="I982" s="7" t="s">
        <v>39</v>
      </c>
      <c r="J982" s="8">
        <f>2976000/40</f>
        <v>74400</v>
      </c>
      <c r="K982" s="4" t="s">
        <v>39</v>
      </c>
      <c r="M982" s="9">
        <v>0.17</v>
      </c>
      <c r="O982" s="7" t="s">
        <v>39</v>
      </c>
      <c r="P982" s="3">
        <f t="shared" si="372"/>
        <v>0</v>
      </c>
      <c r="Q982" s="7" t="s">
        <v>39</v>
      </c>
      <c r="R982" s="8">
        <f t="shared" si="373"/>
        <v>0</v>
      </c>
      <c r="S982" s="8">
        <f t="shared" si="374"/>
        <v>0</v>
      </c>
    </row>
    <row r="983" spans="1:19" x14ac:dyDescent="0.2">
      <c r="A983" s="11" t="s">
        <v>525</v>
      </c>
      <c r="B983" s="2" t="s">
        <v>24</v>
      </c>
      <c r="D983" s="4" t="s">
        <v>18</v>
      </c>
      <c r="F983" s="6">
        <v>1</v>
      </c>
      <c r="G983" s="7" t="s">
        <v>19</v>
      </c>
      <c r="H983" s="6">
        <v>20</v>
      </c>
      <c r="I983" s="7" t="s">
        <v>18</v>
      </c>
      <c r="J983" s="8">
        <v>90000</v>
      </c>
      <c r="K983" s="4" t="s">
        <v>18</v>
      </c>
      <c r="M983" s="9">
        <v>0.17</v>
      </c>
      <c r="O983" s="7" t="s">
        <v>18</v>
      </c>
      <c r="P983" s="3">
        <f t="shared" si="372"/>
        <v>0</v>
      </c>
      <c r="Q983" s="7" t="s">
        <v>18</v>
      </c>
      <c r="R983" s="8">
        <f t="shared" si="373"/>
        <v>0</v>
      </c>
      <c r="S983" s="8">
        <f t="shared" si="374"/>
        <v>0</v>
      </c>
    </row>
    <row r="984" spans="1:19" x14ac:dyDescent="0.2">
      <c r="A984" s="11" t="s">
        <v>526</v>
      </c>
      <c r="B984" s="2" t="s">
        <v>24</v>
      </c>
      <c r="D984" s="4" t="s">
        <v>18</v>
      </c>
      <c r="F984" s="6">
        <v>1</v>
      </c>
      <c r="G984" s="7" t="s">
        <v>19</v>
      </c>
      <c r="H984" s="6">
        <v>20</v>
      </c>
      <c r="I984" s="7" t="s">
        <v>18</v>
      </c>
      <c r="J984" s="8">
        <v>87500</v>
      </c>
      <c r="K984" s="4" t="s">
        <v>18</v>
      </c>
      <c r="M984" s="9">
        <v>0.17</v>
      </c>
      <c r="O984" s="7" t="s">
        <v>18</v>
      </c>
      <c r="P984" s="3">
        <f t="shared" si="372"/>
        <v>0</v>
      </c>
      <c r="Q984" s="7" t="s">
        <v>18</v>
      </c>
      <c r="R984" s="8">
        <f t="shared" si="373"/>
        <v>0</v>
      </c>
      <c r="S984" s="8">
        <f t="shared" si="374"/>
        <v>0</v>
      </c>
    </row>
    <row r="985" spans="1:19" x14ac:dyDescent="0.2">
      <c r="A985" s="11" t="s">
        <v>527</v>
      </c>
      <c r="B985" s="2" t="s">
        <v>24</v>
      </c>
      <c r="D985" s="4" t="s">
        <v>39</v>
      </c>
      <c r="F985" s="6">
        <v>1</v>
      </c>
      <c r="G985" s="7" t="s">
        <v>19</v>
      </c>
      <c r="H985" s="6">
        <v>40</v>
      </c>
      <c r="I985" s="7" t="s">
        <v>39</v>
      </c>
      <c r="J985" s="8">
        <f>3360000/40</f>
        <v>84000</v>
      </c>
      <c r="K985" s="4" t="s">
        <v>39</v>
      </c>
      <c r="M985" s="9">
        <v>0.17</v>
      </c>
      <c r="O985" s="7" t="s">
        <v>39</v>
      </c>
      <c r="P985" s="3">
        <f t="shared" si="372"/>
        <v>0</v>
      </c>
      <c r="Q985" s="7" t="s">
        <v>39</v>
      </c>
      <c r="R985" s="8">
        <f t="shared" si="373"/>
        <v>0</v>
      </c>
      <c r="S985" s="8">
        <f t="shared" si="374"/>
        <v>0</v>
      </c>
    </row>
    <row r="986" spans="1:19" x14ac:dyDescent="0.2">
      <c r="A986" s="11" t="s">
        <v>528</v>
      </c>
      <c r="B986" s="2" t="s">
        <v>24</v>
      </c>
      <c r="D986" s="4" t="s">
        <v>39</v>
      </c>
      <c r="F986" s="6">
        <v>1</v>
      </c>
      <c r="G986" s="7" t="s">
        <v>19</v>
      </c>
      <c r="H986" s="6">
        <v>20</v>
      </c>
      <c r="I986" s="7" t="s">
        <v>39</v>
      </c>
      <c r="J986" s="8">
        <f>1992000/20</f>
        <v>99600</v>
      </c>
      <c r="K986" s="4" t="s">
        <v>39</v>
      </c>
      <c r="M986" s="9">
        <v>0.17</v>
      </c>
      <c r="O986" s="7" t="s">
        <v>39</v>
      </c>
      <c r="P986" s="3">
        <f t="shared" si="372"/>
        <v>0</v>
      </c>
      <c r="Q986" s="7" t="s">
        <v>39</v>
      </c>
      <c r="R986" s="8">
        <f t="shared" si="373"/>
        <v>0</v>
      </c>
      <c r="S986" s="8">
        <f t="shared" si="374"/>
        <v>0</v>
      </c>
    </row>
    <row r="987" spans="1:19" x14ac:dyDescent="0.2">
      <c r="A987" s="11"/>
    </row>
    <row r="988" spans="1:19" x14ac:dyDescent="0.2">
      <c r="A988" s="24" t="s">
        <v>529</v>
      </c>
    </row>
    <row r="989" spans="1:19" x14ac:dyDescent="0.2">
      <c r="A989" s="1" t="s">
        <v>530</v>
      </c>
      <c r="B989" s="2" t="s">
        <v>17</v>
      </c>
      <c r="D989" s="4" t="s">
        <v>39</v>
      </c>
      <c r="F989" s="6">
        <v>18</v>
      </c>
      <c r="G989" s="7" t="s">
        <v>97</v>
      </c>
      <c r="H989" s="6">
        <v>1</v>
      </c>
      <c r="I989" s="7" t="s">
        <v>39</v>
      </c>
      <c r="J989" s="8">
        <f>4900*12</f>
        <v>58800</v>
      </c>
      <c r="K989" s="4" t="s">
        <v>39</v>
      </c>
      <c r="L989" s="9">
        <v>0.125</v>
      </c>
      <c r="M989" s="9">
        <v>0.05</v>
      </c>
      <c r="O989" s="7" t="s">
        <v>39</v>
      </c>
      <c r="P989" s="3">
        <f>(C989+(E989*F989*H989))-N989</f>
        <v>0</v>
      </c>
      <c r="Q989" s="7" t="s">
        <v>39</v>
      </c>
      <c r="R989" s="8">
        <f>S989/1.11</f>
        <v>0</v>
      </c>
      <c r="S989" s="8">
        <f>P989*(J989-(J989*L989)-((J989-(J989*L989))*M989))</f>
        <v>0</v>
      </c>
    </row>
    <row r="990" spans="1:19" x14ac:dyDescent="0.2">
      <c r="A990" s="1" t="s">
        <v>531</v>
      </c>
      <c r="B990" s="2" t="s">
        <v>17</v>
      </c>
      <c r="D990" s="4" t="s">
        <v>39</v>
      </c>
      <c r="F990" s="6">
        <v>24</v>
      </c>
      <c r="G990" s="7" t="s">
        <v>97</v>
      </c>
      <c r="H990" s="6">
        <v>2</v>
      </c>
      <c r="I990" s="7" t="s">
        <v>39</v>
      </c>
      <c r="J990" s="8">
        <v>56400</v>
      </c>
      <c r="K990" s="4" t="s">
        <v>39</v>
      </c>
      <c r="L990" s="9">
        <v>0.125</v>
      </c>
      <c r="M990" s="9">
        <v>0.05</v>
      </c>
      <c r="O990" s="7" t="s">
        <v>39</v>
      </c>
      <c r="P990" s="3">
        <f>(C990+(E990*F990*H990))-N990</f>
        <v>0</v>
      </c>
      <c r="Q990" s="7" t="s">
        <v>39</v>
      </c>
      <c r="R990" s="8">
        <f>S990/1.11</f>
        <v>0</v>
      </c>
      <c r="S990" s="8">
        <f>P990*(J990-(J990*L990)-((J990-(J990*L990))*M990))</f>
        <v>0</v>
      </c>
    </row>
    <row r="991" spans="1:19" x14ac:dyDescent="0.2">
      <c r="A991" s="1" t="s">
        <v>532</v>
      </c>
      <c r="B991" s="2" t="s">
        <v>17</v>
      </c>
      <c r="D991" s="4" t="s">
        <v>39</v>
      </c>
      <c r="F991" s="6">
        <v>18</v>
      </c>
      <c r="G991" s="7" t="s">
        <v>97</v>
      </c>
      <c r="H991" s="6">
        <v>1</v>
      </c>
      <c r="I991" s="7" t="s">
        <v>39</v>
      </c>
      <c r="J991" s="8">
        <v>69600</v>
      </c>
      <c r="K991" s="4" t="s">
        <v>39</v>
      </c>
      <c r="L991" s="9">
        <v>0.125</v>
      </c>
      <c r="M991" s="9">
        <v>0.05</v>
      </c>
      <c r="O991" s="7" t="s">
        <v>39</v>
      </c>
      <c r="P991" s="3">
        <f>(C991+(E991*F991*H991))-N991</f>
        <v>0</v>
      </c>
      <c r="Q991" s="7" t="s">
        <v>39</v>
      </c>
      <c r="R991" s="8">
        <f>S991/1.11</f>
        <v>0</v>
      </c>
      <c r="S991" s="8">
        <f>P991*(J991-(J991*L991)-((J991-(J991*L991))*M991))</f>
        <v>0</v>
      </c>
    </row>
    <row r="992" spans="1:19" x14ac:dyDescent="0.2">
      <c r="A992" s="1" t="s">
        <v>533</v>
      </c>
      <c r="B992" s="2" t="s">
        <v>17</v>
      </c>
      <c r="D992" s="4" t="s">
        <v>39</v>
      </c>
      <c r="F992" s="6">
        <v>24</v>
      </c>
      <c r="G992" s="7" t="s">
        <v>97</v>
      </c>
      <c r="H992" s="6">
        <v>6</v>
      </c>
      <c r="I992" s="7" t="s">
        <v>18</v>
      </c>
      <c r="J992" s="8">
        <v>12600</v>
      </c>
      <c r="K992" s="4" t="s">
        <v>18</v>
      </c>
      <c r="L992" s="9">
        <v>0.125</v>
      </c>
      <c r="M992" s="9">
        <v>0.05</v>
      </c>
      <c r="O992" s="7" t="s">
        <v>18</v>
      </c>
      <c r="P992" s="3">
        <f>(C992+(E992*F992*H992))-N992</f>
        <v>0</v>
      </c>
      <c r="Q992" s="7" t="s">
        <v>18</v>
      </c>
      <c r="R992" s="8">
        <f>S992/1.11</f>
        <v>0</v>
      </c>
      <c r="S992" s="8">
        <f>P992*(J992-(J992*L992)-((J992-(J992*L992))*M992))</f>
        <v>0</v>
      </c>
    </row>
    <row r="994" spans="1:19" x14ac:dyDescent="0.2">
      <c r="A994" s="1" t="s">
        <v>534</v>
      </c>
      <c r="B994" s="2" t="s">
        <v>24</v>
      </c>
      <c r="D994" s="4" t="s">
        <v>39</v>
      </c>
      <c r="F994" s="6">
        <v>1</v>
      </c>
      <c r="G994" s="7" t="s">
        <v>19</v>
      </c>
      <c r="H994" s="6">
        <v>18</v>
      </c>
      <c r="I994" s="7" t="s">
        <v>39</v>
      </c>
      <c r="J994" s="8">
        <f>1069200/18</f>
        <v>59400</v>
      </c>
      <c r="K994" s="4" t="s">
        <v>39</v>
      </c>
      <c r="M994" s="9">
        <v>0.17</v>
      </c>
      <c r="O994" s="7" t="s">
        <v>39</v>
      </c>
      <c r="P994" s="3">
        <f>(C994+(E994*F994*H994))-N994</f>
        <v>0</v>
      </c>
      <c r="Q994" s="7" t="s">
        <v>39</v>
      </c>
      <c r="R994" s="8">
        <f>S994/1.11</f>
        <v>0</v>
      </c>
      <c r="S994" s="8">
        <f>P994*(J994-(J994*L994)-((J994-(J994*L994))*M994))</f>
        <v>0</v>
      </c>
    </row>
    <row r="995" spans="1:19" x14ac:dyDescent="0.2">
      <c r="A995" s="1" t="s">
        <v>535</v>
      </c>
      <c r="B995" s="2" t="s">
        <v>24</v>
      </c>
      <c r="D995" s="4" t="s">
        <v>39</v>
      </c>
      <c r="F995" s="6">
        <v>1</v>
      </c>
      <c r="G995" s="7" t="s">
        <v>19</v>
      </c>
      <c r="H995" s="6">
        <v>18</v>
      </c>
      <c r="I995" s="7" t="s">
        <v>39</v>
      </c>
      <c r="J995" s="8">
        <f>1274400/18</f>
        <v>70800</v>
      </c>
      <c r="K995" s="4" t="s">
        <v>39</v>
      </c>
      <c r="M995" s="9">
        <v>0.17</v>
      </c>
      <c r="O995" s="7" t="s">
        <v>39</v>
      </c>
      <c r="P995" s="3">
        <f>(C995+(E995*F995*H995))-N995</f>
        <v>0</v>
      </c>
      <c r="Q995" s="7" t="s">
        <v>39</v>
      </c>
      <c r="R995" s="8">
        <f>S995/1.11</f>
        <v>0</v>
      </c>
      <c r="S995" s="8">
        <f>P995*(J995-(J995*L995)-((J995-(J995*L995))*M995))</f>
        <v>0</v>
      </c>
    </row>
    <row r="997" spans="1:19" x14ac:dyDescent="0.2">
      <c r="A997" s="24" t="s">
        <v>1017</v>
      </c>
    </row>
    <row r="998" spans="1:19" x14ac:dyDescent="0.2">
      <c r="A998" s="1" t="s">
        <v>898</v>
      </c>
      <c r="B998" s="2" t="s">
        <v>180</v>
      </c>
      <c r="D998" s="4" t="s">
        <v>39</v>
      </c>
      <c r="F998" s="6">
        <v>1</v>
      </c>
      <c r="G998" s="7" t="s">
        <v>19</v>
      </c>
      <c r="H998" s="6">
        <v>12</v>
      </c>
      <c r="I998" s="7" t="s">
        <v>39</v>
      </c>
      <c r="J998" s="8">
        <v>52552.583333333336</v>
      </c>
      <c r="K998" s="4" t="s">
        <v>39</v>
      </c>
      <c r="O998" s="7" t="s">
        <v>39</v>
      </c>
      <c r="P998" s="3">
        <f>(C998+(E998*F998*H998))-N998</f>
        <v>0</v>
      </c>
      <c r="Q998" s="7" t="s">
        <v>39</v>
      </c>
      <c r="R998" s="8">
        <f>S998/1.11</f>
        <v>0</v>
      </c>
      <c r="S998" s="8">
        <f>P998*(J998-(J998*L998)-((J998-(J998*L998))*M998))</f>
        <v>0</v>
      </c>
    </row>
    <row r="1000" spans="1:19" x14ac:dyDescent="0.2">
      <c r="A1000" s="1" t="s">
        <v>966</v>
      </c>
      <c r="B1000" s="2" t="s">
        <v>17</v>
      </c>
      <c r="D1000" s="4" t="s">
        <v>39</v>
      </c>
      <c r="F1000" s="6">
        <v>1</v>
      </c>
      <c r="G1000" s="7" t="s">
        <v>19</v>
      </c>
      <c r="H1000" s="6">
        <v>12</v>
      </c>
      <c r="I1000" s="7" t="s">
        <v>39</v>
      </c>
      <c r="J1000" s="8">
        <v>60600</v>
      </c>
      <c r="K1000" s="4" t="s">
        <v>39</v>
      </c>
      <c r="L1000" s="9">
        <v>0.125</v>
      </c>
      <c r="M1000" s="9">
        <v>0.05</v>
      </c>
      <c r="O1000" s="7" t="s">
        <v>39</v>
      </c>
      <c r="P1000" s="3">
        <f>(C1000+(E1000*F1000*H1000))-N1000</f>
        <v>0</v>
      </c>
      <c r="Q1000" s="7" t="s">
        <v>39</v>
      </c>
      <c r="R1000" s="8">
        <f>S1000/1.11</f>
        <v>0</v>
      </c>
      <c r="S1000" s="8">
        <f>P1000*(J1000-(J1000*L1000)-((J1000-(J1000*L1000))*M1000))</f>
        <v>0</v>
      </c>
    </row>
    <row r="1002" spans="1:19" x14ac:dyDescent="0.2">
      <c r="A1002" s="24" t="s">
        <v>536</v>
      </c>
    </row>
    <row r="1003" spans="1:19" x14ac:dyDescent="0.2">
      <c r="A1003" s="24" t="s">
        <v>537</v>
      </c>
    </row>
    <row r="1004" spans="1:19" x14ac:dyDescent="0.2">
      <c r="A1004" s="1" t="s">
        <v>689</v>
      </c>
      <c r="B1004" s="2" t="s">
        <v>17</v>
      </c>
      <c r="D1004" s="4" t="s">
        <v>18</v>
      </c>
      <c r="F1004" s="6">
        <v>1</v>
      </c>
      <c r="G1004" s="7" t="s">
        <v>19</v>
      </c>
      <c r="H1004" s="6">
        <v>72</v>
      </c>
      <c r="I1004" s="7" t="s">
        <v>18</v>
      </c>
      <c r="J1004" s="8">
        <v>34500</v>
      </c>
      <c r="K1004" s="4" t="s">
        <v>18</v>
      </c>
      <c r="L1004" s="9">
        <v>0.125</v>
      </c>
      <c r="M1004" s="9">
        <v>0.05</v>
      </c>
      <c r="O1004" s="7" t="s">
        <v>18</v>
      </c>
      <c r="P1004" s="3">
        <f>(C1004+(E1004*F1004*H1004))-N1004</f>
        <v>0</v>
      </c>
      <c r="Q1004" s="7" t="s">
        <v>18</v>
      </c>
      <c r="R1004" s="8">
        <f>S1004/1.11</f>
        <v>0</v>
      </c>
      <c r="S1004" s="8">
        <f>P1004*(J1004-(J1004*L1004)-((J1004-(J1004*L1004))*M1004))</f>
        <v>0</v>
      </c>
    </row>
    <row r="1005" spans="1:19" x14ac:dyDescent="0.2">
      <c r="A1005" s="1" t="s">
        <v>538</v>
      </c>
      <c r="B1005" s="2" t="s">
        <v>17</v>
      </c>
      <c r="D1005" s="4" t="s">
        <v>18</v>
      </c>
      <c r="F1005" s="6">
        <v>1</v>
      </c>
      <c r="G1005" s="7" t="s">
        <v>19</v>
      </c>
      <c r="H1005" s="6">
        <v>24</v>
      </c>
      <c r="I1005" s="7" t="s">
        <v>18</v>
      </c>
      <c r="J1005" s="8">
        <v>97000</v>
      </c>
      <c r="K1005" s="4" t="s">
        <v>18</v>
      </c>
      <c r="L1005" s="9">
        <v>0.125</v>
      </c>
      <c r="M1005" s="9">
        <v>0.05</v>
      </c>
      <c r="O1005" s="7" t="s">
        <v>18</v>
      </c>
      <c r="P1005" s="3">
        <f>(C1005+(E1005*F1005*H1005))-N1005</f>
        <v>0</v>
      </c>
      <c r="Q1005" s="7" t="s">
        <v>18</v>
      </c>
      <c r="R1005" s="8">
        <f>S1005/1.11</f>
        <v>0</v>
      </c>
      <c r="S1005" s="8">
        <f>P1005*(J1005-(J1005*L1005)-((J1005-(J1005*L1005))*M1005))</f>
        <v>0</v>
      </c>
    </row>
    <row r="1007" spans="1:19" x14ac:dyDescent="0.2">
      <c r="A1007" s="1" t="s">
        <v>539</v>
      </c>
      <c r="B1007" s="2" t="s">
        <v>24</v>
      </c>
      <c r="D1007" s="4" t="s">
        <v>39</v>
      </c>
      <c r="F1007" s="6">
        <v>1</v>
      </c>
      <c r="G1007" s="7" t="s">
        <v>19</v>
      </c>
      <c r="H1007" s="6">
        <v>48</v>
      </c>
      <c r="I1007" s="7" t="s">
        <v>18</v>
      </c>
      <c r="J1007" s="8">
        <f>2400000/48</f>
        <v>50000</v>
      </c>
      <c r="K1007" s="4" t="s">
        <v>18</v>
      </c>
      <c r="M1007" s="9">
        <v>0.17</v>
      </c>
      <c r="O1007" s="7" t="s">
        <v>18</v>
      </c>
      <c r="P1007" s="3">
        <f>(C1007+(E1007*F1007*H1007))-N1007</f>
        <v>0</v>
      </c>
      <c r="Q1007" s="7" t="s">
        <v>18</v>
      </c>
      <c r="R1007" s="8">
        <f>S1007/1.11</f>
        <v>0</v>
      </c>
      <c r="S1007" s="8">
        <f>P1007*(J1007-(J1007*L1007)-((J1007-(J1007*L1007))*M1007))</f>
        <v>0</v>
      </c>
    </row>
    <row r="1009" spans="1:19" x14ac:dyDescent="0.2">
      <c r="A1009" s="24" t="s">
        <v>540</v>
      </c>
    </row>
    <row r="1010" spans="1:19" x14ac:dyDescent="0.2">
      <c r="A1010" s="1" t="s">
        <v>541</v>
      </c>
      <c r="B1010" s="2" t="s">
        <v>17</v>
      </c>
      <c r="D1010" s="4" t="s">
        <v>39</v>
      </c>
      <c r="F1010" s="6">
        <v>1</v>
      </c>
      <c r="G1010" s="7" t="s">
        <v>19</v>
      </c>
      <c r="H1010" s="6">
        <v>20</v>
      </c>
      <c r="I1010" s="7" t="s">
        <v>39</v>
      </c>
      <c r="J1010" s="8">
        <v>85200</v>
      </c>
      <c r="K1010" s="4" t="s">
        <v>39</v>
      </c>
      <c r="L1010" s="9">
        <v>0.125</v>
      </c>
      <c r="M1010" s="9">
        <v>0.05</v>
      </c>
      <c r="O1010" s="7" t="s">
        <v>39</v>
      </c>
      <c r="P1010" s="3">
        <f t="shared" ref="P1010:P1024" si="375">(C1010+(E1010*F1010*H1010))-N1010</f>
        <v>0</v>
      </c>
      <c r="Q1010" s="7" t="s">
        <v>39</v>
      </c>
      <c r="R1010" s="8">
        <f t="shared" ref="R1010:R1024" si="376">S1010/1.11</f>
        <v>0</v>
      </c>
      <c r="S1010" s="8">
        <f t="shared" ref="S1010:S1024" si="377">P1010*(J1010-(J1010*L1010)-((J1010-(J1010*L1010))*M1010))</f>
        <v>0</v>
      </c>
    </row>
    <row r="1011" spans="1:19" x14ac:dyDescent="0.2">
      <c r="A1011" s="1" t="s">
        <v>542</v>
      </c>
      <c r="B1011" s="2" t="s">
        <v>17</v>
      </c>
      <c r="D1011" s="4" t="s">
        <v>18</v>
      </c>
      <c r="F1011" s="6">
        <v>24</v>
      </c>
      <c r="G1011" s="7" t="s">
        <v>32</v>
      </c>
      <c r="H1011" s="6">
        <v>10</v>
      </c>
      <c r="I1011" s="7" t="s">
        <v>18</v>
      </c>
      <c r="J1011" s="8">
        <v>9750</v>
      </c>
      <c r="K1011" s="4" t="s">
        <v>18</v>
      </c>
      <c r="L1011" s="9">
        <v>0.125</v>
      </c>
      <c r="M1011" s="9">
        <v>0.05</v>
      </c>
      <c r="O1011" s="7" t="s">
        <v>18</v>
      </c>
      <c r="P1011" s="3">
        <f t="shared" si="375"/>
        <v>0</v>
      </c>
      <c r="Q1011" s="7" t="s">
        <v>18</v>
      </c>
      <c r="R1011" s="8">
        <f t="shared" si="376"/>
        <v>0</v>
      </c>
      <c r="S1011" s="8">
        <f t="shared" si="377"/>
        <v>0</v>
      </c>
    </row>
    <row r="1012" spans="1:19" x14ac:dyDescent="0.2">
      <c r="A1012" s="1" t="s">
        <v>543</v>
      </c>
      <c r="B1012" s="2" t="s">
        <v>17</v>
      </c>
      <c r="D1012" s="4" t="s">
        <v>39</v>
      </c>
      <c r="F1012" s="6">
        <v>1</v>
      </c>
      <c r="G1012" s="7" t="s">
        <v>19</v>
      </c>
      <c r="H1012" s="6">
        <v>25</v>
      </c>
      <c r="I1012" s="7" t="s">
        <v>39</v>
      </c>
      <c r="J1012" s="8">
        <v>70800</v>
      </c>
      <c r="K1012" s="4" t="s">
        <v>39</v>
      </c>
      <c r="L1012" s="9">
        <v>0.125</v>
      </c>
      <c r="M1012" s="9">
        <v>0.05</v>
      </c>
      <c r="O1012" s="7" t="s">
        <v>39</v>
      </c>
      <c r="P1012" s="3">
        <f t="shared" si="375"/>
        <v>0</v>
      </c>
      <c r="Q1012" s="7" t="s">
        <v>39</v>
      </c>
      <c r="R1012" s="8">
        <f t="shared" si="376"/>
        <v>0</v>
      </c>
      <c r="S1012" s="8">
        <f t="shared" si="377"/>
        <v>0</v>
      </c>
    </row>
    <row r="1013" spans="1:19" x14ac:dyDescent="0.2">
      <c r="A1013" s="1" t="s">
        <v>813</v>
      </c>
      <c r="B1013" s="2" t="s">
        <v>17</v>
      </c>
      <c r="D1013" s="4" t="s">
        <v>39</v>
      </c>
      <c r="F1013" s="6">
        <v>1</v>
      </c>
      <c r="G1013" s="7" t="s">
        <v>19</v>
      </c>
      <c r="H1013" s="6">
        <v>25</v>
      </c>
      <c r="I1013" s="7" t="s">
        <v>39</v>
      </c>
      <c r="J1013" s="8">
        <v>66600</v>
      </c>
      <c r="K1013" s="4" t="s">
        <v>39</v>
      </c>
      <c r="L1013" s="9">
        <v>0.125</v>
      </c>
      <c r="M1013" s="9">
        <v>0.05</v>
      </c>
      <c r="O1013" s="7" t="s">
        <v>39</v>
      </c>
      <c r="P1013" s="3">
        <f t="shared" ref="P1013:P1014" si="378">(C1013+(E1013*F1013*H1013))-N1013</f>
        <v>0</v>
      </c>
      <c r="Q1013" s="7" t="s">
        <v>39</v>
      </c>
      <c r="R1013" s="8">
        <f t="shared" si="376"/>
        <v>0</v>
      </c>
      <c r="S1013" s="8">
        <f t="shared" ref="S1013:S1014" si="379">P1013*(J1013-(J1013*L1013)-((J1013-(J1013*L1013))*M1013))</f>
        <v>0</v>
      </c>
    </row>
    <row r="1014" spans="1:19" x14ac:dyDescent="0.2">
      <c r="A1014" s="1" t="s">
        <v>544</v>
      </c>
      <c r="B1014" s="2" t="s">
        <v>17</v>
      </c>
      <c r="D1014" s="4" t="s">
        <v>39</v>
      </c>
      <c r="F1014" s="6">
        <v>20</v>
      </c>
      <c r="G1014" s="7" t="s">
        <v>32</v>
      </c>
      <c r="H1014" s="6">
        <v>1</v>
      </c>
      <c r="I1014" s="7" t="s">
        <v>39</v>
      </c>
      <c r="J1014" s="8">
        <v>84000</v>
      </c>
      <c r="K1014" s="4" t="s">
        <v>39</v>
      </c>
      <c r="L1014" s="9">
        <v>0.125</v>
      </c>
      <c r="M1014" s="9">
        <v>0.05</v>
      </c>
      <c r="O1014" s="7" t="s">
        <v>39</v>
      </c>
      <c r="P1014" s="3">
        <f t="shared" si="378"/>
        <v>0</v>
      </c>
      <c r="Q1014" s="7" t="s">
        <v>39</v>
      </c>
      <c r="R1014" s="8">
        <f t="shared" si="376"/>
        <v>0</v>
      </c>
      <c r="S1014" s="8">
        <f t="shared" si="379"/>
        <v>0</v>
      </c>
    </row>
    <row r="1015" spans="1:19" x14ac:dyDescent="0.2">
      <c r="A1015" s="1" t="s">
        <v>930</v>
      </c>
      <c r="B1015" s="2" t="s">
        <v>17</v>
      </c>
      <c r="D1015" s="4" t="s">
        <v>18</v>
      </c>
      <c r="F1015" s="6">
        <v>1</v>
      </c>
      <c r="G1015" s="7" t="s">
        <v>19</v>
      </c>
      <c r="H1015" s="6">
        <v>10</v>
      </c>
      <c r="I1015" s="7" t="s">
        <v>39</v>
      </c>
      <c r="J1015" s="8">
        <v>282000</v>
      </c>
      <c r="K1015" s="4" t="s">
        <v>39</v>
      </c>
      <c r="L1015" s="9">
        <v>0.125</v>
      </c>
      <c r="M1015" s="9">
        <v>0.05</v>
      </c>
      <c r="O1015" s="7" t="s">
        <v>39</v>
      </c>
      <c r="P1015" s="3">
        <f t="shared" ref="P1015" si="380">(C1015+(E1015*F1015*H1015))-N1015</f>
        <v>0</v>
      </c>
      <c r="Q1015" s="7" t="s">
        <v>39</v>
      </c>
      <c r="R1015" s="8">
        <f t="shared" si="376"/>
        <v>0</v>
      </c>
      <c r="S1015" s="8">
        <f t="shared" ref="S1015" si="381">P1015*(J1015-(J1015*L1015)-((J1015-(J1015*L1015))*M1015))</f>
        <v>0</v>
      </c>
    </row>
    <row r="1016" spans="1:19" x14ac:dyDescent="0.2">
      <c r="A1016" s="1" t="s">
        <v>545</v>
      </c>
      <c r="B1016" s="2" t="s">
        <v>17</v>
      </c>
      <c r="D1016" s="4" t="s">
        <v>18</v>
      </c>
      <c r="F1016" s="6">
        <v>20</v>
      </c>
      <c r="G1016" s="7" t="s">
        <v>32</v>
      </c>
      <c r="H1016" s="6">
        <v>6</v>
      </c>
      <c r="I1016" s="7" t="s">
        <v>18</v>
      </c>
      <c r="J1016" s="8">
        <v>18700</v>
      </c>
      <c r="K1016" s="4" t="s">
        <v>18</v>
      </c>
      <c r="L1016" s="9">
        <v>0.125</v>
      </c>
      <c r="M1016" s="9">
        <v>0.05</v>
      </c>
      <c r="O1016" s="7" t="s">
        <v>18</v>
      </c>
      <c r="P1016" s="3">
        <f t="shared" si="375"/>
        <v>0</v>
      </c>
      <c r="Q1016" s="7" t="s">
        <v>18</v>
      </c>
      <c r="R1016" s="8">
        <f t="shared" si="376"/>
        <v>0</v>
      </c>
      <c r="S1016" s="8">
        <f t="shared" si="377"/>
        <v>0</v>
      </c>
    </row>
    <row r="1017" spans="1:19" x14ac:dyDescent="0.2">
      <c r="A1017" s="1" t="s">
        <v>546</v>
      </c>
      <c r="B1017" s="2" t="s">
        <v>17</v>
      </c>
      <c r="D1017" s="4" t="s">
        <v>18</v>
      </c>
      <c r="F1017" s="6">
        <v>20</v>
      </c>
      <c r="G1017" s="7" t="s">
        <v>32</v>
      </c>
      <c r="H1017" s="6">
        <v>6</v>
      </c>
      <c r="I1017" s="7" t="s">
        <v>18</v>
      </c>
      <c r="J1017" s="8">
        <v>18000</v>
      </c>
      <c r="K1017" s="4" t="s">
        <v>18</v>
      </c>
      <c r="L1017" s="9">
        <v>0.125</v>
      </c>
      <c r="M1017" s="9">
        <v>0.05</v>
      </c>
      <c r="O1017" s="7" t="s">
        <v>18</v>
      </c>
      <c r="P1017" s="3">
        <f t="shared" si="375"/>
        <v>0</v>
      </c>
      <c r="Q1017" s="7" t="s">
        <v>18</v>
      </c>
      <c r="R1017" s="8">
        <f t="shared" si="376"/>
        <v>0</v>
      </c>
      <c r="S1017" s="8">
        <f t="shared" si="377"/>
        <v>0</v>
      </c>
    </row>
    <row r="1018" spans="1:19" x14ac:dyDescent="0.2">
      <c r="A1018" s="1" t="s">
        <v>547</v>
      </c>
      <c r="B1018" s="2" t="s">
        <v>17</v>
      </c>
      <c r="D1018" s="4" t="s">
        <v>18</v>
      </c>
      <c r="F1018" s="6">
        <v>1</v>
      </c>
      <c r="G1018" s="7" t="s">
        <v>19</v>
      </c>
      <c r="H1018" s="6">
        <v>12</v>
      </c>
      <c r="I1018" s="7" t="s">
        <v>18</v>
      </c>
      <c r="J1018" s="8">
        <v>162000</v>
      </c>
      <c r="K1018" s="4" t="s">
        <v>18</v>
      </c>
      <c r="L1018" s="9">
        <v>0.125</v>
      </c>
      <c r="M1018" s="9">
        <v>0.05</v>
      </c>
      <c r="O1018" s="7" t="s">
        <v>18</v>
      </c>
      <c r="P1018" s="3">
        <f t="shared" si="375"/>
        <v>0</v>
      </c>
      <c r="Q1018" s="7" t="s">
        <v>18</v>
      </c>
      <c r="R1018" s="8">
        <f t="shared" si="376"/>
        <v>0</v>
      </c>
      <c r="S1018" s="8">
        <f t="shared" si="377"/>
        <v>0</v>
      </c>
    </row>
    <row r="1019" spans="1:19" x14ac:dyDescent="0.2">
      <c r="A1019" s="1" t="s">
        <v>740</v>
      </c>
      <c r="B1019" s="2" t="s">
        <v>17</v>
      </c>
      <c r="D1019" s="4" t="s">
        <v>18</v>
      </c>
      <c r="F1019" s="6">
        <v>1</v>
      </c>
      <c r="G1019" s="7" t="s">
        <v>19</v>
      </c>
      <c r="H1019" s="6">
        <v>12</v>
      </c>
      <c r="I1019" s="7" t="s">
        <v>18</v>
      </c>
      <c r="J1019" s="8">
        <v>208000</v>
      </c>
      <c r="K1019" s="4" t="s">
        <v>18</v>
      </c>
      <c r="L1019" s="9">
        <v>0.125</v>
      </c>
      <c r="M1019" s="9">
        <v>0.05</v>
      </c>
      <c r="O1019" s="7" t="s">
        <v>18</v>
      </c>
      <c r="P1019" s="3">
        <f t="shared" ref="P1019" si="382">(C1019+(E1019*F1019*H1019))-N1019</f>
        <v>0</v>
      </c>
      <c r="Q1019" s="7" t="s">
        <v>18</v>
      </c>
      <c r="R1019" s="8">
        <f t="shared" si="376"/>
        <v>0</v>
      </c>
      <c r="S1019" s="8">
        <f t="shared" ref="S1019" si="383">P1019*(J1019-(J1019*L1019)-((J1019-(J1019*L1019))*M1019))</f>
        <v>0</v>
      </c>
    </row>
    <row r="1020" spans="1:19" x14ac:dyDescent="0.2">
      <c r="A1020" s="1" t="s">
        <v>548</v>
      </c>
      <c r="B1020" s="2" t="s">
        <v>17</v>
      </c>
      <c r="D1020" s="4" t="s">
        <v>18</v>
      </c>
      <c r="F1020" s="6">
        <v>1</v>
      </c>
      <c r="G1020" s="7" t="s">
        <v>19</v>
      </c>
      <c r="H1020" s="6">
        <v>36</v>
      </c>
      <c r="I1020" s="7" t="s">
        <v>18</v>
      </c>
      <c r="J1020" s="8">
        <v>58000</v>
      </c>
      <c r="K1020" s="4" t="s">
        <v>18</v>
      </c>
      <c r="L1020" s="9">
        <v>0.125</v>
      </c>
      <c r="M1020" s="9">
        <v>0.05</v>
      </c>
      <c r="O1020" s="7" t="s">
        <v>18</v>
      </c>
      <c r="P1020" s="3">
        <f t="shared" si="375"/>
        <v>0</v>
      </c>
      <c r="Q1020" s="7" t="s">
        <v>18</v>
      </c>
      <c r="R1020" s="8">
        <f t="shared" si="376"/>
        <v>0</v>
      </c>
      <c r="S1020" s="8">
        <f t="shared" si="377"/>
        <v>0</v>
      </c>
    </row>
    <row r="1021" spans="1:19" x14ac:dyDescent="0.2">
      <c r="A1021" s="1" t="s">
        <v>549</v>
      </c>
      <c r="B1021" s="2" t="s">
        <v>17</v>
      </c>
      <c r="D1021" s="4" t="s">
        <v>18</v>
      </c>
      <c r="F1021" s="6">
        <v>1</v>
      </c>
      <c r="G1021" s="7" t="s">
        <v>19</v>
      </c>
      <c r="H1021" s="6">
        <v>12</v>
      </c>
      <c r="I1021" s="7" t="s">
        <v>18</v>
      </c>
      <c r="J1021" s="8">
        <v>97000</v>
      </c>
      <c r="K1021" s="4" t="s">
        <v>18</v>
      </c>
      <c r="L1021" s="9">
        <v>0.125</v>
      </c>
      <c r="M1021" s="9">
        <v>0.05</v>
      </c>
      <c r="O1021" s="7" t="s">
        <v>18</v>
      </c>
      <c r="P1021" s="3">
        <f t="shared" si="375"/>
        <v>0</v>
      </c>
      <c r="Q1021" s="7" t="s">
        <v>18</v>
      </c>
      <c r="R1021" s="8">
        <f t="shared" si="376"/>
        <v>0</v>
      </c>
      <c r="S1021" s="8">
        <f t="shared" si="377"/>
        <v>0</v>
      </c>
    </row>
    <row r="1022" spans="1:19" x14ac:dyDescent="0.2">
      <c r="A1022" s="1" t="s">
        <v>550</v>
      </c>
      <c r="B1022" s="2" t="s">
        <v>17</v>
      </c>
      <c r="D1022" s="4" t="s">
        <v>18</v>
      </c>
      <c r="F1022" s="6">
        <v>1</v>
      </c>
      <c r="G1022" s="7" t="s">
        <v>19</v>
      </c>
      <c r="H1022" s="6">
        <v>12</v>
      </c>
      <c r="I1022" s="7" t="s">
        <v>18</v>
      </c>
      <c r="J1022" s="8">
        <v>97000</v>
      </c>
      <c r="K1022" s="4" t="s">
        <v>18</v>
      </c>
      <c r="L1022" s="9">
        <v>0.125</v>
      </c>
      <c r="M1022" s="9">
        <v>0.05</v>
      </c>
      <c r="O1022" s="7" t="s">
        <v>18</v>
      </c>
      <c r="P1022" s="3">
        <f t="shared" si="375"/>
        <v>0</v>
      </c>
      <c r="Q1022" s="7" t="s">
        <v>18</v>
      </c>
      <c r="R1022" s="8">
        <f t="shared" si="376"/>
        <v>0</v>
      </c>
      <c r="S1022" s="8">
        <f t="shared" si="377"/>
        <v>0</v>
      </c>
    </row>
    <row r="1023" spans="1:19" x14ac:dyDescent="0.2">
      <c r="A1023" s="1" t="s">
        <v>551</v>
      </c>
      <c r="B1023" s="2" t="s">
        <v>17</v>
      </c>
      <c r="D1023" s="4" t="s">
        <v>18</v>
      </c>
      <c r="F1023" s="6">
        <v>1</v>
      </c>
      <c r="G1023" s="7" t="s">
        <v>19</v>
      </c>
      <c r="H1023" s="6">
        <v>6</v>
      </c>
      <c r="I1023" s="7" t="s">
        <v>18</v>
      </c>
      <c r="J1023" s="8">
        <v>187000</v>
      </c>
      <c r="K1023" s="4" t="s">
        <v>18</v>
      </c>
      <c r="L1023" s="9">
        <v>0.125</v>
      </c>
      <c r="M1023" s="9">
        <v>0.05</v>
      </c>
      <c r="O1023" s="7" t="s">
        <v>18</v>
      </c>
      <c r="P1023" s="3">
        <f t="shared" si="375"/>
        <v>0</v>
      </c>
      <c r="Q1023" s="7" t="s">
        <v>18</v>
      </c>
      <c r="R1023" s="8">
        <f t="shared" si="376"/>
        <v>0</v>
      </c>
      <c r="S1023" s="8">
        <f t="shared" si="377"/>
        <v>0</v>
      </c>
    </row>
    <row r="1024" spans="1:19" x14ac:dyDescent="0.2">
      <c r="A1024" s="1" t="s">
        <v>552</v>
      </c>
      <c r="B1024" s="2" t="s">
        <v>17</v>
      </c>
      <c r="C1024" s="3">
        <v>6</v>
      </c>
      <c r="D1024" s="4" t="s">
        <v>18</v>
      </c>
      <c r="F1024" s="6">
        <v>1</v>
      </c>
      <c r="G1024" s="7" t="s">
        <v>19</v>
      </c>
      <c r="H1024" s="6">
        <v>6</v>
      </c>
      <c r="I1024" s="7" t="s">
        <v>18</v>
      </c>
      <c r="J1024" s="8">
        <v>420000</v>
      </c>
      <c r="K1024" s="4" t="s">
        <v>18</v>
      </c>
      <c r="L1024" s="9">
        <v>0.125</v>
      </c>
      <c r="M1024" s="9">
        <v>0.05</v>
      </c>
      <c r="O1024" s="7" t="s">
        <v>18</v>
      </c>
      <c r="P1024" s="3">
        <f t="shared" si="375"/>
        <v>6</v>
      </c>
      <c r="Q1024" s="7" t="s">
        <v>18</v>
      </c>
      <c r="R1024" s="8">
        <f t="shared" si="376"/>
        <v>1887162.1621621619</v>
      </c>
      <c r="S1024" s="8">
        <f t="shared" si="377"/>
        <v>2094750</v>
      </c>
    </row>
    <row r="1026" spans="1:19" x14ac:dyDescent="0.2">
      <c r="A1026" s="1" t="s">
        <v>553</v>
      </c>
      <c r="B1026" s="2" t="s">
        <v>24</v>
      </c>
      <c r="C1026" s="3">
        <v>1660</v>
      </c>
      <c r="D1026" s="4" t="s">
        <v>39</v>
      </c>
      <c r="F1026" s="6">
        <v>1</v>
      </c>
      <c r="G1026" s="7" t="s">
        <v>19</v>
      </c>
      <c r="H1026" s="6">
        <v>20</v>
      </c>
      <c r="I1026" s="7" t="s">
        <v>39</v>
      </c>
      <c r="J1026" s="8">
        <f>1860000/20</f>
        <v>93000</v>
      </c>
      <c r="K1026" s="4" t="s">
        <v>39</v>
      </c>
      <c r="L1026" s="9">
        <v>0.03</v>
      </c>
      <c r="M1026" s="9">
        <v>0.17</v>
      </c>
      <c r="O1026" s="7" t="s">
        <v>39</v>
      </c>
      <c r="P1026" s="3">
        <f t="shared" ref="P1026" si="384">(C1026+(E1026*F1026*H1026))-N1026</f>
        <v>1660</v>
      </c>
      <c r="Q1026" s="7" t="s">
        <v>39</v>
      </c>
      <c r="R1026" s="8">
        <f t="shared" ref="R1026:R1044" si="385">S1026/1.11</f>
        <v>111974178.37837836</v>
      </c>
      <c r="S1026" s="8">
        <f t="shared" ref="S1026" si="386">P1026*(J1026-(J1026*L1026)-((J1026-(J1026*L1026))*M1026))</f>
        <v>124291338</v>
      </c>
    </row>
    <row r="1027" spans="1:19" x14ac:dyDescent="0.2">
      <c r="A1027" s="1" t="s">
        <v>554</v>
      </c>
      <c r="B1027" s="2" t="s">
        <v>24</v>
      </c>
      <c r="D1027" s="4" t="s">
        <v>39</v>
      </c>
      <c r="F1027" s="6">
        <v>1</v>
      </c>
      <c r="G1027" s="7" t="s">
        <v>19</v>
      </c>
      <c r="H1027" s="6">
        <v>20</v>
      </c>
      <c r="I1027" s="7" t="s">
        <v>39</v>
      </c>
      <c r="J1027" s="8">
        <f>1740000/20</f>
        <v>87000</v>
      </c>
      <c r="K1027" s="4" t="s">
        <v>39</v>
      </c>
      <c r="M1027" s="9">
        <v>0.17</v>
      </c>
      <c r="O1027" s="7" t="s">
        <v>39</v>
      </c>
      <c r="P1027" s="3">
        <f t="shared" ref="P1027:P1044" si="387">(C1027+(E1027*F1027*H1027))-N1027</f>
        <v>0</v>
      </c>
      <c r="Q1027" s="7" t="s">
        <v>39</v>
      </c>
      <c r="R1027" s="8">
        <f t="shared" si="385"/>
        <v>0</v>
      </c>
      <c r="S1027" s="8">
        <f t="shared" ref="S1027:S1044" si="388">P1027*(J1027-(J1027*L1027)-((J1027-(J1027*L1027))*M1027))</f>
        <v>0</v>
      </c>
    </row>
    <row r="1028" spans="1:19" x14ac:dyDescent="0.2">
      <c r="A1028" s="1" t="s">
        <v>555</v>
      </c>
      <c r="B1028" s="2" t="s">
        <v>24</v>
      </c>
      <c r="D1028" s="4" t="s">
        <v>39</v>
      </c>
      <c r="F1028" s="6">
        <v>1</v>
      </c>
      <c r="G1028" s="7" t="s">
        <v>19</v>
      </c>
      <c r="H1028" s="6">
        <v>20</v>
      </c>
      <c r="I1028" s="7" t="s">
        <v>39</v>
      </c>
      <c r="J1028" s="8">
        <f>1740000/20</f>
        <v>87000</v>
      </c>
      <c r="K1028" s="4" t="s">
        <v>39</v>
      </c>
      <c r="M1028" s="9">
        <v>0.17</v>
      </c>
      <c r="O1028" s="7" t="s">
        <v>39</v>
      </c>
      <c r="P1028" s="3">
        <f t="shared" si="387"/>
        <v>0</v>
      </c>
      <c r="Q1028" s="7" t="s">
        <v>39</v>
      </c>
      <c r="R1028" s="8">
        <f t="shared" si="385"/>
        <v>0</v>
      </c>
      <c r="S1028" s="8">
        <f t="shared" si="388"/>
        <v>0</v>
      </c>
    </row>
    <row r="1029" spans="1:19" x14ac:dyDescent="0.2">
      <c r="A1029" s="1" t="s">
        <v>556</v>
      </c>
      <c r="B1029" s="2" t="s">
        <v>24</v>
      </c>
      <c r="D1029" s="4" t="s">
        <v>39</v>
      </c>
      <c r="F1029" s="6">
        <v>1</v>
      </c>
      <c r="G1029" s="7" t="s">
        <v>19</v>
      </c>
      <c r="H1029" s="6">
        <v>20</v>
      </c>
      <c r="I1029" s="7" t="s">
        <v>39</v>
      </c>
      <c r="J1029" s="8">
        <f>2352000/20</f>
        <v>117600</v>
      </c>
      <c r="K1029" s="4" t="s">
        <v>39</v>
      </c>
      <c r="M1029" s="9">
        <v>0.17</v>
      </c>
      <c r="O1029" s="10" t="s">
        <v>39</v>
      </c>
      <c r="P1029" s="3">
        <f t="shared" si="387"/>
        <v>0</v>
      </c>
      <c r="Q1029" s="7" t="s">
        <v>39</v>
      </c>
      <c r="R1029" s="8">
        <f t="shared" si="385"/>
        <v>0</v>
      </c>
      <c r="S1029" s="8">
        <f t="shared" si="388"/>
        <v>0</v>
      </c>
    </row>
    <row r="1030" spans="1:19" x14ac:dyDescent="0.2">
      <c r="A1030" s="1" t="s">
        <v>640</v>
      </c>
      <c r="B1030" s="2" t="s">
        <v>24</v>
      </c>
      <c r="D1030" s="4" t="s">
        <v>39</v>
      </c>
      <c r="F1030" s="6">
        <v>1</v>
      </c>
      <c r="G1030" s="7" t="s">
        <v>19</v>
      </c>
      <c r="H1030" s="6">
        <v>20</v>
      </c>
      <c r="I1030" s="7" t="s">
        <v>39</v>
      </c>
      <c r="J1030" s="8">
        <f>2352000/20</f>
        <v>117600</v>
      </c>
      <c r="K1030" s="4" t="s">
        <v>39</v>
      </c>
      <c r="M1030" s="9">
        <v>0.17</v>
      </c>
      <c r="O1030" s="28" t="s">
        <v>39</v>
      </c>
      <c r="P1030" s="3">
        <f t="shared" si="387"/>
        <v>0</v>
      </c>
      <c r="Q1030" s="7" t="s">
        <v>39</v>
      </c>
      <c r="R1030" s="8">
        <f t="shared" si="385"/>
        <v>0</v>
      </c>
      <c r="S1030" s="8">
        <f t="shared" si="388"/>
        <v>0</v>
      </c>
    </row>
    <row r="1031" spans="1:19" x14ac:dyDescent="0.2">
      <c r="A1031" s="1" t="s">
        <v>557</v>
      </c>
      <c r="B1031" s="2" t="s">
        <v>24</v>
      </c>
      <c r="D1031" s="4" t="s">
        <v>39</v>
      </c>
      <c r="F1031" s="6">
        <v>1</v>
      </c>
      <c r="G1031" s="7" t="s">
        <v>19</v>
      </c>
      <c r="H1031" s="6">
        <v>20</v>
      </c>
      <c r="I1031" s="7" t="s">
        <v>39</v>
      </c>
      <c r="J1031" s="8">
        <f>2352000/20</f>
        <v>117600</v>
      </c>
      <c r="K1031" s="4" t="s">
        <v>39</v>
      </c>
      <c r="M1031" s="9">
        <v>0.17</v>
      </c>
      <c r="O1031" s="7" t="s">
        <v>39</v>
      </c>
      <c r="P1031" s="3">
        <f t="shared" si="387"/>
        <v>0</v>
      </c>
      <c r="Q1031" s="7" t="s">
        <v>39</v>
      </c>
      <c r="R1031" s="8">
        <f t="shared" si="385"/>
        <v>0</v>
      </c>
      <c r="S1031" s="8">
        <f t="shared" si="388"/>
        <v>0</v>
      </c>
    </row>
    <row r="1032" spans="1:19" x14ac:dyDescent="0.2">
      <c r="A1032" s="1" t="s">
        <v>764</v>
      </c>
      <c r="B1032" s="2" t="s">
        <v>24</v>
      </c>
      <c r="D1032" s="4" t="s">
        <v>39</v>
      </c>
      <c r="F1032" s="6">
        <v>1</v>
      </c>
      <c r="G1032" s="7" t="s">
        <v>19</v>
      </c>
      <c r="H1032" s="6">
        <v>10</v>
      </c>
      <c r="I1032" s="7" t="s">
        <v>39</v>
      </c>
      <c r="J1032" s="8">
        <f>2400000/10</f>
        <v>240000</v>
      </c>
      <c r="K1032" s="4" t="s">
        <v>39</v>
      </c>
      <c r="M1032" s="9">
        <v>0.17</v>
      </c>
      <c r="O1032" s="10" t="s">
        <v>39</v>
      </c>
      <c r="P1032" s="3">
        <f t="shared" si="387"/>
        <v>0</v>
      </c>
      <c r="Q1032" s="7" t="s">
        <v>39</v>
      </c>
      <c r="R1032" s="8">
        <f t="shared" si="385"/>
        <v>0</v>
      </c>
      <c r="S1032" s="8">
        <f t="shared" si="388"/>
        <v>0</v>
      </c>
    </row>
    <row r="1033" spans="1:19" x14ac:dyDescent="0.2">
      <c r="A1033" s="1" t="s">
        <v>558</v>
      </c>
      <c r="B1033" s="2" t="s">
        <v>24</v>
      </c>
      <c r="D1033" s="4" t="s">
        <v>39</v>
      </c>
      <c r="F1033" s="6">
        <v>1</v>
      </c>
      <c r="G1033" s="7" t="s">
        <v>19</v>
      </c>
      <c r="H1033" s="6">
        <v>40</v>
      </c>
      <c r="I1033" s="7" t="s">
        <v>39</v>
      </c>
      <c r="J1033" s="8">
        <f>2688000/40</f>
        <v>67200</v>
      </c>
      <c r="K1033" s="4" t="s">
        <v>39</v>
      </c>
      <c r="M1033" s="9">
        <v>0.17</v>
      </c>
      <c r="O1033" s="7" t="s">
        <v>39</v>
      </c>
      <c r="P1033" s="3">
        <f t="shared" si="387"/>
        <v>0</v>
      </c>
      <c r="Q1033" s="7" t="s">
        <v>39</v>
      </c>
      <c r="R1033" s="8">
        <f t="shared" si="385"/>
        <v>0</v>
      </c>
      <c r="S1033" s="8">
        <f t="shared" si="388"/>
        <v>0</v>
      </c>
    </row>
    <row r="1034" spans="1:19" x14ac:dyDescent="0.2">
      <c r="A1034" s="1" t="s">
        <v>559</v>
      </c>
      <c r="B1034" s="2" t="s">
        <v>24</v>
      </c>
      <c r="D1034" s="4" t="s">
        <v>39</v>
      </c>
      <c r="F1034" s="6">
        <v>1</v>
      </c>
      <c r="G1034" s="7" t="s">
        <v>19</v>
      </c>
      <c r="H1034" s="6">
        <v>20</v>
      </c>
      <c r="I1034" s="7" t="s">
        <v>39</v>
      </c>
      <c r="J1034" s="8">
        <v>120000</v>
      </c>
      <c r="K1034" s="4" t="s">
        <v>39</v>
      </c>
      <c r="M1034" s="9">
        <v>0.17</v>
      </c>
      <c r="O1034" s="7" t="s">
        <v>39</v>
      </c>
      <c r="P1034" s="3">
        <f t="shared" si="387"/>
        <v>0</v>
      </c>
      <c r="Q1034" s="7" t="s">
        <v>39</v>
      </c>
      <c r="R1034" s="8">
        <f t="shared" si="385"/>
        <v>0</v>
      </c>
      <c r="S1034" s="8">
        <f t="shared" si="388"/>
        <v>0</v>
      </c>
    </row>
    <row r="1035" spans="1:19" x14ac:dyDescent="0.2">
      <c r="A1035" s="1" t="s">
        <v>560</v>
      </c>
      <c r="B1035" s="2" t="s">
        <v>24</v>
      </c>
      <c r="D1035" s="4" t="s">
        <v>39</v>
      </c>
      <c r="F1035" s="6">
        <v>1</v>
      </c>
      <c r="G1035" s="7" t="s">
        <v>19</v>
      </c>
      <c r="H1035" s="6">
        <v>25</v>
      </c>
      <c r="I1035" s="7" t="s">
        <v>39</v>
      </c>
      <c r="J1035" s="8">
        <v>74400</v>
      </c>
      <c r="K1035" s="4" t="s">
        <v>39</v>
      </c>
      <c r="M1035" s="9">
        <v>0.17</v>
      </c>
      <c r="O1035" s="7" t="s">
        <v>39</v>
      </c>
      <c r="P1035" s="3">
        <f t="shared" ref="P1035" si="389">(C1035+(E1035*F1035*H1035))-N1035</f>
        <v>0</v>
      </c>
      <c r="Q1035" s="7" t="s">
        <v>39</v>
      </c>
      <c r="R1035" s="8">
        <f t="shared" si="385"/>
        <v>0</v>
      </c>
      <c r="S1035" s="8">
        <f t="shared" ref="S1035" si="390">P1035*(J1035-(J1035*L1035)-((J1035-(J1035*L1035))*M1035))</f>
        <v>0</v>
      </c>
    </row>
    <row r="1036" spans="1:19" x14ac:dyDescent="0.2">
      <c r="A1036" s="1" t="s">
        <v>561</v>
      </c>
      <c r="B1036" s="2" t="s">
        <v>24</v>
      </c>
      <c r="D1036" s="4" t="s">
        <v>39</v>
      </c>
      <c r="F1036" s="6">
        <v>1</v>
      </c>
      <c r="G1036" s="7" t="s">
        <v>19</v>
      </c>
      <c r="H1036" s="6">
        <v>10</v>
      </c>
      <c r="I1036" s="7" t="s">
        <v>39</v>
      </c>
      <c r="J1036" s="8">
        <f>2280000/10</f>
        <v>228000</v>
      </c>
      <c r="K1036" s="4" t="s">
        <v>39</v>
      </c>
      <c r="M1036" s="9">
        <v>0.17</v>
      </c>
      <c r="O1036" s="7" t="s">
        <v>39</v>
      </c>
      <c r="P1036" s="3">
        <f t="shared" si="387"/>
        <v>0</v>
      </c>
      <c r="Q1036" s="7" t="s">
        <v>39</v>
      </c>
      <c r="R1036" s="8">
        <f t="shared" si="385"/>
        <v>0</v>
      </c>
      <c r="S1036" s="8">
        <f t="shared" si="388"/>
        <v>0</v>
      </c>
    </row>
    <row r="1037" spans="1:19" x14ac:dyDescent="0.2">
      <c r="A1037" s="1" t="s">
        <v>562</v>
      </c>
      <c r="B1037" s="2" t="s">
        <v>24</v>
      </c>
      <c r="C1037" s="3">
        <v>200</v>
      </c>
      <c r="D1037" s="4" t="s">
        <v>39</v>
      </c>
      <c r="F1037" s="6">
        <v>1</v>
      </c>
      <c r="G1037" s="7" t="s">
        <v>19</v>
      </c>
      <c r="H1037" s="6">
        <v>10</v>
      </c>
      <c r="I1037" s="7" t="s">
        <v>39</v>
      </c>
      <c r="J1037" s="8">
        <f>2280000/10</f>
        <v>228000</v>
      </c>
      <c r="K1037" s="4" t="s">
        <v>39</v>
      </c>
      <c r="M1037" s="9">
        <v>0.17</v>
      </c>
      <c r="O1037" s="34" t="s">
        <v>39</v>
      </c>
      <c r="P1037" s="3">
        <f t="shared" si="387"/>
        <v>200</v>
      </c>
      <c r="Q1037" s="7" t="s">
        <v>39</v>
      </c>
      <c r="R1037" s="8">
        <f t="shared" si="385"/>
        <v>34097297.297297291</v>
      </c>
      <c r="S1037" s="8">
        <f t="shared" si="388"/>
        <v>37848000</v>
      </c>
    </row>
    <row r="1038" spans="1:19" x14ac:dyDescent="0.2">
      <c r="A1038" s="1" t="s">
        <v>563</v>
      </c>
      <c r="B1038" s="2" t="s">
        <v>24</v>
      </c>
      <c r="D1038" s="4" t="s">
        <v>39</v>
      </c>
      <c r="F1038" s="6">
        <v>1</v>
      </c>
      <c r="G1038" s="7" t="s">
        <v>19</v>
      </c>
      <c r="H1038" s="6">
        <v>10</v>
      </c>
      <c r="I1038" s="7" t="s">
        <v>39</v>
      </c>
      <c r="J1038" s="8">
        <v>228000</v>
      </c>
      <c r="K1038" s="4" t="s">
        <v>39</v>
      </c>
      <c r="M1038" s="9">
        <v>0.17</v>
      </c>
      <c r="O1038" s="7" t="s">
        <v>39</v>
      </c>
      <c r="P1038" s="3">
        <f t="shared" ref="P1038" si="391">(C1038+(E1038*F1038*H1038))-N1038</f>
        <v>0</v>
      </c>
      <c r="Q1038" s="7" t="s">
        <v>39</v>
      </c>
      <c r="R1038" s="8">
        <f t="shared" si="385"/>
        <v>0</v>
      </c>
      <c r="S1038" s="8">
        <f t="shared" ref="S1038" si="392">P1038*(J1038-(J1038*L1038)-((J1038-(J1038*L1038))*M1038))</f>
        <v>0</v>
      </c>
    </row>
    <row r="1039" spans="1:19" x14ac:dyDescent="0.2">
      <c r="A1039" s="1" t="s">
        <v>564</v>
      </c>
      <c r="B1039" s="2" t="s">
        <v>24</v>
      </c>
      <c r="D1039" s="4" t="s">
        <v>39</v>
      </c>
      <c r="F1039" s="6">
        <v>1</v>
      </c>
      <c r="G1039" s="7" t="s">
        <v>19</v>
      </c>
      <c r="H1039" s="6">
        <v>10</v>
      </c>
      <c r="I1039" s="7" t="s">
        <v>39</v>
      </c>
      <c r="J1039" s="8">
        <v>228000</v>
      </c>
      <c r="K1039" s="4" t="s">
        <v>39</v>
      </c>
      <c r="M1039" s="9">
        <v>0.17</v>
      </c>
      <c r="O1039" s="7" t="s">
        <v>39</v>
      </c>
      <c r="P1039" s="3">
        <f t="shared" ref="P1039" si="393">(C1039+(E1039*F1039*H1039))-N1039</f>
        <v>0</v>
      </c>
      <c r="Q1039" s="7" t="s">
        <v>39</v>
      </c>
      <c r="R1039" s="8">
        <f t="shared" si="385"/>
        <v>0</v>
      </c>
      <c r="S1039" s="8">
        <f t="shared" ref="S1039" si="394">P1039*(J1039-(J1039*L1039)-((J1039-(J1039*L1039))*M1039))</f>
        <v>0</v>
      </c>
    </row>
    <row r="1040" spans="1:19" x14ac:dyDescent="0.2">
      <c r="A1040" s="1" t="s">
        <v>565</v>
      </c>
      <c r="B1040" s="2" t="s">
        <v>24</v>
      </c>
      <c r="D1040" s="4" t="s">
        <v>18</v>
      </c>
      <c r="F1040" s="6">
        <v>20</v>
      </c>
      <c r="G1040" s="7" t="s">
        <v>32</v>
      </c>
      <c r="H1040" s="6">
        <v>6</v>
      </c>
      <c r="I1040" s="7" t="s">
        <v>18</v>
      </c>
      <c r="J1040" s="8">
        <v>14500</v>
      </c>
      <c r="K1040" s="4" t="s">
        <v>18</v>
      </c>
      <c r="M1040" s="9">
        <v>0.17</v>
      </c>
      <c r="O1040" s="7" t="s">
        <v>18</v>
      </c>
      <c r="P1040" s="3">
        <f t="shared" si="387"/>
        <v>0</v>
      </c>
      <c r="Q1040" s="7" t="s">
        <v>18</v>
      </c>
      <c r="R1040" s="8">
        <f t="shared" si="385"/>
        <v>0</v>
      </c>
      <c r="S1040" s="8">
        <f t="shared" si="388"/>
        <v>0</v>
      </c>
    </row>
    <row r="1041" spans="1:19" x14ac:dyDescent="0.2">
      <c r="A1041" s="1" t="s">
        <v>566</v>
      </c>
      <c r="B1041" s="2" t="s">
        <v>24</v>
      </c>
      <c r="D1041" s="4" t="s">
        <v>18</v>
      </c>
      <c r="F1041" s="6">
        <v>1</v>
      </c>
      <c r="G1041" s="7" t="s">
        <v>19</v>
      </c>
      <c r="H1041" s="6">
        <v>6</v>
      </c>
      <c r="I1041" s="7" t="s">
        <v>18</v>
      </c>
      <c r="J1041" s="8">
        <f>2160000/6</f>
        <v>360000</v>
      </c>
      <c r="K1041" s="4" t="s">
        <v>18</v>
      </c>
      <c r="M1041" s="9">
        <v>0.17</v>
      </c>
      <c r="O1041" s="7" t="s">
        <v>18</v>
      </c>
      <c r="P1041" s="3">
        <f t="shared" si="387"/>
        <v>0</v>
      </c>
      <c r="Q1041" s="7" t="s">
        <v>18</v>
      </c>
      <c r="R1041" s="8">
        <f t="shared" si="385"/>
        <v>0</v>
      </c>
      <c r="S1041" s="8">
        <f t="shared" si="388"/>
        <v>0</v>
      </c>
    </row>
    <row r="1042" spans="1:19" x14ac:dyDescent="0.2">
      <c r="A1042" s="1" t="s">
        <v>567</v>
      </c>
      <c r="B1042" s="2" t="s">
        <v>24</v>
      </c>
      <c r="D1042" s="4" t="s">
        <v>18</v>
      </c>
      <c r="F1042" s="6">
        <v>1</v>
      </c>
      <c r="G1042" s="7" t="s">
        <v>19</v>
      </c>
      <c r="H1042" s="6">
        <v>6</v>
      </c>
      <c r="I1042" s="7" t="s">
        <v>18</v>
      </c>
      <c r="J1042" s="8">
        <f>930000/6</f>
        <v>155000</v>
      </c>
      <c r="K1042" s="4" t="s">
        <v>18</v>
      </c>
      <c r="M1042" s="9">
        <v>0.17</v>
      </c>
      <c r="O1042" s="7" t="s">
        <v>18</v>
      </c>
      <c r="P1042" s="3">
        <f t="shared" si="387"/>
        <v>0</v>
      </c>
      <c r="Q1042" s="7" t="s">
        <v>18</v>
      </c>
      <c r="R1042" s="8">
        <f t="shared" si="385"/>
        <v>0</v>
      </c>
      <c r="S1042" s="8">
        <f t="shared" si="388"/>
        <v>0</v>
      </c>
    </row>
    <row r="1043" spans="1:19" x14ac:dyDescent="0.2">
      <c r="A1043" s="1" t="s">
        <v>568</v>
      </c>
      <c r="B1043" s="2" t="s">
        <v>24</v>
      </c>
      <c r="D1043" s="4" t="s">
        <v>18</v>
      </c>
      <c r="F1043" s="6">
        <v>1</v>
      </c>
      <c r="G1043" s="7" t="s">
        <v>19</v>
      </c>
      <c r="H1043" s="6">
        <v>6</v>
      </c>
      <c r="I1043" s="7" t="s">
        <v>18</v>
      </c>
      <c r="J1043" s="8">
        <f>504000/6</f>
        <v>84000</v>
      </c>
      <c r="K1043" s="4" t="s">
        <v>18</v>
      </c>
      <c r="M1043" s="9">
        <v>0.17</v>
      </c>
      <c r="O1043" s="7" t="s">
        <v>18</v>
      </c>
      <c r="P1043" s="3">
        <f t="shared" si="387"/>
        <v>0</v>
      </c>
      <c r="Q1043" s="7" t="s">
        <v>18</v>
      </c>
      <c r="R1043" s="8">
        <f t="shared" si="385"/>
        <v>0</v>
      </c>
      <c r="S1043" s="8">
        <f t="shared" si="388"/>
        <v>0</v>
      </c>
    </row>
    <row r="1044" spans="1:19" x14ac:dyDescent="0.2">
      <c r="A1044" s="1" t="s">
        <v>569</v>
      </c>
      <c r="B1044" s="2" t="s">
        <v>24</v>
      </c>
      <c r="D1044" s="4" t="s">
        <v>18</v>
      </c>
      <c r="F1044" s="6">
        <v>1</v>
      </c>
      <c r="G1044" s="7" t="s">
        <v>19</v>
      </c>
      <c r="H1044" s="6">
        <v>6</v>
      </c>
      <c r="I1044" s="7" t="s">
        <v>18</v>
      </c>
      <c r="J1044" s="8">
        <f>990000/6</f>
        <v>165000</v>
      </c>
      <c r="K1044" s="4" t="s">
        <v>18</v>
      </c>
      <c r="M1044" s="9">
        <v>0.17</v>
      </c>
      <c r="O1044" s="7" t="s">
        <v>18</v>
      </c>
      <c r="P1044" s="3">
        <f t="shared" si="387"/>
        <v>0</v>
      </c>
      <c r="Q1044" s="7" t="s">
        <v>18</v>
      </c>
      <c r="R1044" s="8">
        <f t="shared" si="385"/>
        <v>0</v>
      </c>
      <c r="S1044" s="8">
        <f t="shared" si="388"/>
        <v>0</v>
      </c>
    </row>
    <row r="1046" spans="1:19" x14ac:dyDescent="0.2">
      <c r="A1046" s="23" t="s">
        <v>570</v>
      </c>
      <c r="B1046" s="2" t="s">
        <v>571</v>
      </c>
      <c r="D1046" s="4" t="s">
        <v>39</v>
      </c>
      <c r="F1046" s="6">
        <v>1</v>
      </c>
      <c r="G1046" s="7" t="s">
        <v>19</v>
      </c>
      <c r="H1046" s="6">
        <v>30</v>
      </c>
      <c r="I1046" s="7" t="s">
        <v>39</v>
      </c>
      <c r="J1046" s="8">
        <f>124342.32*1.11</f>
        <v>138019.97520000002</v>
      </c>
      <c r="K1046" s="4" t="s">
        <v>39</v>
      </c>
      <c r="L1046" s="9">
        <v>0.17499999999999999</v>
      </c>
      <c r="M1046" s="9">
        <v>0.03</v>
      </c>
      <c r="O1046" s="7" t="s">
        <v>39</v>
      </c>
      <c r="P1046" s="3">
        <f t="shared" ref="P1046:P1050" si="395">(C1046+(E1046*F1046*H1046))-N1046</f>
        <v>0</v>
      </c>
      <c r="Q1046" s="7" t="s">
        <v>39</v>
      </c>
      <c r="R1046" s="8">
        <f>S1046/1.11</f>
        <v>0</v>
      </c>
      <c r="S1046" s="8">
        <f t="shared" ref="S1046:S1050" si="396">P1046*(J1046-(J1046*L1046)-((J1046-(J1046*L1046))*M1046))</f>
        <v>0</v>
      </c>
    </row>
    <row r="1047" spans="1:19" x14ac:dyDescent="0.2">
      <c r="A1047" s="23" t="s">
        <v>572</v>
      </c>
      <c r="B1047" s="2" t="s">
        <v>571</v>
      </c>
      <c r="D1047" s="4" t="s">
        <v>39</v>
      </c>
      <c r="F1047" s="6">
        <v>1</v>
      </c>
      <c r="G1047" s="7" t="s">
        <v>19</v>
      </c>
      <c r="H1047" s="6">
        <v>30</v>
      </c>
      <c r="I1047" s="7" t="s">
        <v>39</v>
      </c>
      <c r="J1047" s="8">
        <v>216000</v>
      </c>
      <c r="K1047" s="4" t="s">
        <v>39</v>
      </c>
      <c r="M1047" s="9">
        <v>0.15</v>
      </c>
      <c r="O1047" s="7" t="s">
        <v>39</v>
      </c>
      <c r="P1047" s="3">
        <f t="shared" si="395"/>
        <v>0</v>
      </c>
      <c r="Q1047" s="7" t="s">
        <v>39</v>
      </c>
      <c r="R1047" s="8">
        <f>S1047/1.11</f>
        <v>0</v>
      </c>
      <c r="S1047" s="8">
        <f t="shared" si="396"/>
        <v>0</v>
      </c>
    </row>
    <row r="1048" spans="1:19" x14ac:dyDescent="0.2">
      <c r="A1048" s="23" t="s">
        <v>573</v>
      </c>
      <c r="B1048" s="2" t="s">
        <v>571</v>
      </c>
      <c r="D1048" s="4" t="s">
        <v>39</v>
      </c>
      <c r="F1048" s="6">
        <v>1</v>
      </c>
      <c r="G1048" s="7" t="s">
        <v>19</v>
      </c>
      <c r="H1048" s="6">
        <v>30</v>
      </c>
      <c r="I1048" s="7" t="s">
        <v>39</v>
      </c>
      <c r="J1048" s="8">
        <v>216000</v>
      </c>
      <c r="K1048" s="4" t="s">
        <v>39</v>
      </c>
      <c r="M1048" s="9">
        <v>0.15</v>
      </c>
      <c r="O1048" s="7" t="s">
        <v>39</v>
      </c>
      <c r="P1048" s="3">
        <f t="shared" si="395"/>
        <v>0</v>
      </c>
      <c r="Q1048" s="7" t="s">
        <v>39</v>
      </c>
      <c r="R1048" s="8">
        <f>S1048/1.11</f>
        <v>0</v>
      </c>
      <c r="S1048" s="8">
        <f t="shared" si="396"/>
        <v>0</v>
      </c>
    </row>
    <row r="1049" spans="1:19" x14ac:dyDescent="0.2">
      <c r="A1049" s="23" t="s">
        <v>574</v>
      </c>
      <c r="B1049" s="2" t="s">
        <v>571</v>
      </c>
      <c r="D1049" s="4" t="s">
        <v>39</v>
      </c>
      <c r="F1049" s="6">
        <v>1</v>
      </c>
      <c r="G1049" s="7" t="s">
        <v>19</v>
      </c>
      <c r="H1049" s="6">
        <v>30</v>
      </c>
      <c r="I1049" s="7" t="s">
        <v>39</v>
      </c>
      <c r="J1049" s="8">
        <v>220000</v>
      </c>
      <c r="K1049" s="4" t="s">
        <v>39</v>
      </c>
      <c r="M1049" s="9">
        <v>0.15</v>
      </c>
      <c r="O1049" s="7" t="s">
        <v>39</v>
      </c>
      <c r="P1049" s="3">
        <f t="shared" si="395"/>
        <v>0</v>
      </c>
      <c r="Q1049" s="7" t="s">
        <v>39</v>
      </c>
      <c r="R1049" s="8">
        <f>S1049/1.11</f>
        <v>0</v>
      </c>
      <c r="S1049" s="8">
        <f t="shared" si="396"/>
        <v>0</v>
      </c>
    </row>
    <row r="1050" spans="1:19" x14ac:dyDescent="0.2">
      <c r="A1050" s="23" t="s">
        <v>575</v>
      </c>
      <c r="B1050" s="2" t="s">
        <v>571</v>
      </c>
      <c r="D1050" s="4" t="s">
        <v>39</v>
      </c>
      <c r="F1050" s="6">
        <v>1</v>
      </c>
      <c r="G1050" s="7" t="s">
        <v>19</v>
      </c>
      <c r="H1050" s="6">
        <v>20</v>
      </c>
      <c r="I1050" s="7" t="s">
        <v>39</v>
      </c>
      <c r="J1050" s="8">
        <f>216283.78*1.11</f>
        <v>240074.99580000003</v>
      </c>
      <c r="K1050" s="4" t="s">
        <v>39</v>
      </c>
      <c r="L1050" s="9">
        <v>0.17499999999999999</v>
      </c>
      <c r="M1050" s="9">
        <v>0.03</v>
      </c>
      <c r="O1050" s="7" t="s">
        <v>39</v>
      </c>
      <c r="P1050" s="3">
        <f t="shared" si="395"/>
        <v>0</v>
      </c>
      <c r="Q1050" s="7" t="s">
        <v>39</v>
      </c>
      <c r="R1050" s="8">
        <f>S1050/1.11</f>
        <v>0</v>
      </c>
      <c r="S1050" s="8">
        <f t="shared" si="396"/>
        <v>0</v>
      </c>
    </row>
    <row r="1051" spans="1:19" x14ac:dyDescent="0.2">
      <c r="A1051" s="23"/>
    </row>
    <row r="1052" spans="1:19" x14ac:dyDescent="0.2">
      <c r="A1052" s="23" t="s">
        <v>576</v>
      </c>
      <c r="B1052" s="2" t="s">
        <v>180</v>
      </c>
      <c r="C1052" s="3">
        <v>15</v>
      </c>
      <c r="D1052" s="4" t="s">
        <v>39</v>
      </c>
      <c r="F1052" s="6">
        <v>1</v>
      </c>
      <c r="G1052" s="7" t="s">
        <v>19</v>
      </c>
      <c r="H1052" s="6">
        <v>5</v>
      </c>
      <c r="I1052" s="7" t="s">
        <v>39</v>
      </c>
      <c r="J1052" s="8">
        <v>250000</v>
      </c>
      <c r="K1052" s="4" t="s">
        <v>39</v>
      </c>
      <c r="O1052" s="28" t="s">
        <v>39</v>
      </c>
      <c r="P1052" s="3">
        <f>(C1052+(E1052*F1052*H1052))-N1052</f>
        <v>15</v>
      </c>
      <c r="Q1052" s="7" t="s">
        <v>39</v>
      </c>
      <c r="R1052" s="8">
        <f>S1052/1.11</f>
        <v>3378378.3783783782</v>
      </c>
      <c r="S1052" s="8">
        <f>P1052*(J1052-(J1052*L1052)-((J1052-(J1052*L1052))*M1052))</f>
        <v>3750000</v>
      </c>
    </row>
    <row r="1053" spans="1:19" x14ac:dyDescent="0.2">
      <c r="A1053" s="23"/>
      <c r="O1053" s="28"/>
    </row>
    <row r="1054" spans="1:19" x14ac:dyDescent="0.2">
      <c r="A1054" s="24" t="s">
        <v>577</v>
      </c>
    </row>
    <row r="1055" spans="1:19" x14ac:dyDescent="0.2">
      <c r="A1055" s="1" t="s">
        <v>579</v>
      </c>
      <c r="B1055" s="2" t="s">
        <v>571</v>
      </c>
      <c r="C1055" s="3">
        <v>800</v>
      </c>
      <c r="D1055" s="4" t="s">
        <v>97</v>
      </c>
      <c r="F1055" s="6">
        <v>1</v>
      </c>
      <c r="G1055" s="7" t="s">
        <v>19</v>
      </c>
      <c r="H1055" s="6">
        <v>100</v>
      </c>
      <c r="I1055" s="7" t="s">
        <v>97</v>
      </c>
      <c r="J1055" s="8">
        <v>14000</v>
      </c>
      <c r="K1055" s="4" t="s">
        <v>97</v>
      </c>
      <c r="L1055" s="9">
        <v>0.1</v>
      </c>
      <c r="O1055" s="7" t="s">
        <v>97</v>
      </c>
      <c r="P1055" s="3">
        <f>(C1055+(E1055*F1055*H1055))-N1055</f>
        <v>800</v>
      </c>
      <c r="Q1055" s="7" t="s">
        <v>97</v>
      </c>
      <c r="R1055" s="8">
        <f>S1055/1.11</f>
        <v>9081081.0810810812</v>
      </c>
      <c r="S1055" s="8">
        <f>P1055*(J1055-(J1055*L1055)-((J1055-(J1055*L1055))*M1055))</f>
        <v>10080000</v>
      </c>
    </row>
    <row r="1056" spans="1:19" x14ac:dyDescent="0.2">
      <c r="A1056" s="1" t="s">
        <v>580</v>
      </c>
      <c r="B1056" s="2" t="s">
        <v>571</v>
      </c>
      <c r="D1056" s="4" t="s">
        <v>97</v>
      </c>
      <c r="F1056" s="6">
        <v>1</v>
      </c>
      <c r="G1056" s="7" t="s">
        <v>19</v>
      </c>
      <c r="H1056" s="6">
        <v>50</v>
      </c>
      <c r="I1056" s="7" t="s">
        <v>97</v>
      </c>
      <c r="J1056" s="8">
        <v>24000</v>
      </c>
      <c r="K1056" s="4" t="s">
        <v>97</v>
      </c>
      <c r="O1056" s="7" t="s">
        <v>97</v>
      </c>
      <c r="P1056" s="3">
        <f>(C1056+(E1056*F1056*H1056))-N1056</f>
        <v>0</v>
      </c>
      <c r="Q1056" s="7" t="s">
        <v>97</v>
      </c>
      <c r="R1056" s="8">
        <f>S1056/1.11</f>
        <v>0</v>
      </c>
      <c r="S1056" s="8">
        <f>P1056*(J1056-(J1056*L1056)-((J1056-(J1056*L1056))*M1056))</f>
        <v>0</v>
      </c>
    </row>
    <row r="1058" spans="1:19" x14ac:dyDescent="0.2">
      <c r="A1058" s="1" t="s">
        <v>578</v>
      </c>
      <c r="B1058" s="2" t="s">
        <v>17</v>
      </c>
      <c r="D1058" s="4" t="s">
        <v>32</v>
      </c>
      <c r="F1058" s="6">
        <v>1</v>
      </c>
      <c r="G1058" s="7" t="s">
        <v>19</v>
      </c>
      <c r="H1058" s="6">
        <v>50</v>
      </c>
      <c r="I1058" s="7" t="s">
        <v>32</v>
      </c>
      <c r="J1058" s="8">
        <v>28000</v>
      </c>
      <c r="K1058" s="4" t="s">
        <v>32</v>
      </c>
      <c r="L1058" s="9">
        <v>0.125</v>
      </c>
      <c r="M1058" s="9">
        <v>0.05</v>
      </c>
      <c r="O1058" s="7" t="s">
        <v>32</v>
      </c>
      <c r="P1058" s="3">
        <f>(C1058+(E1058*F1058*H1058))-N1058</f>
        <v>0</v>
      </c>
      <c r="Q1058" s="7" t="s">
        <v>32</v>
      </c>
      <c r="R1058" s="8">
        <f>S1058/1.11</f>
        <v>0</v>
      </c>
      <c r="S1058" s="8">
        <f>P1058*(J1058-(J1058*L1058)-((J1058-(J1058*L1058))*M1058))</f>
        <v>0</v>
      </c>
    </row>
    <row r="1060" spans="1:19" x14ac:dyDescent="0.2">
      <c r="A1060" s="12" t="s">
        <v>581</v>
      </c>
      <c r="B1060" s="2" t="s">
        <v>24</v>
      </c>
      <c r="C1060" s="3">
        <v>6400</v>
      </c>
      <c r="D1060" s="4" t="s">
        <v>32</v>
      </c>
      <c r="F1060" s="6">
        <v>40</v>
      </c>
      <c r="G1060" s="7" t="s">
        <v>97</v>
      </c>
      <c r="H1060" s="6">
        <v>20</v>
      </c>
      <c r="I1060" s="7" t="s">
        <v>32</v>
      </c>
      <c r="J1060" s="8">
        <f>840000/40/20</f>
        <v>1050</v>
      </c>
      <c r="K1060" s="4" t="s">
        <v>32</v>
      </c>
      <c r="M1060" s="9">
        <v>0.17</v>
      </c>
      <c r="O1060" s="7" t="s">
        <v>32</v>
      </c>
      <c r="P1060" s="3">
        <f>(C1060+(E1060*F1060*H1060))-N1060</f>
        <v>6400</v>
      </c>
      <c r="Q1060" s="7" t="s">
        <v>32</v>
      </c>
      <c r="R1060" s="8">
        <f>S1060/1.11</f>
        <v>5024864.8648648644</v>
      </c>
      <c r="S1060" s="8">
        <f>P1060*(J1060-(J1060*L1060)-((J1060-(J1060*L1060))*M1060))</f>
        <v>5577600</v>
      </c>
    </row>
    <row r="1061" spans="1:19" x14ac:dyDescent="0.2">
      <c r="A1061" s="12" t="s">
        <v>582</v>
      </c>
      <c r="B1061" s="2" t="s">
        <v>24</v>
      </c>
      <c r="D1061" s="4" t="s">
        <v>97</v>
      </c>
      <c r="F1061" s="6">
        <v>1</v>
      </c>
      <c r="G1061" s="7" t="s">
        <v>19</v>
      </c>
      <c r="H1061" s="6">
        <v>20</v>
      </c>
      <c r="I1061" s="7" t="s">
        <v>97</v>
      </c>
      <c r="J1061" s="8">
        <f>840000/20</f>
        <v>42000</v>
      </c>
      <c r="K1061" s="4" t="s">
        <v>97</v>
      </c>
      <c r="M1061" s="9">
        <v>0.17</v>
      </c>
      <c r="O1061" s="7" t="s">
        <v>97</v>
      </c>
      <c r="P1061" s="3">
        <f>(C1061+(E1061*F1061*H1061))-N1061</f>
        <v>0</v>
      </c>
      <c r="Q1061" s="7" t="s">
        <v>97</v>
      </c>
      <c r="R1061" s="8">
        <f>S1061/1.11</f>
        <v>0</v>
      </c>
      <c r="S1061" s="8">
        <f>P1061*(J1061-(J1061*L1061)-((J1061-(J1061*L1061))*M1061))</f>
        <v>0</v>
      </c>
    </row>
    <row r="1062" spans="1:19" s="1" customFormat="1" x14ac:dyDescent="0.2">
      <c r="A1062" s="1" t="s">
        <v>583</v>
      </c>
      <c r="B1062" s="1" t="s">
        <v>24</v>
      </c>
      <c r="C1062" s="17"/>
      <c r="D1062" s="18" t="s">
        <v>97</v>
      </c>
      <c r="E1062" s="19"/>
      <c r="F1062" s="20">
        <v>1</v>
      </c>
      <c r="G1062" s="16" t="s">
        <v>19</v>
      </c>
      <c r="H1062" s="20">
        <v>15</v>
      </c>
      <c r="I1062" s="16" t="s">
        <v>97</v>
      </c>
      <c r="J1062" s="21">
        <f>525000/15</f>
        <v>35000</v>
      </c>
      <c r="K1062" s="18" t="s">
        <v>97</v>
      </c>
      <c r="L1062" s="22"/>
      <c r="M1062" s="22">
        <v>0.17</v>
      </c>
      <c r="N1062" s="20"/>
      <c r="O1062" s="16" t="s">
        <v>97</v>
      </c>
      <c r="P1062" s="17">
        <f>(C1062+(E1062*F1062*H1062))-N1062</f>
        <v>0</v>
      </c>
      <c r="Q1062" s="16" t="s">
        <v>97</v>
      </c>
      <c r="R1062" s="21">
        <f>S1062/1.11</f>
        <v>0</v>
      </c>
      <c r="S1062" s="21">
        <f>P1062*(J1062-(J1062*L1062)-((J1062-(J1062*L1062))*M1062))</f>
        <v>0</v>
      </c>
    </row>
    <row r="1063" spans="1:19" s="1" customFormat="1" x14ac:dyDescent="0.2">
      <c r="C1063" s="17"/>
      <c r="D1063" s="18"/>
      <c r="E1063" s="19"/>
      <c r="F1063" s="20"/>
      <c r="G1063" s="16"/>
      <c r="H1063" s="20"/>
      <c r="I1063" s="16"/>
      <c r="J1063" s="21"/>
      <c r="K1063" s="18"/>
      <c r="L1063" s="22"/>
      <c r="M1063" s="22"/>
      <c r="N1063" s="20"/>
      <c r="O1063" s="16"/>
      <c r="P1063" s="17"/>
      <c r="Q1063" s="16"/>
      <c r="R1063" s="21"/>
      <c r="S1063" s="21"/>
    </row>
    <row r="1064" spans="1:19" x14ac:dyDescent="0.2">
      <c r="A1064" s="12" t="s">
        <v>786</v>
      </c>
      <c r="B1064" s="2" t="s">
        <v>585</v>
      </c>
      <c r="C1064" s="3">
        <v>1000</v>
      </c>
      <c r="D1064" s="4" t="s">
        <v>32</v>
      </c>
      <c r="F1064" s="6">
        <v>1</v>
      </c>
      <c r="G1064" s="7" t="s">
        <v>19</v>
      </c>
      <c r="H1064" s="6">
        <v>500</v>
      </c>
      <c r="I1064" s="7" t="s">
        <v>32</v>
      </c>
      <c r="J1064" s="8">
        <v>3000</v>
      </c>
      <c r="K1064" s="4" t="s">
        <v>32</v>
      </c>
      <c r="L1064" s="9">
        <v>0.17499999999999999</v>
      </c>
      <c r="O1064" s="7" t="s">
        <v>32</v>
      </c>
      <c r="P1064" s="3">
        <f>(C1064+(E1064*F1064*H1064))-N1064</f>
        <v>1000</v>
      </c>
      <c r="Q1064" s="7" t="s">
        <v>32</v>
      </c>
      <c r="R1064" s="8">
        <f>S1064/1.11</f>
        <v>2229729.7297297297</v>
      </c>
      <c r="S1064" s="8">
        <f>P1064*(J1064-(J1064*L1064)-((J1064-(J1064*L1064))*M1064))</f>
        <v>2475000</v>
      </c>
    </row>
    <row r="1065" spans="1:19" x14ac:dyDescent="0.2">
      <c r="A1065" s="12" t="s">
        <v>584</v>
      </c>
      <c r="B1065" s="2" t="s">
        <v>585</v>
      </c>
      <c r="C1065" s="3">
        <v>400</v>
      </c>
      <c r="D1065" s="4" t="s">
        <v>32</v>
      </c>
      <c r="F1065" s="6">
        <v>1</v>
      </c>
      <c r="G1065" s="7" t="s">
        <v>19</v>
      </c>
      <c r="H1065" s="6">
        <v>200</v>
      </c>
      <c r="I1065" s="7" t="s">
        <v>32</v>
      </c>
      <c r="J1065" s="8">
        <v>11500</v>
      </c>
      <c r="K1065" s="4" t="s">
        <v>32</v>
      </c>
      <c r="L1065" s="9">
        <v>0.17499999999999999</v>
      </c>
      <c r="O1065" s="7" t="s">
        <v>32</v>
      </c>
      <c r="P1065" s="3">
        <f>(C1065+(E1065*F1065*H1065))-N1065</f>
        <v>400</v>
      </c>
      <c r="Q1065" s="7" t="s">
        <v>32</v>
      </c>
      <c r="R1065" s="8">
        <f>S1065/1.11</f>
        <v>3418918.9189189188</v>
      </c>
      <c r="S1065" s="8">
        <f>P1065*(J1065-(J1065*L1065)-((J1065-(J1065*L1065))*M1065))</f>
        <v>3795000</v>
      </c>
    </row>
    <row r="1066" spans="1:19" x14ac:dyDescent="0.2">
      <c r="A1066" s="12" t="s">
        <v>649</v>
      </c>
      <c r="B1066" s="2" t="s">
        <v>585</v>
      </c>
      <c r="D1066" s="4" t="s">
        <v>32</v>
      </c>
      <c r="F1066" s="6">
        <v>1</v>
      </c>
      <c r="G1066" s="7" t="s">
        <v>19</v>
      </c>
      <c r="H1066" s="6">
        <v>200</v>
      </c>
      <c r="I1066" s="7" t="s">
        <v>32</v>
      </c>
      <c r="J1066" s="8">
        <v>13800</v>
      </c>
      <c r="K1066" s="4" t="s">
        <v>32</v>
      </c>
      <c r="L1066" s="9">
        <v>0.17499999999999999</v>
      </c>
      <c r="M1066" s="9">
        <v>0.03</v>
      </c>
      <c r="O1066" s="7" t="s">
        <v>32</v>
      </c>
      <c r="P1066" s="3">
        <f>(C1066+(E1066*F1066*H1066))-N1066</f>
        <v>0</v>
      </c>
      <c r="Q1066" s="7" t="s">
        <v>32</v>
      </c>
      <c r="R1066" s="8">
        <f>S1066/1.11</f>
        <v>0</v>
      </c>
      <c r="S1066" s="8">
        <f>P1066*(J1066-(J1066*L1066)-((J1066-(J1066*L1066))*M1066))</f>
        <v>0</v>
      </c>
    </row>
    <row r="1067" spans="1:19" x14ac:dyDescent="0.2">
      <c r="A1067" s="23"/>
      <c r="O1067" s="28"/>
    </row>
    <row r="1068" spans="1:19" x14ac:dyDescent="0.2">
      <c r="A1068" s="24" t="s">
        <v>722</v>
      </c>
    </row>
    <row r="1069" spans="1:19" x14ac:dyDescent="0.2">
      <c r="A1069" s="1" t="s">
        <v>723</v>
      </c>
      <c r="B1069" s="2" t="s">
        <v>571</v>
      </c>
      <c r="D1069" s="4" t="s">
        <v>39</v>
      </c>
      <c r="F1069" s="6">
        <v>1</v>
      </c>
      <c r="G1069" s="7" t="s">
        <v>19</v>
      </c>
      <c r="H1069" s="6">
        <v>30</v>
      </c>
      <c r="I1069" s="7" t="s">
        <v>39</v>
      </c>
      <c r="J1069" s="8">
        <v>102000</v>
      </c>
      <c r="K1069" s="4" t="s">
        <v>39</v>
      </c>
      <c r="L1069" s="9">
        <v>0.17499999999999999</v>
      </c>
      <c r="M1069" s="9">
        <v>0.03</v>
      </c>
      <c r="O1069" s="7" t="s">
        <v>39</v>
      </c>
      <c r="P1069" s="3">
        <f>(C1069+(E1069*F1069*H1069))-N1069</f>
        <v>0</v>
      </c>
      <c r="Q1069" s="7" t="s">
        <v>39</v>
      </c>
      <c r="R1069" s="8">
        <f>S1069/1.11</f>
        <v>0</v>
      </c>
      <c r="S1069" s="8">
        <f>P1069*(J1069-(J1069*L1069)-((J1069-(J1069*L1069))*M1069))</f>
        <v>0</v>
      </c>
    </row>
    <row r="1071" spans="1:19" x14ac:dyDescent="0.2">
      <c r="A1071" s="24" t="s">
        <v>586</v>
      </c>
    </row>
    <row r="1072" spans="1:19" x14ac:dyDescent="0.2">
      <c r="A1072" s="11" t="s">
        <v>587</v>
      </c>
      <c r="B1072" s="2" t="s">
        <v>170</v>
      </c>
      <c r="D1072" s="4" t="s">
        <v>97</v>
      </c>
      <c r="F1072" s="6">
        <v>1</v>
      </c>
      <c r="G1072" s="7" t="s">
        <v>19</v>
      </c>
      <c r="H1072" s="6">
        <v>60</v>
      </c>
      <c r="I1072" s="7" t="s">
        <v>97</v>
      </c>
      <c r="J1072" s="8">
        <v>8600</v>
      </c>
      <c r="K1072" s="4" t="s">
        <v>97</v>
      </c>
      <c r="L1072" s="9">
        <v>0.05</v>
      </c>
      <c r="O1072" s="7" t="s">
        <v>97</v>
      </c>
      <c r="P1072" s="3">
        <f>(C1072+(E1072*F1072*H1072))-N1072</f>
        <v>0</v>
      </c>
      <c r="Q1072" s="7" t="s">
        <v>97</v>
      </c>
      <c r="R1072" s="8">
        <f>S1072/1.11</f>
        <v>0</v>
      </c>
      <c r="S1072" s="8">
        <f>P1072*(J1072-(J1072*L1072)-((J1072-(J1072*L1072))*M1072))</f>
        <v>0</v>
      </c>
    </row>
    <row r="1073" spans="1:19" x14ac:dyDescent="0.2">
      <c r="A1073" s="11" t="s">
        <v>999</v>
      </c>
      <c r="B1073" s="2" t="s">
        <v>170</v>
      </c>
      <c r="C1073" s="3">
        <v>240</v>
      </c>
      <c r="D1073" s="4" t="s">
        <v>97</v>
      </c>
      <c r="F1073" s="6">
        <v>1</v>
      </c>
      <c r="G1073" s="7" t="s">
        <v>19</v>
      </c>
      <c r="H1073" s="6">
        <v>60</v>
      </c>
      <c r="I1073" s="7" t="s">
        <v>97</v>
      </c>
      <c r="J1073" s="8">
        <v>8500</v>
      </c>
      <c r="K1073" s="4" t="s">
        <v>97</v>
      </c>
      <c r="L1073" s="9">
        <v>7.0000000000000007E-2</v>
      </c>
      <c r="O1073" s="7" t="s">
        <v>97</v>
      </c>
      <c r="P1073" s="3">
        <f>(C1073+(E1073*F1073*H1073))-N1073</f>
        <v>240</v>
      </c>
      <c r="Q1073" s="7" t="s">
        <v>97</v>
      </c>
      <c r="R1073" s="8">
        <f>S1073/1.11</f>
        <v>1709189.1891891891</v>
      </c>
      <c r="S1073" s="8">
        <f>P1073*(J1073-(J1073*L1073)-((J1073-(J1073*L1073))*M1073))</f>
        <v>1897200</v>
      </c>
    </row>
    <row r="1074" spans="1:19" x14ac:dyDescent="0.2">
      <c r="A1074" s="11"/>
    </row>
    <row r="1075" spans="1:19" x14ac:dyDescent="0.2">
      <c r="A1075" s="11" t="s">
        <v>864</v>
      </c>
      <c r="B1075" s="2" t="s">
        <v>17</v>
      </c>
      <c r="D1075" s="4" t="s">
        <v>32</v>
      </c>
      <c r="F1075" s="6">
        <v>1</v>
      </c>
      <c r="G1075" s="7" t="s">
        <v>19</v>
      </c>
      <c r="H1075" s="6">
        <v>50</v>
      </c>
      <c r="I1075" s="7" t="s">
        <v>32</v>
      </c>
      <c r="J1075" s="8">
        <v>44800</v>
      </c>
      <c r="K1075" s="4" t="s">
        <v>32</v>
      </c>
      <c r="L1075" s="9">
        <v>0.125</v>
      </c>
      <c r="M1075" s="9">
        <v>0.05</v>
      </c>
      <c r="O1075" s="7" t="s">
        <v>32</v>
      </c>
      <c r="P1075" s="3">
        <f t="shared" ref="P1075" si="397">(C1075+(E1075*F1075*H1075))-N1075</f>
        <v>0</v>
      </c>
      <c r="Q1075" s="7" t="s">
        <v>32</v>
      </c>
      <c r="R1075" s="8">
        <f t="shared" ref="R1075:R1089" si="398">S1075/1.11</f>
        <v>0</v>
      </c>
      <c r="S1075" s="8">
        <f t="shared" ref="S1075" si="399">P1075*(J1075-(J1075*L1075)-((J1075-(J1075*L1075))*M1075))</f>
        <v>0</v>
      </c>
    </row>
    <row r="1076" spans="1:19" x14ac:dyDescent="0.2">
      <c r="A1076" s="11" t="s">
        <v>592</v>
      </c>
      <c r="B1076" s="2" t="s">
        <v>17</v>
      </c>
      <c r="D1076" s="4" t="s">
        <v>32</v>
      </c>
      <c r="F1076" s="6">
        <v>1</v>
      </c>
      <c r="G1076" s="7" t="s">
        <v>19</v>
      </c>
      <c r="H1076" s="6">
        <v>50</v>
      </c>
      <c r="I1076" s="7" t="s">
        <v>32</v>
      </c>
      <c r="J1076" s="8">
        <v>32300</v>
      </c>
      <c r="K1076" s="4" t="s">
        <v>32</v>
      </c>
      <c r="L1076" s="9">
        <v>0.125</v>
      </c>
      <c r="M1076" s="9">
        <v>0.05</v>
      </c>
      <c r="O1076" s="7" t="s">
        <v>32</v>
      </c>
      <c r="P1076" s="3">
        <f t="shared" ref="P1076:P1089" si="400">(C1076+(E1076*F1076*H1076))-N1076</f>
        <v>0</v>
      </c>
      <c r="Q1076" s="7" t="s">
        <v>32</v>
      </c>
      <c r="R1076" s="8">
        <f t="shared" si="398"/>
        <v>0</v>
      </c>
      <c r="S1076" s="8">
        <f t="shared" ref="S1076:S1089" si="401">P1076*(J1076-(J1076*L1076)-((J1076-(J1076*L1076))*M1076))</f>
        <v>0</v>
      </c>
    </row>
    <row r="1077" spans="1:19" x14ac:dyDescent="0.2">
      <c r="A1077" s="11" t="s">
        <v>593</v>
      </c>
      <c r="B1077" s="2" t="s">
        <v>17</v>
      </c>
      <c r="D1077" s="4" t="s">
        <v>32</v>
      </c>
      <c r="F1077" s="6">
        <v>1</v>
      </c>
      <c r="G1077" s="7" t="s">
        <v>19</v>
      </c>
      <c r="H1077" s="6">
        <v>50</v>
      </c>
      <c r="I1077" s="7" t="s">
        <v>32</v>
      </c>
      <c r="J1077" s="8">
        <v>12000</v>
      </c>
      <c r="K1077" s="4" t="s">
        <v>32</v>
      </c>
      <c r="L1077" s="9">
        <v>0.125</v>
      </c>
      <c r="M1077" s="9">
        <v>0.05</v>
      </c>
      <c r="O1077" s="7" t="s">
        <v>32</v>
      </c>
      <c r="P1077" s="3">
        <f t="shared" si="400"/>
        <v>0</v>
      </c>
      <c r="Q1077" s="7" t="s">
        <v>32</v>
      </c>
      <c r="R1077" s="8">
        <f t="shared" si="398"/>
        <v>0</v>
      </c>
      <c r="S1077" s="8">
        <f t="shared" si="401"/>
        <v>0</v>
      </c>
    </row>
    <row r="1078" spans="1:19" x14ac:dyDescent="0.2">
      <c r="A1078" s="11" t="s">
        <v>709</v>
      </c>
      <c r="B1078" s="2" t="s">
        <v>17</v>
      </c>
      <c r="D1078" s="4" t="s">
        <v>32</v>
      </c>
      <c r="F1078" s="6">
        <v>1</v>
      </c>
      <c r="G1078" s="7" t="s">
        <v>19</v>
      </c>
      <c r="H1078" s="6">
        <v>50</v>
      </c>
      <c r="I1078" s="7" t="s">
        <v>32</v>
      </c>
      <c r="J1078" s="8">
        <v>29100</v>
      </c>
      <c r="K1078" s="4" t="s">
        <v>32</v>
      </c>
      <c r="L1078" s="9">
        <v>0.125</v>
      </c>
      <c r="M1078" s="9">
        <v>0.05</v>
      </c>
      <c r="O1078" s="7" t="s">
        <v>32</v>
      </c>
      <c r="P1078" s="3">
        <f t="shared" si="400"/>
        <v>0</v>
      </c>
      <c r="Q1078" s="7" t="s">
        <v>32</v>
      </c>
      <c r="R1078" s="8">
        <f t="shared" si="398"/>
        <v>0</v>
      </c>
      <c r="S1078" s="8">
        <f t="shared" si="401"/>
        <v>0</v>
      </c>
    </row>
    <row r="1079" spans="1:19" x14ac:dyDescent="0.2">
      <c r="A1079" s="11" t="s">
        <v>594</v>
      </c>
      <c r="B1079" s="2" t="s">
        <v>17</v>
      </c>
      <c r="D1079" s="4" t="s">
        <v>32</v>
      </c>
      <c r="F1079" s="6">
        <v>1</v>
      </c>
      <c r="G1079" s="7" t="s">
        <v>19</v>
      </c>
      <c r="H1079" s="6">
        <v>50</v>
      </c>
      <c r="I1079" s="7" t="s">
        <v>32</v>
      </c>
      <c r="J1079" s="8">
        <v>36200</v>
      </c>
      <c r="K1079" s="4" t="s">
        <v>32</v>
      </c>
      <c r="L1079" s="9">
        <v>0.125</v>
      </c>
      <c r="M1079" s="9">
        <v>0.05</v>
      </c>
      <c r="O1079" s="7" t="s">
        <v>32</v>
      </c>
      <c r="P1079" s="3">
        <f t="shared" si="400"/>
        <v>0</v>
      </c>
      <c r="Q1079" s="7" t="s">
        <v>32</v>
      </c>
      <c r="R1079" s="8">
        <f t="shared" si="398"/>
        <v>0</v>
      </c>
      <c r="S1079" s="8">
        <f t="shared" si="401"/>
        <v>0</v>
      </c>
    </row>
    <row r="1080" spans="1:19" x14ac:dyDescent="0.2">
      <c r="A1080" s="11" t="s">
        <v>588</v>
      </c>
      <c r="B1080" s="2" t="s">
        <v>17</v>
      </c>
      <c r="D1080" s="4" t="s">
        <v>32</v>
      </c>
      <c r="F1080" s="6">
        <v>1</v>
      </c>
      <c r="G1080" s="7" t="s">
        <v>19</v>
      </c>
      <c r="H1080" s="6">
        <v>50</v>
      </c>
      <c r="I1080" s="7" t="s">
        <v>32</v>
      </c>
      <c r="J1080" s="8">
        <v>34100</v>
      </c>
      <c r="K1080" s="4" t="s">
        <v>32</v>
      </c>
      <c r="L1080" s="9">
        <v>0.125</v>
      </c>
      <c r="M1080" s="9">
        <v>0.05</v>
      </c>
      <c r="O1080" s="7" t="s">
        <v>32</v>
      </c>
      <c r="P1080" s="3">
        <f t="shared" si="400"/>
        <v>0</v>
      </c>
      <c r="Q1080" s="7" t="s">
        <v>32</v>
      </c>
      <c r="R1080" s="8">
        <f t="shared" si="398"/>
        <v>0</v>
      </c>
      <c r="S1080" s="8">
        <f t="shared" si="401"/>
        <v>0</v>
      </c>
    </row>
    <row r="1081" spans="1:19" x14ac:dyDescent="0.2">
      <c r="A1081" s="1" t="s">
        <v>589</v>
      </c>
      <c r="B1081" s="2" t="s">
        <v>17</v>
      </c>
      <c r="D1081" s="4" t="s">
        <v>32</v>
      </c>
      <c r="F1081" s="6">
        <v>1</v>
      </c>
      <c r="G1081" s="7" t="s">
        <v>19</v>
      </c>
      <c r="H1081" s="6">
        <v>50</v>
      </c>
      <c r="I1081" s="7" t="s">
        <v>32</v>
      </c>
      <c r="J1081" s="8">
        <v>34100</v>
      </c>
      <c r="K1081" s="4" t="s">
        <v>32</v>
      </c>
      <c r="L1081" s="9">
        <v>0.125</v>
      </c>
      <c r="M1081" s="9">
        <v>0.05</v>
      </c>
      <c r="O1081" s="7" t="s">
        <v>32</v>
      </c>
      <c r="P1081" s="3">
        <f t="shared" si="400"/>
        <v>0</v>
      </c>
      <c r="Q1081" s="7" t="s">
        <v>32</v>
      </c>
      <c r="R1081" s="8">
        <f t="shared" si="398"/>
        <v>0</v>
      </c>
      <c r="S1081" s="8">
        <f t="shared" si="401"/>
        <v>0</v>
      </c>
    </row>
    <row r="1082" spans="1:19" x14ac:dyDescent="0.2">
      <c r="A1082" s="1" t="s">
        <v>590</v>
      </c>
      <c r="B1082" s="2" t="s">
        <v>17</v>
      </c>
      <c r="D1082" s="4" t="s">
        <v>32</v>
      </c>
      <c r="F1082" s="6">
        <v>1</v>
      </c>
      <c r="G1082" s="7" t="s">
        <v>19</v>
      </c>
      <c r="H1082" s="6">
        <v>50</v>
      </c>
      <c r="I1082" s="7" t="s">
        <v>32</v>
      </c>
      <c r="J1082" s="8">
        <v>32000</v>
      </c>
      <c r="K1082" s="4" t="s">
        <v>32</v>
      </c>
      <c r="L1082" s="9">
        <v>0.125</v>
      </c>
      <c r="M1082" s="9">
        <v>0.05</v>
      </c>
      <c r="O1082" s="7" t="s">
        <v>32</v>
      </c>
      <c r="P1082" s="3">
        <f t="shared" si="400"/>
        <v>0</v>
      </c>
      <c r="Q1082" s="7" t="s">
        <v>32</v>
      </c>
      <c r="R1082" s="8">
        <f t="shared" si="398"/>
        <v>0</v>
      </c>
      <c r="S1082" s="8">
        <f t="shared" si="401"/>
        <v>0</v>
      </c>
    </row>
    <row r="1083" spans="1:19" x14ac:dyDescent="0.2">
      <c r="A1083" s="11" t="s">
        <v>591</v>
      </c>
      <c r="B1083" s="2" t="s">
        <v>17</v>
      </c>
      <c r="D1083" s="4" t="s">
        <v>32</v>
      </c>
      <c r="F1083" s="6">
        <v>1</v>
      </c>
      <c r="G1083" s="7" t="s">
        <v>19</v>
      </c>
      <c r="H1083" s="6">
        <v>50</v>
      </c>
      <c r="I1083" s="7" t="s">
        <v>32</v>
      </c>
      <c r="J1083" s="8">
        <v>32000</v>
      </c>
      <c r="K1083" s="4" t="s">
        <v>32</v>
      </c>
      <c r="L1083" s="9">
        <v>0.125</v>
      </c>
      <c r="M1083" s="9">
        <v>0.05</v>
      </c>
      <c r="O1083" s="7" t="s">
        <v>32</v>
      </c>
      <c r="P1083" s="3">
        <f t="shared" si="400"/>
        <v>0</v>
      </c>
      <c r="Q1083" s="7" t="s">
        <v>32</v>
      </c>
      <c r="R1083" s="8">
        <f t="shared" si="398"/>
        <v>0</v>
      </c>
      <c r="S1083" s="8">
        <f t="shared" si="401"/>
        <v>0</v>
      </c>
    </row>
    <row r="1084" spans="1:19" x14ac:dyDescent="0.2">
      <c r="A1084" s="11" t="s">
        <v>931</v>
      </c>
      <c r="B1084" s="2" t="s">
        <v>17</v>
      </c>
      <c r="D1084" s="4" t="s">
        <v>32</v>
      </c>
      <c r="F1084" s="6">
        <v>1</v>
      </c>
      <c r="G1084" s="7" t="s">
        <v>19</v>
      </c>
      <c r="H1084" s="6">
        <v>32</v>
      </c>
      <c r="I1084" s="7" t="s">
        <v>32</v>
      </c>
      <c r="J1084" s="8">
        <v>74800</v>
      </c>
      <c r="K1084" s="4" t="s">
        <v>32</v>
      </c>
      <c r="L1084" s="9">
        <v>0.125</v>
      </c>
      <c r="M1084" s="9">
        <v>0.05</v>
      </c>
      <c r="O1084" s="7" t="s">
        <v>32</v>
      </c>
      <c r="P1084" s="3">
        <f t="shared" ref="P1084:P1085" si="402">(C1084+(E1084*F1084*H1084))-N1084</f>
        <v>0</v>
      </c>
      <c r="Q1084" s="7" t="s">
        <v>32</v>
      </c>
      <c r="R1084" s="8">
        <f t="shared" si="398"/>
        <v>0</v>
      </c>
      <c r="S1084" s="8">
        <f t="shared" ref="S1084:S1085" si="403">P1084*(J1084-(J1084*L1084)-((J1084-(J1084*L1084))*M1084))</f>
        <v>0</v>
      </c>
    </row>
    <row r="1085" spans="1:19" x14ac:dyDescent="0.2">
      <c r="A1085" s="11" t="s">
        <v>932</v>
      </c>
      <c r="B1085" s="2" t="s">
        <v>17</v>
      </c>
      <c r="D1085" s="4" t="s">
        <v>32</v>
      </c>
      <c r="F1085" s="6">
        <v>1</v>
      </c>
      <c r="G1085" s="7" t="s">
        <v>19</v>
      </c>
      <c r="H1085" s="6">
        <v>32</v>
      </c>
      <c r="I1085" s="7" t="s">
        <v>32</v>
      </c>
      <c r="J1085" s="8">
        <v>70000</v>
      </c>
      <c r="K1085" s="4" t="s">
        <v>32</v>
      </c>
      <c r="L1085" s="9">
        <v>0.125</v>
      </c>
      <c r="M1085" s="9">
        <v>0.05</v>
      </c>
      <c r="O1085" s="7" t="s">
        <v>32</v>
      </c>
      <c r="P1085" s="3">
        <f t="shared" si="402"/>
        <v>0</v>
      </c>
      <c r="Q1085" s="7" t="s">
        <v>32</v>
      </c>
      <c r="R1085" s="8">
        <f t="shared" si="398"/>
        <v>0</v>
      </c>
      <c r="S1085" s="8">
        <f t="shared" si="403"/>
        <v>0</v>
      </c>
    </row>
    <row r="1086" spans="1:19" x14ac:dyDescent="0.2">
      <c r="A1086" s="11" t="s">
        <v>595</v>
      </c>
      <c r="B1086" s="2" t="s">
        <v>17</v>
      </c>
      <c r="D1086" s="4" t="s">
        <v>32</v>
      </c>
      <c r="F1086" s="6">
        <v>1</v>
      </c>
      <c r="G1086" s="7" t="s">
        <v>19</v>
      </c>
      <c r="H1086" s="6">
        <v>50</v>
      </c>
      <c r="I1086" s="7" t="s">
        <v>32</v>
      </c>
      <c r="J1086" s="8">
        <v>28300</v>
      </c>
      <c r="K1086" s="4" t="s">
        <v>32</v>
      </c>
      <c r="L1086" s="9">
        <v>0.125</v>
      </c>
      <c r="M1086" s="9">
        <v>0.05</v>
      </c>
      <c r="O1086" s="7" t="s">
        <v>32</v>
      </c>
      <c r="P1086" s="3">
        <f t="shared" si="400"/>
        <v>0</v>
      </c>
      <c r="Q1086" s="7" t="s">
        <v>32</v>
      </c>
      <c r="R1086" s="8">
        <f t="shared" si="398"/>
        <v>0</v>
      </c>
      <c r="S1086" s="8">
        <f t="shared" si="401"/>
        <v>0</v>
      </c>
    </row>
    <row r="1087" spans="1:19" x14ac:dyDescent="0.2">
      <c r="A1087" s="11" t="s">
        <v>596</v>
      </c>
      <c r="B1087" s="2" t="s">
        <v>17</v>
      </c>
      <c r="D1087" s="4" t="s">
        <v>32</v>
      </c>
      <c r="F1087" s="6">
        <v>1</v>
      </c>
      <c r="G1087" s="7" t="s">
        <v>19</v>
      </c>
      <c r="H1087" s="6">
        <v>50</v>
      </c>
      <c r="I1087" s="7" t="s">
        <v>32</v>
      </c>
      <c r="J1087" s="8">
        <v>28300</v>
      </c>
      <c r="K1087" s="4" t="s">
        <v>32</v>
      </c>
      <c r="L1087" s="9">
        <v>0.125</v>
      </c>
      <c r="M1087" s="9">
        <v>0.05</v>
      </c>
      <c r="O1087" s="7" t="s">
        <v>32</v>
      </c>
      <c r="P1087" s="3">
        <f t="shared" si="400"/>
        <v>0</v>
      </c>
      <c r="Q1087" s="7" t="s">
        <v>32</v>
      </c>
      <c r="R1087" s="8">
        <f t="shared" si="398"/>
        <v>0</v>
      </c>
      <c r="S1087" s="8">
        <f t="shared" si="401"/>
        <v>0</v>
      </c>
    </row>
    <row r="1088" spans="1:19" x14ac:dyDescent="0.2">
      <c r="A1088" s="11" t="s">
        <v>597</v>
      </c>
      <c r="B1088" s="2" t="s">
        <v>17</v>
      </c>
      <c r="D1088" s="4" t="s">
        <v>32</v>
      </c>
      <c r="F1088" s="6">
        <v>1</v>
      </c>
      <c r="G1088" s="7" t="s">
        <v>19</v>
      </c>
      <c r="H1088" s="6">
        <v>50</v>
      </c>
      <c r="I1088" s="7" t="s">
        <v>32</v>
      </c>
      <c r="J1088" s="8">
        <v>28600</v>
      </c>
      <c r="K1088" s="4" t="s">
        <v>32</v>
      </c>
      <c r="L1088" s="9">
        <v>0.125</v>
      </c>
      <c r="M1088" s="9">
        <v>0.05</v>
      </c>
      <c r="O1088" s="7" t="s">
        <v>32</v>
      </c>
      <c r="P1088" s="3">
        <f t="shared" ref="P1088" si="404">(C1088+(E1088*F1088*H1088))-N1088</f>
        <v>0</v>
      </c>
      <c r="Q1088" s="7" t="s">
        <v>32</v>
      </c>
      <c r="R1088" s="8">
        <f t="shared" si="398"/>
        <v>0</v>
      </c>
      <c r="S1088" s="8">
        <f t="shared" ref="S1088" si="405">P1088*(J1088-(J1088*L1088)-((J1088-(J1088*L1088))*M1088))</f>
        <v>0</v>
      </c>
    </row>
    <row r="1089" spans="1:19" x14ac:dyDescent="0.2">
      <c r="A1089" s="11" t="s">
        <v>597</v>
      </c>
      <c r="B1089" s="2" t="s">
        <v>17</v>
      </c>
      <c r="D1089" s="4" t="s">
        <v>32</v>
      </c>
      <c r="F1089" s="6">
        <v>1</v>
      </c>
      <c r="G1089" s="7" t="s">
        <v>19</v>
      </c>
      <c r="H1089" s="6">
        <v>50</v>
      </c>
      <c r="I1089" s="7" t="s">
        <v>32</v>
      </c>
      <c r="J1089" s="8">
        <v>26500</v>
      </c>
      <c r="K1089" s="4" t="s">
        <v>32</v>
      </c>
      <c r="L1089" s="9">
        <v>0.125</v>
      </c>
      <c r="M1089" s="9">
        <v>0.05</v>
      </c>
      <c r="O1089" s="7" t="s">
        <v>32</v>
      </c>
      <c r="P1089" s="3">
        <f t="shared" si="400"/>
        <v>0</v>
      </c>
      <c r="Q1089" s="7" t="s">
        <v>32</v>
      </c>
      <c r="R1089" s="8">
        <f t="shared" si="398"/>
        <v>0</v>
      </c>
      <c r="S1089" s="8">
        <f t="shared" si="401"/>
        <v>0</v>
      </c>
    </row>
    <row r="1090" spans="1:19" x14ac:dyDescent="0.2">
      <c r="A1090" s="11"/>
    </row>
    <row r="1091" spans="1:19" x14ac:dyDescent="0.2">
      <c r="A1091" s="14" t="s">
        <v>598</v>
      </c>
      <c r="B1091" s="2" t="s">
        <v>24</v>
      </c>
      <c r="D1091" s="4" t="s">
        <v>32</v>
      </c>
      <c r="F1091" s="6">
        <v>1</v>
      </c>
      <c r="G1091" s="7" t="s">
        <v>19</v>
      </c>
      <c r="H1091" s="6">
        <v>50</v>
      </c>
      <c r="I1091" s="7" t="s">
        <v>32</v>
      </c>
      <c r="J1091" s="8">
        <f>1500000/50</f>
        <v>30000</v>
      </c>
      <c r="K1091" s="4" t="s">
        <v>32</v>
      </c>
      <c r="M1091" s="9">
        <v>0.17</v>
      </c>
      <c r="O1091" s="7" t="s">
        <v>32</v>
      </c>
      <c r="P1091" s="3">
        <f t="shared" ref="P1091:P1096" si="406">(C1091+(E1091*F1091*H1091))-N1091</f>
        <v>0</v>
      </c>
      <c r="Q1091" s="7" t="s">
        <v>32</v>
      </c>
      <c r="R1091" s="8">
        <f t="shared" ref="R1091:R1096" si="407">S1091/1.11</f>
        <v>0</v>
      </c>
      <c r="S1091" s="8">
        <f t="shared" ref="S1091:S1096" si="408">P1091*(J1091-(J1091*L1091)-((J1091-(J1091*L1091))*M1091))</f>
        <v>0</v>
      </c>
    </row>
    <row r="1092" spans="1:19" x14ac:dyDescent="0.2">
      <c r="A1092" s="14" t="s">
        <v>599</v>
      </c>
      <c r="B1092" s="2" t="s">
        <v>24</v>
      </c>
      <c r="D1092" s="4" t="s">
        <v>32</v>
      </c>
      <c r="F1092" s="6">
        <v>1</v>
      </c>
      <c r="G1092" s="7" t="s">
        <v>19</v>
      </c>
      <c r="H1092" s="6">
        <v>50</v>
      </c>
      <c r="I1092" s="7" t="s">
        <v>32</v>
      </c>
      <c r="J1092" s="8">
        <f>1500000/50</f>
        <v>30000</v>
      </c>
      <c r="K1092" s="4" t="s">
        <v>32</v>
      </c>
      <c r="M1092" s="9">
        <v>0.17</v>
      </c>
      <c r="O1092" s="7" t="s">
        <v>32</v>
      </c>
      <c r="P1092" s="3">
        <f t="shared" si="406"/>
        <v>0</v>
      </c>
      <c r="Q1092" s="7" t="s">
        <v>32</v>
      </c>
      <c r="R1092" s="8">
        <f t="shared" si="407"/>
        <v>0</v>
      </c>
      <c r="S1092" s="8">
        <f t="shared" si="408"/>
        <v>0</v>
      </c>
    </row>
    <row r="1093" spans="1:19" x14ac:dyDescent="0.2">
      <c r="A1093" s="11" t="s">
        <v>712</v>
      </c>
      <c r="B1093" s="2" t="s">
        <v>24</v>
      </c>
      <c r="D1093" s="4" t="s">
        <v>32</v>
      </c>
      <c r="F1093" s="6">
        <v>1</v>
      </c>
      <c r="G1093" s="7" t="s">
        <v>19</v>
      </c>
      <c r="H1093" s="6">
        <v>50</v>
      </c>
      <c r="I1093" s="7" t="s">
        <v>32</v>
      </c>
      <c r="J1093" s="8">
        <v>32400</v>
      </c>
      <c r="K1093" s="4" t="s">
        <v>32</v>
      </c>
      <c r="M1093" s="9">
        <v>0.17</v>
      </c>
      <c r="O1093" s="7" t="s">
        <v>32</v>
      </c>
      <c r="P1093" s="3">
        <f t="shared" si="406"/>
        <v>0</v>
      </c>
      <c r="Q1093" s="7" t="s">
        <v>32</v>
      </c>
      <c r="R1093" s="8">
        <f t="shared" si="407"/>
        <v>0</v>
      </c>
      <c r="S1093" s="8">
        <f t="shared" si="408"/>
        <v>0</v>
      </c>
    </row>
    <row r="1094" spans="1:19" x14ac:dyDescent="0.2">
      <c r="A1094" s="11" t="s">
        <v>600</v>
      </c>
      <c r="B1094" s="2" t="s">
        <v>24</v>
      </c>
      <c r="D1094" s="4" t="s">
        <v>32</v>
      </c>
      <c r="F1094" s="6">
        <v>1</v>
      </c>
      <c r="G1094" s="7" t="s">
        <v>19</v>
      </c>
      <c r="H1094" s="6">
        <v>50</v>
      </c>
      <c r="I1094" s="7" t="s">
        <v>32</v>
      </c>
      <c r="J1094" s="8">
        <v>28500</v>
      </c>
      <c r="K1094" s="4" t="s">
        <v>32</v>
      </c>
      <c r="M1094" s="9">
        <v>0.17</v>
      </c>
      <c r="O1094" s="7" t="s">
        <v>32</v>
      </c>
      <c r="P1094" s="3">
        <f t="shared" si="406"/>
        <v>0</v>
      </c>
      <c r="Q1094" s="7" t="s">
        <v>32</v>
      </c>
      <c r="R1094" s="8">
        <f t="shared" si="407"/>
        <v>0</v>
      </c>
      <c r="S1094" s="8">
        <f t="shared" si="408"/>
        <v>0</v>
      </c>
    </row>
    <row r="1095" spans="1:19" x14ac:dyDescent="0.2">
      <c r="A1095" s="14" t="s">
        <v>601</v>
      </c>
      <c r="B1095" s="2" t="s">
        <v>24</v>
      </c>
      <c r="D1095" s="4" t="s">
        <v>32</v>
      </c>
      <c r="F1095" s="6">
        <v>1</v>
      </c>
      <c r="G1095" s="7" t="s">
        <v>19</v>
      </c>
      <c r="H1095" s="6">
        <v>50</v>
      </c>
      <c r="I1095" s="7" t="s">
        <v>32</v>
      </c>
      <c r="J1095" s="8">
        <f>1375000/50</f>
        <v>27500</v>
      </c>
      <c r="K1095" s="4" t="s">
        <v>32</v>
      </c>
      <c r="M1095" s="9">
        <v>0.17</v>
      </c>
      <c r="O1095" s="7" t="s">
        <v>32</v>
      </c>
      <c r="P1095" s="3">
        <f t="shared" si="406"/>
        <v>0</v>
      </c>
      <c r="Q1095" s="7" t="s">
        <v>32</v>
      </c>
      <c r="R1095" s="8">
        <f t="shared" si="407"/>
        <v>0</v>
      </c>
      <c r="S1095" s="8">
        <f t="shared" si="408"/>
        <v>0</v>
      </c>
    </row>
    <row r="1096" spans="1:19" x14ac:dyDescent="0.2">
      <c r="A1096" s="14" t="s">
        <v>602</v>
      </c>
      <c r="B1096" s="2" t="s">
        <v>24</v>
      </c>
      <c r="D1096" s="4" t="s">
        <v>32</v>
      </c>
      <c r="F1096" s="6">
        <v>1</v>
      </c>
      <c r="G1096" s="7" t="s">
        <v>19</v>
      </c>
      <c r="H1096" s="6">
        <v>50</v>
      </c>
      <c r="I1096" s="7" t="s">
        <v>32</v>
      </c>
      <c r="J1096" s="8">
        <f>1375000/50</f>
        <v>27500</v>
      </c>
      <c r="K1096" s="4" t="s">
        <v>32</v>
      </c>
      <c r="M1096" s="9">
        <v>0.17</v>
      </c>
      <c r="O1096" s="7" t="s">
        <v>32</v>
      </c>
      <c r="P1096" s="3">
        <f t="shared" si="406"/>
        <v>0</v>
      </c>
      <c r="Q1096" s="7" t="s">
        <v>32</v>
      </c>
      <c r="R1096" s="8">
        <f t="shared" si="407"/>
        <v>0</v>
      </c>
      <c r="S1096" s="8">
        <f t="shared" si="408"/>
        <v>0</v>
      </c>
    </row>
    <row r="1098" spans="1:19" x14ac:dyDescent="0.2">
      <c r="A1098" s="24" t="s">
        <v>741</v>
      </c>
    </row>
    <row r="1099" spans="1:19" x14ac:dyDescent="0.2">
      <c r="A1099" s="1" t="s">
        <v>743</v>
      </c>
      <c r="B1099" s="2" t="s">
        <v>170</v>
      </c>
      <c r="D1099" s="4" t="s">
        <v>18</v>
      </c>
      <c r="F1099" s="6">
        <v>50</v>
      </c>
      <c r="G1099" s="7" t="s">
        <v>97</v>
      </c>
      <c r="H1099" s="6">
        <v>100</v>
      </c>
      <c r="I1099" s="7" t="s">
        <v>18</v>
      </c>
      <c r="J1099" s="8">
        <f>39500/100</f>
        <v>395</v>
      </c>
      <c r="K1099" s="4" t="s">
        <v>18</v>
      </c>
      <c r="L1099" s="9">
        <v>0.05</v>
      </c>
      <c r="O1099" s="7" t="s">
        <v>18</v>
      </c>
      <c r="P1099" s="3">
        <f>(C1099+(E1099*F1099*H1099))-N1099</f>
        <v>0</v>
      </c>
      <c r="Q1099" s="7" t="s">
        <v>18</v>
      </c>
      <c r="R1099" s="8">
        <f>S1099/1.11</f>
        <v>0</v>
      </c>
      <c r="S1099" s="8">
        <f>P1099*(J1099-(J1099*L1099)-((J1099-(J1099*L1099))*M1099))</f>
        <v>0</v>
      </c>
    </row>
    <row r="1101" spans="1:19" x14ac:dyDescent="0.2">
      <c r="A1101" s="24" t="s">
        <v>603</v>
      </c>
    </row>
    <row r="1102" spans="1:19" x14ac:dyDescent="0.2">
      <c r="A1102" s="24" t="s">
        <v>604</v>
      </c>
    </row>
    <row r="1103" spans="1:19" x14ac:dyDescent="0.2">
      <c r="A1103" s="14" t="s">
        <v>605</v>
      </c>
      <c r="B1103" s="2" t="s">
        <v>180</v>
      </c>
      <c r="D1103" s="4" t="s">
        <v>275</v>
      </c>
      <c r="F1103" s="6">
        <v>1</v>
      </c>
      <c r="G1103" s="7" t="s">
        <v>19</v>
      </c>
      <c r="H1103" s="6">
        <v>720</v>
      </c>
      <c r="I1103" s="7" t="s">
        <v>275</v>
      </c>
      <c r="J1103" s="8">
        <v>3100</v>
      </c>
      <c r="K1103" s="4" t="s">
        <v>275</v>
      </c>
      <c r="M1103" s="9">
        <v>0.15</v>
      </c>
      <c r="O1103" s="7" t="s">
        <v>275</v>
      </c>
      <c r="P1103" s="3">
        <f>(C1103+(E1103*F1103*H1103))-N1103</f>
        <v>0</v>
      </c>
      <c r="Q1103" s="7" t="s">
        <v>275</v>
      </c>
      <c r="R1103" s="8">
        <f>S1103/1.11</f>
        <v>0</v>
      </c>
      <c r="S1103" s="8">
        <f>P1103*(J1103-(J1103*L1103)-((J1103-(J1103*L1103))*M1103))</f>
        <v>0</v>
      </c>
    </row>
    <row r="1104" spans="1:19" x14ac:dyDescent="0.2">
      <c r="A1104" s="14" t="s">
        <v>606</v>
      </c>
      <c r="B1104" s="2" t="s">
        <v>180</v>
      </c>
      <c r="D1104" s="4" t="s">
        <v>275</v>
      </c>
      <c r="F1104" s="6">
        <v>1</v>
      </c>
      <c r="G1104" s="7" t="s">
        <v>19</v>
      </c>
      <c r="H1104" s="6">
        <v>480</v>
      </c>
      <c r="I1104" s="7" t="s">
        <v>275</v>
      </c>
      <c r="J1104" s="8">
        <v>4750</v>
      </c>
      <c r="K1104" s="4" t="s">
        <v>275</v>
      </c>
      <c r="M1104" s="9">
        <v>0.15</v>
      </c>
      <c r="O1104" s="7" t="s">
        <v>275</v>
      </c>
      <c r="P1104" s="3">
        <f>(C1104+(E1104*F1104*H1104))-N1104</f>
        <v>0</v>
      </c>
      <c r="Q1104" s="7" t="s">
        <v>275</v>
      </c>
      <c r="R1104" s="8">
        <f>S1104/1.11</f>
        <v>0</v>
      </c>
      <c r="S1104" s="8">
        <f>P1104*(J1104-(J1104*L1104)-((J1104-(J1104*L1104))*M1104))</f>
        <v>0</v>
      </c>
    </row>
    <row r="1105" spans="1:19" x14ac:dyDescent="0.2">
      <c r="A1105" s="14" t="s">
        <v>607</v>
      </c>
      <c r="B1105" s="2" t="s">
        <v>180</v>
      </c>
      <c r="D1105" s="4" t="s">
        <v>275</v>
      </c>
      <c r="F1105" s="6">
        <v>1</v>
      </c>
      <c r="G1105" s="7" t="s">
        <v>19</v>
      </c>
      <c r="H1105" s="6">
        <v>360</v>
      </c>
      <c r="I1105" s="7" t="s">
        <v>275</v>
      </c>
      <c r="J1105" s="8">
        <v>6000</v>
      </c>
      <c r="K1105" s="4" t="s">
        <v>275</v>
      </c>
      <c r="M1105" s="9">
        <v>0.15</v>
      </c>
      <c r="O1105" s="7" t="s">
        <v>275</v>
      </c>
      <c r="P1105" s="3">
        <f>(C1105+(E1105*F1105*H1105))-N1105</f>
        <v>0</v>
      </c>
      <c r="Q1105" s="7" t="s">
        <v>275</v>
      </c>
      <c r="R1105" s="8">
        <f>S1105/1.11</f>
        <v>0</v>
      </c>
      <c r="S1105" s="8">
        <f>P1105*(J1105-(J1105*L1105)-((J1105-(J1105*L1105))*M1105))</f>
        <v>0</v>
      </c>
    </row>
    <row r="1106" spans="1:19" x14ac:dyDescent="0.2">
      <c r="A1106" s="11"/>
    </row>
    <row r="1107" spans="1:19" x14ac:dyDescent="0.2">
      <c r="A1107" s="11" t="s">
        <v>608</v>
      </c>
      <c r="B1107" s="2" t="s">
        <v>17</v>
      </c>
      <c r="D1107" s="4" t="s">
        <v>275</v>
      </c>
      <c r="F1107" s="6">
        <v>10</v>
      </c>
      <c r="G1107" s="7" t="s">
        <v>97</v>
      </c>
      <c r="H1107" s="6">
        <v>24</v>
      </c>
      <c r="I1107" s="7" t="s">
        <v>275</v>
      </c>
      <c r="J1107" s="8">
        <v>2300</v>
      </c>
      <c r="K1107" s="4" t="s">
        <v>275</v>
      </c>
      <c r="L1107" s="9">
        <v>0.125</v>
      </c>
      <c r="M1107" s="9">
        <v>0.05</v>
      </c>
      <c r="O1107" s="7" t="s">
        <v>275</v>
      </c>
      <c r="P1107" s="3">
        <f>(C1107+(E1107*F1107*H1107))-N1107</f>
        <v>0</v>
      </c>
      <c r="Q1107" s="7" t="s">
        <v>275</v>
      </c>
      <c r="R1107" s="8">
        <f>S1107/1.11</f>
        <v>0</v>
      </c>
      <c r="S1107" s="8">
        <f>P1107*(J1107-(J1107*L1107)-((J1107-(J1107*L1107))*M1107))</f>
        <v>0</v>
      </c>
    </row>
    <row r="1108" spans="1:19" x14ac:dyDescent="0.2">
      <c r="A1108" s="11" t="s">
        <v>609</v>
      </c>
      <c r="B1108" s="2" t="s">
        <v>17</v>
      </c>
      <c r="D1108" s="4" t="s">
        <v>275</v>
      </c>
      <c r="F1108" s="6">
        <v>10</v>
      </c>
      <c r="G1108" s="7" t="s">
        <v>97</v>
      </c>
      <c r="H1108" s="6">
        <v>12</v>
      </c>
      <c r="I1108" s="7" t="s">
        <v>275</v>
      </c>
      <c r="J1108" s="8">
        <v>4600</v>
      </c>
      <c r="K1108" s="4" t="s">
        <v>275</v>
      </c>
      <c r="L1108" s="9">
        <v>0.125</v>
      </c>
      <c r="M1108" s="9">
        <v>0.05</v>
      </c>
      <c r="O1108" s="7" t="s">
        <v>275</v>
      </c>
      <c r="P1108" s="3">
        <f>(C1108+(E1108*F1108*H1108))-N1108</f>
        <v>0</v>
      </c>
      <c r="Q1108" s="7" t="s">
        <v>275</v>
      </c>
      <c r="R1108" s="8">
        <f>S1108/1.11</f>
        <v>0</v>
      </c>
      <c r="S1108" s="8">
        <f>P1108*(J1108-(J1108*L1108)-((J1108-(J1108*L1108))*M1108))</f>
        <v>0</v>
      </c>
    </row>
    <row r="1109" spans="1:19" x14ac:dyDescent="0.2">
      <c r="A1109" s="11"/>
    </row>
    <row r="1110" spans="1:19" x14ac:dyDescent="0.2">
      <c r="A1110" s="12" t="s">
        <v>610</v>
      </c>
      <c r="B1110" s="2" t="s">
        <v>24</v>
      </c>
      <c r="D1110" s="4" t="s">
        <v>275</v>
      </c>
      <c r="F1110" s="6">
        <v>1</v>
      </c>
      <c r="G1110" s="7" t="s">
        <v>19</v>
      </c>
      <c r="H1110" s="6">
        <v>480</v>
      </c>
      <c r="I1110" s="7" t="s">
        <v>275</v>
      </c>
      <c r="J1110" s="8">
        <f>588000/480</f>
        <v>1225</v>
      </c>
      <c r="K1110" s="4" t="s">
        <v>275</v>
      </c>
      <c r="M1110" s="9">
        <v>0.17</v>
      </c>
      <c r="O1110" s="7" t="s">
        <v>275</v>
      </c>
      <c r="P1110" s="3">
        <f>(C1110+(E1110*F1110*H1110))-N1110</f>
        <v>0</v>
      </c>
      <c r="Q1110" s="7" t="s">
        <v>275</v>
      </c>
      <c r="R1110" s="8">
        <f>S1110/1.11</f>
        <v>0</v>
      </c>
      <c r="S1110" s="8">
        <f>P1110*(J1110-(J1110*L1110)-((J1110-(J1110*L1110))*M1110))</f>
        <v>0</v>
      </c>
    </row>
    <row r="1111" spans="1:19" x14ac:dyDescent="0.2">
      <c r="A1111" s="12" t="s">
        <v>611</v>
      </c>
      <c r="B1111" s="2" t="s">
        <v>24</v>
      </c>
      <c r="D1111" s="4" t="s">
        <v>275</v>
      </c>
      <c r="F1111" s="6">
        <v>1</v>
      </c>
      <c r="G1111" s="7" t="s">
        <v>19</v>
      </c>
      <c r="H1111" s="6">
        <v>240</v>
      </c>
      <c r="I1111" s="7" t="s">
        <v>275</v>
      </c>
      <c r="J1111" s="8">
        <f>588000/240</f>
        <v>2450</v>
      </c>
      <c r="K1111" s="4" t="s">
        <v>275</v>
      </c>
      <c r="M1111" s="9">
        <v>0.17</v>
      </c>
      <c r="O1111" s="7" t="s">
        <v>275</v>
      </c>
      <c r="P1111" s="3">
        <f>(C1111+(E1111*F1111*H1111))-N1111</f>
        <v>0</v>
      </c>
      <c r="Q1111" s="7" t="s">
        <v>275</v>
      </c>
      <c r="R1111" s="8">
        <f>S1111/1.11</f>
        <v>0</v>
      </c>
      <c r="S1111" s="8">
        <f>P1111*(J1111-(J1111*L1111)-((J1111-(J1111*L1111))*M1111))</f>
        <v>0</v>
      </c>
    </row>
    <row r="1112" spans="1:19" x14ac:dyDescent="0.2">
      <c r="A1112" s="12" t="s">
        <v>612</v>
      </c>
      <c r="B1112" s="2" t="s">
        <v>24</v>
      </c>
      <c r="D1112" s="4" t="s">
        <v>275</v>
      </c>
      <c r="F1112" s="6">
        <v>1</v>
      </c>
      <c r="G1112" s="7" t="s">
        <v>19</v>
      </c>
      <c r="H1112" s="6">
        <v>120</v>
      </c>
      <c r="I1112" s="7" t="s">
        <v>275</v>
      </c>
      <c r="J1112" s="8">
        <v>4800</v>
      </c>
      <c r="K1112" s="4" t="s">
        <v>275</v>
      </c>
      <c r="M1112" s="9">
        <v>0.17</v>
      </c>
      <c r="O1112" s="7" t="s">
        <v>275</v>
      </c>
      <c r="P1112" s="3">
        <f>(C1112+(E1112*F1112*H1112))-N1112</f>
        <v>0</v>
      </c>
      <c r="Q1112" s="7" t="s">
        <v>275</v>
      </c>
      <c r="R1112" s="8">
        <f>S1112/1.11</f>
        <v>0</v>
      </c>
      <c r="S1112" s="8">
        <f>P1112*(J1112-(J1112*L1112)-((J1112-(J1112*L1112))*M1112))</f>
        <v>0</v>
      </c>
    </row>
    <row r="1113" spans="1:19" x14ac:dyDescent="0.2">
      <c r="A1113" s="12" t="s">
        <v>613</v>
      </c>
      <c r="B1113" s="2" t="s">
        <v>24</v>
      </c>
      <c r="D1113" s="4" t="s">
        <v>275</v>
      </c>
      <c r="F1113" s="6">
        <v>1</v>
      </c>
      <c r="G1113" s="7" t="s">
        <v>19</v>
      </c>
      <c r="H1113" s="6">
        <v>60</v>
      </c>
      <c r="I1113" s="7" t="s">
        <v>275</v>
      </c>
      <c r="J1113" s="8">
        <v>9500</v>
      </c>
      <c r="K1113" s="4" t="s">
        <v>275</v>
      </c>
      <c r="M1113" s="9">
        <v>0.17</v>
      </c>
      <c r="O1113" s="7" t="s">
        <v>275</v>
      </c>
      <c r="P1113" s="3">
        <f>(C1113+(E1113*F1113*H1113))-N1113</f>
        <v>0</v>
      </c>
      <c r="Q1113" s="7" t="s">
        <v>275</v>
      </c>
      <c r="R1113" s="8">
        <f>S1113/1.11</f>
        <v>0</v>
      </c>
      <c r="S1113" s="8">
        <f>P1113*(J1113-(J1113*L1113)-((J1113-(J1113*L1113))*M1113))</f>
        <v>0</v>
      </c>
    </row>
    <row r="1115" spans="1:19" x14ac:dyDescent="0.2">
      <c r="A1115" s="24" t="s">
        <v>772</v>
      </c>
      <c r="R1115" s="8">
        <f>S1115/1.11</f>
        <v>0</v>
      </c>
    </row>
    <row r="1116" spans="1:19" x14ac:dyDescent="0.2">
      <c r="A1116" s="1" t="s">
        <v>773</v>
      </c>
      <c r="B1116" s="2" t="s">
        <v>17</v>
      </c>
      <c r="D1116" s="4" t="s">
        <v>275</v>
      </c>
      <c r="F1116" s="6">
        <v>1</v>
      </c>
      <c r="G1116" s="7" t="s">
        <v>19</v>
      </c>
      <c r="H1116" s="6">
        <v>120</v>
      </c>
      <c r="I1116" s="7" t="s">
        <v>275</v>
      </c>
      <c r="J1116" s="8">
        <v>5500</v>
      </c>
      <c r="K1116" s="4" t="s">
        <v>275</v>
      </c>
      <c r="L1116" s="9">
        <v>0.125</v>
      </c>
      <c r="M1116" s="9">
        <v>0.05</v>
      </c>
      <c r="O1116" s="7" t="s">
        <v>275</v>
      </c>
      <c r="P1116" s="3">
        <f t="shared" ref="P1116" si="409">(C1116+(E1116*F1116*H1116))-N1116</f>
        <v>0</v>
      </c>
      <c r="Q1116" s="7" t="s">
        <v>275</v>
      </c>
      <c r="R1116" s="8">
        <f>S1116/1.11</f>
        <v>0</v>
      </c>
      <c r="S1116" s="8">
        <f t="shared" ref="S1116" si="410">P1116*(J1116-(J1116*L1116)-((J1116-(J1116*L1116))*M1116))</f>
        <v>0</v>
      </c>
    </row>
    <row r="1117" spans="1:19" x14ac:dyDescent="0.2">
      <c r="A1117" s="16"/>
    </row>
    <row r="1118" spans="1:19" x14ac:dyDescent="0.2">
      <c r="A1118" s="24" t="s">
        <v>614</v>
      </c>
    </row>
    <row r="1119" spans="1:19" x14ac:dyDescent="0.2">
      <c r="A1119" s="1" t="s">
        <v>691</v>
      </c>
      <c r="B1119" s="2" t="s">
        <v>24</v>
      </c>
      <c r="C1119" s="3">
        <v>1008</v>
      </c>
      <c r="D1119" s="4" t="s">
        <v>275</v>
      </c>
      <c r="F1119" s="6">
        <v>1</v>
      </c>
      <c r="G1119" s="7" t="s">
        <v>19</v>
      </c>
      <c r="H1119" s="6">
        <v>72</v>
      </c>
      <c r="I1119" s="7" t="s">
        <v>275</v>
      </c>
      <c r="J1119" s="8">
        <v>10000</v>
      </c>
      <c r="K1119" s="4" t="s">
        <v>275</v>
      </c>
      <c r="L1119" s="9">
        <v>0.12</v>
      </c>
      <c r="M1119" s="9">
        <v>0.17</v>
      </c>
      <c r="O1119" s="7" t="s">
        <v>275</v>
      </c>
      <c r="P1119" s="3">
        <f t="shared" ref="P1119:P1122" si="411">(C1119+(E1119*F1119*H1119))-N1119</f>
        <v>1008</v>
      </c>
      <c r="Q1119" s="7" t="s">
        <v>275</v>
      </c>
      <c r="R1119" s="8">
        <f>S1119/1.11</f>
        <v>6632821.6216216208</v>
      </c>
      <c r="S1119" s="8">
        <f t="shared" ref="S1119:S1122" si="412">P1119*(J1119-(J1119*L1119)-((J1119-(J1119*L1119))*M1119))</f>
        <v>7362432</v>
      </c>
    </row>
    <row r="1120" spans="1:19" x14ac:dyDescent="0.2">
      <c r="A1120" s="1" t="s">
        <v>615</v>
      </c>
      <c r="B1120" s="2" t="s">
        <v>24</v>
      </c>
      <c r="C1120" s="3">
        <v>1872</v>
      </c>
      <c r="D1120" s="4" t="s">
        <v>275</v>
      </c>
      <c r="F1120" s="6">
        <v>1</v>
      </c>
      <c r="G1120" s="7" t="s">
        <v>19</v>
      </c>
      <c r="H1120" s="6">
        <v>72</v>
      </c>
      <c r="I1120" s="7" t="s">
        <v>275</v>
      </c>
      <c r="J1120" s="8">
        <v>10000</v>
      </c>
      <c r="K1120" s="4" t="s">
        <v>275</v>
      </c>
      <c r="L1120" s="9">
        <v>0.12</v>
      </c>
      <c r="M1120" s="9">
        <v>0.17</v>
      </c>
      <c r="O1120" s="7" t="s">
        <v>275</v>
      </c>
      <c r="P1120" s="3">
        <f t="shared" si="411"/>
        <v>1872</v>
      </c>
      <c r="Q1120" s="7" t="s">
        <v>275</v>
      </c>
      <c r="R1120" s="8">
        <f>S1120/1.11</f>
        <v>12318097.297297297</v>
      </c>
      <c r="S1120" s="8">
        <f t="shared" si="412"/>
        <v>13673088</v>
      </c>
    </row>
    <row r="1121" spans="1:19" x14ac:dyDescent="0.2">
      <c r="A1121" s="1" t="s">
        <v>788</v>
      </c>
      <c r="B1121" s="2" t="s">
        <v>24</v>
      </c>
      <c r="D1121" s="4" t="s">
        <v>275</v>
      </c>
      <c r="F1121" s="6">
        <v>1</v>
      </c>
      <c r="G1121" s="7" t="s">
        <v>19</v>
      </c>
      <c r="H1121" s="6">
        <v>72</v>
      </c>
      <c r="I1121" s="7" t="s">
        <v>275</v>
      </c>
      <c r="J1121" s="8">
        <f>705600/72</f>
        <v>9800</v>
      </c>
      <c r="K1121" s="4" t="s">
        <v>275</v>
      </c>
      <c r="M1121" s="9">
        <v>0.17</v>
      </c>
      <c r="O1121" s="7" t="s">
        <v>275</v>
      </c>
      <c r="P1121" s="3">
        <f t="shared" si="411"/>
        <v>0</v>
      </c>
      <c r="Q1121" s="7" t="s">
        <v>275</v>
      </c>
      <c r="R1121" s="8">
        <f>S1121/1.11</f>
        <v>0</v>
      </c>
      <c r="S1121" s="8">
        <f t="shared" si="412"/>
        <v>0</v>
      </c>
    </row>
    <row r="1122" spans="1:19" x14ac:dyDescent="0.2">
      <c r="A1122" s="1" t="s">
        <v>789</v>
      </c>
      <c r="B1122" s="2" t="s">
        <v>24</v>
      </c>
      <c r="D1122" s="4" t="s">
        <v>275</v>
      </c>
      <c r="F1122" s="6">
        <v>1</v>
      </c>
      <c r="G1122" s="7" t="s">
        <v>19</v>
      </c>
      <c r="H1122" s="6">
        <v>72</v>
      </c>
      <c r="I1122" s="7" t="s">
        <v>275</v>
      </c>
      <c r="J1122" s="8">
        <f>705600/72</f>
        <v>9800</v>
      </c>
      <c r="K1122" s="4" t="s">
        <v>275</v>
      </c>
      <c r="M1122" s="9">
        <v>0.17</v>
      </c>
      <c r="O1122" s="7" t="s">
        <v>275</v>
      </c>
      <c r="P1122" s="3">
        <f t="shared" si="411"/>
        <v>0</v>
      </c>
      <c r="Q1122" s="7" t="s">
        <v>275</v>
      </c>
      <c r="R1122" s="8">
        <f>S1122/1.11</f>
        <v>0</v>
      </c>
      <c r="S1122" s="8">
        <f t="shared" si="412"/>
        <v>0</v>
      </c>
    </row>
    <row r="1124" spans="1:19" x14ac:dyDescent="0.2">
      <c r="A1124" s="24" t="s">
        <v>616</v>
      </c>
      <c r="R1124" s="8">
        <f>S1124/1.11</f>
        <v>0</v>
      </c>
    </row>
    <row r="1125" spans="1:19" x14ac:dyDescent="0.2">
      <c r="A1125" s="1" t="s">
        <v>770</v>
      </c>
      <c r="B1125" s="2" t="s">
        <v>17</v>
      </c>
      <c r="D1125" s="4" t="s">
        <v>275</v>
      </c>
      <c r="F1125" s="6">
        <v>1</v>
      </c>
      <c r="G1125" s="7" t="s">
        <v>19</v>
      </c>
      <c r="H1125" s="6">
        <v>120</v>
      </c>
      <c r="I1125" s="7" t="s">
        <v>275</v>
      </c>
      <c r="J1125" s="8">
        <v>13800</v>
      </c>
      <c r="K1125" s="4" t="s">
        <v>275</v>
      </c>
      <c r="L1125" s="9">
        <v>0.125</v>
      </c>
      <c r="M1125" s="9">
        <v>0.05</v>
      </c>
      <c r="O1125" s="7" t="s">
        <v>275</v>
      </c>
      <c r="P1125" s="3">
        <f t="shared" ref="P1125" si="413">(C1125+(E1125*F1125*H1125))-N1125</f>
        <v>0</v>
      </c>
      <c r="Q1125" s="7" t="s">
        <v>275</v>
      </c>
      <c r="R1125" s="8">
        <f>S1125/1.11</f>
        <v>0</v>
      </c>
      <c r="S1125" s="8">
        <f t="shared" ref="S1125" si="414">P1125*(J1125-(J1125*L1125)-((J1125-(J1125*L1125))*M1125))</f>
        <v>0</v>
      </c>
    </row>
    <row r="1127" spans="1:19" x14ac:dyDescent="0.2">
      <c r="A1127" s="1" t="s">
        <v>790</v>
      </c>
      <c r="B1127" s="2" t="s">
        <v>24</v>
      </c>
      <c r="D1127" s="4" t="s">
        <v>275</v>
      </c>
      <c r="F1127" s="6">
        <v>1</v>
      </c>
      <c r="G1127" s="7" t="s">
        <v>19</v>
      </c>
      <c r="H1127" s="6">
        <v>120</v>
      </c>
      <c r="I1127" s="7" t="s">
        <v>275</v>
      </c>
      <c r="J1127" s="8">
        <f>762000/120</f>
        <v>6350</v>
      </c>
      <c r="K1127" s="4" t="s">
        <v>275</v>
      </c>
      <c r="M1127" s="9">
        <v>0.17</v>
      </c>
      <c r="O1127" s="7" t="s">
        <v>275</v>
      </c>
      <c r="P1127" s="3">
        <f t="shared" ref="P1127:P1131" si="415">(C1127+(E1127*F1127*H1127))-N1127</f>
        <v>0</v>
      </c>
      <c r="Q1127" s="7" t="s">
        <v>275</v>
      </c>
      <c r="R1127" s="8">
        <f>S1127/1.11</f>
        <v>0</v>
      </c>
      <c r="S1127" s="8">
        <f t="shared" ref="S1127:S1131" si="416">P1127*(J1127-(J1127*L1127)-((J1127-(J1127*L1127))*M1127))</f>
        <v>0</v>
      </c>
    </row>
    <row r="1128" spans="1:19" x14ac:dyDescent="0.2">
      <c r="A1128" s="1" t="s">
        <v>617</v>
      </c>
      <c r="B1128" s="2" t="s">
        <v>24</v>
      </c>
      <c r="D1128" s="4" t="s">
        <v>275</v>
      </c>
      <c r="F1128" s="6">
        <v>1</v>
      </c>
      <c r="G1128" s="7" t="s">
        <v>19</v>
      </c>
      <c r="H1128" s="6">
        <v>80</v>
      </c>
      <c r="I1128" s="7" t="s">
        <v>275</v>
      </c>
      <c r="J1128" s="8">
        <f>732000/80</f>
        <v>9150</v>
      </c>
      <c r="K1128" s="4" t="s">
        <v>275</v>
      </c>
      <c r="M1128" s="9">
        <v>0.17</v>
      </c>
      <c r="O1128" s="7" t="s">
        <v>275</v>
      </c>
      <c r="P1128" s="3">
        <f t="shared" si="415"/>
        <v>0</v>
      </c>
      <c r="Q1128" s="7" t="s">
        <v>275</v>
      </c>
      <c r="R1128" s="8">
        <f>S1128/1.11</f>
        <v>0</v>
      </c>
      <c r="S1128" s="8">
        <f t="shared" si="416"/>
        <v>0</v>
      </c>
    </row>
    <row r="1129" spans="1:19" x14ac:dyDescent="0.2">
      <c r="A1129" s="1" t="s">
        <v>791</v>
      </c>
      <c r="B1129" s="2" t="s">
        <v>24</v>
      </c>
      <c r="D1129" s="4" t="s">
        <v>275</v>
      </c>
      <c r="F1129" s="6">
        <v>1</v>
      </c>
      <c r="G1129" s="7" t="s">
        <v>19</v>
      </c>
      <c r="H1129" s="6">
        <v>60</v>
      </c>
      <c r="I1129" s="7" t="s">
        <v>275</v>
      </c>
      <c r="J1129" s="8">
        <f>732000/60</f>
        <v>12200</v>
      </c>
      <c r="K1129" s="4" t="s">
        <v>275</v>
      </c>
      <c r="M1129" s="9">
        <v>0.17</v>
      </c>
      <c r="O1129" s="7" t="s">
        <v>275</v>
      </c>
      <c r="P1129" s="3">
        <f t="shared" si="415"/>
        <v>0</v>
      </c>
      <c r="Q1129" s="7" t="s">
        <v>275</v>
      </c>
      <c r="R1129" s="8">
        <f>S1129/1.11</f>
        <v>0</v>
      </c>
      <c r="S1129" s="8">
        <f t="shared" si="416"/>
        <v>0</v>
      </c>
    </row>
    <row r="1130" spans="1:19" x14ac:dyDescent="0.2">
      <c r="A1130" s="1" t="s">
        <v>641</v>
      </c>
      <c r="B1130" s="2" t="s">
        <v>24</v>
      </c>
      <c r="D1130" s="4" t="s">
        <v>275</v>
      </c>
      <c r="F1130" s="6">
        <v>1</v>
      </c>
      <c r="G1130" s="7" t="s">
        <v>19</v>
      </c>
      <c r="H1130" s="6">
        <v>80</v>
      </c>
      <c r="I1130" s="7" t="s">
        <v>275</v>
      </c>
      <c r="J1130" s="8">
        <v>10650</v>
      </c>
      <c r="K1130" s="4" t="s">
        <v>275</v>
      </c>
      <c r="M1130" s="9">
        <v>0.17</v>
      </c>
      <c r="O1130" s="7" t="s">
        <v>275</v>
      </c>
      <c r="P1130" s="3">
        <f t="shared" si="415"/>
        <v>0</v>
      </c>
      <c r="Q1130" s="7" t="s">
        <v>275</v>
      </c>
      <c r="R1130" s="8">
        <f>S1130/1.11</f>
        <v>0</v>
      </c>
      <c r="S1130" s="8">
        <f t="shared" si="416"/>
        <v>0</v>
      </c>
    </row>
    <row r="1131" spans="1:19" x14ac:dyDescent="0.2">
      <c r="A1131" s="1" t="s">
        <v>618</v>
      </c>
      <c r="B1131" s="2" t="s">
        <v>24</v>
      </c>
      <c r="D1131" s="4" t="s">
        <v>275</v>
      </c>
      <c r="F1131" s="6">
        <v>1</v>
      </c>
      <c r="G1131" s="7" t="s">
        <v>19</v>
      </c>
      <c r="H1131" s="6">
        <v>60</v>
      </c>
      <c r="I1131" s="7" t="s">
        <v>275</v>
      </c>
      <c r="J1131" s="8">
        <f>852000/60</f>
        <v>14200</v>
      </c>
      <c r="K1131" s="4" t="s">
        <v>275</v>
      </c>
      <c r="M1131" s="9">
        <v>0.17</v>
      </c>
      <c r="O1131" s="7" t="s">
        <v>275</v>
      </c>
      <c r="P1131" s="3">
        <f t="shared" si="415"/>
        <v>0</v>
      </c>
      <c r="Q1131" s="7" t="s">
        <v>275</v>
      </c>
      <c r="R1131" s="8">
        <f>S1131/1.11</f>
        <v>0</v>
      </c>
      <c r="S1131" s="8">
        <f t="shared" si="416"/>
        <v>0</v>
      </c>
    </row>
    <row r="1133" spans="1:19" x14ac:dyDescent="0.2">
      <c r="A1133" s="24" t="s">
        <v>619</v>
      </c>
    </row>
    <row r="1134" spans="1:19" x14ac:dyDescent="0.2">
      <c r="A1134" s="1" t="s">
        <v>621</v>
      </c>
      <c r="B1134" s="2" t="s">
        <v>17</v>
      </c>
      <c r="D1134" s="4" t="s">
        <v>18</v>
      </c>
      <c r="F1134" s="6">
        <v>1</v>
      </c>
      <c r="G1134" s="7" t="s">
        <v>19</v>
      </c>
      <c r="H1134" s="6">
        <v>24</v>
      </c>
      <c r="I1134" s="7" t="s">
        <v>18</v>
      </c>
      <c r="J1134" s="8">
        <v>22500</v>
      </c>
      <c r="K1134" s="4" t="s">
        <v>18</v>
      </c>
      <c r="L1134" s="9">
        <v>0.125</v>
      </c>
      <c r="M1134" s="9">
        <v>0.05</v>
      </c>
      <c r="O1134" s="7" t="s">
        <v>18</v>
      </c>
      <c r="P1134" s="3">
        <f t="shared" ref="P1134" si="417">(C1134+(E1134*F1134*H1134))-N1134</f>
        <v>0</v>
      </c>
      <c r="Q1134" s="7" t="s">
        <v>18</v>
      </c>
      <c r="R1134" s="8">
        <f t="shared" ref="R1134:R1149" si="418">S1134/1.11</f>
        <v>0</v>
      </c>
      <c r="S1134" s="8">
        <f t="shared" ref="S1134" si="419">P1134*(J1134-(J1134*L1134)-((J1134-(J1134*L1134))*M1134))</f>
        <v>0</v>
      </c>
    </row>
    <row r="1135" spans="1:19" x14ac:dyDescent="0.2">
      <c r="A1135" s="1" t="s">
        <v>622</v>
      </c>
      <c r="B1135" s="2" t="s">
        <v>17</v>
      </c>
      <c r="D1135" s="4" t="s">
        <v>18</v>
      </c>
      <c r="F1135" s="6">
        <v>1</v>
      </c>
      <c r="G1135" s="7" t="s">
        <v>19</v>
      </c>
      <c r="H1135" s="6">
        <v>24</v>
      </c>
      <c r="I1135" s="7" t="s">
        <v>18</v>
      </c>
      <c r="J1135" s="8">
        <v>24300</v>
      </c>
      <c r="K1135" s="4" t="s">
        <v>18</v>
      </c>
      <c r="L1135" s="9">
        <v>0.125</v>
      </c>
      <c r="M1135" s="9">
        <v>0.05</v>
      </c>
      <c r="O1135" s="7" t="s">
        <v>18</v>
      </c>
      <c r="P1135" s="3">
        <f t="shared" ref="P1135:P1136" si="420">(C1135+(E1135*F1135*H1135))-N1135</f>
        <v>0</v>
      </c>
      <c r="Q1135" s="7" t="s">
        <v>18</v>
      </c>
      <c r="R1135" s="8">
        <f t="shared" si="418"/>
        <v>0</v>
      </c>
      <c r="S1135" s="8">
        <f t="shared" ref="S1135:S1136" si="421">P1135*(J1135-(J1135*L1135)-((J1135-(J1135*L1135))*M1135))</f>
        <v>0</v>
      </c>
    </row>
    <row r="1136" spans="1:19" x14ac:dyDescent="0.2">
      <c r="A1136" s="1" t="s">
        <v>623</v>
      </c>
      <c r="B1136" s="2" t="s">
        <v>17</v>
      </c>
      <c r="D1136" s="4" t="s">
        <v>18</v>
      </c>
      <c r="F1136" s="6">
        <v>1</v>
      </c>
      <c r="G1136" s="7" t="s">
        <v>19</v>
      </c>
      <c r="H1136" s="6">
        <v>24</v>
      </c>
      <c r="I1136" s="7" t="s">
        <v>18</v>
      </c>
      <c r="J1136" s="8">
        <v>11100</v>
      </c>
      <c r="K1136" s="4" t="s">
        <v>18</v>
      </c>
      <c r="L1136" s="9">
        <v>0.125</v>
      </c>
      <c r="M1136" s="9">
        <v>0.05</v>
      </c>
      <c r="O1136" s="7" t="s">
        <v>18</v>
      </c>
      <c r="P1136" s="3">
        <f t="shared" si="420"/>
        <v>0</v>
      </c>
      <c r="Q1136" s="7" t="s">
        <v>18</v>
      </c>
      <c r="R1136" s="8">
        <f t="shared" si="418"/>
        <v>0</v>
      </c>
      <c r="S1136" s="8">
        <f t="shared" si="421"/>
        <v>0</v>
      </c>
    </row>
    <row r="1137" spans="1:19" x14ac:dyDescent="0.2">
      <c r="A1137" s="1" t="s">
        <v>624</v>
      </c>
      <c r="B1137" s="2" t="s">
        <v>17</v>
      </c>
      <c r="D1137" s="4" t="s">
        <v>18</v>
      </c>
      <c r="F1137" s="6">
        <v>1</v>
      </c>
      <c r="G1137" s="7" t="s">
        <v>19</v>
      </c>
      <c r="H1137" s="6">
        <v>24</v>
      </c>
      <c r="I1137" s="7" t="s">
        <v>18</v>
      </c>
      <c r="J1137" s="8">
        <v>19000</v>
      </c>
      <c r="K1137" s="4" t="s">
        <v>18</v>
      </c>
      <c r="L1137" s="9">
        <v>0.125</v>
      </c>
      <c r="M1137" s="9">
        <v>0.05</v>
      </c>
      <c r="O1137" s="7" t="s">
        <v>18</v>
      </c>
      <c r="P1137" s="3">
        <f t="shared" ref="P1137:P1148" si="422">(C1137+(E1137*F1137*H1137))-N1137</f>
        <v>0</v>
      </c>
      <c r="Q1137" s="7" t="s">
        <v>18</v>
      </c>
      <c r="R1137" s="8">
        <f t="shared" si="418"/>
        <v>0</v>
      </c>
      <c r="S1137" s="8">
        <f t="shared" ref="S1137:S1148" si="423">P1137*(J1137-(J1137*L1137)-((J1137-(J1137*L1137))*M1137))</f>
        <v>0</v>
      </c>
    </row>
    <row r="1138" spans="1:19" x14ac:dyDescent="0.2">
      <c r="A1138" s="1" t="s">
        <v>714</v>
      </c>
      <c r="B1138" s="2" t="s">
        <v>17</v>
      </c>
      <c r="D1138" s="4" t="s">
        <v>18</v>
      </c>
      <c r="F1138" s="6">
        <v>1</v>
      </c>
      <c r="G1138" s="7" t="s">
        <v>19</v>
      </c>
      <c r="H1138" s="6">
        <v>12</v>
      </c>
      <c r="I1138" s="7" t="s">
        <v>18</v>
      </c>
      <c r="J1138" s="8">
        <v>31000</v>
      </c>
      <c r="K1138" s="4" t="s">
        <v>18</v>
      </c>
      <c r="L1138" s="9">
        <v>0.125</v>
      </c>
      <c r="M1138" s="9">
        <v>0.05</v>
      </c>
      <c r="O1138" s="7" t="s">
        <v>18</v>
      </c>
      <c r="P1138" s="3">
        <f t="shared" si="422"/>
        <v>0</v>
      </c>
      <c r="Q1138" s="7" t="s">
        <v>18</v>
      </c>
      <c r="R1138" s="8">
        <f t="shared" si="418"/>
        <v>0</v>
      </c>
      <c r="S1138" s="8">
        <f t="shared" si="423"/>
        <v>0</v>
      </c>
    </row>
    <row r="1139" spans="1:19" x14ac:dyDescent="0.2">
      <c r="A1139" s="1" t="s">
        <v>933</v>
      </c>
      <c r="B1139" s="2" t="s">
        <v>17</v>
      </c>
      <c r="D1139" s="4" t="s">
        <v>18</v>
      </c>
      <c r="F1139" s="6">
        <v>1</v>
      </c>
      <c r="G1139" s="7" t="s">
        <v>19</v>
      </c>
      <c r="H1139" s="6">
        <v>12</v>
      </c>
      <c r="I1139" s="7" t="s">
        <v>18</v>
      </c>
      <c r="J1139" s="8">
        <v>28500</v>
      </c>
      <c r="K1139" s="4" t="s">
        <v>18</v>
      </c>
      <c r="L1139" s="9">
        <v>0.125</v>
      </c>
      <c r="M1139" s="9">
        <v>0.05</v>
      </c>
      <c r="O1139" s="7" t="s">
        <v>18</v>
      </c>
      <c r="P1139" s="3">
        <f t="shared" ref="P1139" si="424">(C1139+(E1139*F1139*H1139))-N1139</f>
        <v>0</v>
      </c>
      <c r="Q1139" s="7" t="s">
        <v>18</v>
      </c>
      <c r="R1139" s="8">
        <f t="shared" si="418"/>
        <v>0</v>
      </c>
      <c r="S1139" s="8">
        <f t="shared" ref="S1139" si="425">P1139*(J1139-(J1139*L1139)-((J1139-(J1139*L1139))*M1139))</f>
        <v>0</v>
      </c>
    </row>
    <row r="1140" spans="1:19" x14ac:dyDescent="0.2">
      <c r="A1140" s="1" t="s">
        <v>889</v>
      </c>
      <c r="B1140" s="2" t="s">
        <v>17</v>
      </c>
      <c r="D1140" s="4" t="s">
        <v>18</v>
      </c>
      <c r="F1140" s="6">
        <v>1</v>
      </c>
      <c r="G1140" s="7" t="s">
        <v>19</v>
      </c>
      <c r="H1140" s="6">
        <v>24</v>
      </c>
      <c r="I1140" s="7" t="s">
        <v>18</v>
      </c>
      <c r="J1140" s="8">
        <v>20400</v>
      </c>
      <c r="K1140" s="4" t="s">
        <v>18</v>
      </c>
      <c r="L1140" s="9">
        <v>0.125</v>
      </c>
      <c r="M1140" s="9">
        <v>0.05</v>
      </c>
      <c r="O1140" s="7" t="s">
        <v>18</v>
      </c>
      <c r="P1140" s="3">
        <f t="shared" ref="P1140" si="426">(C1140+(E1140*F1140*H1140))-N1140</f>
        <v>0</v>
      </c>
      <c r="Q1140" s="7" t="s">
        <v>18</v>
      </c>
      <c r="R1140" s="8">
        <f t="shared" si="418"/>
        <v>0</v>
      </c>
      <c r="S1140" s="8">
        <f t="shared" ref="S1140" si="427">P1140*(J1140-(J1140*L1140)-((J1140-(J1140*L1140))*M1140))</f>
        <v>0</v>
      </c>
    </row>
    <row r="1141" spans="1:19" x14ac:dyDescent="0.2">
      <c r="A1141" s="1" t="s">
        <v>713</v>
      </c>
      <c r="B1141" s="2" t="s">
        <v>17</v>
      </c>
      <c r="D1141" s="4" t="s">
        <v>18</v>
      </c>
      <c r="F1141" s="6">
        <v>1</v>
      </c>
      <c r="G1141" s="7" t="s">
        <v>19</v>
      </c>
      <c r="H1141" s="6">
        <v>24</v>
      </c>
      <c r="I1141" s="7" t="s">
        <v>18</v>
      </c>
      <c r="J1141" s="8">
        <v>12300</v>
      </c>
      <c r="K1141" s="4" t="s">
        <v>18</v>
      </c>
      <c r="L1141" s="9">
        <v>0.125</v>
      </c>
      <c r="M1141" s="9">
        <v>0.05</v>
      </c>
      <c r="O1141" s="7" t="s">
        <v>18</v>
      </c>
      <c r="P1141" s="3">
        <f t="shared" si="422"/>
        <v>0</v>
      </c>
      <c r="Q1141" s="7" t="s">
        <v>18</v>
      </c>
      <c r="R1141" s="8">
        <f t="shared" si="418"/>
        <v>0</v>
      </c>
      <c r="S1141" s="8">
        <f t="shared" si="423"/>
        <v>0</v>
      </c>
    </row>
    <row r="1142" spans="1:19" x14ac:dyDescent="0.2">
      <c r="A1142" s="1" t="s">
        <v>803</v>
      </c>
      <c r="B1142" s="2" t="s">
        <v>17</v>
      </c>
      <c r="D1142" s="4" t="s">
        <v>18</v>
      </c>
      <c r="F1142" s="6">
        <v>1</v>
      </c>
      <c r="G1142" s="7" t="s">
        <v>19</v>
      </c>
      <c r="H1142" s="6">
        <v>24</v>
      </c>
      <c r="I1142" s="7" t="s">
        <v>18</v>
      </c>
      <c r="J1142" s="8">
        <v>16500</v>
      </c>
      <c r="K1142" s="4" t="s">
        <v>18</v>
      </c>
      <c r="L1142" s="9">
        <v>0.125</v>
      </c>
      <c r="M1142" s="9">
        <v>0.05</v>
      </c>
      <c r="O1142" s="7" t="s">
        <v>18</v>
      </c>
      <c r="P1142" s="3">
        <f t="shared" si="422"/>
        <v>0</v>
      </c>
      <c r="Q1142" s="7" t="s">
        <v>18</v>
      </c>
      <c r="R1142" s="8">
        <f t="shared" si="418"/>
        <v>0</v>
      </c>
      <c r="S1142" s="8">
        <f t="shared" si="423"/>
        <v>0</v>
      </c>
    </row>
    <row r="1143" spans="1:19" x14ac:dyDescent="0.2">
      <c r="A1143" s="1" t="s">
        <v>620</v>
      </c>
      <c r="B1143" s="2" t="s">
        <v>17</v>
      </c>
      <c r="D1143" s="4" t="s">
        <v>18</v>
      </c>
      <c r="F1143" s="6">
        <v>1</v>
      </c>
      <c r="G1143" s="7" t="s">
        <v>19</v>
      </c>
      <c r="H1143" s="6">
        <v>24</v>
      </c>
      <c r="I1143" s="7" t="s">
        <v>18</v>
      </c>
      <c r="J1143" s="8">
        <v>17200</v>
      </c>
      <c r="K1143" s="4" t="s">
        <v>18</v>
      </c>
      <c r="L1143" s="9">
        <v>0.125</v>
      </c>
      <c r="M1143" s="9">
        <v>0.05</v>
      </c>
      <c r="O1143" s="7" t="s">
        <v>18</v>
      </c>
      <c r="P1143" s="3">
        <f t="shared" si="422"/>
        <v>0</v>
      </c>
      <c r="Q1143" s="7" t="s">
        <v>18</v>
      </c>
      <c r="R1143" s="8">
        <f t="shared" si="418"/>
        <v>0</v>
      </c>
      <c r="S1143" s="8">
        <f t="shared" si="423"/>
        <v>0</v>
      </c>
    </row>
    <row r="1144" spans="1:19" x14ac:dyDescent="0.2">
      <c r="A1144" s="1" t="s">
        <v>850</v>
      </c>
      <c r="B1144" s="2" t="s">
        <v>17</v>
      </c>
      <c r="D1144" s="4" t="s">
        <v>18</v>
      </c>
      <c r="F1144" s="6">
        <v>1</v>
      </c>
      <c r="G1144" s="7" t="s">
        <v>19</v>
      </c>
      <c r="H1144" s="6">
        <v>12</v>
      </c>
      <c r="I1144" s="7" t="s">
        <v>18</v>
      </c>
      <c r="J1144" s="8">
        <v>30500</v>
      </c>
      <c r="K1144" s="4" t="s">
        <v>18</v>
      </c>
      <c r="L1144" s="9">
        <v>0.125</v>
      </c>
      <c r="M1144" s="9">
        <v>0.05</v>
      </c>
      <c r="O1144" s="7" t="s">
        <v>18</v>
      </c>
      <c r="P1144" s="3">
        <f>(C1144+(E1144*F1144*H1144))-N1144</f>
        <v>0</v>
      </c>
      <c r="Q1144" s="7" t="s">
        <v>18</v>
      </c>
      <c r="R1144" s="8">
        <f t="shared" si="418"/>
        <v>0</v>
      </c>
      <c r="S1144" s="8">
        <f t="shared" ref="S1144:S1145" si="428">P1144*(J1144-(J1144*L1144)-((J1144-(J1144*L1144))*M1144))</f>
        <v>0</v>
      </c>
    </row>
    <row r="1145" spans="1:19" x14ac:dyDescent="0.2">
      <c r="A1145" s="1" t="s">
        <v>635</v>
      </c>
      <c r="B1145" s="2" t="s">
        <v>17</v>
      </c>
      <c r="D1145" s="4" t="s">
        <v>18</v>
      </c>
      <c r="F1145" s="6">
        <v>12</v>
      </c>
      <c r="G1145" s="7" t="s">
        <v>32</v>
      </c>
      <c r="H1145" s="6">
        <v>20</v>
      </c>
      <c r="I1145" s="7" t="s">
        <v>18</v>
      </c>
      <c r="J1145" s="8">
        <v>5350</v>
      </c>
      <c r="K1145" s="4" t="s">
        <v>18</v>
      </c>
      <c r="L1145" s="9">
        <v>0.125</v>
      </c>
      <c r="M1145" s="9">
        <v>0.05</v>
      </c>
      <c r="O1145" s="7" t="s">
        <v>18</v>
      </c>
      <c r="P1145" s="3">
        <f t="shared" ref="P1145" si="429">(C1145+(E1145*F1145*H1145))-N1145</f>
        <v>0</v>
      </c>
      <c r="Q1145" s="7" t="s">
        <v>18</v>
      </c>
      <c r="R1145" s="8">
        <f t="shared" si="418"/>
        <v>0</v>
      </c>
      <c r="S1145" s="8">
        <f t="shared" si="428"/>
        <v>0</v>
      </c>
    </row>
    <row r="1146" spans="1:19" x14ac:dyDescent="0.2">
      <c r="A1146" s="1" t="s">
        <v>1000</v>
      </c>
      <c r="B1146" s="2" t="s">
        <v>17</v>
      </c>
      <c r="D1146" s="4" t="s">
        <v>18</v>
      </c>
      <c r="F1146" s="6">
        <v>1</v>
      </c>
      <c r="G1146" s="7" t="s">
        <v>19</v>
      </c>
      <c r="H1146" s="6">
        <v>100</v>
      </c>
      <c r="I1146" s="7" t="s">
        <v>18</v>
      </c>
      <c r="J1146" s="8">
        <v>18400</v>
      </c>
      <c r="K1146" s="4" t="s">
        <v>18</v>
      </c>
      <c r="L1146" s="9">
        <v>0.125</v>
      </c>
      <c r="M1146" s="9">
        <v>0.05</v>
      </c>
      <c r="O1146" s="7" t="s">
        <v>18</v>
      </c>
      <c r="P1146" s="3">
        <f t="shared" ref="P1146" si="430">(C1146+(E1146*F1146*H1146))-N1146</f>
        <v>0</v>
      </c>
      <c r="Q1146" s="7" t="s">
        <v>18</v>
      </c>
      <c r="R1146" s="8">
        <f t="shared" si="418"/>
        <v>0</v>
      </c>
      <c r="S1146" s="8">
        <f t="shared" ref="S1146" si="431">P1146*(J1146-(J1146*L1146)-((J1146-(J1146*L1146))*M1146))</f>
        <v>0</v>
      </c>
    </row>
    <row r="1147" spans="1:19" x14ac:dyDescent="0.2">
      <c r="A1147" s="1" t="s">
        <v>625</v>
      </c>
      <c r="B1147" s="2" t="s">
        <v>17</v>
      </c>
      <c r="D1147" s="4" t="s">
        <v>18</v>
      </c>
      <c r="F1147" s="6">
        <v>1</v>
      </c>
      <c r="G1147" s="7" t="s">
        <v>19</v>
      </c>
      <c r="H1147" s="6">
        <v>96</v>
      </c>
      <c r="I1147" s="7" t="s">
        <v>18</v>
      </c>
      <c r="J1147" s="8">
        <v>14200</v>
      </c>
      <c r="K1147" s="4" t="s">
        <v>18</v>
      </c>
      <c r="L1147" s="9">
        <v>0.125</v>
      </c>
      <c r="M1147" s="9">
        <v>0.05</v>
      </c>
      <c r="O1147" s="7" t="s">
        <v>18</v>
      </c>
      <c r="P1147" s="3">
        <f t="shared" si="422"/>
        <v>0</v>
      </c>
      <c r="Q1147" s="7" t="s">
        <v>18</v>
      </c>
      <c r="R1147" s="8">
        <f t="shared" si="418"/>
        <v>0</v>
      </c>
      <c r="S1147" s="8">
        <f t="shared" si="423"/>
        <v>0</v>
      </c>
    </row>
    <row r="1148" spans="1:19" x14ac:dyDescent="0.2">
      <c r="A1148" s="1" t="s">
        <v>626</v>
      </c>
      <c r="B1148" s="2" t="s">
        <v>17</v>
      </c>
      <c r="D1148" s="4" t="s">
        <v>18</v>
      </c>
      <c r="F1148" s="6">
        <v>1</v>
      </c>
      <c r="G1148" s="7" t="s">
        <v>19</v>
      </c>
      <c r="H1148" s="6">
        <v>24</v>
      </c>
      <c r="I1148" s="7" t="s">
        <v>18</v>
      </c>
      <c r="J1148" s="8">
        <v>41000</v>
      </c>
      <c r="K1148" s="4" t="s">
        <v>18</v>
      </c>
      <c r="L1148" s="9">
        <v>0.125</v>
      </c>
      <c r="M1148" s="9">
        <v>0.05</v>
      </c>
      <c r="O1148" s="7" t="s">
        <v>18</v>
      </c>
      <c r="P1148" s="3">
        <f t="shared" si="422"/>
        <v>0</v>
      </c>
      <c r="Q1148" s="7" t="s">
        <v>18</v>
      </c>
      <c r="R1148" s="8">
        <f t="shared" si="418"/>
        <v>0</v>
      </c>
      <c r="S1148" s="8">
        <f t="shared" si="423"/>
        <v>0</v>
      </c>
    </row>
    <row r="1149" spans="1:19" x14ac:dyDescent="0.2">
      <c r="A1149" s="1" t="s">
        <v>627</v>
      </c>
      <c r="B1149" s="2" t="s">
        <v>17</v>
      </c>
      <c r="D1149" s="4" t="s">
        <v>18</v>
      </c>
      <c r="F1149" s="6">
        <v>1</v>
      </c>
      <c r="G1149" s="7" t="s">
        <v>19</v>
      </c>
      <c r="H1149" s="6">
        <v>100</v>
      </c>
      <c r="I1149" s="7" t="s">
        <v>18</v>
      </c>
      <c r="J1149" s="8">
        <v>17000</v>
      </c>
      <c r="K1149" s="4" t="s">
        <v>18</v>
      </c>
      <c r="L1149" s="9">
        <v>0.125</v>
      </c>
      <c r="M1149" s="9">
        <v>0.05</v>
      </c>
      <c r="O1149" s="7" t="s">
        <v>18</v>
      </c>
      <c r="P1149" s="3">
        <f t="shared" ref="P1149" si="432">(C1149+(E1149*F1149*H1149))-N1149</f>
        <v>0</v>
      </c>
      <c r="Q1149" s="7" t="s">
        <v>18</v>
      </c>
      <c r="R1149" s="8">
        <f t="shared" si="418"/>
        <v>0</v>
      </c>
      <c r="S1149" s="8">
        <f t="shared" ref="S1149" si="433">P1149*(J1149-(J1149*L1149)-((J1149-(J1149*L1149))*M1149))</f>
        <v>0</v>
      </c>
    </row>
    <row r="1151" spans="1:19" x14ac:dyDescent="0.2">
      <c r="A1151" s="14" t="s">
        <v>662</v>
      </c>
      <c r="B1151" s="2" t="s">
        <v>24</v>
      </c>
      <c r="D1151" s="4" t="s">
        <v>18</v>
      </c>
      <c r="F1151" s="6">
        <v>1</v>
      </c>
      <c r="G1151" s="7" t="s">
        <v>19</v>
      </c>
      <c r="H1151" s="6">
        <v>24</v>
      </c>
      <c r="I1151" s="7" t="s">
        <v>18</v>
      </c>
      <c r="J1151" s="8">
        <f>372000/24</f>
        <v>15500</v>
      </c>
      <c r="K1151" s="4" t="s">
        <v>18</v>
      </c>
      <c r="M1151" s="9">
        <v>0.17</v>
      </c>
      <c r="O1151" s="7" t="s">
        <v>18</v>
      </c>
      <c r="P1151" s="3">
        <f t="shared" ref="P1151:P1159" si="434">(C1151+(E1151*F1151*H1151))-N1151</f>
        <v>0</v>
      </c>
      <c r="Q1151" s="7" t="s">
        <v>18</v>
      </c>
      <c r="R1151" s="8">
        <f t="shared" ref="R1151:R1159" si="435">S1151/1.11</f>
        <v>0</v>
      </c>
      <c r="S1151" s="8">
        <f t="shared" ref="S1151:S1159" si="436">P1151*(J1151-(J1151*L1151)-((J1151-(J1151*L1151))*M1151))</f>
        <v>0</v>
      </c>
    </row>
    <row r="1152" spans="1:19" x14ac:dyDescent="0.2">
      <c r="A1152" s="14" t="s">
        <v>628</v>
      </c>
      <c r="B1152" s="2" t="s">
        <v>24</v>
      </c>
      <c r="D1152" s="4" t="s">
        <v>18</v>
      </c>
      <c r="F1152" s="6">
        <v>1</v>
      </c>
      <c r="G1152" s="7" t="s">
        <v>19</v>
      </c>
      <c r="H1152" s="6">
        <v>24</v>
      </c>
      <c r="I1152" s="7" t="s">
        <v>18</v>
      </c>
      <c r="J1152" s="8">
        <f>444000/24</f>
        <v>18500</v>
      </c>
      <c r="K1152" s="4" t="s">
        <v>18</v>
      </c>
      <c r="M1152" s="9">
        <v>0.17</v>
      </c>
      <c r="O1152" s="7" t="s">
        <v>18</v>
      </c>
      <c r="P1152" s="3">
        <f t="shared" si="434"/>
        <v>0</v>
      </c>
      <c r="Q1152" s="7" t="s">
        <v>18</v>
      </c>
      <c r="R1152" s="8">
        <f t="shared" si="435"/>
        <v>0</v>
      </c>
      <c r="S1152" s="8">
        <f t="shared" si="436"/>
        <v>0</v>
      </c>
    </row>
    <row r="1153" spans="1:19" x14ac:dyDescent="0.2">
      <c r="A1153" s="14" t="s">
        <v>629</v>
      </c>
      <c r="B1153" s="2" t="s">
        <v>24</v>
      </c>
      <c r="D1153" s="4" t="s">
        <v>18</v>
      </c>
      <c r="F1153" s="6">
        <v>1</v>
      </c>
      <c r="G1153" s="7" t="s">
        <v>19</v>
      </c>
      <c r="H1153" s="6">
        <v>24</v>
      </c>
      <c r="I1153" s="7" t="s">
        <v>18</v>
      </c>
      <c r="J1153" s="8">
        <f>462000/24</f>
        <v>19250</v>
      </c>
      <c r="K1153" s="4" t="s">
        <v>18</v>
      </c>
      <c r="M1153" s="9">
        <v>0.17</v>
      </c>
      <c r="O1153" s="7" t="s">
        <v>18</v>
      </c>
      <c r="P1153" s="3">
        <f t="shared" si="434"/>
        <v>0</v>
      </c>
      <c r="Q1153" s="7" t="s">
        <v>18</v>
      </c>
      <c r="R1153" s="8">
        <f t="shared" si="435"/>
        <v>0</v>
      </c>
      <c r="S1153" s="8">
        <f t="shared" si="436"/>
        <v>0</v>
      </c>
    </row>
    <row r="1154" spans="1:19" x14ac:dyDescent="0.2">
      <c r="A1154" s="14" t="s">
        <v>694</v>
      </c>
      <c r="B1154" s="2" t="s">
        <v>24</v>
      </c>
      <c r="D1154" s="4" t="s">
        <v>18</v>
      </c>
      <c r="F1154" s="6">
        <v>1</v>
      </c>
      <c r="G1154" s="7" t="s">
        <v>19</v>
      </c>
      <c r="H1154" s="6">
        <v>24</v>
      </c>
      <c r="I1154" s="7" t="s">
        <v>18</v>
      </c>
      <c r="J1154" s="8">
        <f>462000/24</f>
        <v>19250</v>
      </c>
      <c r="K1154" s="4" t="s">
        <v>18</v>
      </c>
      <c r="M1154" s="9">
        <v>0.17</v>
      </c>
      <c r="O1154" s="7" t="s">
        <v>18</v>
      </c>
      <c r="P1154" s="3">
        <f t="shared" si="434"/>
        <v>0</v>
      </c>
      <c r="Q1154" s="7" t="s">
        <v>18</v>
      </c>
      <c r="R1154" s="8">
        <f t="shared" si="435"/>
        <v>0</v>
      </c>
      <c r="S1154" s="8">
        <f t="shared" si="436"/>
        <v>0</v>
      </c>
    </row>
    <row r="1155" spans="1:19" x14ac:dyDescent="0.2">
      <c r="A1155" s="14" t="s">
        <v>630</v>
      </c>
      <c r="B1155" s="2" t="s">
        <v>24</v>
      </c>
      <c r="D1155" s="4" t="s">
        <v>18</v>
      </c>
      <c r="F1155" s="6">
        <v>1</v>
      </c>
      <c r="G1155" s="7" t="s">
        <v>19</v>
      </c>
      <c r="H1155" s="6">
        <v>24</v>
      </c>
      <c r="I1155" s="7" t="s">
        <v>18</v>
      </c>
      <c r="J1155" s="8">
        <v>17250</v>
      </c>
      <c r="K1155" s="4" t="s">
        <v>18</v>
      </c>
      <c r="M1155" s="9">
        <v>0.17</v>
      </c>
      <c r="O1155" s="7" t="s">
        <v>18</v>
      </c>
      <c r="P1155" s="3">
        <f t="shared" si="434"/>
        <v>0</v>
      </c>
      <c r="Q1155" s="7" t="s">
        <v>18</v>
      </c>
      <c r="R1155" s="8">
        <f t="shared" si="435"/>
        <v>0</v>
      </c>
      <c r="S1155" s="8">
        <f t="shared" si="436"/>
        <v>0</v>
      </c>
    </row>
    <row r="1156" spans="1:19" x14ac:dyDescent="0.2">
      <c r="A1156" s="14" t="s">
        <v>697</v>
      </c>
      <c r="B1156" s="2" t="s">
        <v>24</v>
      </c>
      <c r="D1156" s="4" t="s">
        <v>18</v>
      </c>
      <c r="F1156" s="6">
        <v>1</v>
      </c>
      <c r="G1156" s="7" t="s">
        <v>19</v>
      </c>
      <c r="H1156" s="6">
        <v>24</v>
      </c>
      <c r="I1156" s="7" t="s">
        <v>18</v>
      </c>
      <c r="J1156" s="8">
        <f>420000/24</f>
        <v>17500</v>
      </c>
      <c r="K1156" s="4" t="s">
        <v>18</v>
      </c>
      <c r="M1156" s="9">
        <v>0.17</v>
      </c>
      <c r="O1156" s="7" t="s">
        <v>18</v>
      </c>
      <c r="P1156" s="3">
        <f t="shared" si="434"/>
        <v>0</v>
      </c>
      <c r="Q1156" s="7" t="s">
        <v>18</v>
      </c>
      <c r="R1156" s="8">
        <f t="shared" si="435"/>
        <v>0</v>
      </c>
      <c r="S1156" s="8">
        <f t="shared" si="436"/>
        <v>0</v>
      </c>
    </row>
    <row r="1157" spans="1:19" x14ac:dyDescent="0.2">
      <c r="A1157" s="14" t="s">
        <v>631</v>
      </c>
      <c r="B1157" s="2" t="s">
        <v>24</v>
      </c>
      <c r="D1157" s="4" t="s">
        <v>18</v>
      </c>
      <c r="F1157" s="6">
        <v>1</v>
      </c>
      <c r="G1157" s="7" t="s">
        <v>19</v>
      </c>
      <c r="H1157" s="6">
        <v>12</v>
      </c>
      <c r="I1157" s="7" t="s">
        <v>18</v>
      </c>
      <c r="J1157" s="8">
        <f>342000/12</f>
        <v>28500</v>
      </c>
      <c r="K1157" s="4" t="s">
        <v>18</v>
      </c>
      <c r="M1157" s="9">
        <v>0.17</v>
      </c>
      <c r="O1157" s="7" t="s">
        <v>18</v>
      </c>
      <c r="P1157" s="3">
        <f t="shared" si="434"/>
        <v>0</v>
      </c>
      <c r="Q1157" s="7" t="s">
        <v>18</v>
      </c>
      <c r="R1157" s="8">
        <f t="shared" si="435"/>
        <v>0</v>
      </c>
      <c r="S1157" s="8">
        <f t="shared" si="436"/>
        <v>0</v>
      </c>
    </row>
    <row r="1158" spans="1:19" x14ac:dyDescent="0.2">
      <c r="A1158" s="14" t="s">
        <v>632</v>
      </c>
      <c r="B1158" s="2" t="s">
        <v>24</v>
      </c>
      <c r="D1158" s="4" t="s">
        <v>18</v>
      </c>
      <c r="F1158" s="6">
        <v>1</v>
      </c>
      <c r="G1158" s="7" t="s">
        <v>19</v>
      </c>
      <c r="H1158" s="6">
        <v>12</v>
      </c>
      <c r="I1158" s="7" t="s">
        <v>18</v>
      </c>
      <c r="J1158" s="8">
        <f>348000/12</f>
        <v>29000</v>
      </c>
      <c r="K1158" s="4" t="s">
        <v>18</v>
      </c>
      <c r="M1158" s="9">
        <v>0.17</v>
      </c>
      <c r="O1158" s="7" t="s">
        <v>18</v>
      </c>
      <c r="P1158" s="3">
        <f t="shared" si="434"/>
        <v>0</v>
      </c>
      <c r="Q1158" s="7" t="s">
        <v>18</v>
      </c>
      <c r="R1158" s="8">
        <f t="shared" si="435"/>
        <v>0</v>
      </c>
      <c r="S1158" s="8">
        <f t="shared" si="436"/>
        <v>0</v>
      </c>
    </row>
    <row r="1159" spans="1:19" x14ac:dyDescent="0.2">
      <c r="A1159" s="14" t="s">
        <v>644</v>
      </c>
      <c r="B1159" s="2" t="s">
        <v>24</v>
      </c>
      <c r="D1159" s="4" t="s">
        <v>18</v>
      </c>
      <c r="F1159" s="6">
        <v>8</v>
      </c>
      <c r="G1159" s="7" t="s">
        <v>39</v>
      </c>
      <c r="H1159" s="6">
        <v>12</v>
      </c>
      <c r="I1159" s="7" t="s">
        <v>18</v>
      </c>
      <c r="J1159" s="8">
        <f>2112000/8/12</f>
        <v>22000</v>
      </c>
      <c r="K1159" s="4" t="s">
        <v>18</v>
      </c>
      <c r="M1159" s="9">
        <v>0.17</v>
      </c>
      <c r="O1159" s="7" t="s">
        <v>18</v>
      </c>
      <c r="P1159" s="3">
        <f t="shared" si="434"/>
        <v>0</v>
      </c>
      <c r="Q1159" s="7" t="s">
        <v>18</v>
      </c>
      <c r="R1159" s="8">
        <f t="shared" si="435"/>
        <v>0</v>
      </c>
      <c r="S1159" s="8">
        <f t="shared" si="436"/>
        <v>0</v>
      </c>
    </row>
    <row r="1160" spans="1:19" x14ac:dyDescent="0.2">
      <c r="A1160" s="14"/>
    </row>
    <row r="1161" spans="1:19" x14ac:dyDescent="0.2">
      <c r="A1161" s="14" t="s">
        <v>633</v>
      </c>
      <c r="B1161" s="2" t="s">
        <v>180</v>
      </c>
      <c r="C1161" s="3">
        <v>384</v>
      </c>
      <c r="D1161" s="4" t="s">
        <v>39</v>
      </c>
      <c r="F1161" s="6">
        <v>48</v>
      </c>
      <c r="G1161" s="7" t="s">
        <v>32</v>
      </c>
      <c r="H1161" s="6">
        <v>1</v>
      </c>
      <c r="I1161" s="7" t="s">
        <v>39</v>
      </c>
      <c r="J1161" s="8">
        <v>92000</v>
      </c>
      <c r="K1161" s="4" t="s">
        <v>39</v>
      </c>
      <c r="L1161" s="35">
        <v>0.27927000000000002</v>
      </c>
      <c r="O1161" s="7" t="s">
        <v>39</v>
      </c>
      <c r="P1161" s="3">
        <f>(C1161+(E1161*F1161*H1161))-N1161</f>
        <v>384</v>
      </c>
      <c r="Q1161" s="7" t="s">
        <v>39</v>
      </c>
      <c r="R1161" s="8">
        <f>S1161/1.11</f>
        <v>22938693.189189188</v>
      </c>
      <c r="S1161" s="8">
        <f>P1161*(J1161-(J1161*L1161)-((J1161-(J1161*L1161))*M1161))</f>
        <v>25461949.440000001</v>
      </c>
    </row>
    <row r="1162" spans="1:19" x14ac:dyDescent="0.2">
      <c r="A1162" s="14"/>
    </row>
    <row r="1163" spans="1:19" x14ac:dyDescent="0.2">
      <c r="A1163" s="14" t="s">
        <v>634</v>
      </c>
      <c r="B1163" s="2" t="s">
        <v>585</v>
      </c>
      <c r="D1163" s="4" t="s">
        <v>18</v>
      </c>
      <c r="F1163" s="6">
        <v>1</v>
      </c>
      <c r="G1163" s="7" t="s">
        <v>19</v>
      </c>
      <c r="H1163" s="6">
        <v>24</v>
      </c>
      <c r="I1163" s="7" t="s">
        <v>18</v>
      </c>
      <c r="J1163" s="8">
        <v>18200</v>
      </c>
      <c r="K1163" s="4" t="s">
        <v>18</v>
      </c>
      <c r="L1163" s="9">
        <v>0.15</v>
      </c>
      <c r="M1163" s="9">
        <v>0.03</v>
      </c>
      <c r="O1163" s="7" t="s">
        <v>18</v>
      </c>
      <c r="P1163" s="3">
        <f>(C1163+(E1163*F1163*H1163))-N1163</f>
        <v>0</v>
      </c>
      <c r="Q1163" s="7" t="s">
        <v>18</v>
      </c>
      <c r="R1163" s="8">
        <f>S1163/1.11</f>
        <v>0</v>
      </c>
      <c r="S1163" s="8">
        <f>P1163*(J1163-(J1163*L1163)-((J1163-(J1163*L1163))*M1163))</f>
        <v>0</v>
      </c>
    </row>
    <row r="1165" spans="1:19" x14ac:dyDescent="0.2">
      <c r="A1165" s="24" t="s">
        <v>638</v>
      </c>
    </row>
    <row r="1166" spans="1:19" x14ac:dyDescent="0.2">
      <c r="A1166" s="24" t="s">
        <v>1018</v>
      </c>
    </row>
    <row r="1167" spans="1:19" x14ac:dyDescent="0.2">
      <c r="A1167" s="1" t="s">
        <v>639</v>
      </c>
      <c r="B1167" s="2" t="s">
        <v>17</v>
      </c>
      <c r="D1167" s="4" t="s">
        <v>18</v>
      </c>
      <c r="F1167" s="6">
        <v>1</v>
      </c>
      <c r="G1167" s="7" t="s">
        <v>19</v>
      </c>
      <c r="H1167" s="6">
        <v>100</v>
      </c>
      <c r="I1167" s="7" t="s">
        <v>18</v>
      </c>
      <c r="J1167" s="8">
        <v>8400</v>
      </c>
      <c r="K1167" s="4" t="s">
        <v>18</v>
      </c>
      <c r="L1167" s="9">
        <v>0.125</v>
      </c>
      <c r="M1167" s="9">
        <v>0.05</v>
      </c>
      <c r="O1167" s="7" t="s">
        <v>18</v>
      </c>
      <c r="P1167" s="3">
        <f>(C1167+(E1167*F1167*H1167))-N1167</f>
        <v>0</v>
      </c>
      <c r="Q1167" s="7" t="s">
        <v>18</v>
      </c>
      <c r="R1167" s="8">
        <f>S1167/1.11</f>
        <v>0</v>
      </c>
      <c r="S1167" s="8">
        <f>P1167*(J1167-(J1167*L1167)-((J1167-(J1167*L1167))*M1167))</f>
        <v>0</v>
      </c>
    </row>
    <row r="1169" spans="1:19" x14ac:dyDescent="0.2">
      <c r="A1169" s="24" t="s">
        <v>1001</v>
      </c>
    </row>
    <row r="1170" spans="1:19" x14ac:dyDescent="0.2">
      <c r="A1170" s="1" t="s">
        <v>1002</v>
      </c>
      <c r="B1170" s="2" t="s">
        <v>170</v>
      </c>
      <c r="C1170" s="3">
        <v>480</v>
      </c>
      <c r="D1170" s="4" t="s">
        <v>18</v>
      </c>
      <c r="F1170" s="6">
        <v>1</v>
      </c>
      <c r="G1170" s="7" t="s">
        <v>19</v>
      </c>
      <c r="H1170" s="6">
        <v>240</v>
      </c>
      <c r="I1170" s="7" t="s">
        <v>18</v>
      </c>
      <c r="J1170" s="8">
        <v>10000</v>
      </c>
      <c r="K1170" s="4" t="s">
        <v>18</v>
      </c>
      <c r="L1170" s="9">
        <v>7.0000000000000007E-2</v>
      </c>
      <c r="O1170" s="7" t="s">
        <v>18</v>
      </c>
      <c r="P1170" s="3">
        <f>(C1170+(E1170*F1170*H1170))-N1170</f>
        <v>480</v>
      </c>
      <c r="Q1170" s="7" t="s">
        <v>18</v>
      </c>
      <c r="R1170" s="8">
        <f>S1170/1.11</f>
        <v>4021621.6216216213</v>
      </c>
      <c r="S1170" s="8">
        <f>P1170*(J1170-(J1170*L1170)-((J1170-(J1170*L1170))*M1170))</f>
        <v>4464000</v>
      </c>
    </row>
    <row r="1171" spans="1:19" x14ac:dyDescent="0.2">
      <c r="A1171" s="1" t="s">
        <v>1008</v>
      </c>
      <c r="B1171" s="2" t="s">
        <v>170</v>
      </c>
      <c r="D1171" s="4" t="s">
        <v>18</v>
      </c>
      <c r="F1171" s="6">
        <v>1</v>
      </c>
      <c r="G1171" s="7" t="s">
        <v>19</v>
      </c>
      <c r="H1171" s="6">
        <v>240</v>
      </c>
      <c r="I1171" s="7" t="s">
        <v>18</v>
      </c>
      <c r="J1171" s="8">
        <v>12500</v>
      </c>
      <c r="K1171" s="4" t="s">
        <v>18</v>
      </c>
      <c r="L1171" s="9">
        <v>7.0000000000000007E-2</v>
      </c>
      <c r="O1171" s="7" t="s">
        <v>18</v>
      </c>
      <c r="P1171" s="3">
        <f>(C1171+(E1171*F1171*H1171))-N1171</f>
        <v>0</v>
      </c>
      <c r="Q1171" s="7" t="s">
        <v>18</v>
      </c>
      <c r="R1171" s="8">
        <f>S1171/1.11</f>
        <v>0</v>
      </c>
      <c r="S1171" s="8">
        <f>P1171*(J1171-(J1171*L1171)-((J1171-(J1171*L1171))*M1171))</f>
        <v>0</v>
      </c>
    </row>
    <row r="1172" spans="1:19" x14ac:dyDescent="0.2">
      <c r="A1172" s="1" t="s">
        <v>1009</v>
      </c>
      <c r="B1172" s="2" t="s">
        <v>170</v>
      </c>
      <c r="C1172" s="3">
        <v>120</v>
      </c>
      <c r="D1172" s="4" t="s">
        <v>18</v>
      </c>
      <c r="F1172" s="6">
        <v>1</v>
      </c>
      <c r="G1172" s="7" t="s">
        <v>19</v>
      </c>
      <c r="H1172" s="6">
        <v>120</v>
      </c>
      <c r="I1172" s="7" t="s">
        <v>18</v>
      </c>
      <c r="J1172" s="8">
        <v>15000</v>
      </c>
      <c r="K1172" s="4" t="s">
        <v>18</v>
      </c>
      <c r="L1172" s="9">
        <v>7.0000000000000007E-2</v>
      </c>
      <c r="O1172" s="7" t="s">
        <v>18</v>
      </c>
      <c r="P1172" s="3">
        <f>(C1172+(E1172*F1172*H1172))-N1172</f>
        <v>120</v>
      </c>
      <c r="Q1172" s="7" t="s">
        <v>18</v>
      </c>
      <c r="R1172" s="8">
        <f>S1172/1.11</f>
        <v>1508108.1081081079</v>
      </c>
      <c r="S1172" s="8">
        <f>P1172*(J1172-(J1172*L1172)-((J1172-(J1172*L1172))*M1172))</f>
        <v>1674000</v>
      </c>
    </row>
    <row r="1174" spans="1:19" x14ac:dyDescent="0.2">
      <c r="A1174" s="24" t="s">
        <v>785</v>
      </c>
    </row>
    <row r="1175" spans="1:19" x14ac:dyDescent="0.2">
      <c r="A1175" s="1" t="s">
        <v>1027</v>
      </c>
      <c r="B1175" s="2" t="s">
        <v>44</v>
      </c>
      <c r="D1175" s="4" t="s">
        <v>18</v>
      </c>
      <c r="F1175" s="6">
        <v>4</v>
      </c>
      <c r="G1175" s="7" t="s">
        <v>32</v>
      </c>
      <c r="H1175" s="6">
        <v>12</v>
      </c>
      <c r="I1175" s="7" t="s">
        <v>18</v>
      </c>
      <c r="K1175" s="4" t="s">
        <v>18</v>
      </c>
      <c r="L1175" s="9">
        <v>0.1</v>
      </c>
      <c r="M1175" s="9">
        <v>0.05</v>
      </c>
      <c r="O1175" s="7" t="s">
        <v>18</v>
      </c>
      <c r="P1175" s="3">
        <f>(C1175+(E1175*F1175*H1175))-N1175</f>
        <v>0</v>
      </c>
      <c r="Q1175" s="7" t="s">
        <v>18</v>
      </c>
      <c r="R1175" s="8">
        <f>S1175/1.11</f>
        <v>0</v>
      </c>
      <c r="S1175" s="8">
        <f>P1175*(J1175-(J1175*L1175)-((J1175-(J1175*L1175))*M1175))</f>
        <v>0</v>
      </c>
    </row>
    <row r="1176" spans="1:19" x14ac:dyDescent="0.2">
      <c r="A1176" s="24" t="s">
        <v>1010</v>
      </c>
    </row>
    <row r="1177" spans="1:19" x14ac:dyDescent="0.2">
      <c r="A1177" s="1" t="s">
        <v>1028</v>
      </c>
      <c r="B1177" s="2" t="s">
        <v>44</v>
      </c>
      <c r="D1177" s="4" t="s">
        <v>18</v>
      </c>
      <c r="F1177" s="6">
        <v>1</v>
      </c>
      <c r="G1177" s="7" t="s">
        <v>19</v>
      </c>
      <c r="H1177" s="6">
        <v>5</v>
      </c>
      <c r="I1177" s="7" t="s">
        <v>18</v>
      </c>
      <c r="J1177" s="8">
        <v>56000</v>
      </c>
      <c r="K1177" s="4" t="s">
        <v>18</v>
      </c>
      <c r="L1177" s="9">
        <v>0.1</v>
      </c>
      <c r="M1177" s="9">
        <v>0.05</v>
      </c>
      <c r="O1177" s="7" t="s">
        <v>18</v>
      </c>
      <c r="P1177" s="3">
        <f>(C1177+(E1177*F1177*H1177))-N1177</f>
        <v>0</v>
      </c>
      <c r="Q1177" s="7" t="s">
        <v>18</v>
      </c>
      <c r="R1177" s="8">
        <f>S1177/1.11</f>
        <v>0</v>
      </c>
      <c r="S1177" s="8">
        <f>P1177*(J1177-(J1177*L1177)-((J1177-(J1177*L1177))*M1177))</f>
        <v>0</v>
      </c>
    </row>
    <row r="1178" spans="1:19" x14ac:dyDescent="0.2">
      <c r="A1178" s="24" t="s">
        <v>896</v>
      </c>
    </row>
    <row r="1179" spans="1:19" x14ac:dyDescent="0.2">
      <c r="A1179" s="1" t="s">
        <v>897</v>
      </c>
      <c r="B1179" s="2" t="s">
        <v>17</v>
      </c>
      <c r="D1179" s="4" t="s">
        <v>18</v>
      </c>
      <c r="F1179" s="6">
        <v>1</v>
      </c>
      <c r="G1179" s="7" t="s">
        <v>19</v>
      </c>
      <c r="H1179" s="6">
        <v>50</v>
      </c>
      <c r="I1179" s="7" t="s">
        <v>809</v>
      </c>
      <c r="J1179" s="8">
        <v>40000</v>
      </c>
      <c r="K1179" s="4" t="s">
        <v>18</v>
      </c>
      <c r="O1179" s="7" t="s">
        <v>18</v>
      </c>
      <c r="P1179" s="3">
        <f>(C1179+(E1179*F1179*H1179))-N1179</f>
        <v>0</v>
      </c>
      <c r="Q1179" s="7" t="s">
        <v>18</v>
      </c>
      <c r="R1179" s="8">
        <f>S1179/1.11</f>
        <v>0</v>
      </c>
      <c r="S1179" s="8">
        <f>P1179*(J1179-(J1179*L1179)-((J1179-(J1179*L1179))*M1179))</f>
        <v>0</v>
      </c>
    </row>
    <row r="1180" spans="1:19" x14ac:dyDescent="0.2">
      <c r="A1180" s="24" t="s">
        <v>876</v>
      </c>
    </row>
    <row r="1181" spans="1:19" x14ac:dyDescent="0.2">
      <c r="A1181" s="1" t="s">
        <v>1029</v>
      </c>
      <c r="B1181" s="2" t="s">
        <v>44</v>
      </c>
      <c r="D1181" s="4" t="s">
        <v>18</v>
      </c>
      <c r="F1181" s="6">
        <v>15</v>
      </c>
      <c r="G1181" s="7" t="s">
        <v>32</v>
      </c>
      <c r="H1181" s="6">
        <v>20</v>
      </c>
      <c r="I1181" s="7" t="s">
        <v>809</v>
      </c>
      <c r="J1181" s="8">
        <v>42900</v>
      </c>
      <c r="K1181" s="4" t="s">
        <v>18</v>
      </c>
      <c r="L1181" s="9">
        <v>0.1</v>
      </c>
      <c r="M1181" s="9">
        <v>0.05</v>
      </c>
      <c r="O1181" s="7" t="s">
        <v>18</v>
      </c>
      <c r="P1181" s="3">
        <f>(C1181+(E1181*F1181*H1181))-N1181</f>
        <v>0</v>
      </c>
      <c r="Q1181" s="7" t="s">
        <v>18</v>
      </c>
      <c r="R1181" s="8">
        <f>S1181/1.11</f>
        <v>0</v>
      </c>
      <c r="S1181" s="8">
        <f>P1181*(J1181-(J1181*L1181)-((J1181-(J1181*L1181))*M1181))</f>
        <v>0</v>
      </c>
    </row>
    <row r="1183" spans="1:19" x14ac:dyDescent="0.2">
      <c r="R1183" s="8">
        <f>SUM(R4:R1182)</f>
        <v>1604268549.4324319</v>
      </c>
      <c r="S1183" s="8">
        <f>SUM(S4:S1182)</f>
        <v>1780738089.8699999</v>
      </c>
    </row>
  </sheetData>
  <sortState ref="A898:U926">
    <sortCondition ref="A898"/>
  </sortState>
  <mergeCells count="12">
    <mergeCell ref="N2:O3"/>
    <mergeCell ref="P2:Q3"/>
    <mergeCell ref="S2:S3"/>
    <mergeCell ref="R2:R3"/>
    <mergeCell ref="F3:G3"/>
    <mergeCell ref="H3:I3"/>
    <mergeCell ref="J2:M2"/>
    <mergeCell ref="A2:A3"/>
    <mergeCell ref="B2:B3"/>
    <mergeCell ref="C2:D3"/>
    <mergeCell ref="E2:E3"/>
    <mergeCell ref="F2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2024-01-02T09:26:28Z</cp:lastPrinted>
  <dcterms:created xsi:type="dcterms:W3CDTF">2022-05-18T09:19:05Z</dcterms:created>
  <dcterms:modified xsi:type="dcterms:W3CDTF">2024-01-29T08:13:50Z</dcterms:modified>
</cp:coreProperties>
</file>