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86" r:id="rId8"/>
  </pivotCaches>
</workbook>
</file>

<file path=xl/calcChain.xml><?xml version="1.0" encoding="utf-8"?>
<calcChain xmlns="http://schemas.openxmlformats.org/spreadsheetml/2006/main">
  <c r="B183" i="1" l="1"/>
  <c r="G183" i="1" s="1"/>
  <c r="A183" i="1" s="1"/>
  <c r="AA183" i="1" s="1"/>
  <c r="H183" i="1"/>
  <c r="I183" i="1"/>
  <c r="N183" i="1"/>
  <c r="V183" i="1"/>
  <c r="W183" i="1" s="1"/>
  <c r="X183" i="1"/>
  <c r="Y183" i="1"/>
  <c r="Z183" i="1"/>
  <c r="S183" i="1" s="1"/>
  <c r="AC183" i="1"/>
  <c r="V5" i="1" l="1"/>
  <c r="V8" i="1"/>
  <c r="V14" i="1"/>
  <c r="V22" i="1"/>
  <c r="V25" i="1"/>
  <c r="V31" i="1"/>
  <c r="V40" i="1"/>
  <c r="V47" i="1"/>
  <c r="V49" i="1"/>
  <c r="V51" i="1"/>
  <c r="V53" i="1"/>
  <c r="V55" i="1"/>
  <c r="V57" i="1"/>
  <c r="V59" i="1"/>
  <c r="V70" i="1"/>
  <c r="V80" i="1"/>
  <c r="V82" i="1"/>
  <c r="V83" i="1"/>
  <c r="V86" i="1"/>
  <c r="V88" i="1"/>
  <c r="V92" i="1"/>
  <c r="V107" i="1"/>
  <c r="V119" i="1"/>
  <c r="V123" i="1"/>
  <c r="V125" i="1"/>
  <c r="V130" i="1"/>
  <c r="V135" i="1"/>
  <c r="V143" i="1"/>
  <c r="V145" i="1"/>
  <c r="V147" i="1"/>
  <c r="V149" i="1"/>
  <c r="V156" i="1"/>
  <c r="V167" i="1"/>
  <c r="V172" i="1"/>
  <c r="V174" i="1"/>
  <c r="V178" i="1"/>
  <c r="V180" i="1"/>
  <c r="V184" i="1"/>
  <c r="V191" i="1"/>
  <c r="V192" i="1"/>
  <c r="V194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193" i="1"/>
  <c r="V185" i="1"/>
  <c r="B140" i="1" l="1"/>
  <c r="G140" i="1" s="1"/>
  <c r="A140" i="1" s="1"/>
  <c r="B141" i="1"/>
  <c r="B142" i="1"/>
  <c r="G142" i="1" s="1"/>
  <c r="A142" i="1" s="1"/>
  <c r="G141" i="1"/>
  <c r="A141" i="1" s="1"/>
  <c r="AA141" i="1" s="1"/>
  <c r="H140" i="1"/>
  <c r="H141" i="1"/>
  <c r="H142" i="1"/>
  <c r="I140" i="1"/>
  <c r="I141" i="1"/>
  <c r="I142" i="1"/>
  <c r="N140" i="1"/>
  <c r="N141" i="1"/>
  <c r="N142" i="1"/>
  <c r="X140" i="1"/>
  <c r="Y140" i="1" s="1"/>
  <c r="Z140" i="1" s="1"/>
  <c r="S140" i="1" s="1"/>
  <c r="X141" i="1"/>
  <c r="Y141" i="1" s="1"/>
  <c r="Z141" i="1" s="1"/>
  <c r="S141" i="1" s="1"/>
  <c r="X142" i="1"/>
  <c r="Y142" i="1" s="1"/>
  <c r="Z142" i="1" s="1"/>
  <c r="S142" i="1" s="1"/>
  <c r="AC140" i="1"/>
  <c r="AC141" i="1"/>
  <c r="AC142" i="1"/>
  <c r="B135" i="1"/>
  <c r="G135" i="1" s="1"/>
  <c r="A135" i="1" s="1"/>
  <c r="AA135" i="1" s="1"/>
  <c r="B137" i="1"/>
  <c r="G137" i="1" s="1"/>
  <c r="A137" i="1" s="1"/>
  <c r="B138" i="1"/>
  <c r="G138" i="1" s="1"/>
  <c r="A138" i="1" s="1"/>
  <c r="B139" i="1"/>
  <c r="G139" i="1" s="1"/>
  <c r="A139" i="1" s="1"/>
  <c r="AA139" i="1" s="1"/>
  <c r="H135" i="1"/>
  <c r="H136" i="1"/>
  <c r="H137" i="1"/>
  <c r="H138" i="1"/>
  <c r="H139" i="1"/>
  <c r="I135" i="1"/>
  <c r="I136" i="1"/>
  <c r="I137" i="1"/>
  <c r="I138" i="1"/>
  <c r="I139" i="1"/>
  <c r="N135" i="1"/>
  <c r="N136" i="1"/>
  <c r="N137" i="1"/>
  <c r="N138" i="1"/>
  <c r="N139" i="1"/>
  <c r="W135" i="1"/>
  <c r="X135" i="1"/>
  <c r="X136" i="1"/>
  <c r="Y136" i="1" s="1"/>
  <c r="Z136" i="1" s="1"/>
  <c r="S136" i="1" s="1"/>
  <c r="X137" i="1"/>
  <c r="Y137" i="1" s="1"/>
  <c r="Z137" i="1" s="1"/>
  <c r="S137" i="1" s="1"/>
  <c r="X138" i="1"/>
  <c r="X139" i="1"/>
  <c r="Y139" i="1" s="1"/>
  <c r="Z139" i="1" s="1"/>
  <c r="S139" i="1" s="1"/>
  <c r="Y135" i="1"/>
  <c r="Y138" i="1"/>
  <c r="Z138" i="1" s="1"/>
  <c r="S138" i="1" s="1"/>
  <c r="Z135" i="1"/>
  <c r="S135" i="1" s="1"/>
  <c r="AC135" i="1"/>
  <c r="AC136" i="1"/>
  <c r="AC137" i="1"/>
  <c r="AC138" i="1"/>
  <c r="AC139" i="1"/>
  <c r="B130" i="1"/>
  <c r="G130" i="1" s="1"/>
  <c r="A130" i="1" s="1"/>
  <c r="AA130" i="1" s="1"/>
  <c r="H130" i="1"/>
  <c r="H131" i="1"/>
  <c r="I130" i="1"/>
  <c r="I131" i="1"/>
  <c r="N130" i="1"/>
  <c r="N131" i="1"/>
  <c r="W130" i="1"/>
  <c r="X130" i="1"/>
  <c r="X131" i="1"/>
  <c r="Y130" i="1"/>
  <c r="Y131" i="1"/>
  <c r="Z130" i="1"/>
  <c r="S130" i="1" s="1"/>
  <c r="Z131" i="1"/>
  <c r="S131" i="1" s="1"/>
  <c r="AC130" i="1"/>
  <c r="AC131" i="1"/>
  <c r="B132" i="1"/>
  <c r="B133" i="1"/>
  <c r="G132" i="1"/>
  <c r="A132" i="1" s="1"/>
  <c r="G133" i="1"/>
  <c r="A133" i="1" s="1"/>
  <c r="AA133" i="1" s="1"/>
  <c r="H132" i="1"/>
  <c r="H133" i="1"/>
  <c r="I132" i="1"/>
  <c r="I133" i="1"/>
  <c r="N132" i="1"/>
  <c r="N133" i="1"/>
  <c r="X132" i="1"/>
  <c r="X133" i="1"/>
  <c r="Y132" i="1"/>
  <c r="Y133" i="1"/>
  <c r="Z132" i="1"/>
  <c r="S132" i="1" s="1"/>
  <c r="Z133" i="1"/>
  <c r="S133" i="1" s="1"/>
  <c r="AC132" i="1"/>
  <c r="AC133" i="1"/>
  <c r="B134" i="1"/>
  <c r="G134" i="1" s="1"/>
  <c r="A134" i="1" s="1"/>
  <c r="H134" i="1"/>
  <c r="I134" i="1"/>
  <c r="N134" i="1"/>
  <c r="X134" i="1"/>
  <c r="Y134" i="1" s="1"/>
  <c r="Z134" i="1" s="1"/>
  <c r="S134" i="1" s="1"/>
  <c r="AC134" i="1"/>
  <c r="V186" i="1"/>
  <c r="V187" i="1"/>
  <c r="AA134" i="1" l="1"/>
  <c r="AA138" i="1"/>
  <c r="AA142" i="1"/>
  <c r="AA140" i="1"/>
  <c r="AA137" i="1"/>
  <c r="AA13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B107" i="1"/>
  <c r="G107" i="1" s="1"/>
  <c r="A107" i="1" s="1"/>
  <c r="AA107" i="1" s="1"/>
  <c r="B109" i="1"/>
  <c r="G109" i="1" s="1"/>
  <c r="A109" i="1" s="1"/>
  <c r="B110" i="1"/>
  <c r="B111" i="1"/>
  <c r="G111" i="1" s="1"/>
  <c r="A111" i="1" s="1"/>
  <c r="AA111" i="1" s="1"/>
  <c r="B112" i="1"/>
  <c r="B113" i="1"/>
  <c r="G113" i="1" s="1"/>
  <c r="A113" i="1" s="1"/>
  <c r="AA113" i="1" s="1"/>
  <c r="B114" i="1"/>
  <c r="B115" i="1"/>
  <c r="G115" i="1" s="1"/>
  <c r="A115" i="1" s="1"/>
  <c r="AA115" i="1" s="1"/>
  <c r="B116" i="1"/>
  <c r="B117" i="1"/>
  <c r="G117" i="1" s="1"/>
  <c r="A117" i="1" s="1"/>
  <c r="AA117" i="1" s="1"/>
  <c r="B118" i="1"/>
  <c r="B119" i="1"/>
  <c r="G119" i="1" s="1"/>
  <c r="A119" i="1" s="1"/>
  <c r="B121" i="1"/>
  <c r="G121" i="1" s="1"/>
  <c r="A121" i="1" s="1"/>
  <c r="B122" i="1"/>
  <c r="B123" i="1"/>
  <c r="G123" i="1" s="1"/>
  <c r="A123" i="1" s="1"/>
  <c r="B125" i="1"/>
  <c r="G125" i="1" s="1"/>
  <c r="A125" i="1" s="1"/>
  <c r="AA125" i="1" s="1"/>
  <c r="B127" i="1"/>
  <c r="G127" i="1" s="1"/>
  <c r="A127" i="1" s="1"/>
  <c r="B128" i="1"/>
  <c r="G128" i="1" s="1"/>
  <c r="A128" i="1" s="1"/>
  <c r="B129" i="1"/>
  <c r="G129" i="1" s="1"/>
  <c r="A129" i="1" s="1"/>
  <c r="AA129" i="1" s="1"/>
  <c r="B143" i="1"/>
  <c r="G143" i="1" s="1"/>
  <c r="A143" i="1" s="1"/>
  <c r="AA143" i="1" s="1"/>
  <c r="B145" i="1"/>
  <c r="G145" i="1" s="1"/>
  <c r="A145" i="1" s="1"/>
  <c r="AA145" i="1" s="1"/>
  <c r="B147" i="1"/>
  <c r="B149" i="1"/>
  <c r="G149" i="1" s="1"/>
  <c r="A149" i="1" s="1"/>
  <c r="AA149" i="1" s="1"/>
  <c r="B151" i="1"/>
  <c r="G151" i="1" s="1"/>
  <c r="A151" i="1" s="1"/>
  <c r="B152" i="1"/>
  <c r="G152" i="1" s="1"/>
  <c r="A152" i="1" s="1"/>
  <c r="B153" i="1"/>
  <c r="G153" i="1" s="1"/>
  <c r="A153" i="1" s="1"/>
  <c r="B154" i="1"/>
  <c r="G154" i="1" s="1"/>
  <c r="A154" i="1" s="1"/>
  <c r="AA154" i="1" s="1"/>
  <c r="B155" i="1"/>
  <c r="B156" i="1"/>
  <c r="G156" i="1" s="1"/>
  <c r="A156" i="1" s="1"/>
  <c r="AA156" i="1" s="1"/>
  <c r="B158" i="1"/>
  <c r="G158" i="1" s="1"/>
  <c r="A158" i="1" s="1"/>
  <c r="B159" i="1"/>
  <c r="G159" i="1" s="1"/>
  <c r="A159" i="1" s="1"/>
  <c r="B160" i="1"/>
  <c r="G160" i="1" s="1"/>
  <c r="A160" i="1" s="1"/>
  <c r="B161" i="1"/>
  <c r="G161" i="1" s="1"/>
  <c r="A161" i="1" s="1"/>
  <c r="AA161" i="1" s="1"/>
  <c r="B162" i="1"/>
  <c r="G162" i="1" s="1"/>
  <c r="A162" i="1" s="1"/>
  <c r="AA162" i="1" s="1"/>
  <c r="B163" i="1"/>
  <c r="B164" i="1"/>
  <c r="G164" i="1" s="1"/>
  <c r="A164" i="1" s="1"/>
  <c r="AA164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B170" i="1"/>
  <c r="G170" i="1" s="1"/>
  <c r="A170" i="1" s="1"/>
  <c r="B171" i="1"/>
  <c r="B172" i="1"/>
  <c r="G172" i="1" s="1"/>
  <c r="A172" i="1" s="1"/>
  <c r="AA172" i="1" s="1"/>
  <c r="B174" i="1"/>
  <c r="G174" i="1" s="1"/>
  <c r="A174" i="1" s="1"/>
  <c r="AA174" i="1" s="1"/>
  <c r="B176" i="1"/>
  <c r="G176" i="1" s="1"/>
  <c r="A176" i="1" s="1"/>
  <c r="B177" i="1"/>
  <c r="G177" i="1" s="1"/>
  <c r="A177" i="1" s="1"/>
  <c r="B178" i="1"/>
  <c r="G178" i="1" s="1"/>
  <c r="A178" i="1" s="1"/>
  <c r="AA178" i="1" s="1"/>
  <c r="B180" i="1"/>
  <c r="G180" i="1" s="1"/>
  <c r="A180" i="1" s="1"/>
  <c r="AA180" i="1" s="1"/>
  <c r="B182" i="1"/>
  <c r="G182" i="1" s="1"/>
  <c r="A182" i="1" s="1"/>
  <c r="B185" i="1"/>
  <c r="G185" i="1" s="1"/>
  <c r="A185" i="1" s="1"/>
  <c r="AA185" i="1" s="1"/>
  <c r="B186" i="1"/>
  <c r="G186" i="1" s="1"/>
  <c r="A186" i="1" s="1"/>
  <c r="AA186" i="1" s="1"/>
  <c r="B187" i="1"/>
  <c r="G187" i="1" s="1"/>
  <c r="A187" i="1" s="1"/>
  <c r="AA187" i="1" s="1"/>
  <c r="B188" i="1"/>
  <c r="G188" i="1" s="1"/>
  <c r="A188" i="1" s="1"/>
  <c r="AA188" i="1" s="1"/>
  <c r="B189" i="1"/>
  <c r="G189" i="1" s="1"/>
  <c r="A189" i="1" s="1"/>
  <c r="AA189" i="1" s="1"/>
  <c r="B190" i="1"/>
  <c r="G190" i="1" s="1"/>
  <c r="A190" i="1" s="1"/>
  <c r="AA190" i="1" s="1"/>
  <c r="B191" i="1"/>
  <c r="G191" i="1" s="1"/>
  <c r="A191" i="1" s="1"/>
  <c r="AA191" i="1" s="1"/>
  <c r="B192" i="1"/>
  <c r="G192" i="1" s="1"/>
  <c r="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B196" i="1"/>
  <c r="G196" i="1" s="1"/>
  <c r="A196" i="1" s="1"/>
  <c r="AA196" i="1" s="1"/>
  <c r="B197" i="1"/>
  <c r="G197" i="1" s="1"/>
  <c r="A197" i="1" s="1"/>
  <c r="AA197" i="1" s="1"/>
  <c r="B198" i="1"/>
  <c r="G198" i="1" s="1"/>
  <c r="A198" i="1" s="1"/>
  <c r="AA198" i="1" s="1"/>
  <c r="B199" i="1"/>
  <c r="G199" i="1" s="1"/>
  <c r="A199" i="1" s="1"/>
  <c r="AA199" i="1" s="1"/>
  <c r="B200" i="1"/>
  <c r="G200" i="1" s="1"/>
  <c r="A200" i="1" s="1"/>
  <c r="AA200" i="1" s="1"/>
  <c r="B201" i="1"/>
  <c r="G201" i="1" s="1"/>
  <c r="A201" i="1" s="1"/>
  <c r="AA201" i="1" s="1"/>
  <c r="B202" i="1"/>
  <c r="G202" i="1" s="1"/>
  <c r="A202" i="1" s="1"/>
  <c r="AA202" i="1" s="1"/>
  <c r="B203" i="1"/>
  <c r="G203" i="1" s="1"/>
  <c r="A203" i="1" s="1"/>
  <c r="AA203" i="1" s="1"/>
  <c r="B204" i="1"/>
  <c r="G204" i="1" s="1"/>
  <c r="A204" i="1" s="1"/>
  <c r="AA204" i="1" s="1"/>
  <c r="B205" i="1"/>
  <c r="G205" i="1" s="1"/>
  <c r="A205" i="1" s="1"/>
  <c r="AA205" i="1" s="1"/>
  <c r="B206" i="1"/>
  <c r="G206" i="1" s="1"/>
  <c r="A206" i="1" s="1"/>
  <c r="AA206" i="1" s="1"/>
  <c r="B207" i="1"/>
  <c r="G207" i="1" s="1"/>
  <c r="A207" i="1" s="1"/>
  <c r="AA207" i="1" s="1"/>
  <c r="B208" i="1"/>
  <c r="G208" i="1" s="1"/>
  <c r="A208" i="1" s="1"/>
  <c r="AA208" i="1" s="1"/>
  <c r="B209" i="1"/>
  <c r="G209" i="1" s="1"/>
  <c r="A209" i="1" s="1"/>
  <c r="AA209" i="1" s="1"/>
  <c r="B210" i="1"/>
  <c r="G210" i="1" s="1"/>
  <c r="A210" i="1" s="1"/>
  <c r="AA210" i="1" s="1"/>
  <c r="B211" i="1"/>
  <c r="G211" i="1" s="1"/>
  <c r="A211" i="1" s="1"/>
  <c r="AA211" i="1" s="1"/>
  <c r="B212" i="1"/>
  <c r="G212" i="1" s="1"/>
  <c r="A212" i="1" s="1"/>
  <c r="AA212" i="1" s="1"/>
  <c r="B213" i="1"/>
  <c r="G213" i="1" s="1"/>
  <c r="A213" i="1" s="1"/>
  <c r="AA213" i="1" s="1"/>
  <c r="G110" i="1"/>
  <c r="A110" i="1" s="1"/>
  <c r="G112" i="1"/>
  <c r="A112" i="1" s="1"/>
  <c r="G114" i="1"/>
  <c r="A114" i="1" s="1"/>
  <c r="G116" i="1"/>
  <c r="A116" i="1" s="1"/>
  <c r="G118" i="1"/>
  <c r="A118" i="1" s="1"/>
  <c r="G122" i="1"/>
  <c r="A122" i="1" s="1"/>
  <c r="G147" i="1"/>
  <c r="A147" i="1" s="1"/>
  <c r="AA147" i="1" s="1"/>
  <c r="G155" i="1"/>
  <c r="A155" i="1" s="1"/>
  <c r="AA155" i="1" s="1"/>
  <c r="G163" i="1"/>
  <c r="A163" i="1" s="1"/>
  <c r="AA163" i="1" s="1"/>
  <c r="G171" i="1"/>
  <c r="A171" i="1" s="1"/>
  <c r="AA171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W119" i="1"/>
  <c r="W123" i="1"/>
  <c r="W125" i="1"/>
  <c r="W143" i="1"/>
  <c r="W145" i="1"/>
  <c r="W147" i="1"/>
  <c r="W149" i="1"/>
  <c r="W156" i="1"/>
  <c r="W167" i="1"/>
  <c r="W172" i="1"/>
  <c r="W178" i="1"/>
  <c r="W180" i="1"/>
  <c r="W191" i="1"/>
  <c r="W194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107" i="1"/>
  <c r="W174" i="1"/>
  <c r="X107" i="1"/>
  <c r="X108" i="1"/>
  <c r="Y108" i="1" s="1"/>
  <c r="Z108" i="1" s="1"/>
  <c r="S108" i="1" s="1"/>
  <c r="X109" i="1"/>
  <c r="Y109" i="1" s="1"/>
  <c r="X110" i="1"/>
  <c r="Y110" i="1" s="1"/>
  <c r="Z110" i="1" s="1"/>
  <c r="S110" i="1" s="1"/>
  <c r="X111" i="1"/>
  <c r="Y111" i="1" s="1"/>
  <c r="X112" i="1"/>
  <c r="Y112" i="1" s="1"/>
  <c r="Z112" i="1" s="1"/>
  <c r="S112" i="1" s="1"/>
  <c r="X113" i="1"/>
  <c r="Y113" i="1" s="1"/>
  <c r="X114" i="1"/>
  <c r="Y114" i="1" s="1"/>
  <c r="Z114" i="1" s="1"/>
  <c r="S114" i="1" s="1"/>
  <c r="X115" i="1"/>
  <c r="Y115" i="1" s="1"/>
  <c r="X116" i="1"/>
  <c r="Y116" i="1" s="1"/>
  <c r="Z116" i="1" s="1"/>
  <c r="S116" i="1" s="1"/>
  <c r="X117" i="1"/>
  <c r="Y117" i="1" s="1"/>
  <c r="X118" i="1"/>
  <c r="Y118" i="1" s="1"/>
  <c r="Z118" i="1" s="1"/>
  <c r="S118" i="1" s="1"/>
  <c r="X119" i="1"/>
  <c r="X120" i="1"/>
  <c r="Y120" i="1" s="1"/>
  <c r="X121" i="1"/>
  <c r="Y121" i="1" s="1"/>
  <c r="Z121" i="1" s="1"/>
  <c r="S121" i="1" s="1"/>
  <c r="X122" i="1"/>
  <c r="Y122" i="1" s="1"/>
  <c r="X123" i="1"/>
  <c r="X124" i="1"/>
  <c r="Y124" i="1" s="1"/>
  <c r="X125" i="1"/>
  <c r="X126" i="1"/>
  <c r="Y126" i="1" s="1"/>
  <c r="X127" i="1"/>
  <c r="Y127" i="1" s="1"/>
  <c r="X128" i="1"/>
  <c r="Y128" i="1" s="1"/>
  <c r="X129" i="1"/>
  <c r="Y129" i="1" s="1"/>
  <c r="Z129" i="1" s="1"/>
  <c r="S129" i="1" s="1"/>
  <c r="X143" i="1"/>
  <c r="X144" i="1"/>
  <c r="Y144" i="1" s="1"/>
  <c r="Z144" i="1" s="1"/>
  <c r="S144" i="1" s="1"/>
  <c r="X145" i="1"/>
  <c r="X146" i="1"/>
  <c r="Y146" i="1" s="1"/>
  <c r="Z146" i="1" s="1"/>
  <c r="S146" i="1" s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Y160" i="1" s="1"/>
  <c r="Z160" i="1" s="1"/>
  <c r="S160" i="1" s="1"/>
  <c r="X161" i="1"/>
  <c r="Y161" i="1" s="1"/>
  <c r="Z161" i="1" s="1"/>
  <c r="S161" i="1" s="1"/>
  <c r="X162" i="1"/>
  <c r="Z162" i="1" s="1"/>
  <c r="S162" i="1" s="1"/>
  <c r="X163" i="1"/>
  <c r="X164" i="1"/>
  <c r="X165" i="1"/>
  <c r="X166" i="1"/>
  <c r="Z166" i="1" s="1"/>
  <c r="S166" i="1" s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Y107" i="1"/>
  <c r="Y119" i="1"/>
  <c r="Y123" i="1"/>
  <c r="Y125" i="1"/>
  <c r="Y143" i="1"/>
  <c r="Y145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Z158" i="1" s="1"/>
  <c r="S158" i="1" s="1"/>
  <c r="Y159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Z107" i="1"/>
  <c r="S107" i="1" s="1"/>
  <c r="Z119" i="1"/>
  <c r="S119" i="1" s="1"/>
  <c r="Z123" i="1"/>
  <c r="S123" i="1" s="1"/>
  <c r="Z125" i="1"/>
  <c r="S125" i="1" s="1"/>
  <c r="Z143" i="1"/>
  <c r="S143" i="1" s="1"/>
  <c r="Z145" i="1"/>
  <c r="S145" i="1" s="1"/>
  <c r="Z147" i="1"/>
  <c r="S147" i="1" s="1"/>
  <c r="Z148" i="1"/>
  <c r="S148" i="1" s="1"/>
  <c r="Z149" i="1"/>
  <c r="S149" i="1" s="1"/>
  <c r="Z150" i="1"/>
  <c r="S150" i="1" s="1"/>
  <c r="Z151" i="1"/>
  <c r="S151" i="1" s="1"/>
  <c r="Z152" i="1"/>
  <c r="S152" i="1" s="1"/>
  <c r="Z153" i="1"/>
  <c r="S153" i="1" s="1"/>
  <c r="Z154" i="1"/>
  <c r="S154" i="1" s="1"/>
  <c r="Z155" i="1"/>
  <c r="S155" i="1" s="1"/>
  <c r="Z156" i="1"/>
  <c r="S156" i="1" s="1"/>
  <c r="Z157" i="1"/>
  <c r="S157" i="1" s="1"/>
  <c r="Z159" i="1"/>
  <c r="S159" i="1" s="1"/>
  <c r="Z164" i="1"/>
  <c r="S164" i="1" s="1"/>
  <c r="Z167" i="1"/>
  <c r="S167" i="1" s="1"/>
  <c r="Z169" i="1"/>
  <c r="S169" i="1" s="1"/>
  <c r="Z171" i="1"/>
  <c r="S171" i="1" s="1"/>
  <c r="Z172" i="1"/>
  <c r="S172" i="1" s="1"/>
  <c r="Z174" i="1"/>
  <c r="S174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4" i="1"/>
  <c r="S184" i="1" s="1"/>
  <c r="Z185" i="1"/>
  <c r="S185" i="1" s="1"/>
  <c r="Z186" i="1"/>
  <c r="S186" i="1" s="1"/>
  <c r="Z187" i="1"/>
  <c r="S187" i="1" s="1"/>
  <c r="Z188" i="1"/>
  <c r="S188" i="1" s="1"/>
  <c r="Z189" i="1"/>
  <c r="S189" i="1" s="1"/>
  <c r="Z190" i="1"/>
  <c r="S190" i="1" s="1"/>
  <c r="Z191" i="1"/>
  <c r="S191" i="1" s="1"/>
  <c r="Z192" i="1"/>
  <c r="S192" i="1" s="1"/>
  <c r="Z193" i="1"/>
  <c r="S193" i="1" s="1"/>
  <c r="Z194" i="1"/>
  <c r="S194" i="1" s="1"/>
  <c r="Z195" i="1"/>
  <c r="S195" i="1" s="1"/>
  <c r="Z196" i="1"/>
  <c r="S196" i="1" s="1"/>
  <c r="Z197" i="1"/>
  <c r="S197" i="1" s="1"/>
  <c r="Z198" i="1"/>
  <c r="S198" i="1" s="1"/>
  <c r="Z199" i="1"/>
  <c r="S199" i="1" s="1"/>
  <c r="Z200" i="1"/>
  <c r="S200" i="1" s="1"/>
  <c r="Z201" i="1"/>
  <c r="S201" i="1" s="1"/>
  <c r="Z202" i="1"/>
  <c r="S202" i="1" s="1"/>
  <c r="Z203" i="1"/>
  <c r="S203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Z213" i="1"/>
  <c r="S213" i="1" s="1"/>
  <c r="AA119" i="1"/>
  <c r="AA121" i="1"/>
  <c r="AA123" i="1"/>
  <c r="AA127" i="1"/>
  <c r="AA152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V195" i="1"/>
  <c r="V188" i="1"/>
  <c r="V189" i="1"/>
  <c r="Z170" i="1" l="1"/>
  <c r="S170" i="1" s="1"/>
  <c r="AA182" i="1"/>
  <c r="AA176" i="1"/>
  <c r="AA170" i="1"/>
  <c r="AA160" i="1"/>
  <c r="AA158" i="1"/>
  <c r="Z168" i="1"/>
  <c r="S168" i="1" s="1"/>
  <c r="Z165" i="1"/>
  <c r="S165" i="1" s="1"/>
  <c r="Z163" i="1"/>
  <c r="S163" i="1" s="1"/>
  <c r="AA177" i="1"/>
  <c r="AA169" i="1"/>
  <c r="AA159" i="1"/>
  <c r="AA153" i="1"/>
  <c r="AA151" i="1"/>
  <c r="Z173" i="1"/>
  <c r="S173" i="1" s="1"/>
  <c r="AA122" i="1"/>
  <c r="AA116" i="1"/>
  <c r="AA112" i="1"/>
  <c r="AA128" i="1"/>
  <c r="AA109" i="1"/>
  <c r="AA118" i="1"/>
  <c r="AA114" i="1"/>
  <c r="AA110" i="1"/>
  <c r="Z127" i="1"/>
  <c r="S127" i="1" s="1"/>
  <c r="Z128" i="1"/>
  <c r="S128" i="1" s="1"/>
  <c r="Z126" i="1"/>
  <c r="S126" i="1" s="1"/>
  <c r="Z122" i="1"/>
  <c r="S122" i="1" s="1"/>
  <c r="Z120" i="1"/>
  <c r="S120" i="1" s="1"/>
  <c r="Z124" i="1"/>
  <c r="S124" i="1" s="1"/>
  <c r="Z117" i="1"/>
  <c r="S117" i="1" s="1"/>
  <c r="Z115" i="1"/>
  <c r="S115" i="1" s="1"/>
  <c r="Z113" i="1"/>
  <c r="S113" i="1" s="1"/>
  <c r="Z111" i="1"/>
  <c r="S111" i="1" s="1"/>
  <c r="Z109" i="1"/>
  <c r="S109" i="1" s="1"/>
  <c r="V190" i="1"/>
  <c r="B5" i="1" l="1"/>
  <c r="G5" i="1" s="1"/>
  <c r="A5" i="1" s="1"/>
  <c r="AA5" i="1" s="1"/>
  <c r="H5" i="1"/>
  <c r="I5" i="1"/>
  <c r="W5" i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G7" i="1"/>
  <c r="A7" i="1" s="1"/>
  <c r="G8" i="1"/>
  <c r="A8" i="1" s="1"/>
  <c r="AA8" i="1" s="1"/>
  <c r="G10" i="1"/>
  <c r="A10" i="1" s="1"/>
  <c r="G11" i="1"/>
  <c r="A11" i="1" s="1"/>
  <c r="AA11" i="1" s="1"/>
  <c r="G12" i="1"/>
  <c r="A12" i="1" s="1"/>
  <c r="G13" i="1"/>
  <c r="A13" i="1" s="1"/>
  <c r="AA13" i="1" s="1"/>
  <c r="G14" i="1"/>
  <c r="A14" i="1" s="1"/>
  <c r="AA14" i="1" s="1"/>
  <c r="G16" i="1"/>
  <c r="A16" i="1" s="1"/>
  <c r="G17" i="1"/>
  <c r="A17" i="1" s="1"/>
  <c r="AA17" i="1" s="1"/>
  <c r="G18" i="1"/>
  <c r="A18" i="1" s="1"/>
  <c r="G19" i="1"/>
  <c r="A19" i="1" s="1"/>
  <c r="AA19" i="1" s="1"/>
  <c r="G20" i="1"/>
  <c r="A20" i="1" s="1"/>
  <c r="G21" i="1"/>
  <c r="A21" i="1" s="1"/>
  <c r="AA21" i="1" s="1"/>
  <c r="G22" i="1"/>
  <c r="A22" i="1" s="1"/>
  <c r="AA22" i="1" s="1"/>
  <c r="G24" i="1"/>
  <c r="A24" i="1" s="1"/>
  <c r="G25" i="1"/>
  <c r="A25" i="1" s="1"/>
  <c r="AA25" i="1" s="1"/>
  <c r="G27" i="1"/>
  <c r="A27" i="1" s="1"/>
  <c r="G28" i="1"/>
  <c r="A28" i="1" s="1"/>
  <c r="G29" i="1"/>
  <c r="A29" i="1" s="1"/>
  <c r="AA29" i="1" s="1"/>
  <c r="G30" i="1"/>
  <c r="A30" i="1" s="1"/>
  <c r="G31" i="1"/>
  <c r="A31" i="1" s="1"/>
  <c r="AA31" i="1" s="1"/>
  <c r="G33" i="1"/>
  <c r="A33" i="1" s="1"/>
  <c r="G34" i="1"/>
  <c r="A34" i="1" s="1"/>
  <c r="G36" i="1"/>
  <c r="A36" i="1" s="1"/>
  <c r="G37" i="1"/>
  <c r="A37" i="1" s="1"/>
  <c r="AA37" i="1" s="1"/>
  <c r="G38" i="1"/>
  <c r="A38" i="1" s="1"/>
  <c r="G39" i="1"/>
  <c r="A39" i="1" s="1"/>
  <c r="AA39" i="1" s="1"/>
  <c r="G40" i="1"/>
  <c r="A40" i="1" s="1"/>
  <c r="AA40" i="1" s="1"/>
  <c r="G42" i="1"/>
  <c r="A42" i="1" s="1"/>
  <c r="G43" i="1"/>
  <c r="A43" i="1" s="1"/>
  <c r="AA43" i="1" s="1"/>
  <c r="G44" i="1"/>
  <c r="A44" i="1" s="1"/>
  <c r="G45" i="1"/>
  <c r="A45" i="1" s="1"/>
  <c r="AA45" i="1" s="1"/>
  <c r="G46" i="1"/>
  <c r="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G62" i="1"/>
  <c r="A62" i="1" s="1"/>
  <c r="G63" i="1"/>
  <c r="A63" i="1" s="1"/>
  <c r="AA63" i="1" s="1"/>
  <c r="G64" i="1"/>
  <c r="A64" i="1" s="1"/>
  <c r="G65" i="1"/>
  <c r="A65" i="1" s="1"/>
  <c r="AA65" i="1" s="1"/>
  <c r="G66" i="1"/>
  <c r="A66" i="1" s="1"/>
  <c r="G68" i="1"/>
  <c r="A68" i="1" s="1"/>
  <c r="G69" i="1"/>
  <c r="A69" i="1" s="1"/>
  <c r="AA69" i="1" s="1"/>
  <c r="G70" i="1"/>
  <c r="A70" i="1" s="1"/>
  <c r="AA70" i="1" s="1"/>
  <c r="G72" i="1"/>
  <c r="A72" i="1" s="1"/>
  <c r="G73" i="1"/>
  <c r="A73" i="1" s="1"/>
  <c r="AA73" i="1" s="1"/>
  <c r="G74" i="1"/>
  <c r="A74" i="1" s="1"/>
  <c r="G75" i="1"/>
  <c r="A75" i="1" s="1"/>
  <c r="AA75" i="1" s="1"/>
  <c r="G76" i="1"/>
  <c r="A76" i="1" s="1"/>
  <c r="G77" i="1"/>
  <c r="A77" i="1" s="1"/>
  <c r="AA77" i="1" s="1"/>
  <c r="G78" i="1"/>
  <c r="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G86" i="1"/>
  <c r="A86" i="1" s="1"/>
  <c r="AA86" i="1" s="1"/>
  <c r="G88" i="1"/>
  <c r="A88" i="1" s="1"/>
  <c r="AA88" i="1" s="1"/>
  <c r="G90" i="1"/>
  <c r="A90" i="1" s="1"/>
  <c r="G91" i="1"/>
  <c r="A91" i="1" s="1"/>
  <c r="AA91" i="1" s="1"/>
  <c r="G92" i="1"/>
  <c r="A92" i="1" s="1"/>
  <c r="AA92" i="1" s="1"/>
  <c r="G94" i="1"/>
  <c r="A94" i="1" s="1"/>
  <c r="G95" i="1"/>
  <c r="A95" i="1" s="1"/>
  <c r="AA95" i="1" s="1"/>
  <c r="G96" i="1"/>
  <c r="A96" i="1" s="1"/>
  <c r="G97" i="1"/>
  <c r="A97" i="1" s="1"/>
  <c r="AA97" i="1" s="1"/>
  <c r="G98" i="1"/>
  <c r="A98" i="1" s="1"/>
  <c r="G100" i="1"/>
  <c r="A100" i="1" s="1"/>
  <c r="G101" i="1"/>
  <c r="A101" i="1" s="1"/>
  <c r="AA101" i="1" s="1"/>
  <c r="G102" i="1"/>
  <c r="A102" i="1" s="1"/>
  <c r="G103" i="1"/>
  <c r="A103" i="1" s="1"/>
  <c r="AA103" i="1" s="1"/>
  <c r="G104" i="1"/>
  <c r="A104" i="1" s="1"/>
  <c r="G105" i="1"/>
  <c r="A105" i="1" s="1"/>
  <c r="AA105" i="1" s="1"/>
  <c r="G106" i="1"/>
  <c r="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W8" i="1"/>
  <c r="W14" i="1"/>
  <c r="W22" i="1"/>
  <c r="W25" i="1"/>
  <c r="W31" i="1"/>
  <c r="W40" i="1"/>
  <c r="W47" i="1"/>
  <c r="W49" i="1"/>
  <c r="W51" i="1"/>
  <c r="W53" i="1"/>
  <c r="W55" i="1"/>
  <c r="W57" i="1"/>
  <c r="W59" i="1"/>
  <c r="W70" i="1"/>
  <c r="W80" i="1"/>
  <c r="W82" i="1"/>
  <c r="W83" i="1"/>
  <c r="W86" i="1"/>
  <c r="W88" i="1"/>
  <c r="W92" i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Y16" i="1" s="1"/>
  <c r="Z16" i="1" s="1"/>
  <c r="S16" i="1" s="1"/>
  <c r="X17" i="1"/>
  <c r="X18" i="1"/>
  <c r="Y18" i="1" s="1"/>
  <c r="Z18" i="1" s="1"/>
  <c r="S18" i="1" s="1"/>
  <c r="X19" i="1"/>
  <c r="X20" i="1"/>
  <c r="Y20" i="1" s="1"/>
  <c r="Z20" i="1" s="1"/>
  <c r="S20" i="1" s="1"/>
  <c r="X21" i="1"/>
  <c r="X22" i="1"/>
  <c r="X23" i="1"/>
  <c r="X24" i="1"/>
  <c r="Y24" i="1" s="1"/>
  <c r="Z24" i="1" s="1"/>
  <c r="S24" i="1" s="1"/>
  <c r="X25" i="1"/>
  <c r="X26" i="1"/>
  <c r="Y26" i="1" s="1"/>
  <c r="Z26" i="1" s="1"/>
  <c r="S26" i="1" s="1"/>
  <c r="X27" i="1"/>
  <c r="X28" i="1"/>
  <c r="Y28" i="1" s="1"/>
  <c r="Z28" i="1" s="1"/>
  <c r="S28" i="1" s="1"/>
  <c r="X29" i="1"/>
  <c r="X30" i="1"/>
  <c r="Y30" i="1" s="1"/>
  <c r="Z30" i="1" s="1"/>
  <c r="S30" i="1" s="1"/>
  <c r="X31" i="1"/>
  <c r="X32" i="1"/>
  <c r="Y32" i="1" s="1"/>
  <c r="Z32" i="1" s="1"/>
  <c r="S32" i="1" s="1"/>
  <c r="X33" i="1"/>
  <c r="X34" i="1"/>
  <c r="Y34" i="1" s="1"/>
  <c r="Z34" i="1" s="1"/>
  <c r="S34" i="1" s="1"/>
  <c r="X35" i="1"/>
  <c r="X36" i="1"/>
  <c r="Y36" i="1" s="1"/>
  <c r="Z36" i="1" s="1"/>
  <c r="S36" i="1" s="1"/>
  <c r="X37" i="1"/>
  <c r="X38" i="1"/>
  <c r="Y38" i="1" s="1"/>
  <c r="Z38" i="1" s="1"/>
  <c r="S38" i="1" s="1"/>
  <c r="X39" i="1"/>
  <c r="X40" i="1"/>
  <c r="X41" i="1"/>
  <c r="X42" i="1"/>
  <c r="Y42" i="1" s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Y50" i="1" s="1"/>
  <c r="X51" i="1"/>
  <c r="X52" i="1"/>
  <c r="Y52" i="1" s="1"/>
  <c r="Z52" i="1" s="1"/>
  <c r="S52" i="1" s="1"/>
  <c r="X53" i="1"/>
  <c r="X54" i="1"/>
  <c r="Y54" i="1" s="1"/>
  <c r="Z54" i="1" s="1"/>
  <c r="S54" i="1" s="1"/>
  <c r="X55" i="1"/>
  <c r="X56" i="1"/>
  <c r="Y56" i="1" s="1"/>
  <c r="Z56" i="1" s="1"/>
  <c r="S56" i="1" s="1"/>
  <c r="X57" i="1"/>
  <c r="X58" i="1"/>
  <c r="Y58" i="1" s="1"/>
  <c r="Z58" i="1" s="1"/>
  <c r="S58" i="1" s="1"/>
  <c r="X59" i="1"/>
  <c r="X60" i="1"/>
  <c r="Y60" i="1" s="1"/>
  <c r="Z60" i="1" s="1"/>
  <c r="S60" i="1" s="1"/>
  <c r="X61" i="1"/>
  <c r="X62" i="1"/>
  <c r="Y62" i="1" s="1"/>
  <c r="Z62" i="1" s="1"/>
  <c r="S62" i="1" s="1"/>
  <c r="X63" i="1"/>
  <c r="X64" i="1"/>
  <c r="Y64" i="1" s="1"/>
  <c r="Z64" i="1" s="1"/>
  <c r="S64" i="1" s="1"/>
  <c r="X65" i="1"/>
  <c r="X66" i="1"/>
  <c r="Y66" i="1" s="1"/>
  <c r="Z66" i="1" s="1"/>
  <c r="S66" i="1" s="1"/>
  <c r="X67" i="1"/>
  <c r="X68" i="1"/>
  <c r="Y68" i="1" s="1"/>
  <c r="Z68" i="1" s="1"/>
  <c r="S68" i="1" s="1"/>
  <c r="X69" i="1"/>
  <c r="X70" i="1"/>
  <c r="X71" i="1"/>
  <c r="X72" i="1"/>
  <c r="Y72" i="1" s="1"/>
  <c r="Z72" i="1" s="1"/>
  <c r="S72" i="1" s="1"/>
  <c r="X73" i="1"/>
  <c r="X74" i="1"/>
  <c r="Y74" i="1" s="1"/>
  <c r="Z74" i="1" s="1"/>
  <c r="S74" i="1" s="1"/>
  <c r="X75" i="1"/>
  <c r="X76" i="1"/>
  <c r="Y76" i="1" s="1"/>
  <c r="Z76" i="1" s="1"/>
  <c r="S76" i="1" s="1"/>
  <c r="X77" i="1"/>
  <c r="X78" i="1"/>
  <c r="Y78" i="1" s="1"/>
  <c r="Z78" i="1" s="1"/>
  <c r="S78" i="1" s="1"/>
  <c r="X79" i="1"/>
  <c r="X80" i="1"/>
  <c r="X81" i="1"/>
  <c r="X82" i="1"/>
  <c r="X83" i="1"/>
  <c r="X84" i="1"/>
  <c r="Y84" i="1" s="1"/>
  <c r="Z84" i="1" s="1"/>
  <c r="S84" i="1" s="1"/>
  <c r="X85" i="1"/>
  <c r="X86" i="1"/>
  <c r="X87" i="1"/>
  <c r="X88" i="1"/>
  <c r="X89" i="1"/>
  <c r="X90" i="1"/>
  <c r="Y90" i="1" s="1"/>
  <c r="Z90" i="1" s="1"/>
  <c r="S90" i="1" s="1"/>
  <c r="X91" i="1"/>
  <c r="X92" i="1"/>
  <c r="X93" i="1"/>
  <c r="X94" i="1"/>
  <c r="Y94" i="1" s="1"/>
  <c r="Z94" i="1" s="1"/>
  <c r="S94" i="1" s="1"/>
  <c r="X95" i="1"/>
  <c r="X96" i="1"/>
  <c r="Y96" i="1" s="1"/>
  <c r="Z96" i="1" s="1"/>
  <c r="S96" i="1" s="1"/>
  <c r="X97" i="1"/>
  <c r="X98" i="1"/>
  <c r="Y98" i="1" s="1"/>
  <c r="Z98" i="1" s="1"/>
  <c r="S98" i="1" s="1"/>
  <c r="X99" i="1"/>
  <c r="X100" i="1"/>
  <c r="Y100" i="1" s="1"/>
  <c r="Z100" i="1" s="1"/>
  <c r="S100" i="1" s="1"/>
  <c r="X101" i="1"/>
  <c r="X102" i="1"/>
  <c r="Y102" i="1" s="1"/>
  <c r="Z102" i="1" s="1"/>
  <c r="S102" i="1" s="1"/>
  <c r="X103" i="1"/>
  <c r="X104" i="1"/>
  <c r="Y104" i="1" s="1"/>
  <c r="Z104" i="1" s="1"/>
  <c r="S104" i="1" s="1"/>
  <c r="X105" i="1"/>
  <c r="X106" i="1"/>
  <c r="Y106" i="1" s="1"/>
  <c r="Z106" i="1" s="1"/>
  <c r="S106" i="1" s="1"/>
  <c r="Y8" i="1"/>
  <c r="Y9" i="1"/>
  <c r="Y11" i="1"/>
  <c r="Y13" i="1"/>
  <c r="Y14" i="1"/>
  <c r="Y15" i="1"/>
  <c r="Z15" i="1" s="1"/>
  <c r="S15" i="1" s="1"/>
  <c r="Y17" i="1"/>
  <c r="Z17" i="1" s="1"/>
  <c r="S17" i="1" s="1"/>
  <c r="Y19" i="1"/>
  <c r="Z19" i="1" s="1"/>
  <c r="S19" i="1" s="1"/>
  <c r="Y21" i="1"/>
  <c r="Z21" i="1" s="1"/>
  <c r="S21" i="1" s="1"/>
  <c r="Y22" i="1"/>
  <c r="Y23" i="1"/>
  <c r="Z23" i="1" s="1"/>
  <c r="S23" i="1" s="1"/>
  <c r="Y25" i="1"/>
  <c r="Y27" i="1"/>
  <c r="Z27" i="1" s="1"/>
  <c r="S27" i="1" s="1"/>
  <c r="Y29" i="1"/>
  <c r="Z29" i="1" s="1"/>
  <c r="S29" i="1" s="1"/>
  <c r="Y31" i="1"/>
  <c r="Y33" i="1"/>
  <c r="Z33" i="1" s="1"/>
  <c r="S33" i="1" s="1"/>
  <c r="Y35" i="1"/>
  <c r="Z35" i="1" s="1"/>
  <c r="S35" i="1" s="1"/>
  <c r="Y37" i="1"/>
  <c r="Z37" i="1" s="1"/>
  <c r="S37" i="1" s="1"/>
  <c r="Y39" i="1"/>
  <c r="Z39" i="1" s="1"/>
  <c r="S39" i="1" s="1"/>
  <c r="Y40" i="1"/>
  <c r="Y41" i="1"/>
  <c r="Z41" i="1" s="1"/>
  <c r="S41" i="1" s="1"/>
  <c r="Y45" i="1"/>
  <c r="Z45" i="1" s="1"/>
  <c r="S45" i="1" s="1"/>
  <c r="Y47" i="1"/>
  <c r="Y49" i="1"/>
  <c r="Y51" i="1"/>
  <c r="Y53" i="1"/>
  <c r="Y55" i="1"/>
  <c r="Y57" i="1"/>
  <c r="Y59" i="1"/>
  <c r="Y61" i="1"/>
  <c r="Y63" i="1"/>
  <c r="Y65" i="1"/>
  <c r="Y67" i="1"/>
  <c r="Y69" i="1"/>
  <c r="Y70" i="1"/>
  <c r="Y71" i="1"/>
  <c r="Y73" i="1"/>
  <c r="Y75" i="1"/>
  <c r="Y77" i="1"/>
  <c r="Y79" i="1"/>
  <c r="Y80" i="1"/>
  <c r="Y81" i="1"/>
  <c r="Y82" i="1"/>
  <c r="Y83" i="1"/>
  <c r="Y85" i="1"/>
  <c r="Y86" i="1"/>
  <c r="Y87" i="1"/>
  <c r="Y88" i="1"/>
  <c r="Y89" i="1"/>
  <c r="Y91" i="1"/>
  <c r="Y92" i="1"/>
  <c r="Y93" i="1"/>
  <c r="Y95" i="1"/>
  <c r="Y97" i="1"/>
  <c r="Y99" i="1"/>
  <c r="Y101" i="1"/>
  <c r="Y103" i="1"/>
  <c r="Y105" i="1"/>
  <c r="Z8" i="1"/>
  <c r="S8" i="1" s="1"/>
  <c r="Z14" i="1"/>
  <c r="S14" i="1" s="1"/>
  <c r="Z22" i="1"/>
  <c r="S22" i="1" s="1"/>
  <c r="Z25" i="1"/>
  <c r="S25" i="1" s="1"/>
  <c r="Z31" i="1"/>
  <c r="S31" i="1" s="1"/>
  <c r="Z40" i="1"/>
  <c r="S40" i="1" s="1"/>
  <c r="Z47" i="1"/>
  <c r="S47" i="1" s="1"/>
  <c r="Z49" i="1"/>
  <c r="S49" i="1" s="1"/>
  <c r="Z51" i="1"/>
  <c r="S51" i="1" s="1"/>
  <c r="Z53" i="1"/>
  <c r="S53" i="1" s="1"/>
  <c r="Z55" i="1"/>
  <c r="S55" i="1" s="1"/>
  <c r="Z57" i="1"/>
  <c r="S57" i="1" s="1"/>
  <c r="Z59" i="1"/>
  <c r="S59" i="1" s="1"/>
  <c r="Z61" i="1"/>
  <c r="S61" i="1" s="1"/>
  <c r="Z63" i="1"/>
  <c r="S63" i="1" s="1"/>
  <c r="Z65" i="1"/>
  <c r="S65" i="1" s="1"/>
  <c r="Z67" i="1"/>
  <c r="S67" i="1" s="1"/>
  <c r="Z69" i="1"/>
  <c r="S69" i="1" s="1"/>
  <c r="Z70" i="1"/>
  <c r="S70" i="1" s="1"/>
  <c r="Z71" i="1"/>
  <c r="S71" i="1" s="1"/>
  <c r="Z73" i="1"/>
  <c r="S73" i="1" s="1"/>
  <c r="Z75" i="1"/>
  <c r="S75" i="1" s="1"/>
  <c r="Z77" i="1"/>
  <c r="S77" i="1" s="1"/>
  <c r="Z79" i="1"/>
  <c r="S79" i="1" s="1"/>
  <c r="Z80" i="1"/>
  <c r="S80" i="1" s="1"/>
  <c r="Z81" i="1"/>
  <c r="S81" i="1" s="1"/>
  <c r="Z82" i="1"/>
  <c r="S82" i="1" s="1"/>
  <c r="Z83" i="1"/>
  <c r="S83" i="1" s="1"/>
  <c r="Z85" i="1"/>
  <c r="S85" i="1" s="1"/>
  <c r="Z86" i="1"/>
  <c r="S86" i="1" s="1"/>
  <c r="Z87" i="1"/>
  <c r="S87" i="1" s="1"/>
  <c r="Z88" i="1"/>
  <c r="S88" i="1" s="1"/>
  <c r="Z89" i="1"/>
  <c r="S89" i="1" s="1"/>
  <c r="Z91" i="1"/>
  <c r="S91" i="1" s="1"/>
  <c r="Z92" i="1"/>
  <c r="S92" i="1" s="1"/>
  <c r="Z93" i="1"/>
  <c r="S93" i="1" s="1"/>
  <c r="Z95" i="1"/>
  <c r="S95" i="1" s="1"/>
  <c r="Z97" i="1"/>
  <c r="S97" i="1" s="1"/>
  <c r="Z99" i="1"/>
  <c r="S99" i="1" s="1"/>
  <c r="Z101" i="1"/>
  <c r="S101" i="1" s="1"/>
  <c r="Z103" i="1"/>
  <c r="S103" i="1" s="1"/>
  <c r="Z105" i="1"/>
  <c r="S105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A98" i="1" l="1"/>
  <c r="AA96" i="1"/>
  <c r="AA85" i="1"/>
  <c r="AA68" i="1"/>
  <c r="AA61" i="1"/>
  <c r="AA46" i="1"/>
  <c r="AA44" i="1"/>
  <c r="AA34" i="1"/>
  <c r="AA27" i="1"/>
  <c r="AA12" i="1"/>
  <c r="AA7" i="1"/>
  <c r="AA106" i="1"/>
  <c r="AA104" i="1"/>
  <c r="AA102" i="1"/>
  <c r="AA100" i="1"/>
  <c r="AA78" i="1"/>
  <c r="AA76" i="1"/>
  <c r="AA74" i="1"/>
  <c r="AA66" i="1"/>
  <c r="AA64" i="1"/>
  <c r="AA62" i="1"/>
  <c r="AA38" i="1"/>
  <c r="AA36" i="1"/>
  <c r="AA33" i="1"/>
  <c r="AA30" i="1"/>
  <c r="AA28" i="1"/>
  <c r="AA20" i="1"/>
  <c r="AA18" i="1"/>
  <c r="AA94" i="1"/>
  <c r="AA42" i="1"/>
  <c r="AA24" i="1"/>
  <c r="AA10" i="1"/>
  <c r="AA90" i="1"/>
  <c r="AA72" i="1"/>
  <c r="AA16" i="1"/>
  <c r="AA4" i="1"/>
  <c r="Y12" i="1"/>
  <c r="Z12" i="1" s="1"/>
  <c r="S12" i="1" s="1"/>
  <c r="Z42" i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B6" i="1"/>
  <c r="G6" i="1" s="1"/>
  <c r="A6" i="1" s="1"/>
  <c r="V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4" i="1"/>
  <c r="V7" i="1"/>
  <c r="B9" i="1" l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9" i="1"/>
  <c r="A9" i="1" s="1"/>
  <c r="V9" i="1" s="1"/>
  <c r="B23" i="1"/>
  <c r="G23" i="1" s="1"/>
  <c r="A23" i="1" s="1"/>
  <c r="V23" i="1" s="1"/>
  <c r="I54" i="1"/>
  <c r="I84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N84" i="5" s="1"/>
  <c r="O84" i="5" s="1"/>
  <c r="L101" i="5"/>
  <c r="N101" i="5"/>
  <c r="O101" i="5" s="1"/>
  <c r="L75" i="5"/>
  <c r="N75" i="5" s="1"/>
  <c r="O75" i="5" s="1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L56" i="5"/>
  <c r="N56" i="5" s="1"/>
  <c r="O56" i="5" s="1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 s="1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 s="1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 s="1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 s="1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24" i="1"/>
  <c r="V10" i="1"/>
  <c r="G15" i="1" l="1"/>
  <c r="A15" i="1" s="1"/>
  <c r="V15" i="1" s="1"/>
  <c r="B26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6" i="1"/>
  <c r="V11" i="1"/>
  <c r="B32" i="1" l="1"/>
  <c r="G32" i="1" s="1"/>
  <c r="A32" i="1" s="1"/>
  <c r="V32" i="1" s="1"/>
  <c r="G26" i="1"/>
  <c r="A26" i="1" s="1"/>
  <c r="V26" i="1" s="1"/>
  <c r="B41" i="1"/>
  <c r="G41" i="1" s="1"/>
  <c r="A41" i="1" s="1"/>
  <c r="V41" i="1" s="1"/>
  <c r="V42" i="1"/>
  <c r="V27" i="1"/>
  <c r="V12" i="1"/>
  <c r="V17" i="1"/>
  <c r="V33" i="1"/>
  <c r="B48" i="1" l="1"/>
  <c r="G48" i="1" s="1"/>
  <c r="A48" i="1" s="1"/>
  <c r="V48" i="1" s="1"/>
  <c r="V13" i="1"/>
  <c r="V34" i="1"/>
  <c r="V28" i="1"/>
  <c r="V18" i="1"/>
  <c r="V43" i="1"/>
  <c r="B50" i="1" l="1"/>
  <c r="G50" i="1" s="1"/>
  <c r="A50" i="1" s="1"/>
  <c r="V50" i="1" s="1"/>
  <c r="V19" i="1"/>
  <c r="V29" i="1"/>
  <c r="V35" i="1"/>
  <c r="V44" i="1"/>
  <c r="B52" i="1" l="1"/>
  <c r="G52" i="1" s="1"/>
  <c r="A52" i="1" s="1"/>
  <c r="V52" i="1" s="1"/>
  <c r="V20" i="1"/>
  <c r="V45" i="1"/>
  <c r="V30" i="1"/>
  <c r="V36" i="1"/>
  <c r="B54" i="1" l="1"/>
  <c r="G54" i="1"/>
  <c r="A54" i="1" s="1"/>
  <c r="V54" i="1" s="1"/>
  <c r="B56" i="1"/>
  <c r="V21" i="1"/>
  <c r="V46" i="1"/>
  <c r="V37" i="1"/>
  <c r="G56" i="1" l="1"/>
  <c r="A56" i="1" s="1"/>
  <c r="V56" i="1" s="1"/>
  <c r="B58" i="1"/>
  <c r="V38" i="1"/>
  <c r="G58" i="1" l="1"/>
  <c r="A58" i="1" s="1"/>
  <c r="V58" i="1" s="1"/>
  <c r="B60" i="1"/>
  <c r="V39" i="1"/>
  <c r="G60" i="1" l="1"/>
  <c r="A60" i="1" s="1"/>
  <c r="V60" i="1" s="1"/>
  <c r="B71" i="1"/>
  <c r="V61" i="1"/>
  <c r="G71" i="1" l="1"/>
  <c r="A71" i="1" s="1"/>
  <c r="V71" i="1" s="1"/>
  <c r="B81" i="1"/>
  <c r="V72" i="1"/>
  <c r="V62" i="1"/>
  <c r="G81" i="1" l="1"/>
  <c r="A81" i="1" s="1"/>
  <c r="V81" i="1" s="1"/>
  <c r="B84" i="1"/>
  <c r="V73" i="1"/>
  <c r="V63" i="1"/>
  <c r="G84" i="1" l="1"/>
  <c r="A84" i="1" s="1"/>
  <c r="V84" i="1" s="1"/>
  <c r="B87" i="1"/>
  <c r="V64" i="1"/>
  <c r="V74" i="1"/>
  <c r="V85" i="1"/>
  <c r="G87" i="1" l="1"/>
  <c r="A87" i="1" s="1"/>
  <c r="V87" i="1" s="1"/>
  <c r="B89" i="1"/>
  <c r="V75" i="1"/>
  <c r="V65" i="1"/>
  <c r="G89" i="1" l="1"/>
  <c r="A89" i="1" s="1"/>
  <c r="V89" i="1" s="1"/>
  <c r="B93" i="1"/>
  <c r="V66" i="1"/>
  <c r="V76" i="1"/>
  <c r="V90" i="1"/>
  <c r="G93" i="1" l="1"/>
  <c r="A93" i="1" s="1"/>
  <c r="V93" i="1" s="1"/>
  <c r="B108" i="1"/>
  <c r="V77" i="1"/>
  <c r="V91" i="1"/>
  <c r="V94" i="1"/>
  <c r="V67" i="1"/>
  <c r="G108" i="1" l="1"/>
  <c r="A108" i="1" s="1"/>
  <c r="V108" i="1" s="1"/>
  <c r="B120" i="1"/>
  <c r="V95" i="1"/>
  <c r="V68" i="1"/>
  <c r="V109" i="1"/>
  <c r="V78" i="1"/>
  <c r="G120" i="1" l="1"/>
  <c r="A120" i="1" s="1"/>
  <c r="V120" i="1" s="1"/>
  <c r="B124" i="1"/>
  <c r="V79" i="1"/>
  <c r="V69" i="1"/>
  <c r="V110" i="1"/>
  <c r="V121" i="1"/>
  <c r="V96" i="1"/>
  <c r="G124" i="1" l="1"/>
  <c r="A124" i="1" s="1"/>
  <c r="V124" i="1" s="1"/>
  <c r="B126" i="1"/>
  <c r="B131" i="1" s="1"/>
  <c r="V111" i="1"/>
  <c r="V122" i="1"/>
  <c r="V97" i="1"/>
  <c r="G131" i="1" l="1"/>
  <c r="A131" i="1" s="1"/>
  <c r="V131" i="1" s="1"/>
  <c r="B136" i="1"/>
  <c r="G136" i="1" s="1"/>
  <c r="A136" i="1" s="1"/>
  <c r="V136" i="1" s="1"/>
  <c r="G126" i="1"/>
  <c r="A126" i="1" s="1"/>
  <c r="V126" i="1" s="1"/>
  <c r="V98" i="1"/>
  <c r="V137" i="1"/>
  <c r="V132" i="1"/>
  <c r="V112" i="1"/>
  <c r="V127" i="1"/>
  <c r="B144" i="1" l="1"/>
  <c r="V113" i="1"/>
  <c r="V128" i="1"/>
  <c r="V133" i="1"/>
  <c r="V138" i="1"/>
  <c r="V99" i="1"/>
  <c r="G144" i="1" l="1"/>
  <c r="A144" i="1" s="1"/>
  <c r="B146" i="1"/>
  <c r="V129" i="1"/>
  <c r="V134" i="1"/>
  <c r="V139" i="1"/>
  <c r="V100" i="1"/>
  <c r="V114" i="1"/>
  <c r="G146" i="1" l="1"/>
  <c r="A146" i="1" s="1"/>
  <c r="V146" i="1" s="1"/>
  <c r="B148" i="1"/>
  <c r="V144" i="1"/>
  <c r="V101" i="1"/>
  <c r="V140" i="1"/>
  <c r="V115" i="1"/>
  <c r="G148" i="1" l="1"/>
  <c r="A148" i="1" s="1"/>
  <c r="B150" i="1"/>
  <c r="V141" i="1"/>
  <c r="V142" i="1"/>
  <c r="V102" i="1"/>
  <c r="V116" i="1"/>
  <c r="G150" i="1" l="1"/>
  <c r="A150" i="1" s="1"/>
  <c r="V150" i="1" s="1"/>
  <c r="B157" i="1"/>
  <c r="V148" i="1"/>
  <c r="V103" i="1"/>
  <c r="V117" i="1"/>
  <c r="V151" i="1"/>
  <c r="V104" i="1"/>
  <c r="G157" i="1" l="1"/>
  <c r="A157" i="1" s="1"/>
  <c r="B168" i="1"/>
  <c r="V152" i="1"/>
  <c r="V118" i="1"/>
  <c r="V105" i="1"/>
  <c r="V153" i="1"/>
  <c r="G168" i="1" l="1"/>
  <c r="A168" i="1" s="1"/>
  <c r="B173" i="1"/>
  <c r="V157" i="1"/>
  <c r="V154" i="1"/>
  <c r="V158" i="1"/>
  <c r="V106" i="1"/>
  <c r="V155" i="1"/>
  <c r="G173" i="1" l="1"/>
  <c r="A173" i="1" s="1"/>
  <c r="B175" i="1"/>
  <c r="V168" i="1"/>
  <c r="V169" i="1"/>
  <c r="V159" i="1"/>
  <c r="G175" i="1" l="1"/>
  <c r="A175" i="1" s="1"/>
  <c r="B179" i="1"/>
  <c r="V173" i="1"/>
  <c r="V160" i="1"/>
  <c r="V170" i="1"/>
  <c r="V161" i="1"/>
  <c r="V175" i="1" l="1"/>
  <c r="G179" i="1"/>
  <c r="A179" i="1" s="1"/>
  <c r="B181" i="1"/>
  <c r="V176" i="1"/>
  <c r="V171" i="1"/>
  <c r="V162" i="1"/>
  <c r="V179" i="1" l="1"/>
  <c r="G181" i="1"/>
  <c r="A181" i="1" s="1"/>
  <c r="B184" i="1"/>
  <c r="G184" i="1" s="1"/>
  <c r="A184" i="1" s="1"/>
  <c r="V163" i="1"/>
  <c r="V177" i="1"/>
  <c r="V181" i="1" l="1"/>
  <c r="E1" i="4"/>
  <c r="A1" i="2"/>
  <c r="V164" i="1"/>
  <c r="V165" i="1"/>
  <c r="V182" i="1"/>
  <c r="W195" i="1" l="1"/>
  <c r="AA195" i="1"/>
  <c r="E1" i="2"/>
  <c r="D5" i="2"/>
  <c r="D43" i="2" s="1"/>
  <c r="D81" i="2" s="1"/>
  <c r="E3" i="2"/>
  <c r="E41" i="2" s="1"/>
  <c r="E79" i="2" s="1"/>
  <c r="D7" i="2"/>
  <c r="D45" i="2" s="1"/>
  <c r="D83" i="2" s="1"/>
  <c r="D48" i="4"/>
  <c r="D53" i="4"/>
  <c r="D31" i="4"/>
  <c r="D10" i="4"/>
  <c r="D16" i="4"/>
  <c r="D22" i="4"/>
  <c r="D17" i="4"/>
  <c r="D35" i="4"/>
  <c r="D15" i="4"/>
  <c r="D47" i="4"/>
  <c r="D42" i="4"/>
  <c r="D12" i="4"/>
  <c r="D36" i="4"/>
  <c r="D44" i="4"/>
  <c r="D49" i="4"/>
  <c r="D11" i="4"/>
  <c r="D38" i="4"/>
  <c r="D23" i="4"/>
  <c r="D25" i="4"/>
  <c r="D6" i="4"/>
  <c r="D28" i="4"/>
  <c r="D4" i="4"/>
  <c r="D54" i="4"/>
  <c r="D14" i="4"/>
  <c r="D9" i="4"/>
  <c r="D40" i="4"/>
  <c r="D24" i="4"/>
  <c r="D18" i="4"/>
  <c r="D45" i="4"/>
  <c r="D8" i="4"/>
  <c r="D37" i="4"/>
  <c r="D30" i="4"/>
  <c r="D33" i="4"/>
  <c r="D20" i="4"/>
  <c r="D26" i="4"/>
  <c r="D29" i="4"/>
  <c r="D50" i="4"/>
  <c r="D55" i="4"/>
  <c r="D13" i="4"/>
  <c r="D7" i="4"/>
  <c r="D5" i="4"/>
  <c r="D52" i="4"/>
  <c r="D43" i="4"/>
  <c r="D32" i="4"/>
  <c r="D27" i="4"/>
  <c r="D3" i="4"/>
  <c r="D41" i="4"/>
  <c r="D34" i="4"/>
  <c r="D39" i="4"/>
  <c r="D46" i="4"/>
  <c r="D51" i="4"/>
  <c r="D19" i="4"/>
  <c r="D21" i="4"/>
  <c r="V166" i="1"/>
  <c r="W192" i="1" l="1"/>
  <c r="W185" i="1"/>
  <c r="W188" i="1"/>
  <c r="W186" i="1"/>
  <c r="W184" i="1"/>
  <c r="AA157" i="1"/>
  <c r="W131" i="1"/>
  <c r="W97" i="1"/>
  <c r="W73" i="1"/>
  <c r="W110" i="1"/>
  <c r="W43" i="1"/>
  <c r="W16" i="1"/>
  <c r="W142" i="1"/>
  <c r="W10" i="1"/>
  <c r="AA48" i="1"/>
  <c r="W128" i="1"/>
  <c r="W99" i="1"/>
  <c r="W140" i="1"/>
  <c r="W13" i="1"/>
  <c r="W144" i="1"/>
  <c r="W115" i="1"/>
  <c r="W28" i="1"/>
  <c r="W21" i="1"/>
  <c r="W93" i="1"/>
  <c r="W94" i="1"/>
  <c r="W72" i="1"/>
  <c r="AA52" i="1"/>
  <c r="AA124" i="1"/>
  <c r="W98" i="1"/>
  <c r="W121" i="1"/>
  <c r="W23" i="1"/>
  <c r="W45" i="1"/>
  <c r="W106" i="1"/>
  <c r="W152" i="1"/>
  <c r="W78" i="1"/>
  <c r="W20" i="1"/>
  <c r="W165" i="1"/>
  <c r="W104" i="1"/>
  <c r="W103" i="1"/>
  <c r="W24" i="1"/>
  <c r="AA32" i="1"/>
  <c r="W100" i="1"/>
  <c r="W95" i="1"/>
  <c r="W48" i="1"/>
  <c r="W32" i="1"/>
  <c r="AA3" i="1"/>
  <c r="AA15" i="1"/>
  <c r="W77" i="1"/>
  <c r="W76" i="1"/>
  <c r="W9" i="1"/>
  <c r="W41" i="1"/>
  <c r="W52" i="1"/>
  <c r="W81" i="1"/>
  <c r="W33" i="1"/>
  <c r="W102" i="1"/>
  <c r="W85" i="1"/>
  <c r="W108" i="1"/>
  <c r="AA56" i="1"/>
  <c r="AA23" i="1"/>
  <c r="W148" i="1"/>
  <c r="W109" i="1"/>
  <c r="AA93" i="1"/>
  <c r="W118" i="1"/>
  <c r="W155" i="1"/>
  <c r="W134" i="1"/>
  <c r="AA89" i="1"/>
  <c r="W96" i="1"/>
  <c r="AA6" i="1"/>
  <c r="W146" i="1"/>
  <c r="W122" i="1"/>
  <c r="AA181" i="1"/>
  <c r="W169" i="1"/>
  <c r="W179" i="1"/>
  <c r="G1" i="2" s="1"/>
  <c r="C12" i="2" s="1"/>
  <c r="C50" i="2" s="1"/>
  <c r="C88" i="2" s="1"/>
  <c r="W171" i="1"/>
  <c r="W163" i="1"/>
  <c r="AA175" i="1"/>
  <c r="W181" i="1"/>
  <c r="W158" i="1"/>
  <c r="W89" i="1"/>
  <c r="W111" i="1"/>
  <c r="W65" i="1"/>
  <c r="W193" i="1"/>
  <c r="AA192" i="1"/>
  <c r="W189" i="1"/>
  <c r="W187" i="1"/>
  <c r="W190" i="1"/>
  <c r="W182" i="1"/>
  <c r="W105" i="1"/>
  <c r="W44" i="1"/>
  <c r="W91" i="1"/>
  <c r="W39" i="1"/>
  <c r="W35" i="1"/>
  <c r="W6" i="1"/>
  <c r="W34" i="1"/>
  <c r="W66" i="1"/>
  <c r="AA87" i="1"/>
  <c r="AA41" i="1"/>
  <c r="W46" i="1"/>
  <c r="AA9" i="1"/>
  <c r="AA120" i="1"/>
  <c r="W124" i="1"/>
  <c r="AA58" i="1"/>
  <c r="AA144" i="1"/>
  <c r="W136" i="1"/>
  <c r="W11" i="1"/>
  <c r="W37" i="1"/>
  <c r="W117" i="1"/>
  <c r="W36" i="1"/>
  <c r="W38" i="1"/>
  <c r="W74" i="1"/>
  <c r="AA108" i="1"/>
  <c r="AA146" i="1"/>
  <c r="AA26" i="1"/>
  <c r="AA50" i="1"/>
  <c r="W150" i="1"/>
  <c r="W133" i="1"/>
  <c r="W87" i="1"/>
  <c r="AA60" i="1"/>
  <c r="AA54" i="1"/>
  <c r="AA150" i="1"/>
  <c r="W19" i="1"/>
  <c r="W79" i="1"/>
  <c r="W126" i="1"/>
  <c r="W61" i="1"/>
  <c r="W75" i="1"/>
  <c r="W153" i="1"/>
  <c r="W138" i="1"/>
  <c r="W42" i="1"/>
  <c r="W113" i="1"/>
  <c r="W63" i="1"/>
  <c r="W12" i="1"/>
  <c r="W30" i="1"/>
  <c r="W141" i="1"/>
  <c r="W69" i="1"/>
  <c r="W56" i="1"/>
  <c r="AA131" i="1"/>
  <c r="W3" i="1"/>
  <c r="W90" i="1"/>
  <c r="W127" i="1"/>
  <c r="W129" i="1"/>
  <c r="W26" i="1"/>
  <c r="W27" i="1"/>
  <c r="W60" i="1"/>
  <c r="W7" i="1"/>
  <c r="W114" i="1"/>
  <c r="AA136" i="1"/>
  <c r="W116" i="1"/>
  <c r="W71" i="1"/>
  <c r="W132" i="1"/>
  <c r="W120" i="1"/>
  <c r="W101" i="1"/>
  <c r="W176" i="1"/>
  <c r="W173" i="1"/>
  <c r="AA184" i="1"/>
  <c r="W177" i="1"/>
  <c r="AA168" i="1"/>
  <c r="W159" i="1"/>
  <c r="W168" i="1"/>
  <c r="W166" i="1"/>
  <c r="W15" i="1"/>
  <c r="W58" i="1"/>
  <c r="W160" i="1"/>
  <c r="W67" i="1"/>
  <c r="W154" i="1"/>
  <c r="W62" i="1"/>
  <c r="W112" i="1"/>
  <c r="W29" i="1"/>
  <c r="W151" i="1"/>
  <c r="W50" i="1"/>
  <c r="W157" i="1"/>
  <c r="AA81" i="1"/>
  <c r="AA84" i="1"/>
  <c r="W175" i="1"/>
  <c r="AA148" i="1"/>
  <c r="AA71" i="1"/>
  <c r="W18" i="1"/>
  <c r="AA126" i="1"/>
  <c r="W161" i="1"/>
  <c r="W139" i="1"/>
  <c r="W84" i="1"/>
  <c r="W164" i="1"/>
  <c r="W68" i="1"/>
  <c r="W17" i="1"/>
  <c r="W64" i="1"/>
  <c r="AA179" i="1"/>
  <c r="W162" i="1"/>
  <c r="W54" i="1"/>
  <c r="W4" i="1"/>
  <c r="W137" i="1"/>
  <c r="AA173" i="1"/>
  <c r="W170" i="1"/>
  <c r="F21" i="4"/>
  <c r="E21" i="4"/>
  <c r="H21" i="4"/>
  <c r="G21" i="4"/>
  <c r="R21" i="4" s="1"/>
  <c r="S21" i="4" s="1"/>
  <c r="O21" i="4"/>
  <c r="N21" i="4"/>
  <c r="I21" i="4"/>
  <c r="K21" i="4"/>
  <c r="M21" i="4" s="1"/>
  <c r="T21" i="4" s="1"/>
  <c r="J21" i="4"/>
  <c r="O51" i="4"/>
  <c r="I51" i="4"/>
  <c r="G51" i="4"/>
  <c r="R51" i="4" s="1"/>
  <c r="S51" i="4" s="1"/>
  <c r="J51" i="4"/>
  <c r="F51" i="4"/>
  <c r="L51" i="4"/>
  <c r="H51" i="4"/>
  <c r="K51" i="4"/>
  <c r="M51" i="4" s="1"/>
  <c r="N51" i="4"/>
  <c r="E51" i="4"/>
  <c r="O39" i="4"/>
  <c r="F39" i="4"/>
  <c r="N39" i="4"/>
  <c r="E39" i="4"/>
  <c r="G39" i="4"/>
  <c r="R39" i="4" s="1"/>
  <c r="S39" i="4" s="1"/>
  <c r="H39" i="4"/>
  <c r="K39" i="4"/>
  <c r="M39" i="4" s="1"/>
  <c r="T39" i="4" s="1"/>
  <c r="I39" i="4"/>
  <c r="J39" i="4"/>
  <c r="O41" i="4"/>
  <c r="J41" i="4"/>
  <c r="N41" i="4"/>
  <c r="I41" i="4"/>
  <c r="G41" i="4"/>
  <c r="R41" i="4" s="1"/>
  <c r="S41" i="4" s="1"/>
  <c r="H41" i="4"/>
  <c r="F41" i="4"/>
  <c r="K41" i="4"/>
  <c r="M41" i="4" s="1"/>
  <c r="E41" i="4"/>
  <c r="O27" i="4"/>
  <c r="G27" i="4"/>
  <c r="R27" i="4" s="1"/>
  <c r="S27" i="4" s="1"/>
  <c r="N27" i="4"/>
  <c r="F27" i="4"/>
  <c r="H27" i="4"/>
  <c r="E27" i="4"/>
  <c r="J27" i="4"/>
  <c r="I27" i="4"/>
  <c r="K27" i="4"/>
  <c r="M27" i="4" s="1"/>
  <c r="H43" i="4"/>
  <c r="I43" i="4"/>
  <c r="L43" i="4"/>
  <c r="J43" i="4"/>
  <c r="O43" i="4"/>
  <c r="N43" i="4"/>
  <c r="G43" i="4"/>
  <c r="R43" i="4" s="1"/>
  <c r="S43" i="4" s="1"/>
  <c r="F43" i="4"/>
  <c r="E43" i="4"/>
  <c r="K43" i="4"/>
  <c r="M43" i="4" s="1"/>
  <c r="N5" i="4"/>
  <c r="O5" i="4"/>
  <c r="G5" i="4"/>
  <c r="R5" i="4" s="1"/>
  <c r="S5" i="4" s="1"/>
  <c r="H5" i="4"/>
  <c r="F5" i="4"/>
  <c r="E5" i="4"/>
  <c r="J5" i="4"/>
  <c r="K5" i="4"/>
  <c r="M5" i="4" s="1"/>
  <c r="I5" i="4"/>
  <c r="N13" i="4"/>
  <c r="O13" i="4"/>
  <c r="G13" i="4"/>
  <c r="R13" i="4" s="1"/>
  <c r="S13" i="4" s="1"/>
  <c r="F13" i="4"/>
  <c r="H13" i="4"/>
  <c r="E13" i="4"/>
  <c r="I13" i="4"/>
  <c r="J13" i="4"/>
  <c r="K13" i="4"/>
  <c r="M13" i="4" s="1"/>
  <c r="T13" i="4" s="1"/>
  <c r="E50" i="4"/>
  <c r="K50" i="4"/>
  <c r="M50" i="4" s="1"/>
  <c r="L50" i="4"/>
  <c r="N50" i="4"/>
  <c r="H50" i="4"/>
  <c r="J50" i="4"/>
  <c r="I50" i="4"/>
  <c r="G50" i="4"/>
  <c r="R50" i="4" s="1"/>
  <c r="S50" i="4" s="1"/>
  <c r="T50" i="4" s="1"/>
  <c r="F50" i="4"/>
  <c r="O50" i="4"/>
  <c r="H26" i="4"/>
  <c r="N26" i="4"/>
  <c r="F26" i="4"/>
  <c r="O26" i="4"/>
  <c r="E26" i="4"/>
  <c r="G26" i="4"/>
  <c r="R26" i="4" s="1"/>
  <c r="S26" i="4" s="1"/>
  <c r="I26" i="4"/>
  <c r="K26" i="4"/>
  <c r="M26" i="4" s="1"/>
  <c r="T26" i="4" s="1"/>
  <c r="J26" i="4"/>
  <c r="G33" i="4"/>
  <c r="R33" i="4" s="1"/>
  <c r="S33" i="4" s="1"/>
  <c r="E33" i="4"/>
  <c r="N33" i="4"/>
  <c r="H33" i="4"/>
  <c r="O33" i="4"/>
  <c r="F33" i="4"/>
  <c r="J33" i="4"/>
  <c r="K33" i="4"/>
  <c r="M33" i="4" s="1"/>
  <c r="I33" i="4"/>
  <c r="O37" i="4"/>
  <c r="E37" i="4"/>
  <c r="N37" i="4"/>
  <c r="G37" i="4"/>
  <c r="R37" i="4" s="1"/>
  <c r="S37" i="4" s="1"/>
  <c r="F37" i="4"/>
  <c r="H37" i="4"/>
  <c r="J37" i="4"/>
  <c r="I37" i="4"/>
  <c r="K37" i="4"/>
  <c r="M37" i="4" s="1"/>
  <c r="K45" i="4"/>
  <c r="M45" i="4" s="1"/>
  <c r="G45" i="4"/>
  <c r="R45" i="4" s="1"/>
  <c r="S45" i="4" s="1"/>
  <c r="F45" i="4"/>
  <c r="E45" i="4"/>
  <c r="N45" i="4"/>
  <c r="H45" i="4"/>
  <c r="J45" i="4"/>
  <c r="L45" i="4"/>
  <c r="O45" i="4"/>
  <c r="I45" i="4"/>
  <c r="O24" i="4"/>
  <c r="H24" i="4"/>
  <c r="E24" i="4"/>
  <c r="G24" i="4"/>
  <c r="R24" i="4" s="1"/>
  <c r="S24" i="4" s="1"/>
  <c r="F24" i="4"/>
  <c r="N24" i="4"/>
  <c r="I24" i="4"/>
  <c r="J24" i="4"/>
  <c r="K24" i="4"/>
  <c r="M24" i="4" s="1"/>
  <c r="N9" i="4"/>
  <c r="G9" i="4"/>
  <c r="R9" i="4" s="1"/>
  <c r="S9" i="4" s="1"/>
  <c r="F9" i="4"/>
  <c r="O9" i="4"/>
  <c r="E9" i="4"/>
  <c r="H9" i="4"/>
  <c r="J9" i="4"/>
  <c r="K9" i="4"/>
  <c r="M9" i="4" s="1"/>
  <c r="T9" i="4" s="1"/>
  <c r="I9" i="4"/>
  <c r="N54" i="4"/>
  <c r="O54" i="4"/>
  <c r="L54" i="4"/>
  <c r="E54" i="4"/>
  <c r="H54" i="4"/>
  <c r="G54" i="4"/>
  <c r="R54" i="4" s="1"/>
  <c r="S54" i="4" s="1"/>
  <c r="F54" i="4"/>
  <c r="J54" i="4"/>
  <c r="I54" i="4"/>
  <c r="K54" i="4"/>
  <c r="M54" i="4" s="1"/>
  <c r="O28" i="4"/>
  <c r="E28" i="4"/>
  <c r="G28" i="4"/>
  <c r="R28" i="4" s="1"/>
  <c r="S28" i="4" s="1"/>
  <c r="H28" i="4"/>
  <c r="F28" i="4"/>
  <c r="N28" i="4"/>
  <c r="I28" i="4"/>
  <c r="K28" i="4"/>
  <c r="M28" i="4" s="1"/>
  <c r="J28" i="4"/>
  <c r="E25" i="4"/>
  <c r="O25" i="4"/>
  <c r="H25" i="4"/>
  <c r="N25" i="4"/>
  <c r="G25" i="4"/>
  <c r="R25" i="4" s="1"/>
  <c r="S25" i="4" s="1"/>
  <c r="F25" i="4"/>
  <c r="K25" i="4"/>
  <c r="M25" i="4" s="1"/>
  <c r="T25" i="4" s="1"/>
  <c r="J25" i="4"/>
  <c r="I25" i="4"/>
  <c r="G38" i="4"/>
  <c r="R38" i="4" s="1"/>
  <c r="S38" i="4" s="1"/>
  <c r="H38" i="4"/>
  <c r="E38" i="4"/>
  <c r="N38" i="4"/>
  <c r="O38" i="4"/>
  <c r="F38" i="4"/>
  <c r="K38" i="4"/>
  <c r="M38" i="4" s="1"/>
  <c r="I38" i="4"/>
  <c r="J38" i="4"/>
  <c r="H49" i="4"/>
  <c r="I49" i="4"/>
  <c r="K49" i="4"/>
  <c r="M49" i="4" s="1"/>
  <c r="L49" i="4"/>
  <c r="E49" i="4"/>
  <c r="O49" i="4"/>
  <c r="N49" i="4"/>
  <c r="J49" i="4"/>
  <c r="F49" i="4"/>
  <c r="G49" i="4"/>
  <c r="R49" i="4" s="1"/>
  <c r="S49" i="4" s="1"/>
  <c r="F36" i="4"/>
  <c r="N36" i="4"/>
  <c r="O36" i="4"/>
  <c r="H36" i="4"/>
  <c r="E36" i="4"/>
  <c r="G36" i="4"/>
  <c r="R36" i="4" s="1"/>
  <c r="S36" i="4" s="1"/>
  <c r="I36" i="4"/>
  <c r="J36" i="4"/>
  <c r="K36" i="4"/>
  <c r="M36" i="4" s="1"/>
  <c r="I42" i="4"/>
  <c r="F42" i="4"/>
  <c r="G42" i="4"/>
  <c r="R42" i="4" s="1"/>
  <c r="S42" i="4" s="1"/>
  <c r="N42" i="4"/>
  <c r="E42" i="4"/>
  <c r="H42" i="4"/>
  <c r="O42" i="4"/>
  <c r="J38" i="2" s="1"/>
  <c r="K42" i="4"/>
  <c r="M42" i="4" s="1"/>
  <c r="J42" i="4"/>
  <c r="H15" i="4"/>
  <c r="F15" i="4"/>
  <c r="E15" i="4"/>
  <c r="N15" i="4"/>
  <c r="O15" i="4"/>
  <c r="G15" i="4"/>
  <c r="R15" i="4" s="1"/>
  <c r="S15" i="4" s="1"/>
  <c r="K15" i="4"/>
  <c r="M15" i="4" s="1"/>
  <c r="I15" i="4"/>
  <c r="J15" i="4"/>
  <c r="F17" i="4"/>
  <c r="G17" i="4"/>
  <c r="R17" i="4" s="1"/>
  <c r="S17" i="4" s="1"/>
  <c r="H17" i="4"/>
  <c r="N17" i="4"/>
  <c r="E17" i="4"/>
  <c r="O17" i="4"/>
  <c r="J17" i="4"/>
  <c r="I17" i="4"/>
  <c r="K17" i="4"/>
  <c r="M17" i="4" s="1"/>
  <c r="N16" i="4"/>
  <c r="F16" i="4"/>
  <c r="H16" i="4"/>
  <c r="E16" i="4"/>
  <c r="O16" i="4"/>
  <c r="G16" i="4"/>
  <c r="R16" i="4" s="1"/>
  <c r="S16" i="4" s="1"/>
  <c r="J16" i="4"/>
  <c r="I16" i="4"/>
  <c r="K16" i="4"/>
  <c r="M16" i="4" s="1"/>
  <c r="N31" i="4"/>
  <c r="H31" i="4"/>
  <c r="E31" i="4"/>
  <c r="G31" i="4"/>
  <c r="R31" i="4" s="1"/>
  <c r="S31" i="4" s="1"/>
  <c r="F31" i="4"/>
  <c r="O31" i="4"/>
  <c r="I31" i="4"/>
  <c r="J31" i="4"/>
  <c r="K31" i="4"/>
  <c r="M31" i="4" s="1"/>
  <c r="G48" i="4"/>
  <c r="R48" i="4" s="1"/>
  <c r="S48" i="4" s="1"/>
  <c r="F48" i="4"/>
  <c r="K48" i="4"/>
  <c r="M48" i="4" s="1"/>
  <c r="J48" i="4"/>
  <c r="L48" i="4"/>
  <c r="N48" i="4"/>
  <c r="O48" i="4"/>
  <c r="H48" i="4"/>
  <c r="I48" i="4"/>
  <c r="E48" i="4"/>
  <c r="I11" i="2"/>
  <c r="I49" i="2" s="1"/>
  <c r="I87" i="2" s="1"/>
  <c r="E24" i="2"/>
  <c r="E62" i="2" s="1"/>
  <c r="E100" i="2" s="1"/>
  <c r="B17" i="2"/>
  <c r="B55" i="2" s="1"/>
  <c r="B93" i="2" s="1"/>
  <c r="I26" i="2"/>
  <c r="I64" i="2" s="1"/>
  <c r="I102" i="2" s="1"/>
  <c r="H22" i="2"/>
  <c r="H60" i="2" s="1"/>
  <c r="H98" i="2" s="1"/>
  <c r="H18" i="2"/>
  <c r="H56" i="2" s="1"/>
  <c r="H94" i="2" s="1"/>
  <c r="K11" i="2"/>
  <c r="K49" i="2" s="1"/>
  <c r="K87" i="2" s="1"/>
  <c r="H21" i="2"/>
  <c r="H59" i="2" s="1"/>
  <c r="H97" i="2" s="1"/>
  <c r="D26" i="2"/>
  <c r="D64" i="2" s="1"/>
  <c r="D102" i="2" s="1"/>
  <c r="D23" i="2"/>
  <c r="D61" i="2" s="1"/>
  <c r="D99" i="2" s="1"/>
  <c r="E15" i="2"/>
  <c r="E53" i="2" s="1"/>
  <c r="E91" i="2" s="1"/>
  <c r="I19" i="2"/>
  <c r="I57" i="2" s="1"/>
  <c r="I95" i="2" s="1"/>
  <c r="I16" i="2"/>
  <c r="I54" i="2" s="1"/>
  <c r="I92" i="2" s="1"/>
  <c r="H13" i="2"/>
  <c r="H51" i="2" s="1"/>
  <c r="H89" i="2" s="1"/>
  <c r="E23" i="2"/>
  <c r="E61" i="2" s="1"/>
  <c r="E99" i="2" s="1"/>
  <c r="H24" i="2"/>
  <c r="H62" i="2" s="1"/>
  <c r="H100" i="2" s="1"/>
  <c r="C20" i="2"/>
  <c r="C58" i="2" s="1"/>
  <c r="C96" i="2" s="1"/>
  <c r="J18" i="2"/>
  <c r="J56" i="2" s="1"/>
  <c r="J94" i="2" s="1"/>
  <c r="K26" i="2"/>
  <c r="K64" i="2" s="1"/>
  <c r="K102" i="2" s="1"/>
  <c r="J21" i="2"/>
  <c r="J59" i="2" s="1"/>
  <c r="J97" i="2" s="1"/>
  <c r="C19" i="2"/>
  <c r="C57" i="2" s="1"/>
  <c r="C95" i="2" s="1"/>
  <c r="C18" i="2"/>
  <c r="C56" i="2" s="1"/>
  <c r="C94" i="2" s="1"/>
  <c r="H14" i="2"/>
  <c r="H52" i="2" s="1"/>
  <c r="H90" i="2" s="1"/>
  <c r="E22" i="2"/>
  <c r="E60" i="2" s="1"/>
  <c r="E98" i="2" s="1"/>
  <c r="E16" i="2"/>
  <c r="E54" i="2" s="1"/>
  <c r="E92" i="2" s="1"/>
  <c r="H26" i="2"/>
  <c r="H64" i="2" s="1"/>
  <c r="H102" i="2" s="1"/>
  <c r="J20" i="2"/>
  <c r="J58" i="2" s="1"/>
  <c r="J96" i="2" s="1"/>
  <c r="C25" i="2"/>
  <c r="C63" i="2" s="1"/>
  <c r="C101" i="2" s="1"/>
  <c r="D20" i="2"/>
  <c r="D58" i="2" s="1"/>
  <c r="D96" i="2" s="1"/>
  <c r="C13" i="2"/>
  <c r="C51" i="2" s="1"/>
  <c r="C89" i="2" s="1"/>
  <c r="E19" i="2"/>
  <c r="E57" i="2" s="1"/>
  <c r="E95" i="2" s="1"/>
  <c r="K23" i="2"/>
  <c r="K61" i="2" s="1"/>
  <c r="K99" i="2" s="1"/>
  <c r="O19" i="4"/>
  <c r="N19" i="4"/>
  <c r="F19" i="4"/>
  <c r="E19" i="4"/>
  <c r="H19" i="4"/>
  <c r="G19" i="4"/>
  <c r="R19" i="4" s="1"/>
  <c r="S19" i="4" s="1"/>
  <c r="I19" i="4"/>
  <c r="J19" i="4"/>
  <c r="K19" i="4"/>
  <c r="M19" i="4" s="1"/>
  <c r="G46" i="4"/>
  <c r="R46" i="4" s="1"/>
  <c r="S46" i="4" s="1"/>
  <c r="F46" i="4"/>
  <c r="L46" i="4"/>
  <c r="I46" i="4"/>
  <c r="J46" i="4"/>
  <c r="K46" i="4"/>
  <c r="M46" i="4" s="1"/>
  <c r="H46" i="4"/>
  <c r="E46" i="4"/>
  <c r="O46" i="4"/>
  <c r="N46" i="4"/>
  <c r="N34" i="4"/>
  <c r="F34" i="4"/>
  <c r="E34" i="4"/>
  <c r="O34" i="4"/>
  <c r="G34" i="4"/>
  <c r="R34" i="4" s="1"/>
  <c r="S34" i="4" s="1"/>
  <c r="H34" i="4"/>
  <c r="J34" i="4"/>
  <c r="I34" i="4"/>
  <c r="K34" i="4"/>
  <c r="M34" i="4" s="1"/>
  <c r="T34" i="4" s="1"/>
  <c r="O3" i="4"/>
  <c r="N3" i="4"/>
  <c r="G3" i="4"/>
  <c r="R3" i="4" s="1"/>
  <c r="S3" i="4" s="1"/>
  <c r="E3" i="4"/>
  <c r="F3" i="4"/>
  <c r="H3" i="4"/>
  <c r="K3" i="4"/>
  <c r="L3" i="4" s="1"/>
  <c r="I3" i="4"/>
  <c r="J3" i="4"/>
  <c r="H32" i="4"/>
  <c r="F32" i="4"/>
  <c r="E32" i="4"/>
  <c r="G32" i="4"/>
  <c r="R32" i="4" s="1"/>
  <c r="S32" i="4" s="1"/>
  <c r="N32" i="4"/>
  <c r="O32" i="4"/>
  <c r="K32" i="4"/>
  <c r="M32" i="4" s="1"/>
  <c r="I32" i="4"/>
  <c r="J32" i="4"/>
  <c r="G52" i="4"/>
  <c r="R52" i="4" s="1"/>
  <c r="S52" i="4" s="1"/>
  <c r="H52" i="4"/>
  <c r="N52" i="4"/>
  <c r="J52" i="4"/>
  <c r="K52" i="4"/>
  <c r="M52" i="4" s="1"/>
  <c r="I52" i="4"/>
  <c r="F52" i="4"/>
  <c r="E52" i="4"/>
  <c r="O52" i="4"/>
  <c r="L52" i="4"/>
  <c r="H7" i="4"/>
  <c r="G7" i="4"/>
  <c r="R7" i="4" s="1"/>
  <c r="S7" i="4" s="1"/>
  <c r="O7" i="4"/>
  <c r="E7" i="4"/>
  <c r="N7" i="4"/>
  <c r="F7" i="4"/>
  <c r="J7" i="4"/>
  <c r="I7" i="4"/>
  <c r="K7" i="4"/>
  <c r="M7" i="4" s="1"/>
  <c r="K55" i="4"/>
  <c r="M55" i="4" s="1"/>
  <c r="J55" i="4"/>
  <c r="E55" i="4"/>
  <c r="L55" i="4"/>
  <c r="I55" i="4"/>
  <c r="F55" i="4"/>
  <c r="G55" i="4"/>
  <c r="R55" i="4" s="1"/>
  <c r="S55" i="4" s="1"/>
  <c r="T55" i="4" s="1"/>
  <c r="O55" i="4"/>
  <c r="N55" i="4"/>
  <c r="H55" i="4"/>
  <c r="F29" i="4"/>
  <c r="H29" i="4"/>
  <c r="G29" i="4"/>
  <c r="R29" i="4" s="1"/>
  <c r="S29" i="4" s="1"/>
  <c r="O29" i="4"/>
  <c r="E29" i="4"/>
  <c r="N29" i="4"/>
  <c r="I29" i="4"/>
  <c r="K29" i="4"/>
  <c r="M29" i="4" s="1"/>
  <c r="J29" i="4"/>
  <c r="N20" i="4"/>
  <c r="E20" i="4"/>
  <c r="O20" i="4"/>
  <c r="F20" i="4"/>
  <c r="H20" i="4"/>
  <c r="G20" i="4"/>
  <c r="R20" i="4" s="1"/>
  <c r="S20" i="4" s="1"/>
  <c r="J20" i="4"/>
  <c r="K20" i="4"/>
  <c r="M20" i="4" s="1"/>
  <c r="I20" i="4"/>
  <c r="N30" i="4"/>
  <c r="E30" i="4"/>
  <c r="H30" i="4"/>
  <c r="O30" i="4"/>
  <c r="F30" i="4"/>
  <c r="G30" i="4"/>
  <c r="R30" i="4" s="1"/>
  <c r="S30" i="4" s="1"/>
  <c r="I30" i="4"/>
  <c r="J30" i="4"/>
  <c r="K30" i="4"/>
  <c r="M30" i="4" s="1"/>
  <c r="N8" i="4"/>
  <c r="O8" i="4"/>
  <c r="G8" i="4"/>
  <c r="R8" i="4" s="1"/>
  <c r="S8" i="4" s="1"/>
  <c r="F8" i="4"/>
  <c r="H8" i="4"/>
  <c r="E8" i="4"/>
  <c r="K8" i="4"/>
  <c r="M8" i="4" s="1"/>
  <c r="J8" i="4"/>
  <c r="I8" i="4"/>
  <c r="E18" i="4"/>
  <c r="G18" i="4"/>
  <c r="R18" i="4" s="1"/>
  <c r="S18" i="4" s="1"/>
  <c r="N18" i="4"/>
  <c r="O18" i="4"/>
  <c r="H18" i="4"/>
  <c r="F18" i="4"/>
  <c r="I18" i="4"/>
  <c r="K18" i="4"/>
  <c r="M18" i="4" s="1"/>
  <c r="J18" i="4"/>
  <c r="O40" i="4"/>
  <c r="H40" i="4"/>
  <c r="E40" i="4"/>
  <c r="F40" i="4"/>
  <c r="G40" i="4"/>
  <c r="R40" i="4" s="1"/>
  <c r="S40" i="4" s="1"/>
  <c r="N40" i="4"/>
  <c r="J37" i="2" s="1"/>
  <c r="J75" i="2" s="1"/>
  <c r="J113" i="2" s="1"/>
  <c r="K40" i="4"/>
  <c r="M40" i="4" s="1"/>
  <c r="I40" i="4"/>
  <c r="J40" i="4"/>
  <c r="F14" i="4"/>
  <c r="G14" i="4"/>
  <c r="R14" i="4" s="1"/>
  <c r="S14" i="4" s="1"/>
  <c r="N14" i="4"/>
  <c r="O14" i="4"/>
  <c r="E14" i="4"/>
  <c r="H14" i="4"/>
  <c r="I14" i="4"/>
  <c r="J14" i="4"/>
  <c r="K14" i="4"/>
  <c r="M14" i="4" s="1"/>
  <c r="G4" i="4"/>
  <c r="R4" i="4" s="1"/>
  <c r="S4" i="4" s="1"/>
  <c r="O4" i="4"/>
  <c r="H4" i="4"/>
  <c r="F4" i="4"/>
  <c r="E4" i="4"/>
  <c r="N4" i="4"/>
  <c r="J4" i="4"/>
  <c r="K4" i="4"/>
  <c r="M4" i="4" s="1"/>
  <c r="I4" i="4"/>
  <c r="O6" i="4"/>
  <c r="F6" i="4"/>
  <c r="N6" i="4"/>
  <c r="G6" i="4"/>
  <c r="R6" i="4" s="1"/>
  <c r="S6" i="4" s="1"/>
  <c r="E6" i="4"/>
  <c r="H6" i="4"/>
  <c r="K6" i="4"/>
  <c r="M6" i="4" s="1"/>
  <c r="I6" i="4"/>
  <c r="J6" i="4"/>
  <c r="N23" i="4"/>
  <c r="H23" i="4"/>
  <c r="E23" i="4"/>
  <c r="O23" i="4"/>
  <c r="G23" i="4"/>
  <c r="R23" i="4" s="1"/>
  <c r="S23" i="4" s="1"/>
  <c r="F23" i="4"/>
  <c r="K23" i="4"/>
  <c r="M23" i="4" s="1"/>
  <c r="I23" i="4"/>
  <c r="J23" i="4"/>
  <c r="G11" i="4"/>
  <c r="R11" i="4" s="1"/>
  <c r="S11" i="4" s="1"/>
  <c r="O11" i="4"/>
  <c r="H11" i="4"/>
  <c r="F11" i="4"/>
  <c r="N11" i="4"/>
  <c r="E11" i="4"/>
  <c r="I11" i="4"/>
  <c r="K11" i="4"/>
  <c r="M11" i="4" s="1"/>
  <c r="J11" i="4"/>
  <c r="E44" i="4"/>
  <c r="H44" i="4"/>
  <c r="K44" i="4"/>
  <c r="M44" i="4" s="1"/>
  <c r="J44" i="4"/>
  <c r="L44" i="4"/>
  <c r="I44" i="4"/>
  <c r="N44" i="4"/>
  <c r="O44" i="4"/>
  <c r="F44" i="4"/>
  <c r="G44" i="4"/>
  <c r="R44" i="4" s="1"/>
  <c r="S44" i="4" s="1"/>
  <c r="E12" i="4"/>
  <c r="N12" i="4"/>
  <c r="G12" i="4"/>
  <c r="R12" i="4" s="1"/>
  <c r="S12" i="4" s="1"/>
  <c r="H12" i="4"/>
  <c r="F12" i="4"/>
  <c r="O12" i="4"/>
  <c r="I12" i="4"/>
  <c r="J12" i="4"/>
  <c r="K12" i="4"/>
  <c r="M12" i="4" s="1"/>
  <c r="O47" i="4"/>
  <c r="E47" i="4"/>
  <c r="H47" i="4"/>
  <c r="N47" i="4"/>
  <c r="L47" i="4"/>
  <c r="F47" i="4"/>
  <c r="G47" i="4"/>
  <c r="R47" i="4" s="1"/>
  <c r="S47" i="4" s="1"/>
  <c r="I47" i="4"/>
  <c r="K47" i="4"/>
  <c r="M47" i="4" s="1"/>
  <c r="J47" i="4"/>
  <c r="E35" i="4"/>
  <c r="N35" i="4"/>
  <c r="G35" i="4"/>
  <c r="R35" i="4" s="1"/>
  <c r="S35" i="4" s="1"/>
  <c r="F35" i="4"/>
  <c r="H35" i="4"/>
  <c r="O35" i="4"/>
  <c r="K35" i="4"/>
  <c r="M35" i="4" s="1"/>
  <c r="I35" i="4"/>
  <c r="J35" i="4"/>
  <c r="E22" i="4"/>
  <c r="G22" i="4"/>
  <c r="R22" i="4" s="1"/>
  <c r="S22" i="4" s="1"/>
  <c r="H22" i="4"/>
  <c r="F22" i="4"/>
  <c r="O22" i="4"/>
  <c r="N22" i="4"/>
  <c r="K22" i="4"/>
  <c r="M22" i="4" s="1"/>
  <c r="J22" i="4"/>
  <c r="I22" i="4"/>
  <c r="O10" i="4"/>
  <c r="F10" i="4"/>
  <c r="N10" i="4"/>
  <c r="E10" i="4"/>
  <c r="H10" i="4"/>
  <c r="G10" i="4"/>
  <c r="R10" i="4" s="1"/>
  <c r="S10" i="4" s="1"/>
  <c r="I10" i="4"/>
  <c r="K10" i="4"/>
  <c r="M10" i="4" s="1"/>
  <c r="J10" i="4"/>
  <c r="O53" i="4"/>
  <c r="I53" i="4"/>
  <c r="G53" i="4"/>
  <c r="R53" i="4" s="1"/>
  <c r="S53" i="4" s="1"/>
  <c r="F53" i="4"/>
  <c r="E53" i="4"/>
  <c r="J53" i="4"/>
  <c r="K53" i="4"/>
  <c r="M53" i="4" s="1"/>
  <c r="N53" i="4"/>
  <c r="H53" i="4"/>
  <c r="L53" i="4"/>
  <c r="H3" i="2"/>
  <c r="H41" i="2" s="1"/>
  <c r="H79" i="2" s="1"/>
  <c r="H5" i="2"/>
  <c r="H43" i="2" s="1"/>
  <c r="H81" i="2" s="1"/>
  <c r="H6" i="2"/>
  <c r="H44" i="2" s="1"/>
  <c r="H82" i="2" s="1"/>
  <c r="L33" i="4" l="1"/>
  <c r="I14" i="2"/>
  <c r="I52" i="2" s="1"/>
  <c r="I90" i="2" s="1"/>
  <c r="I18" i="2"/>
  <c r="I56" i="2" s="1"/>
  <c r="I94" i="2" s="1"/>
  <c r="J13" i="2"/>
  <c r="J51" i="2" s="1"/>
  <c r="J89" i="2" s="1"/>
  <c r="D22" i="2"/>
  <c r="D60" i="2" s="1"/>
  <c r="D98" i="2" s="1"/>
  <c r="D12" i="2"/>
  <c r="D50" i="2" s="1"/>
  <c r="D88" i="2" s="1"/>
  <c r="J14" i="2"/>
  <c r="J52" i="2" s="1"/>
  <c r="J90" i="2" s="1"/>
  <c r="E11" i="2"/>
  <c r="E49" i="2" s="1"/>
  <c r="E87" i="2" s="1"/>
  <c r="B15" i="2"/>
  <c r="B53" i="2" s="1"/>
  <c r="B91" i="2" s="1"/>
  <c r="H16" i="2"/>
  <c r="H54" i="2" s="1"/>
  <c r="H92" i="2" s="1"/>
  <c r="E26" i="2"/>
  <c r="E64" i="2" s="1"/>
  <c r="E102" i="2" s="1"/>
  <c r="C17" i="2"/>
  <c r="C55" i="2" s="1"/>
  <c r="C93" i="2" s="1"/>
  <c r="B20" i="2"/>
  <c r="B58" i="2" s="1"/>
  <c r="B96" i="2" s="1"/>
  <c r="C14" i="2"/>
  <c r="C52" i="2" s="1"/>
  <c r="C90" i="2" s="1"/>
  <c r="I15" i="2"/>
  <c r="I53" i="2" s="1"/>
  <c r="I91" i="2" s="1"/>
  <c r="E21" i="2"/>
  <c r="E59" i="2" s="1"/>
  <c r="E97" i="2" s="1"/>
  <c r="I22" i="2"/>
  <c r="I60" i="2" s="1"/>
  <c r="I98" i="2" s="1"/>
  <c r="J12" i="2"/>
  <c r="J50" i="2" s="1"/>
  <c r="J88" i="2" s="1"/>
  <c r="E17" i="2"/>
  <c r="E55" i="2" s="1"/>
  <c r="E93" i="2" s="1"/>
  <c r="B23" i="2"/>
  <c r="B61" i="2" s="1"/>
  <c r="B99" i="2" s="1"/>
  <c r="J23" i="2"/>
  <c r="J61" i="2" s="1"/>
  <c r="J99" i="2" s="1"/>
  <c r="J17" i="2"/>
  <c r="J55" i="2" s="1"/>
  <c r="J93" i="2" s="1"/>
  <c r="E20" i="2"/>
  <c r="E58" i="2" s="1"/>
  <c r="E96" i="2" s="1"/>
  <c r="I21" i="2"/>
  <c r="I59" i="2" s="1"/>
  <c r="I97" i="2" s="1"/>
  <c r="B13" i="2"/>
  <c r="B51" i="2" s="1"/>
  <c r="B89" i="2" s="1"/>
  <c r="C22" i="2"/>
  <c r="C60" i="2" s="1"/>
  <c r="C98" i="2" s="1"/>
  <c r="C11" i="2"/>
  <c r="C49" i="2" s="1"/>
  <c r="C87" i="2" s="1"/>
  <c r="C24" i="2"/>
  <c r="C62" i="2" s="1"/>
  <c r="C100" i="2" s="1"/>
  <c r="K25" i="2"/>
  <c r="K63" i="2" s="1"/>
  <c r="K101" i="2" s="1"/>
  <c r="K12" i="2"/>
  <c r="K50" i="2" s="1"/>
  <c r="K88" i="2" s="1"/>
  <c r="I17" i="2"/>
  <c r="I55" i="2" s="1"/>
  <c r="I93" i="2" s="1"/>
  <c r="I12" i="2"/>
  <c r="I50" i="2" s="1"/>
  <c r="I88" i="2" s="1"/>
  <c r="K15" i="2"/>
  <c r="K53" i="2" s="1"/>
  <c r="K91" i="2" s="1"/>
  <c r="H19" i="2"/>
  <c r="H57" i="2" s="1"/>
  <c r="H95" i="2" s="1"/>
  <c r="J19" i="2"/>
  <c r="J57" i="2" s="1"/>
  <c r="J95" i="2" s="1"/>
  <c r="J22" i="2"/>
  <c r="J60" i="2" s="1"/>
  <c r="J98" i="2" s="1"/>
  <c r="K21" i="2"/>
  <c r="K59" i="2" s="1"/>
  <c r="K97" i="2" s="1"/>
  <c r="E13" i="2"/>
  <c r="E51" i="2" s="1"/>
  <c r="E89" i="2" s="1"/>
  <c r="B22" i="2"/>
  <c r="B60" i="2" s="1"/>
  <c r="B98" i="2" s="1"/>
  <c r="B11" i="2"/>
  <c r="B49" i="2" s="1"/>
  <c r="B87" i="2" s="1"/>
  <c r="C26" i="2"/>
  <c r="C64" i="2" s="1"/>
  <c r="C102" i="2" s="1"/>
  <c r="D15" i="2"/>
  <c r="D53" i="2" s="1"/>
  <c r="D91" i="2" s="1"/>
  <c r="D16" i="2"/>
  <c r="D54" i="2" s="1"/>
  <c r="D92" i="2" s="1"/>
  <c r="B16" i="2"/>
  <c r="B54" i="2" s="1"/>
  <c r="B92" i="2" s="1"/>
  <c r="I23" i="2"/>
  <c r="I61" i="2" s="1"/>
  <c r="I99" i="2" s="1"/>
  <c r="K17" i="2"/>
  <c r="K55" i="2" s="1"/>
  <c r="K93" i="2" s="1"/>
  <c r="D17" i="2"/>
  <c r="D55" i="2" s="1"/>
  <c r="D93" i="2" s="1"/>
  <c r="J16" i="2"/>
  <c r="J54" i="2" s="1"/>
  <c r="J92" i="2" s="1"/>
  <c r="J11" i="2"/>
  <c r="J49" i="2" s="1"/>
  <c r="J87" i="2" s="1"/>
  <c r="D11" i="2"/>
  <c r="D49" i="2" s="1"/>
  <c r="D87" i="2" s="1"/>
  <c r="B12" i="2"/>
  <c r="B50" i="2" s="1"/>
  <c r="B88" i="2" s="1"/>
  <c r="D18" i="2"/>
  <c r="D56" i="2" s="1"/>
  <c r="D94" i="2" s="1"/>
  <c r="C15" i="2"/>
  <c r="C53" i="2" s="1"/>
  <c r="C91" i="2" s="1"/>
  <c r="H11" i="2"/>
  <c r="H49" i="2" s="1"/>
  <c r="H87" i="2" s="1"/>
  <c r="H17" i="2"/>
  <c r="H55" i="2" s="1"/>
  <c r="H93" i="2" s="1"/>
  <c r="K16" i="2"/>
  <c r="K54" i="2" s="1"/>
  <c r="K92" i="2" s="1"/>
  <c r="H20" i="2"/>
  <c r="H58" i="2" s="1"/>
  <c r="H96" i="2" s="1"/>
  <c r="D21" i="2"/>
  <c r="D59" i="2" s="1"/>
  <c r="D97" i="2" s="1"/>
  <c r="B18" i="2"/>
  <c r="B56" i="2" s="1"/>
  <c r="B94" i="2" s="1"/>
  <c r="K13" i="2"/>
  <c r="K51" i="2" s="1"/>
  <c r="K89" i="2" s="1"/>
  <c r="C16" i="2"/>
  <c r="C54" i="2" s="1"/>
  <c r="C92" i="2" s="1"/>
  <c r="B25" i="2"/>
  <c r="B63" i="2" s="1"/>
  <c r="B101" i="2" s="1"/>
  <c r="B19" i="2"/>
  <c r="B57" i="2" s="1"/>
  <c r="B95" i="2" s="1"/>
  <c r="E25" i="2"/>
  <c r="E63" i="2" s="1"/>
  <c r="E101" i="2" s="1"/>
  <c r="D19" i="2"/>
  <c r="D57" i="2" s="1"/>
  <c r="D95" i="2" s="1"/>
  <c r="B24" i="2"/>
  <c r="B62" i="2" s="1"/>
  <c r="B100" i="2" s="1"/>
  <c r="H23" i="2"/>
  <c r="H61" i="2" s="1"/>
  <c r="H99" i="2" s="1"/>
  <c r="K18" i="2"/>
  <c r="K56" i="2" s="1"/>
  <c r="K94" i="2" s="1"/>
  <c r="J15" i="2"/>
  <c r="J53" i="2" s="1"/>
  <c r="J91" i="2" s="1"/>
  <c r="C21" i="2"/>
  <c r="C59" i="2" s="1"/>
  <c r="C97" i="2" s="1"/>
  <c r="E12" i="2"/>
  <c r="E50" i="2" s="1"/>
  <c r="E88" i="2" s="1"/>
  <c r="K22" i="2"/>
  <c r="K60" i="2" s="1"/>
  <c r="K98" i="2" s="1"/>
  <c r="I13" i="2"/>
  <c r="I51" i="2" s="1"/>
  <c r="I89" i="2" s="1"/>
  <c r="E14" i="2"/>
  <c r="E52" i="2" s="1"/>
  <c r="E90" i="2" s="1"/>
  <c r="J26" i="2"/>
  <c r="J64" i="2" s="1"/>
  <c r="J102" i="2" s="1"/>
  <c r="I20" i="2"/>
  <c r="I58" i="2" s="1"/>
  <c r="I96" i="2" s="1"/>
  <c r="K14" i="2"/>
  <c r="K52" i="2" s="1"/>
  <c r="K90" i="2" s="1"/>
  <c r="B26" i="2"/>
  <c r="B64" i="2" s="1"/>
  <c r="B102" i="2" s="1"/>
  <c r="D25" i="2"/>
  <c r="D63" i="2" s="1"/>
  <c r="D101" i="2" s="1"/>
  <c r="E18" i="2"/>
  <c r="E56" i="2" s="1"/>
  <c r="E94" i="2" s="1"/>
  <c r="D24" i="2"/>
  <c r="D62" i="2" s="1"/>
  <c r="D100" i="2" s="1"/>
  <c r="I25" i="2"/>
  <c r="I63" i="2" s="1"/>
  <c r="I101" i="2" s="1"/>
  <c r="J24" i="2"/>
  <c r="J62" i="2" s="1"/>
  <c r="J100" i="2" s="1"/>
  <c r="B21" i="2"/>
  <c r="B59" i="2" s="1"/>
  <c r="B97" i="2" s="1"/>
  <c r="K19" i="2"/>
  <c r="K57" i="2" s="1"/>
  <c r="K95" i="2" s="1"/>
  <c r="K24" i="2"/>
  <c r="K62" i="2" s="1"/>
  <c r="K100" i="2" s="1"/>
  <c r="I24" i="2"/>
  <c r="I62" i="2" s="1"/>
  <c r="I100" i="2" s="1"/>
  <c r="D13" i="2"/>
  <c r="D51" i="2" s="1"/>
  <c r="D89" i="2" s="1"/>
  <c r="D14" i="2"/>
  <c r="D52" i="2" s="1"/>
  <c r="D90" i="2" s="1"/>
  <c r="K20" i="2"/>
  <c r="K58" i="2" s="1"/>
  <c r="K96" i="2" s="1"/>
  <c r="C23" i="2"/>
  <c r="C61" i="2" s="1"/>
  <c r="C99" i="2" s="1"/>
  <c r="H25" i="2"/>
  <c r="H63" i="2" s="1"/>
  <c r="H101" i="2" s="1"/>
  <c r="J25" i="2"/>
  <c r="J63" i="2" s="1"/>
  <c r="J101" i="2" s="1"/>
  <c r="B14" i="2"/>
  <c r="B52" i="2" s="1"/>
  <c r="B90" i="2" s="1"/>
  <c r="H15" i="2"/>
  <c r="H53" i="2" s="1"/>
  <c r="H91" i="2" s="1"/>
  <c r="H12" i="2"/>
  <c r="H50" i="2" s="1"/>
  <c r="H88" i="2" s="1"/>
  <c r="T18" i="4"/>
  <c r="T20" i="4"/>
  <c r="T10" i="4"/>
  <c r="L42" i="4"/>
  <c r="L4" i="4"/>
  <c r="L28" i="4"/>
  <c r="L9" i="4"/>
  <c r="L5" i="4"/>
  <c r="L21" i="4"/>
  <c r="L41" i="4"/>
  <c r="L18" i="4"/>
  <c r="L20" i="4"/>
  <c r="L29" i="4"/>
  <c r="T7" i="4"/>
  <c r="T19" i="4"/>
  <c r="T16" i="4"/>
  <c r="T15" i="4"/>
  <c r="L26" i="4"/>
  <c r="J29" i="2"/>
  <c r="J67" i="2" s="1"/>
  <c r="J105" i="2" s="1"/>
  <c r="T6" i="4"/>
  <c r="T30" i="4"/>
  <c r="T32" i="4"/>
  <c r="T31" i="4"/>
  <c r="T17" i="4"/>
  <c r="T36" i="4"/>
  <c r="T37" i="4"/>
  <c r="T27" i="4"/>
  <c r="T40" i="4"/>
  <c r="K35" i="2"/>
  <c r="K73" i="2" s="1"/>
  <c r="K111" i="2" s="1"/>
  <c r="T22" i="4"/>
  <c r="T14" i="4"/>
  <c r="T46" i="4"/>
  <c r="L11" i="4"/>
  <c r="L10" i="4"/>
  <c r="L24" i="4"/>
  <c r="T43" i="4"/>
  <c r="T23" i="4"/>
  <c r="L22" i="4"/>
  <c r="L35" i="4"/>
  <c r="L12" i="4"/>
  <c r="T44" i="4"/>
  <c r="T11" i="4"/>
  <c r="L23" i="4"/>
  <c r="L6" i="4"/>
  <c r="T4" i="4"/>
  <c r="L14" i="4"/>
  <c r="L40" i="4"/>
  <c r="L8" i="4"/>
  <c r="L30" i="4"/>
  <c r="T29" i="4"/>
  <c r="L7" i="4"/>
  <c r="L32" i="4"/>
  <c r="I56" i="4"/>
  <c r="L34" i="4"/>
  <c r="L19" i="4"/>
  <c r="L31" i="4"/>
  <c r="L16" i="4"/>
  <c r="L17" i="4"/>
  <c r="L15" i="4"/>
  <c r="L36" i="4"/>
  <c r="T49" i="4"/>
  <c r="L38" i="4"/>
  <c r="L25" i="4"/>
  <c r="T28" i="4"/>
  <c r="T54" i="4"/>
  <c r="T45" i="4"/>
  <c r="L37" i="4"/>
  <c r="T33" i="4"/>
  <c r="L13" i="4"/>
  <c r="T5" i="4"/>
  <c r="L27" i="4"/>
  <c r="T41" i="4"/>
  <c r="L39" i="4"/>
  <c r="T53" i="4"/>
  <c r="T35" i="4"/>
  <c r="T47" i="4"/>
  <c r="T12" i="4"/>
  <c r="T8" i="4"/>
  <c r="T52" i="4"/>
  <c r="J56" i="4"/>
  <c r="K56" i="4"/>
  <c r="M3" i="4"/>
  <c r="T3" i="4" s="1"/>
  <c r="T48" i="4"/>
  <c r="T42" i="4"/>
  <c r="T38" i="4"/>
  <c r="T24" i="4"/>
  <c r="T51" i="4"/>
  <c r="J33" i="2" l="1"/>
  <c r="J71" i="2" s="1"/>
  <c r="J109" i="2" s="1"/>
  <c r="K31" i="2"/>
  <c r="K69" i="2" s="1"/>
  <c r="K107" i="2" s="1"/>
  <c r="W3" i="4"/>
  <c r="M56" i="4"/>
  <c r="W2" i="4"/>
  <c r="W4" i="4" s="1"/>
  <c r="L56" i="4"/>
</calcChain>
</file>

<file path=xl/sharedStrings.xml><?xml version="1.0" encoding="utf-8"?>
<sst xmlns="http://schemas.openxmlformats.org/spreadsheetml/2006/main" count="923" uniqueCount="506">
  <si>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</si>
  <si>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</si>
  <si>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</si>
  <si>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</si>
  <si>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</si>
  <si>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</si>
  <si>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</si>
  <si>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</si>
  <si>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</si>
  <si>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</si>
  <si>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</si>
  <si>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</si>
  <si>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</si>
  <si>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</si>
  <si>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</si>
  <si>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</si>
  <si>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</si>
  <si>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</si>
  <si>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</si>
  <si>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</si>
  <si>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</si>
  <si>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</si>
  <si>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</si>
  <si>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</si>
  <si>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</si>
  <si>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</si>
  <si>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</si>
  <si>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</si>
  <si>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</si>
  <si>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</si>
  <si>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</si>
  <si>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</si>
  <si>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</si>
  <si>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</si>
  <si>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</si>
  <si>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</si>
  <si>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</si>
  <si>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</si>
  <si>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</si>
  <si>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</si>
  <si>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</si>
  <si>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</si>
  <si>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</si>
  <si>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</si>
  <si>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</si>
  <si>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</si>
  <si>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</si>
  <si>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</si>
  <si>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</si>
  <si>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</si>
  <si>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</si>
  <si>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</si>
  <si>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</si>
  <si>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</si>
  <si>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</si>
  <si>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</si>
  <si>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</si>
  <si>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</si>
  <si>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</si>
  <si>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</si>
  <si>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</si>
  <si>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</si>
  <si>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</si>
  <si>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</si>
  <si>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</si>
  <si>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</si>
  <si>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</si>
  <si>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</si>
  <si>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</si>
  <si>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</si>
  <si>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</si>
  <si>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</si>
  <si>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</si>
  <si>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</si>
  <si>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</si>
  <si>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</si>
  <si>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</si>
  <si>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</si>
  <si>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</si>
  <si>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</si>
  <si>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</si>
  <si>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</si>
  <si>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</si>
  <si>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</si>
  <si>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</si>
  <si>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</si>
  <si>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</si>
  <si>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</si>
  <si>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</si>
  <si>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</si>
  <si>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</si>
  <si>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</si>
  <si>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</si>
  <si>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</si>
  <si>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</si>
  <si>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</si>
  <si>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</si>
  <si>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</si>
  <si>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</si>
  <si>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</si>
  <si>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</si>
  <si>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</si>
  <si>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</si>
  <si>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</si>
  <si>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</si>
  <si>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</si>
  <si>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</si>
  <si>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</si>
  <si>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</si>
  <si>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</si>
  <si>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</si>
  <si>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</si>
  <si>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</si>
  <si>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</si>
  <si>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</si>
  <si>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</si>
  <si>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</si>
  <si>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</si>
  <si>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</si>
  <si>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</si>
  <si>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</si>
  <si>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</si>
  <si>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</si>
  <si>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</si>
  <si>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</si>
  <si>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</si>
  <si>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</si>
  <si>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</si>
  <si>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</si>
  <si>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</si>
  <si>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</si>
  <si>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</si>
  <si>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</si>
  <si>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</si>
  <si>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</si>
  <si>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</si>
  <si>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</si>
  <si>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</si>
  <si>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</si>
  <si>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</si>
  <si>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</si>
  <si>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</si>
  <si>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</si>
  <si>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</si>
  <si>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</si>
  <si>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</si>
  <si>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</si>
  <si>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</si>
  <si>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</si>
  <si>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</si>
  <si>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</si>
  <si>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</si>
  <si>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</si>
  <si>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</si>
  <si>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</si>
  <si>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</si>
  <si>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</si>
  <si>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</si>
  <si>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</si>
  <si>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</si>
  <si>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</si>
  <si>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</si>
  <si>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</si>
  <si>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</si>
  <si>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</si>
  <si>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</si>
  <si>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</si>
  <si>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</si>
  <si>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</si>
  <si>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</si>
  <si>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</si>
  <si>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</si>
  <si>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</si>
  <si>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</si>
  <si>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</si>
  <si>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</si>
  <si>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</si>
  <si>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</si>
  <si>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</si>
  <si>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</si>
  <si>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</si>
  <si>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</si>
  <si>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</si>
  <si>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</si>
  <si>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</si>
  <si>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</si>
  <si>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</si>
  <si>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</si>
  <si>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</si>
  <si>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</si>
  <si>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</si>
  <si>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</si>
  <si>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</si>
  <si>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</si>
  <si>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</si>
  <si>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</si>
  <si>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</si>
  <si>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</si>
  <si>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</si>
  <si>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</si>
  <si>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</si>
  <si>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</si>
  <si>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</si>
  <si>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</si>
  <si>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</si>
  <si>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</si>
  <si>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</si>
  <si>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</si>
  <si>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</si>
  <si>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</si>
  <si>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</si>
  <si>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</si>
  <si>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</si>
  <si>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</si>
  <si>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</si>
  <si>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</si>
  <si>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</si>
  <si>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</si>
  <si>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</si>
  <si>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</si>
  <si>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</si>
  <si>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</si>
  <si>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</si>
  <si>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</si>
  <si>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</si>
  <si>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</si>
  <si>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</si>
  <si>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</si>
  <si>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</si>
  <si>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</si>
  <si>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</si>
  <si>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</si>
  <si>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</si>
  <si>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</si>
  <si>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</si>
  <si>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</si>
  <si>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</si>
  <si>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</si>
  <si>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</si>
  <si>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</si>
  <si>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</si>
  <si>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</si>
  <si>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</si>
  <si>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</si>
  <si>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</si>
  <si>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</si>
  <si>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</si>
  <si>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</si>
  <si>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</si>
  <si>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</si>
  <si>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</si>
  <si>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</si>
  <si>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</si>
  <si>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</si>
  <si>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</si>
  <si>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</si>
  <si>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</si>
  <si>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</si>
  <si>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</si>
  <si>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</si>
  <si>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</si>
  <si>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</si>
  <si>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</si>
  <si>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</si>
  <si>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</si>
  <si>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</si>
  <si>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</si>
  <si>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</si>
  <si>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</si>
  <si>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</si>
  <si>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</si>
  <si>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</si>
  <si>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</si>
  <si>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</si>
  <si>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</si>
  <si>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</si>
  <si>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</si>
  <si>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</si>
  <si>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</si>
  <si>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</si>
  <si>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</si>
  <si>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</si>
  <si>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</si>
  <si>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</si>
  <si>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</si>
  <si>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</si>
  <si>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</si>
  <si>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</si>
  <si>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</si>
  <si>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</si>
  <si>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</si>
  <si>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</si>
  <si>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</si>
  <si>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</si>
  <si>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</si>
  <si>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</si>
  <si>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</si>
  <si>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</si>
  <si>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</si>
  <si>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</si>
  <si>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</si>
  <si>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</si>
  <si>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</si>
  <si>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</si>
  <si>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</si>
  <si>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</si>
  <si>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</si>
  <si>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</si>
  <si>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</si>
  <si>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</si>
  <si>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</si>
  <si>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</si>
  <si>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</si>
  <si>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</si>
  <si>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</si>
  <si>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</si>
  <si>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</si>
  <si>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</si>
  <si>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</si>
  <si>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</si>
  <si>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</si>
  <si>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</si>
  <si>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</si>
  <si>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</si>
  <si>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</si>
  <si>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</si>
  <si>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</si>
  <si>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</si>
  <si>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</si>
  <si>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</si>
  <si>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</si>
  <si>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</si>
  <si>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</si>
  <si>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</si>
  <si>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</si>
  <si>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</si>
  <si>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</si>
  <si>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</si>
  <si>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</si>
  <si>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</si>
  <si>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</si>
  <si>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</si>
  <si>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</si>
  <si>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</si>
  <si>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</si>
  <si>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</si>
  <si>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</si>
  <si>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</si>
  <si>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</si>
  <si>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</si>
  <si>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</si>
  <si>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</si>
  <si>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</si>
  <si>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</si>
  <si>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</si>
  <si>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</si>
  <si>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</si>
  <si>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</si>
  <si>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</si>
  <si>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</si>
  <si>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</si>
  <si>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</si>
  <si>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</si>
  <si>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</si>
  <si>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</si>
  <si>
    <t>0891</t>
  </si>
  <si>
    <t>JANJKMS75</t>
  </si>
  <si>
    <t>JANGKA (MATH SET) JOYKO MS-75</t>
  </si>
  <si>
    <t>LEMJKGS104</t>
  </si>
  <si>
    <t>LEMJKGS09</t>
  </si>
  <si>
    <t>ISIJKPL10</t>
  </si>
  <si>
    <t>ISIJKPL11</t>
  </si>
  <si>
    <t>BNKA5M480TSFS514</t>
  </si>
  <si>
    <t>TIPJKJK01</t>
  </si>
  <si>
    <t>PENJKGPC309</t>
  </si>
  <si>
    <t>GTJKGT701</t>
  </si>
  <si>
    <t>BINDER NOTE JOYKO A5 (CAMPUS/CLASSIC)</t>
  </si>
  <si>
    <t>MESJKMX5500M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</si>
  <si>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</si>
  <si>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</si>
  <si>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</si>
  <si>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</si>
  <si>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</si>
  <si>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CORRECTION FLUID JOYKO JK-01</t>
  </si>
  <si>
    <t>MESIN LABEL HARGA JOYKO MX-5500M (8 DIGITS, 1 LINE)</t>
  </si>
  <si>
    <t>GEL PEN SET JOYKO GPC-309S DIAMOND ART</t>
  </si>
  <si>
    <t>BINDER NOTE JOYKO A5 (CAMPUS/CLASSIC)PCS15800</t>
  </si>
  <si>
    <t>CORRECTION FLUID JOYKO JK-01LSN36000</t>
  </si>
  <si>
    <t>GEL PEN SET JOYKO GPC-309S DIAMOND ARTPCS16800</t>
  </si>
  <si>
    <t>ISI PENSIL 2B 2.0 MM JOYKO PL-10LSN19800</t>
  </si>
  <si>
    <t>ISI PENSIL 2B 2.0 MM JOYKO PL-11LSN37200</t>
  </si>
  <si>
    <t>JANGKA (MATH SET) JOYKO MS-75LSN89400</t>
  </si>
  <si>
    <t>LEM STICK JOYKO 15 GR GS-104 TG (ANIMAL KINGDOM) isi 24 pcPCS2450</t>
  </si>
  <si>
    <t>LEM STICK JOYKO 8 GR GS-09 isi 12 pcPCS2100</t>
  </si>
  <si>
    <t>MESIN LABEL HARGA JOYKO MX-5500M (8 DIGITS, 1 LINE)PCS40500</t>
  </si>
  <si>
    <t>STAPLER GUNTACKER JOYKO GT-701PCS97000</t>
  </si>
  <si>
    <t>0892</t>
  </si>
  <si>
    <t>ISIKENKECIL</t>
  </si>
  <si>
    <t>ISI CUTTER 9 MM KENKO A-100 (KECIL)</t>
  </si>
  <si>
    <t>ISI CUTTER 9 MM KENKO A-100 (KECIL)LSN32400</t>
  </si>
  <si>
    <t>1054</t>
  </si>
  <si>
    <t>1065</t>
  </si>
  <si>
    <t>TIPKENCT310SL</t>
  </si>
  <si>
    <t>TIPKENCT905</t>
  </si>
  <si>
    <t>TIPKENCT309</t>
  </si>
  <si>
    <t>TIPKENCT1505FC</t>
  </si>
  <si>
    <t>CORRECTION TAPE KENKO CT-1505FC (15M X 5MM)</t>
  </si>
  <si>
    <t>CORRECTION TAPE KENKO CT-310SL (12M x 5MM)</t>
  </si>
  <si>
    <t>CORRECTION TAPE KENKO CT-905 (12M x 5MM)</t>
  </si>
  <si>
    <t>CORRECTION TAPE KENKO CT-309 (12M x 5MM)</t>
  </si>
  <si>
    <t>CORRECTION TAPE KENKO CT-1505FC (15M X 5MM)LSN69600</t>
  </si>
  <si>
    <t>CORRECTION TAPE KENKO CT-309 (12M x 5MM)LSN81600</t>
  </si>
  <si>
    <t>CORRECTION TAPE KENKO CT-310SL (12M x 5MM)LSN84000</t>
  </si>
  <si>
    <t>CORRECTION TAPE KENKO CT-905 (12M x 5MM)LSN62400</t>
  </si>
  <si>
    <t>0943</t>
  </si>
  <si>
    <t>1103</t>
  </si>
  <si>
    <t>PENKENHITECH028</t>
  </si>
  <si>
    <t>PENKENK1</t>
  </si>
  <si>
    <t>CLIJK155</t>
  </si>
  <si>
    <t>CLIJK280</t>
  </si>
  <si>
    <t>GEL PEN KENKO K-1</t>
  </si>
  <si>
    <t>BINDER CLIP JOYKO 155</t>
  </si>
  <si>
    <t>BINDER CLIP JOYKO 280</t>
  </si>
  <si>
    <t>GEL PEN KENKO HI-TECH-H 0.28 MM</t>
  </si>
  <si>
    <t>1106</t>
  </si>
  <si>
    <t>PENSIL KENKO 2B-6019 ANTIBACTERIAL</t>
  </si>
  <si>
    <t>GUNTING KENKO SC-828</t>
  </si>
  <si>
    <t>GUNTING KENKO SC-838N</t>
  </si>
  <si>
    <t>BINDER CLIP JOYKO 155GRS67800</t>
  </si>
  <si>
    <t>BINDER CLIP JOYKO 280GRS507600</t>
  </si>
  <si>
    <t>GEL PEN KENKO HI-TECH-H 0.28 MMLSN39000</t>
  </si>
  <si>
    <t>GEL PEN KENKO K-1LSN39600</t>
  </si>
  <si>
    <t>GUNTING KENKO SC-828LSN56400</t>
  </si>
  <si>
    <t>GUNTING KENKO SC-838NLSN79800</t>
  </si>
  <si>
    <t>PENSIL KENKO 2B-6019 ANTIBACTERIALGRS102000</t>
  </si>
  <si>
    <t>1120</t>
  </si>
  <si>
    <t>OPJKOP18S</t>
  </si>
  <si>
    <t>CRAYON / OIL PASTEL JOYKO OP-18S PP CASE SEA WORLD</t>
  </si>
  <si>
    <t>OPJKOP36S</t>
  </si>
  <si>
    <t>CRAYON / OIL PASTEL JOYKO OP-36S PP CASE SEA WORLD</t>
  </si>
  <si>
    <t>CRAYON / OIL PASTEL JOYKO OP-36S PP CASE SEA WORLDPCS41500</t>
  </si>
  <si>
    <t>1121</t>
  </si>
  <si>
    <t>TIPKENCT909</t>
  </si>
  <si>
    <t>CORRECTION TAPE KENKO CT-909 (12M x 5MM)</t>
  </si>
  <si>
    <t>CORRECTION TAPE KENKO CT-909 (12M x 5MM)LSN60000</t>
  </si>
  <si>
    <t>0725</t>
  </si>
  <si>
    <t>STAKENHD10MP</t>
  </si>
  <si>
    <t>PENKENSTP100SG</t>
  </si>
  <si>
    <t>PENKENSTP300SG</t>
  </si>
  <si>
    <t>STAND PEN SPIRAL KENKO STP-100SG</t>
  </si>
  <si>
    <t>STAND PEN SPIRAL KENKO STP-300SG</t>
  </si>
  <si>
    <t>STAPLER KENKO HD-10MP</t>
  </si>
  <si>
    <t>PENSIL WARNA KENKO CP-12HALF CLASSIC (PENDEK)LSN79200</t>
  </si>
  <si>
    <t>STAND PEN SPIRAL KENKO STP-100SGLSN54000</t>
  </si>
  <si>
    <t>STAND PEN SPIRAL KENKO STP-300SGLSN49200</t>
  </si>
  <si>
    <t>STAPLER KENKO HD-10MPLSN67200</t>
  </si>
  <si>
    <t>1124</t>
  </si>
  <si>
    <t>PWKEN12WPENDEK</t>
  </si>
  <si>
    <t>CRJK24WPENDEK</t>
  </si>
  <si>
    <t>LLJAB550</t>
  </si>
  <si>
    <t>CLIKEN3100</t>
  </si>
  <si>
    <t>STIKEN40HITAM</t>
  </si>
  <si>
    <t>penkenhitech028funcolorhitam</t>
  </si>
  <si>
    <t>CRAYON / OIL PASTEL PUTAR JOYKO TWCR-24MINI (PENDEK)</t>
  </si>
  <si>
    <t>LOOSE LEAF JOYART B5-2670 (50S)</t>
  </si>
  <si>
    <t>GEL PEN KENKO HI-TECH-H 0.28 MM FUN COLOR</t>
  </si>
  <si>
    <t>PAPER CLIP WARNA KENKO 3100</t>
  </si>
  <si>
    <t>STIP / PENGHAPUS KENKO ERB-40SQ HITAM</t>
  </si>
  <si>
    <t>CRAYON / OIL PASTEL JOYKO OP-18S PP CASE SEA WORLDLSN276000</t>
  </si>
  <si>
    <t>CRAYON / OIL PASTEL PUTAR JOYKO TWCR-24MINI (PENDEK)LSN446400</t>
  </si>
  <si>
    <t>GEL PEN KENKO HI-TECH-H 0.28 MM FUN COLORLSN39000</t>
  </si>
  <si>
    <t>LOOSE LEAF JOYART B5-2670 (50S)PAK5700</t>
  </si>
  <si>
    <t>PAPER CLIP WARNA KENKO 3100LSN41400</t>
  </si>
  <si>
    <t>STIP / PENGHAPUS KENKO ERB-40SQ HITAMPAK27500</t>
  </si>
  <si>
    <t>1073</t>
  </si>
  <si>
    <t>TIPJKCT540</t>
  </si>
  <si>
    <t>TIPJKCT545</t>
  </si>
  <si>
    <t>TIPKENCT809</t>
  </si>
  <si>
    <t>CORRECTION TAPE JOYKO CT-540</t>
  </si>
  <si>
    <t>CORRECTION TAPE JOYKO CT-545</t>
  </si>
  <si>
    <t>CORRECTION TAPE KENKO CT-809 (8M x 5MM)</t>
  </si>
  <si>
    <t>CORRECTION TAPE JOYKO CT-540LSN68400</t>
  </si>
  <si>
    <t>CORRECTION TAPE JOYKO CT-545LSN69600</t>
  </si>
  <si>
    <t>CORRECTION TAPE KENKO CT-809 (8M x 5MM)LSN54000</t>
  </si>
  <si>
    <t>1125</t>
  </si>
  <si>
    <t>1138</t>
  </si>
  <si>
    <t>PAPER TRIGONAL CLIP KENKO NO. 1PAK1700</t>
  </si>
  <si>
    <t>1146</t>
  </si>
  <si>
    <t>1155</t>
  </si>
  <si>
    <t>OPJK55W</t>
  </si>
  <si>
    <t>KARTU STOCK FOLIO PUTIH</t>
  </si>
  <si>
    <t>CRAYON / OIL PASTEL JOYKO OP-55S PP CASE SEA WORLD</t>
  </si>
  <si>
    <t>CRAYON / OIL PASTEL JOYKO OP-55S PP CASE SEA WORLDPCS66900</t>
  </si>
  <si>
    <t>KARTU STOCK FOLIO PUTIHPAK37500</t>
  </si>
  <si>
    <t>1167</t>
  </si>
  <si>
    <t>STAJKHD10</t>
  </si>
  <si>
    <t>PUNJK30</t>
  </si>
  <si>
    <t>CUTKENK200</t>
  </si>
  <si>
    <t>KARTU STOCK KWARTO PUTIH</t>
  </si>
  <si>
    <t>STAPLER JOYKO HD-10</t>
  </si>
  <si>
    <t>CUTTER 9 MM KENKO K-200 (KECIL)</t>
  </si>
  <si>
    <t>CUTTER 9 MM KENKO K-200 (KECIL)LSN52200</t>
  </si>
  <si>
    <t>KARTU STOCK KWARTO PUTIHPAK18500</t>
  </si>
  <si>
    <t>STAPLER JOYKO HD-10LSN85200</t>
  </si>
  <si>
    <t>1170</t>
  </si>
  <si>
    <t>PAPER JUMBO CLIP KENKO NO. 5PAK4300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</si>
</sst>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4">
          <cell r="D1714">
            <v>44966</v>
          </cell>
        </row>
        <row r="1716">
          <cell r="D1716" t="str">
            <v>KO 0908</v>
          </cell>
        </row>
        <row r="1718">
          <cell r="D1718" t="str">
            <v>C</v>
          </cell>
          <cell r="K1718" t="str">
            <v>Amount</v>
          </cell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19021696</v>
          </cell>
        </row>
        <row r="1750">
          <cell r="D1750" t="str">
            <v>AM</v>
          </cell>
        </row>
        <row r="1752">
          <cell r="D1752">
            <v>44966</v>
          </cell>
        </row>
        <row r="1754">
          <cell r="D1754" t="str">
            <v>KO 0908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19021696</v>
          </cell>
        </row>
        <row r="1788">
          <cell r="D1788" t="str">
            <v>AM</v>
          </cell>
        </row>
        <row r="1790">
          <cell r="D1790">
            <v>44966</v>
          </cell>
        </row>
        <row r="1792">
          <cell r="D1792" t="str">
            <v>KO 0908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19021696</v>
          </cell>
        </row>
        <row r="1826">
          <cell r="D1826" t="str">
            <v>AM</v>
          </cell>
        </row>
        <row r="1828">
          <cell r="D1828">
            <v>44966</v>
          </cell>
        </row>
        <row r="1830">
          <cell r="D1830" t="str">
            <v>KO 0910</v>
          </cell>
        </row>
        <row r="1832">
          <cell r="D1832" t="str">
            <v>C</v>
          </cell>
          <cell r="K1832" t="str">
            <v>Amount</v>
          </cell>
        </row>
        <row r="1834">
          <cell r="D1834">
            <v>1</v>
          </cell>
          <cell r="K1834">
            <v>2538720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2538720</v>
          </cell>
        </row>
        <row r="1864">
          <cell r="D1864" t="str">
            <v>AM</v>
          </cell>
        </row>
        <row r="1866">
          <cell r="D1866">
            <v>44966</v>
          </cell>
        </row>
        <row r="1868">
          <cell r="D1868" t="str">
            <v>KO 0910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2538720</v>
          </cell>
        </row>
        <row r="1902">
          <cell r="D1902" t="str">
            <v>AM</v>
          </cell>
        </row>
        <row r="1904">
          <cell r="D1904">
            <v>44966</v>
          </cell>
        </row>
        <row r="1906">
          <cell r="D1906" t="str">
            <v>KO 0910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2538720</v>
          </cell>
        </row>
        <row r="1940">
          <cell r="D1940" t="str">
            <v>AM</v>
          </cell>
        </row>
        <row r="1942">
          <cell r="D1942">
            <v>44968</v>
          </cell>
        </row>
        <row r="1944">
          <cell r="D1944" t="str">
            <v>KO 0716</v>
          </cell>
        </row>
        <row r="1946">
          <cell r="D1946" t="str">
            <v>C</v>
          </cell>
          <cell r="K1946" t="str">
            <v>Amount</v>
          </cell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19656000</v>
          </cell>
        </row>
        <row r="1978">
          <cell r="D1978" t="str">
            <v>AM</v>
          </cell>
        </row>
        <row r="1980">
          <cell r="D1980">
            <v>44968</v>
          </cell>
        </row>
        <row r="1982">
          <cell r="D1982" t="str">
            <v>KO 0716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19656000</v>
          </cell>
        </row>
        <row r="2016">
          <cell r="D2016" t="str">
            <v>AM</v>
          </cell>
        </row>
        <row r="2018">
          <cell r="D2018">
            <v>44968</v>
          </cell>
        </row>
        <row r="2020">
          <cell r="D2020" t="str">
            <v>KO 0716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19656000</v>
          </cell>
        </row>
        <row r="2054">
          <cell r="D2054" t="str">
            <v>AM</v>
          </cell>
        </row>
        <row r="2056">
          <cell r="D2056">
            <v>44968</v>
          </cell>
        </row>
        <row r="2058">
          <cell r="D2058" t="str">
            <v>G 0918</v>
          </cell>
        </row>
        <row r="2060">
          <cell r="D2060" t="str">
            <v>C</v>
          </cell>
          <cell r="K2060" t="str">
            <v>Amount</v>
          </cell>
        </row>
        <row r="2062">
          <cell r="D2062" t="str">
            <v/>
          </cell>
          <cell r="K2062">
            <v>500000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500000</v>
          </cell>
        </row>
        <row r="2092">
          <cell r="D2092" t="str">
            <v>AM</v>
          </cell>
        </row>
        <row r="2094">
          <cell r="D2094">
            <v>44968</v>
          </cell>
        </row>
        <row r="2096">
          <cell r="D2096" t="str">
            <v>G 0918</v>
          </cell>
        </row>
        <row r="2098">
          <cell r="D2098" t="str">
            <v>C</v>
          </cell>
          <cell r="K2098" t="str">
            <v>Amount</v>
          </cell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500000</v>
          </cell>
        </row>
        <row r="2130">
          <cell r="D2130" t="str">
            <v>AM</v>
          </cell>
        </row>
        <row r="2132">
          <cell r="D2132">
            <v>44968</v>
          </cell>
        </row>
        <row r="2134">
          <cell r="D2134" t="str">
            <v>G 0918</v>
          </cell>
        </row>
        <row r="2136">
          <cell r="D2136" t="str">
            <v>C</v>
          </cell>
          <cell r="K2136" t="str">
            <v>Amount</v>
          </cell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500000</v>
          </cell>
        </row>
        <row r="2168">
          <cell r="D2168" t="str">
            <v>AM</v>
          </cell>
        </row>
        <row r="2170">
          <cell r="D2170">
            <v>44970</v>
          </cell>
        </row>
        <row r="2172">
          <cell r="D2172" t="str">
            <v>KO 0887</v>
          </cell>
        </row>
        <row r="2174">
          <cell r="D2174" t="str">
            <v>C</v>
          </cell>
          <cell r="K2174" t="str">
            <v>Amount</v>
          </cell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3598320</v>
          </cell>
        </row>
        <row r="2206">
          <cell r="D2206" t="str">
            <v>AM</v>
          </cell>
        </row>
        <row r="2208">
          <cell r="D2208">
            <v>44970</v>
          </cell>
        </row>
        <row r="2210">
          <cell r="D2210" t="str">
            <v>KO 0887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3598320</v>
          </cell>
        </row>
        <row r="2244">
          <cell r="D2244" t="str">
            <v>AM</v>
          </cell>
        </row>
        <row r="2246">
          <cell r="D2246">
            <v>44970</v>
          </cell>
        </row>
        <row r="2248">
          <cell r="D2248" t="str">
            <v>KO 0887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3598320</v>
          </cell>
        </row>
        <row r="2282">
          <cell r="D2282" t="str">
            <v>AM</v>
          </cell>
        </row>
        <row r="2284">
          <cell r="D2284">
            <v>44970</v>
          </cell>
        </row>
        <row r="2286">
          <cell r="D2286" t="str">
            <v>G 0890</v>
          </cell>
        </row>
        <row r="2288">
          <cell r="D2288" t="str">
            <v>C</v>
          </cell>
          <cell r="K2288" t="str">
            <v>Amount</v>
          </cell>
        </row>
        <row r="2290">
          <cell r="D2290">
            <v>2</v>
          </cell>
          <cell r="K2290">
            <v>3696000</v>
          </cell>
        </row>
        <row r="2291">
          <cell r="D2291">
            <v>2</v>
          </cell>
          <cell r="K2291">
            <v>2154600</v>
          </cell>
        </row>
        <row r="2292">
          <cell r="D2292">
            <v>5</v>
          </cell>
          <cell r="K2292">
            <v>7434000</v>
          </cell>
        </row>
        <row r="2293">
          <cell r="D2293">
            <v>5</v>
          </cell>
          <cell r="K2293">
            <v>7434000</v>
          </cell>
        </row>
        <row r="2294">
          <cell r="D2294">
            <v>10</v>
          </cell>
          <cell r="K2294">
            <v>27405000</v>
          </cell>
        </row>
        <row r="2295">
          <cell r="D2295">
            <v>3</v>
          </cell>
          <cell r="K2295">
            <v>3628800</v>
          </cell>
        </row>
        <row r="2296">
          <cell r="D2296">
            <v>2</v>
          </cell>
          <cell r="K2296">
            <v>2419200</v>
          </cell>
        </row>
        <row r="2297">
          <cell r="D2297">
            <v>5</v>
          </cell>
          <cell r="K2297">
            <v>6048000</v>
          </cell>
        </row>
        <row r="2298">
          <cell r="D2298">
            <v>2</v>
          </cell>
          <cell r="K2298">
            <v>3376800</v>
          </cell>
        </row>
        <row r="2299">
          <cell r="D2299">
            <v>10</v>
          </cell>
          <cell r="K2299">
            <v>13356000</v>
          </cell>
        </row>
        <row r="2300">
          <cell r="D2300">
            <v>5</v>
          </cell>
          <cell r="K2300">
            <v>6678000</v>
          </cell>
        </row>
        <row r="2301">
          <cell r="D2301">
            <v>1</v>
          </cell>
          <cell r="K2301">
            <v>926100</v>
          </cell>
        </row>
        <row r="2302">
          <cell r="D2302">
            <v>1</v>
          </cell>
          <cell r="K2302">
            <v>1096200</v>
          </cell>
        </row>
        <row r="2303">
          <cell r="D2303">
            <v>1</v>
          </cell>
          <cell r="K2303">
            <v>3024000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88676700</v>
          </cell>
        </row>
        <row r="2320">
          <cell r="D2320" t="str">
            <v>AM</v>
          </cell>
        </row>
        <row r="2322">
          <cell r="D2322">
            <v>44970</v>
          </cell>
        </row>
        <row r="2324">
          <cell r="D2324" t="str">
            <v>G 0890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2</v>
          </cell>
          <cell r="K2328">
            <v>3696000</v>
          </cell>
        </row>
        <row r="2329">
          <cell r="D2329">
            <v>2</v>
          </cell>
          <cell r="K2329">
            <v>2154600</v>
          </cell>
        </row>
        <row r="2330">
          <cell r="D2330">
            <v>5</v>
          </cell>
          <cell r="K2330">
            <v>7434000</v>
          </cell>
        </row>
        <row r="2331">
          <cell r="D2331">
            <v>5</v>
          </cell>
          <cell r="K2331">
            <v>7434000</v>
          </cell>
        </row>
        <row r="2332">
          <cell r="D2332">
            <v>10</v>
          </cell>
          <cell r="K2332">
            <v>27405000</v>
          </cell>
        </row>
        <row r="2333">
          <cell r="D2333">
            <v>3</v>
          </cell>
          <cell r="K2333">
            <v>3628800</v>
          </cell>
        </row>
        <row r="2334">
          <cell r="D2334">
            <v>2</v>
          </cell>
          <cell r="K2334">
            <v>2419200</v>
          </cell>
        </row>
        <row r="2335">
          <cell r="D2335">
            <v>5</v>
          </cell>
          <cell r="K2335">
            <v>6048000</v>
          </cell>
        </row>
        <row r="2336">
          <cell r="D2336">
            <v>2</v>
          </cell>
          <cell r="K2336">
            <v>3376800</v>
          </cell>
        </row>
        <row r="2337">
          <cell r="D2337">
            <v>10</v>
          </cell>
          <cell r="K2337">
            <v>13356000</v>
          </cell>
        </row>
        <row r="2338">
          <cell r="D2338">
            <v>5</v>
          </cell>
          <cell r="K2338">
            <v>6678000</v>
          </cell>
        </row>
        <row r="2339">
          <cell r="D2339">
            <v>1</v>
          </cell>
          <cell r="K2339">
            <v>926100</v>
          </cell>
        </row>
        <row r="2340">
          <cell r="D2340">
            <v>1</v>
          </cell>
          <cell r="K2340">
            <v>1096200</v>
          </cell>
        </row>
        <row r="2341">
          <cell r="D2341">
            <v>1</v>
          </cell>
          <cell r="K2341">
            <v>3024000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88676700</v>
          </cell>
        </row>
        <row r="2358">
          <cell r="D2358" t="str">
            <v>AM</v>
          </cell>
        </row>
        <row r="2360">
          <cell r="D2360">
            <v>44970</v>
          </cell>
        </row>
        <row r="2362">
          <cell r="D2362" t="str">
            <v>G 0890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2</v>
          </cell>
          <cell r="K2366">
            <v>3696000</v>
          </cell>
        </row>
        <row r="2367">
          <cell r="D2367">
            <v>2</v>
          </cell>
          <cell r="K2367">
            <v>2154600</v>
          </cell>
        </row>
        <row r="2368">
          <cell r="D2368">
            <v>5</v>
          </cell>
          <cell r="K2368">
            <v>7434000</v>
          </cell>
        </row>
        <row r="2369">
          <cell r="D2369">
            <v>5</v>
          </cell>
          <cell r="K2369">
            <v>7434000</v>
          </cell>
        </row>
        <row r="2370">
          <cell r="D2370">
            <v>10</v>
          </cell>
          <cell r="K2370">
            <v>27405000</v>
          </cell>
        </row>
        <row r="2371">
          <cell r="D2371">
            <v>3</v>
          </cell>
          <cell r="K2371">
            <v>3628800</v>
          </cell>
        </row>
        <row r="2372">
          <cell r="D2372">
            <v>2</v>
          </cell>
          <cell r="K2372">
            <v>2419200</v>
          </cell>
        </row>
        <row r="2373">
          <cell r="D2373">
            <v>5</v>
          </cell>
          <cell r="K2373">
            <v>6048000</v>
          </cell>
        </row>
        <row r="2374">
          <cell r="D2374">
            <v>2</v>
          </cell>
          <cell r="K2374">
            <v>3376800</v>
          </cell>
        </row>
        <row r="2375">
          <cell r="D2375">
            <v>10</v>
          </cell>
          <cell r="K2375">
            <v>13356000</v>
          </cell>
        </row>
        <row r="2376">
          <cell r="D2376">
            <v>5</v>
          </cell>
          <cell r="K2376">
            <v>6678000</v>
          </cell>
        </row>
        <row r="2377">
          <cell r="D2377">
            <v>1</v>
          </cell>
          <cell r="K2377">
            <v>926100</v>
          </cell>
        </row>
        <row r="2378">
          <cell r="D2378">
            <v>1</v>
          </cell>
          <cell r="K2378">
            <v>1096200</v>
          </cell>
        </row>
        <row r="2379">
          <cell r="D2379">
            <v>1</v>
          </cell>
          <cell r="K2379">
            <v>3024000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88676700</v>
          </cell>
        </row>
        <row r="2396">
          <cell r="D2396" t="str">
            <v>AM</v>
          </cell>
        </row>
        <row r="2398">
          <cell r="D2398">
            <v>44970</v>
          </cell>
        </row>
        <row r="2400">
          <cell r="D2400" t="str">
            <v>G 0891</v>
          </cell>
        </row>
        <row r="2402">
          <cell r="D2402" t="str">
            <v>C</v>
          </cell>
          <cell r="K2402" t="str">
            <v>Amount</v>
          </cell>
        </row>
        <row r="2404">
          <cell r="D2404">
            <v>1</v>
          </cell>
          <cell r="K2404">
            <v>1877400</v>
          </cell>
        </row>
        <row r="2405">
          <cell r="D2405">
            <v>5</v>
          </cell>
          <cell r="K2405">
            <v>9261000</v>
          </cell>
        </row>
        <row r="2406">
          <cell r="D2406">
            <v>1</v>
          </cell>
          <cell r="K2406">
            <v>1411200</v>
          </cell>
        </row>
        <row r="2407">
          <cell r="D2407">
            <v>4</v>
          </cell>
          <cell r="K2407">
            <v>7408800</v>
          </cell>
        </row>
        <row r="2408">
          <cell r="D2408">
            <v>2</v>
          </cell>
          <cell r="K2408">
            <v>4989600</v>
          </cell>
        </row>
        <row r="2409">
          <cell r="D2409">
            <v>2</v>
          </cell>
          <cell r="K2409">
            <v>4687200</v>
          </cell>
        </row>
        <row r="2410">
          <cell r="D2410">
            <v>1</v>
          </cell>
          <cell r="K2410">
            <v>2037000</v>
          </cell>
        </row>
        <row r="2411">
          <cell r="D2411">
            <v>1</v>
          </cell>
          <cell r="K2411">
            <v>995400</v>
          </cell>
        </row>
        <row r="2412">
          <cell r="D2412">
            <v>7</v>
          </cell>
          <cell r="K2412">
            <v>10584000</v>
          </cell>
        </row>
        <row r="2413">
          <cell r="D2413">
            <v>1</v>
          </cell>
          <cell r="K2413">
            <v>708750</v>
          </cell>
        </row>
        <row r="2414">
          <cell r="D2414">
            <v>3</v>
          </cell>
          <cell r="K2414">
            <v>8467200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52427550</v>
          </cell>
        </row>
        <row r="2434">
          <cell r="D2434" t="str">
            <v>AM</v>
          </cell>
        </row>
        <row r="2436">
          <cell r="D2436">
            <v>44970</v>
          </cell>
        </row>
        <row r="2438">
          <cell r="D2438" t="str">
            <v>G 0891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1</v>
          </cell>
          <cell r="K2442">
            <v>1877400</v>
          </cell>
        </row>
        <row r="2443">
          <cell r="D2443">
            <v>5</v>
          </cell>
          <cell r="K2443">
            <v>9261000</v>
          </cell>
        </row>
        <row r="2444">
          <cell r="D2444">
            <v>1</v>
          </cell>
          <cell r="K2444">
            <v>1411200</v>
          </cell>
        </row>
        <row r="2445">
          <cell r="D2445">
            <v>4</v>
          </cell>
          <cell r="K2445">
            <v>7408800</v>
          </cell>
        </row>
        <row r="2446">
          <cell r="D2446">
            <v>2</v>
          </cell>
          <cell r="K2446">
            <v>4989600</v>
          </cell>
        </row>
        <row r="2447">
          <cell r="D2447">
            <v>2</v>
          </cell>
          <cell r="K2447">
            <v>4687200</v>
          </cell>
        </row>
        <row r="2448">
          <cell r="D2448">
            <v>1</v>
          </cell>
          <cell r="K2448">
            <v>2037000</v>
          </cell>
        </row>
        <row r="2449">
          <cell r="D2449">
            <v>1</v>
          </cell>
          <cell r="K2449">
            <v>995400</v>
          </cell>
        </row>
        <row r="2450">
          <cell r="D2450">
            <v>7</v>
          </cell>
          <cell r="K2450">
            <v>10584000</v>
          </cell>
        </row>
        <row r="2451">
          <cell r="D2451">
            <v>1</v>
          </cell>
          <cell r="K2451">
            <v>708750</v>
          </cell>
        </row>
        <row r="2452">
          <cell r="D2452">
            <v>3</v>
          </cell>
          <cell r="K2452">
            <v>8467200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52427550</v>
          </cell>
        </row>
        <row r="2472">
          <cell r="D2472" t="str">
            <v>AM</v>
          </cell>
        </row>
        <row r="2474">
          <cell r="D2474">
            <v>44970</v>
          </cell>
        </row>
        <row r="2476">
          <cell r="D2476" t="str">
            <v>G 0891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1</v>
          </cell>
          <cell r="K2480">
            <v>1877400</v>
          </cell>
        </row>
        <row r="2481">
          <cell r="D2481">
            <v>5</v>
          </cell>
          <cell r="K2481">
            <v>9261000</v>
          </cell>
        </row>
        <row r="2482">
          <cell r="D2482">
            <v>1</v>
          </cell>
          <cell r="K2482">
            <v>1411200</v>
          </cell>
        </row>
        <row r="2483">
          <cell r="D2483">
            <v>4</v>
          </cell>
          <cell r="K2483">
            <v>7408800</v>
          </cell>
        </row>
        <row r="2484">
          <cell r="D2484">
            <v>2</v>
          </cell>
          <cell r="K2484">
            <v>4989600</v>
          </cell>
        </row>
        <row r="2485">
          <cell r="D2485">
            <v>2</v>
          </cell>
          <cell r="K2485">
            <v>4687200</v>
          </cell>
        </row>
        <row r="2486">
          <cell r="D2486">
            <v>1</v>
          </cell>
          <cell r="K2486">
            <v>2037000</v>
          </cell>
        </row>
        <row r="2487">
          <cell r="D2487">
            <v>1</v>
          </cell>
          <cell r="K2487">
            <v>995400</v>
          </cell>
        </row>
        <row r="2488">
          <cell r="D2488">
            <v>7</v>
          </cell>
          <cell r="K2488">
            <v>10584000</v>
          </cell>
        </row>
        <row r="2489">
          <cell r="D2489">
            <v>1</v>
          </cell>
          <cell r="K2489">
            <v>708750</v>
          </cell>
        </row>
        <row r="2490">
          <cell r="D2490">
            <v>3</v>
          </cell>
          <cell r="K2490">
            <v>8467200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52427550</v>
          </cell>
        </row>
        <row r="2510">
          <cell r="D2510" t="str">
            <v>AM</v>
          </cell>
        </row>
        <row r="2512">
          <cell r="D2512">
            <v>44970</v>
          </cell>
        </row>
        <row r="2514">
          <cell r="D2514" t="str">
            <v>G 0892</v>
          </cell>
        </row>
        <row r="2516">
          <cell r="D2516" t="str">
            <v>C</v>
          </cell>
          <cell r="K2516" t="str">
            <v>Amount</v>
          </cell>
        </row>
        <row r="2518">
          <cell r="D2518">
            <v>1</v>
          </cell>
          <cell r="K2518">
            <v>1757700</v>
          </cell>
        </row>
        <row r="2519">
          <cell r="D2519">
            <v>1</v>
          </cell>
          <cell r="K2519">
            <v>1710450</v>
          </cell>
        </row>
        <row r="2520">
          <cell r="D2520">
            <v>1</v>
          </cell>
          <cell r="K2520">
            <v>3402000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6870150</v>
          </cell>
        </row>
        <row r="2548">
          <cell r="D2548" t="str">
            <v>AM</v>
          </cell>
        </row>
        <row r="2550">
          <cell r="D2550">
            <v>44970</v>
          </cell>
        </row>
        <row r="2552">
          <cell r="D2552" t="str">
            <v>G 0892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1</v>
          </cell>
          <cell r="K2556">
            <v>1757700</v>
          </cell>
        </row>
        <row r="2557">
          <cell r="D2557">
            <v>1</v>
          </cell>
          <cell r="K2557">
            <v>1710450</v>
          </cell>
        </row>
        <row r="2558">
          <cell r="D2558">
            <v>1</v>
          </cell>
          <cell r="K2558">
            <v>3402000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6870150</v>
          </cell>
        </row>
        <row r="2586">
          <cell r="D2586" t="str">
            <v>AM</v>
          </cell>
        </row>
        <row r="2588">
          <cell r="D2588">
            <v>44970</v>
          </cell>
        </row>
        <row r="2590">
          <cell r="D2590" t="str">
            <v>G 0892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1</v>
          </cell>
          <cell r="K2594">
            <v>1757700</v>
          </cell>
        </row>
        <row r="2595">
          <cell r="D2595">
            <v>1</v>
          </cell>
          <cell r="K2595">
            <v>1710450</v>
          </cell>
        </row>
        <row r="2596">
          <cell r="D2596">
            <v>1</v>
          </cell>
          <cell r="K2596">
            <v>3402000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6870150</v>
          </cell>
        </row>
        <row r="2624">
          <cell r="D2624" t="str">
            <v>AM</v>
          </cell>
        </row>
        <row r="2626">
          <cell r="D2626">
            <v>44972</v>
          </cell>
        </row>
        <row r="2628">
          <cell r="D2628" t="str">
            <v>KO 1054</v>
          </cell>
        </row>
        <row r="2630">
          <cell r="D2630" t="str">
            <v>C</v>
          </cell>
          <cell r="K2630" t="str">
            <v>Amount</v>
          </cell>
        </row>
        <row r="2632">
          <cell r="D2632">
            <v>1</v>
          </cell>
          <cell r="K2632">
            <v>704700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704700</v>
          </cell>
        </row>
        <row r="2662">
          <cell r="D2662" t="str">
            <v>AM</v>
          </cell>
        </row>
        <row r="2664">
          <cell r="D2664">
            <v>44972</v>
          </cell>
        </row>
        <row r="2666">
          <cell r="D2666" t="str">
            <v>KO 1054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1</v>
          </cell>
          <cell r="K2670">
            <v>704700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704700</v>
          </cell>
        </row>
        <row r="2700">
          <cell r="D2700" t="str">
            <v>AM</v>
          </cell>
        </row>
        <row r="2702">
          <cell r="D2702">
            <v>44972</v>
          </cell>
        </row>
        <row r="2704">
          <cell r="D2704" t="str">
            <v>KO 1054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1</v>
          </cell>
          <cell r="K2708">
            <v>704700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704700</v>
          </cell>
        </row>
        <row r="2738">
          <cell r="D2738" t="str">
            <v>AM</v>
          </cell>
        </row>
        <row r="2740">
          <cell r="D2740">
            <v>44973</v>
          </cell>
        </row>
        <row r="2742">
          <cell r="D2742" t="str">
            <v>KO 1065</v>
          </cell>
        </row>
        <row r="2744">
          <cell r="D2744" t="str">
            <v>C</v>
          </cell>
          <cell r="K2744" t="str">
            <v>Amount</v>
          </cell>
        </row>
        <row r="2746">
          <cell r="D2746" t="str">
            <v/>
          </cell>
          <cell r="K2746">
            <v>908280</v>
          </cell>
        </row>
        <row r="2747">
          <cell r="D2747" t="str">
            <v/>
          </cell>
          <cell r="K2747">
            <v>1096200</v>
          </cell>
        </row>
        <row r="2748">
          <cell r="D2748" t="str">
            <v/>
          </cell>
          <cell r="K2748">
            <v>488592</v>
          </cell>
        </row>
        <row r="2749">
          <cell r="D2749" t="str">
            <v/>
          </cell>
          <cell r="K2749">
            <v>1064880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3557952</v>
          </cell>
        </row>
        <row r="2776">
          <cell r="D2776" t="str">
            <v>AM</v>
          </cell>
        </row>
        <row r="2778">
          <cell r="D2778">
            <v>44973</v>
          </cell>
        </row>
        <row r="2780">
          <cell r="D2780" t="str">
            <v>KO 1065</v>
          </cell>
        </row>
        <row r="2782">
          <cell r="D2782" t="str">
            <v>C</v>
          </cell>
          <cell r="K2782" t="str">
            <v>Amount</v>
          </cell>
        </row>
        <row r="2784">
          <cell r="D2784" t="str">
            <v/>
          </cell>
          <cell r="K2784">
            <v>908280</v>
          </cell>
        </row>
        <row r="2785">
          <cell r="D2785" t="str">
            <v/>
          </cell>
          <cell r="K2785">
            <v>1096200</v>
          </cell>
        </row>
        <row r="2786">
          <cell r="D2786" t="str">
            <v/>
          </cell>
          <cell r="K2786">
            <v>488592</v>
          </cell>
        </row>
        <row r="2787">
          <cell r="D2787" t="str">
            <v/>
          </cell>
          <cell r="K2787">
            <v>1064880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3557952</v>
          </cell>
        </row>
        <row r="2814">
          <cell r="D2814" t="str">
            <v>AM</v>
          </cell>
        </row>
        <row r="2816">
          <cell r="D2816">
            <v>44973</v>
          </cell>
        </row>
        <row r="2818">
          <cell r="D2818" t="str">
            <v>KO 1065</v>
          </cell>
        </row>
        <row r="2820">
          <cell r="D2820" t="str">
            <v>C</v>
          </cell>
          <cell r="K2820" t="str">
            <v>Amount</v>
          </cell>
        </row>
        <row r="2822">
          <cell r="D2822" t="str">
            <v/>
          </cell>
          <cell r="K2822">
            <v>908280</v>
          </cell>
        </row>
        <row r="2823">
          <cell r="D2823" t="str">
            <v/>
          </cell>
          <cell r="K2823">
            <v>1096200</v>
          </cell>
        </row>
        <row r="2824">
          <cell r="D2824" t="str">
            <v/>
          </cell>
          <cell r="K2824">
            <v>488592</v>
          </cell>
        </row>
        <row r="2825">
          <cell r="D2825" t="str">
            <v/>
          </cell>
          <cell r="K2825">
            <v>1064880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3557952</v>
          </cell>
        </row>
        <row r="2852">
          <cell r="D2852" t="str">
            <v>AM</v>
          </cell>
        </row>
        <row r="2854">
          <cell r="D2854">
            <v>44978</v>
          </cell>
        </row>
        <row r="2856">
          <cell r="D2856" t="str">
            <v>KO 1103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421200</v>
          </cell>
        </row>
        <row r="2861">
          <cell r="K2861">
            <v>142560</v>
          </cell>
        </row>
        <row r="2862">
          <cell r="D2862">
            <v>1</v>
          </cell>
          <cell r="K2862">
            <v>1220400</v>
          </cell>
        </row>
        <row r="2863">
          <cell r="D2863">
            <v>1</v>
          </cell>
          <cell r="K2863">
            <v>1370520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3154680</v>
          </cell>
        </row>
        <row r="2890">
          <cell r="D2890" t="str">
            <v>AM</v>
          </cell>
        </row>
        <row r="2892">
          <cell r="D2892">
            <v>44978</v>
          </cell>
        </row>
        <row r="2894">
          <cell r="D2894" t="str">
            <v>KO 1103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421200</v>
          </cell>
        </row>
        <row r="2899">
          <cell r="D2899">
            <v>0</v>
          </cell>
          <cell r="K2899">
            <v>142560</v>
          </cell>
        </row>
        <row r="2900">
          <cell r="D2900">
            <v>1</v>
          </cell>
          <cell r="K2900">
            <v>1220400</v>
          </cell>
        </row>
        <row r="2901">
          <cell r="D2901">
            <v>1</v>
          </cell>
          <cell r="K2901">
            <v>1370520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3154680</v>
          </cell>
        </row>
        <row r="2928">
          <cell r="D2928" t="str">
            <v>AM</v>
          </cell>
        </row>
        <row r="2930">
          <cell r="D2930">
            <v>44978</v>
          </cell>
        </row>
        <row r="2932">
          <cell r="D2932" t="str">
            <v>KO 1103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421200</v>
          </cell>
        </row>
        <row r="2937">
          <cell r="D2937">
            <v>0</v>
          </cell>
          <cell r="K2937">
            <v>142560</v>
          </cell>
        </row>
        <row r="2938">
          <cell r="D2938">
            <v>1</v>
          </cell>
          <cell r="K2938">
            <v>1220400</v>
          </cell>
        </row>
        <row r="2939">
          <cell r="D2939">
            <v>1</v>
          </cell>
          <cell r="K2939">
            <v>1370520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3154680</v>
          </cell>
        </row>
        <row r="2966">
          <cell r="D2966" t="str">
            <v>AM</v>
          </cell>
        </row>
        <row r="2968">
          <cell r="D2968">
            <v>44978</v>
          </cell>
        </row>
        <row r="2970">
          <cell r="D2970" t="str">
            <v>KO 1106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187920</v>
          </cell>
        </row>
        <row r="2975">
          <cell r="K2975">
            <v>183600</v>
          </cell>
        </row>
        <row r="2976">
          <cell r="K2976">
            <v>194400</v>
          </cell>
        </row>
        <row r="2977">
          <cell r="K2977">
            <v>334800</v>
          </cell>
        </row>
        <row r="2978">
          <cell r="K2978">
            <v>427680</v>
          </cell>
        </row>
        <row r="2979">
          <cell r="K2979">
            <v>203040</v>
          </cell>
        </row>
        <row r="2980">
          <cell r="K2980">
            <v>430920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1962360</v>
          </cell>
        </row>
        <row r="3004">
          <cell r="D3004" t="str">
            <v>AM</v>
          </cell>
        </row>
        <row r="3006">
          <cell r="D3006">
            <v>44978</v>
          </cell>
        </row>
        <row r="3008">
          <cell r="D3008" t="str">
            <v>KO 1106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187920</v>
          </cell>
        </row>
        <row r="3013">
          <cell r="D3013">
            <v>0</v>
          </cell>
          <cell r="K3013">
            <v>183600</v>
          </cell>
        </row>
        <row r="3014">
          <cell r="D3014">
            <v>0</v>
          </cell>
          <cell r="K3014">
            <v>194400</v>
          </cell>
        </row>
        <row r="3015">
          <cell r="D3015">
            <v>0</v>
          </cell>
          <cell r="K3015">
            <v>334800</v>
          </cell>
        </row>
        <row r="3016">
          <cell r="D3016">
            <v>0</v>
          </cell>
          <cell r="K3016">
            <v>427680</v>
          </cell>
        </row>
        <row r="3017">
          <cell r="D3017">
            <v>0</v>
          </cell>
          <cell r="K3017">
            <v>203040</v>
          </cell>
        </row>
        <row r="3018">
          <cell r="D3018">
            <v>0</v>
          </cell>
          <cell r="K3018">
            <v>430920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1962360</v>
          </cell>
        </row>
        <row r="3042">
          <cell r="D3042" t="str">
            <v>AM</v>
          </cell>
        </row>
        <row r="3044">
          <cell r="D3044">
            <v>44978</v>
          </cell>
        </row>
        <row r="3046">
          <cell r="D3046" t="str">
            <v>KO 1106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187920</v>
          </cell>
        </row>
        <row r="3051">
          <cell r="D3051">
            <v>0</v>
          </cell>
          <cell r="K3051">
            <v>183600</v>
          </cell>
        </row>
        <row r="3052">
          <cell r="D3052">
            <v>0</v>
          </cell>
          <cell r="K3052">
            <v>194400</v>
          </cell>
        </row>
        <row r="3053">
          <cell r="D3053">
            <v>0</v>
          </cell>
          <cell r="K3053">
            <v>334800</v>
          </cell>
        </row>
        <row r="3054">
          <cell r="D3054">
            <v>0</v>
          </cell>
          <cell r="K3054">
            <v>427680</v>
          </cell>
        </row>
        <row r="3055">
          <cell r="D3055">
            <v>0</v>
          </cell>
          <cell r="K3055">
            <v>203040</v>
          </cell>
        </row>
        <row r="3056">
          <cell r="D3056">
            <v>0</v>
          </cell>
          <cell r="K3056">
            <v>430920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1962360</v>
          </cell>
        </row>
        <row r="3080">
          <cell r="D3080" t="str">
            <v>AM</v>
          </cell>
        </row>
        <row r="3082">
          <cell r="D3082">
            <v>44974</v>
          </cell>
        </row>
        <row r="3084">
          <cell r="D3084" t="str">
            <v>KO 0943</v>
          </cell>
        </row>
        <row r="3086">
          <cell r="D3086" t="str">
            <v>C</v>
          </cell>
          <cell r="K3086" t="str">
            <v>Amount</v>
          </cell>
        </row>
        <row r="3088">
          <cell r="D3088" t="str">
            <v/>
          </cell>
          <cell r="K3088">
            <v>918720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918720</v>
          </cell>
        </row>
        <row r="3118">
          <cell r="D3118" t="str">
            <v>AM</v>
          </cell>
        </row>
        <row r="3120">
          <cell r="D3120">
            <v>44974</v>
          </cell>
        </row>
        <row r="3122">
          <cell r="D3122" t="str">
            <v>KO 0943</v>
          </cell>
        </row>
        <row r="3124">
          <cell r="D3124" t="str">
            <v>C</v>
          </cell>
          <cell r="K3124" t="str">
            <v>Amount</v>
          </cell>
        </row>
        <row r="3126">
          <cell r="D3126" t="str">
            <v/>
          </cell>
          <cell r="K3126">
            <v>918720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918720</v>
          </cell>
        </row>
        <row r="3156">
          <cell r="D3156" t="str">
            <v>AM</v>
          </cell>
        </row>
        <row r="3158">
          <cell r="D3158">
            <v>44974</v>
          </cell>
        </row>
        <row r="3160">
          <cell r="D3160" t="str">
            <v>KO 0943</v>
          </cell>
        </row>
        <row r="3162">
          <cell r="D3162" t="str">
            <v>C</v>
          </cell>
          <cell r="K3162" t="str">
            <v>Amount</v>
          </cell>
        </row>
        <row r="3164">
          <cell r="D3164" t="str">
            <v/>
          </cell>
          <cell r="K3164">
            <v>918720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918720</v>
          </cell>
        </row>
        <row r="3194">
          <cell r="D3194" t="str">
            <v>AM</v>
          </cell>
        </row>
        <row r="3196">
          <cell r="D3196">
            <v>44980</v>
          </cell>
        </row>
        <row r="3198">
          <cell r="D3198" t="str">
            <v>KO 1120</v>
          </cell>
        </row>
        <row r="3200">
          <cell r="D3200" t="str">
            <v>C</v>
          </cell>
          <cell r="K3200" t="str">
            <v>Amount</v>
          </cell>
        </row>
        <row r="3202">
          <cell r="D3202">
            <v>2</v>
          </cell>
          <cell r="K3202">
            <v>2599560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2599560</v>
          </cell>
        </row>
        <row r="3232">
          <cell r="D3232" t="str">
            <v>AM</v>
          </cell>
        </row>
        <row r="3234">
          <cell r="D3234">
            <v>44980</v>
          </cell>
        </row>
        <row r="3236">
          <cell r="D3236" t="str">
            <v>KO 1120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2</v>
          </cell>
          <cell r="K3240">
            <v>2599560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2599560</v>
          </cell>
        </row>
        <row r="3270">
          <cell r="D3270" t="str">
            <v>AM</v>
          </cell>
        </row>
        <row r="3272">
          <cell r="D3272">
            <v>44980</v>
          </cell>
        </row>
        <row r="3274">
          <cell r="D3274" t="str">
            <v>KO 1120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2</v>
          </cell>
          <cell r="K3278">
            <v>2599560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2599560</v>
          </cell>
        </row>
        <row r="3308">
          <cell r="D3308" t="str">
            <v>AM</v>
          </cell>
        </row>
        <row r="3310">
          <cell r="D3310">
            <v>44980</v>
          </cell>
        </row>
        <row r="3312">
          <cell r="D3312" t="str">
            <v>KO 1121</v>
          </cell>
        </row>
        <row r="3314">
          <cell r="D3314" t="str">
            <v>C</v>
          </cell>
          <cell r="K3314" t="str">
            <v>Amount</v>
          </cell>
        </row>
        <row r="3316">
          <cell r="D3316">
            <v>2</v>
          </cell>
          <cell r="K3316">
            <v>4982400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4982400</v>
          </cell>
        </row>
        <row r="3346">
          <cell r="D3346" t="str">
            <v>AM</v>
          </cell>
        </row>
        <row r="3348">
          <cell r="D3348">
            <v>44980</v>
          </cell>
        </row>
        <row r="3350">
          <cell r="D3350" t="str">
            <v>KO 1121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2</v>
          </cell>
          <cell r="K3354">
            <v>4982400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4982400</v>
          </cell>
        </row>
        <row r="3384">
          <cell r="D3384" t="str">
            <v>AM</v>
          </cell>
        </row>
        <row r="3386">
          <cell r="D3386">
            <v>44980</v>
          </cell>
        </row>
        <row r="3388">
          <cell r="D3388" t="str">
            <v>KO 1121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2</v>
          </cell>
          <cell r="K3392">
            <v>4982400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4982400</v>
          </cell>
        </row>
        <row r="3422">
          <cell r="D3422" t="str">
            <v>AM</v>
          </cell>
        </row>
        <row r="3424">
          <cell r="D3424">
            <v>44980</v>
          </cell>
        </row>
        <row r="3426">
          <cell r="D3426" t="str">
            <v>KO 0725</v>
          </cell>
        </row>
        <row r="3428">
          <cell r="D3428" t="str">
            <v>C</v>
          </cell>
          <cell r="K3428" t="str">
            <v>Amount</v>
          </cell>
        </row>
        <row r="3430">
          <cell r="D3430" t="str">
            <v/>
          </cell>
          <cell r="K3430">
            <v>184680</v>
          </cell>
        </row>
        <row r="3431">
          <cell r="D3431" t="str">
            <v/>
          </cell>
          <cell r="K3431">
            <v>210330</v>
          </cell>
        </row>
        <row r="3432">
          <cell r="D3432" t="str">
            <v/>
          </cell>
          <cell r="K3432">
            <v>541728</v>
          </cell>
        </row>
        <row r="3433">
          <cell r="D3433" t="str">
            <v/>
          </cell>
          <cell r="K3433">
            <v>892620</v>
          </cell>
        </row>
        <row r="3434">
          <cell r="D3434" t="str">
            <v/>
          </cell>
          <cell r="K3434">
            <v>689472</v>
          </cell>
        </row>
        <row r="3435">
          <cell r="D3435" t="str">
            <v/>
          </cell>
          <cell r="K3435">
            <v>63612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2582442</v>
          </cell>
        </row>
        <row r="3460">
          <cell r="D3460" t="str">
            <v>AM</v>
          </cell>
        </row>
        <row r="3462">
          <cell r="D3462">
            <v>44980</v>
          </cell>
        </row>
        <row r="3464">
          <cell r="D3464" t="str">
            <v>KO 0725</v>
          </cell>
        </row>
        <row r="3466">
          <cell r="D3466" t="str">
            <v>C</v>
          </cell>
          <cell r="K3466" t="str">
            <v>Amount</v>
          </cell>
        </row>
        <row r="3468">
          <cell r="D3468" t="str">
            <v/>
          </cell>
          <cell r="K3468">
            <v>184680</v>
          </cell>
        </row>
        <row r="3469">
          <cell r="D3469" t="str">
            <v/>
          </cell>
          <cell r="K3469">
            <v>210330</v>
          </cell>
        </row>
        <row r="3470">
          <cell r="D3470" t="str">
            <v/>
          </cell>
          <cell r="K3470">
            <v>541728</v>
          </cell>
        </row>
        <row r="3471">
          <cell r="D3471" t="str">
            <v/>
          </cell>
          <cell r="K3471">
            <v>892620</v>
          </cell>
        </row>
        <row r="3472">
          <cell r="D3472" t="str">
            <v/>
          </cell>
          <cell r="K3472">
            <v>689472</v>
          </cell>
        </row>
        <row r="3473">
          <cell r="D3473" t="str">
            <v/>
          </cell>
          <cell r="K3473">
            <v>63612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2582442</v>
          </cell>
        </row>
        <row r="3498">
          <cell r="D3498" t="str">
            <v>AM</v>
          </cell>
        </row>
        <row r="3500">
          <cell r="D3500">
            <v>44980</v>
          </cell>
        </row>
        <row r="3502">
          <cell r="D3502" t="str">
            <v>KO 0725</v>
          </cell>
        </row>
        <row r="3504">
          <cell r="D3504" t="str">
            <v>C</v>
          </cell>
          <cell r="K3504" t="str">
            <v>Amount</v>
          </cell>
        </row>
        <row r="3506">
          <cell r="D3506" t="str">
            <v/>
          </cell>
          <cell r="K3506">
            <v>184680</v>
          </cell>
        </row>
        <row r="3507">
          <cell r="D3507" t="str">
            <v/>
          </cell>
          <cell r="K3507">
            <v>210330</v>
          </cell>
        </row>
        <row r="3508">
          <cell r="D3508" t="str">
            <v/>
          </cell>
          <cell r="K3508">
            <v>541728</v>
          </cell>
        </row>
        <row r="3509">
          <cell r="D3509" t="str">
            <v/>
          </cell>
          <cell r="K3509">
            <v>892620</v>
          </cell>
        </row>
        <row r="3510">
          <cell r="D3510" t="str">
            <v/>
          </cell>
          <cell r="K3510">
            <v>689472</v>
          </cell>
        </row>
        <row r="3511">
          <cell r="D3511" t="str">
            <v/>
          </cell>
          <cell r="K3511">
            <v>63612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2582442</v>
          </cell>
        </row>
        <row r="3536">
          <cell r="D3536" t="str">
            <v>AM</v>
          </cell>
        </row>
        <row r="3538">
          <cell r="D3538">
            <v>44980</v>
          </cell>
        </row>
        <row r="3540">
          <cell r="D3540" t="str">
            <v>KO 1124</v>
          </cell>
        </row>
        <row r="3542">
          <cell r="D3542" t="str">
            <v>C</v>
          </cell>
          <cell r="K3542" t="str">
            <v>Amount</v>
          </cell>
        </row>
        <row r="3544">
          <cell r="D3544" t="str">
            <v/>
          </cell>
          <cell r="K3544">
            <v>70200</v>
          </cell>
        </row>
        <row r="3545">
          <cell r="D3545" t="str">
            <v/>
          </cell>
          <cell r="K3545">
            <v>223560</v>
          </cell>
        </row>
        <row r="3546">
          <cell r="D3546" t="str">
            <v/>
          </cell>
          <cell r="K3546">
            <v>142560</v>
          </cell>
        </row>
        <row r="3547">
          <cell r="D3547" t="str">
            <v/>
          </cell>
          <cell r="K3547">
            <v>401760</v>
          </cell>
        </row>
        <row r="3548">
          <cell r="D3548" t="str">
            <v/>
          </cell>
          <cell r="K3548">
            <v>128250</v>
          </cell>
        </row>
        <row r="3549">
          <cell r="D3549" t="str">
            <v/>
          </cell>
          <cell r="K3549">
            <v>248400</v>
          </cell>
        </row>
        <row r="3550">
          <cell r="D3550" t="str">
            <v/>
          </cell>
          <cell r="K3550">
            <v>106920</v>
          </cell>
        </row>
        <row r="3551">
          <cell r="D3551" t="str">
            <v/>
          </cell>
          <cell r="K3551">
            <v>37260</v>
          </cell>
        </row>
        <row r="3552">
          <cell r="D3552" t="str">
            <v/>
          </cell>
          <cell r="K3552">
            <v>74250</v>
          </cell>
        </row>
        <row r="3553">
          <cell r="D3553" t="str">
            <v/>
          </cell>
          <cell r="K3553">
            <v>288360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1721520</v>
          </cell>
        </row>
        <row r="3574">
          <cell r="D3574" t="str">
            <v>AM</v>
          </cell>
        </row>
        <row r="3576">
          <cell r="D3576">
            <v>44980</v>
          </cell>
        </row>
        <row r="3578">
          <cell r="D3578" t="str">
            <v>KO 1124</v>
          </cell>
        </row>
        <row r="3580">
          <cell r="D3580" t="str">
            <v>C</v>
          </cell>
          <cell r="K3580" t="str">
            <v>Amount</v>
          </cell>
        </row>
        <row r="3582">
          <cell r="D3582" t="str">
            <v/>
          </cell>
          <cell r="K3582">
            <v>70200</v>
          </cell>
        </row>
        <row r="3583">
          <cell r="D3583" t="str">
            <v/>
          </cell>
          <cell r="K3583">
            <v>223560</v>
          </cell>
        </row>
        <row r="3584">
          <cell r="D3584" t="str">
            <v/>
          </cell>
          <cell r="K3584">
            <v>142560</v>
          </cell>
        </row>
        <row r="3585">
          <cell r="D3585" t="str">
            <v/>
          </cell>
          <cell r="K3585">
            <v>401760</v>
          </cell>
        </row>
        <row r="3586">
          <cell r="D3586" t="str">
            <v/>
          </cell>
          <cell r="K3586">
            <v>128250</v>
          </cell>
        </row>
        <row r="3587">
          <cell r="D3587" t="str">
            <v/>
          </cell>
          <cell r="K3587">
            <v>248400</v>
          </cell>
        </row>
        <row r="3588">
          <cell r="D3588" t="str">
            <v/>
          </cell>
          <cell r="K3588">
            <v>106920</v>
          </cell>
        </row>
        <row r="3589">
          <cell r="D3589" t="str">
            <v/>
          </cell>
          <cell r="K3589">
            <v>37260</v>
          </cell>
        </row>
        <row r="3590">
          <cell r="D3590" t="str">
            <v/>
          </cell>
          <cell r="K3590">
            <v>74250</v>
          </cell>
        </row>
        <row r="3591">
          <cell r="D3591" t="str">
            <v/>
          </cell>
          <cell r="K3591">
            <v>288360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1721520</v>
          </cell>
        </row>
        <row r="3612">
          <cell r="D3612" t="str">
            <v>AM</v>
          </cell>
        </row>
        <row r="3614">
          <cell r="D3614">
            <v>44980</v>
          </cell>
        </row>
        <row r="3616">
          <cell r="D3616" t="str">
            <v>KO 1124</v>
          </cell>
        </row>
        <row r="3618">
          <cell r="D3618" t="str">
            <v>C</v>
          </cell>
          <cell r="K3618" t="str">
            <v>Amount</v>
          </cell>
        </row>
        <row r="3620">
          <cell r="D3620" t="str">
            <v/>
          </cell>
          <cell r="K3620">
            <v>70200</v>
          </cell>
        </row>
        <row r="3621">
          <cell r="D3621" t="str">
            <v/>
          </cell>
          <cell r="K3621">
            <v>223560</v>
          </cell>
        </row>
        <row r="3622">
          <cell r="D3622" t="str">
            <v/>
          </cell>
          <cell r="K3622">
            <v>142560</v>
          </cell>
        </row>
        <row r="3623">
          <cell r="D3623" t="str">
            <v/>
          </cell>
          <cell r="K3623">
            <v>401760</v>
          </cell>
        </row>
        <row r="3624">
          <cell r="D3624" t="str">
            <v/>
          </cell>
          <cell r="K3624">
            <v>128250</v>
          </cell>
        </row>
        <row r="3625">
          <cell r="D3625" t="str">
            <v/>
          </cell>
          <cell r="K3625">
            <v>248400</v>
          </cell>
        </row>
        <row r="3626">
          <cell r="D3626" t="str">
            <v/>
          </cell>
          <cell r="K3626">
            <v>106920</v>
          </cell>
        </row>
        <row r="3627">
          <cell r="D3627" t="str">
            <v/>
          </cell>
          <cell r="K3627">
            <v>37260</v>
          </cell>
        </row>
        <row r="3628">
          <cell r="D3628" t="str">
            <v/>
          </cell>
          <cell r="K3628">
            <v>74250</v>
          </cell>
        </row>
        <row r="3629">
          <cell r="D3629" t="str">
            <v/>
          </cell>
          <cell r="K3629">
            <v>288360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1721520</v>
          </cell>
        </row>
        <row r="3650">
          <cell r="D3650" t="str">
            <v>AM</v>
          </cell>
        </row>
        <row r="3652">
          <cell r="D3652">
            <v>44980</v>
          </cell>
        </row>
        <row r="3654">
          <cell r="D3654" t="str">
            <v>KO 1073</v>
          </cell>
        </row>
        <row r="3656">
          <cell r="D3656" t="str">
            <v>C</v>
          </cell>
          <cell r="K3656" t="str">
            <v>Amount</v>
          </cell>
        </row>
        <row r="3658">
          <cell r="D3658" t="str">
            <v/>
          </cell>
          <cell r="K3658">
            <v>1190160</v>
          </cell>
        </row>
        <row r="3659">
          <cell r="D3659" t="str">
            <v/>
          </cell>
          <cell r="K3659">
            <v>1211040</v>
          </cell>
        </row>
        <row r="3660">
          <cell r="D3660" t="str">
            <v/>
          </cell>
          <cell r="K3660">
            <v>1211040</v>
          </cell>
        </row>
        <row r="3661">
          <cell r="D3661" t="str">
            <v/>
          </cell>
          <cell r="K3661">
            <v>610740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4222980</v>
          </cell>
        </row>
        <row r="3688">
          <cell r="D3688" t="str">
            <v>AM</v>
          </cell>
        </row>
        <row r="3690">
          <cell r="D3690">
            <v>44980</v>
          </cell>
        </row>
        <row r="3692">
          <cell r="D3692" t="str">
            <v>KO 1073</v>
          </cell>
        </row>
        <row r="3694">
          <cell r="D3694" t="str">
            <v>C</v>
          </cell>
          <cell r="K3694" t="str">
            <v>Amount</v>
          </cell>
        </row>
        <row r="3696">
          <cell r="D3696" t="str">
            <v/>
          </cell>
          <cell r="K3696">
            <v>1190160</v>
          </cell>
        </row>
        <row r="3697">
          <cell r="D3697" t="str">
            <v/>
          </cell>
          <cell r="K3697">
            <v>1211040</v>
          </cell>
        </row>
        <row r="3698">
          <cell r="D3698" t="str">
            <v/>
          </cell>
          <cell r="K3698">
            <v>1211040</v>
          </cell>
        </row>
        <row r="3699">
          <cell r="D3699" t="str">
            <v/>
          </cell>
          <cell r="K3699">
            <v>610740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4222980</v>
          </cell>
        </row>
        <row r="3726">
          <cell r="D3726" t="str">
            <v>AM</v>
          </cell>
        </row>
        <row r="3728">
          <cell r="D3728">
            <v>44980</v>
          </cell>
        </row>
        <row r="3730">
          <cell r="D3730" t="str">
            <v>KO 1073</v>
          </cell>
        </row>
        <row r="3732">
          <cell r="D3732" t="str">
            <v>C</v>
          </cell>
          <cell r="K3732" t="str">
            <v>Amount</v>
          </cell>
        </row>
        <row r="3734">
          <cell r="D3734" t="str">
            <v/>
          </cell>
          <cell r="K3734">
            <v>1190160</v>
          </cell>
        </row>
        <row r="3735">
          <cell r="D3735" t="str">
            <v/>
          </cell>
          <cell r="K3735">
            <v>1211040</v>
          </cell>
        </row>
        <row r="3736">
          <cell r="D3736" t="str">
            <v/>
          </cell>
          <cell r="K3736">
            <v>1211040</v>
          </cell>
        </row>
        <row r="3737">
          <cell r="D3737" t="str">
            <v/>
          </cell>
          <cell r="K3737">
            <v>610740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4222980</v>
          </cell>
        </row>
        <row r="3764">
          <cell r="D3764" t="str">
            <v>AM</v>
          </cell>
        </row>
        <row r="3766">
          <cell r="D3766">
            <v>44980</v>
          </cell>
        </row>
        <row r="3768">
          <cell r="D3768" t="str">
            <v>KO 1125</v>
          </cell>
        </row>
        <row r="3770">
          <cell r="D3770" t="str">
            <v>C</v>
          </cell>
          <cell r="K3770" t="str">
            <v>Amount</v>
          </cell>
        </row>
        <row r="3772">
          <cell r="D3772">
            <v>1</v>
          </cell>
          <cell r="K3772">
            <v>3381804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3381804</v>
          </cell>
        </row>
        <row r="3802">
          <cell r="D3802" t="str">
            <v>AM</v>
          </cell>
        </row>
        <row r="3804">
          <cell r="D3804">
            <v>44980</v>
          </cell>
        </row>
        <row r="3806">
          <cell r="D3806" t="str">
            <v>KO 1125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1</v>
          </cell>
          <cell r="K3810">
            <v>3381804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3381804</v>
          </cell>
        </row>
        <row r="3840">
          <cell r="D3840" t="str">
            <v>AM</v>
          </cell>
        </row>
        <row r="3842">
          <cell r="D3842">
            <v>44980</v>
          </cell>
        </row>
        <row r="3844">
          <cell r="D3844" t="str">
            <v>KO 1125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1</v>
          </cell>
          <cell r="K3848">
            <v>3381804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3381804</v>
          </cell>
        </row>
        <row r="3878">
          <cell r="D3878" t="str">
            <v>AM</v>
          </cell>
        </row>
        <row r="3880">
          <cell r="D3880">
            <v>44981</v>
          </cell>
        </row>
        <row r="3882">
          <cell r="D3882" t="str">
            <v>KO 1138</v>
          </cell>
        </row>
        <row r="3884">
          <cell r="D3884" t="str">
            <v>C</v>
          </cell>
          <cell r="K3884" t="str">
            <v>Amount</v>
          </cell>
        </row>
        <row r="3886">
          <cell r="D3886">
            <v>1</v>
          </cell>
          <cell r="K3886">
            <v>1599600</v>
          </cell>
        </row>
        <row r="3887">
          <cell r="D3887">
            <v>1</v>
          </cell>
          <cell r="K3887">
            <v>1960800</v>
          </cell>
        </row>
        <row r="3888">
          <cell r="D3888">
            <v>1</v>
          </cell>
          <cell r="K3888">
            <v>731000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4291400</v>
          </cell>
        </row>
        <row r="3916">
          <cell r="D3916" t="str">
            <v>AM</v>
          </cell>
        </row>
        <row r="3918">
          <cell r="D3918">
            <v>44981</v>
          </cell>
        </row>
        <row r="3920">
          <cell r="D3920" t="str">
            <v>KO 1138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1</v>
          </cell>
          <cell r="K3924">
            <v>1599600</v>
          </cell>
        </row>
        <row r="3925">
          <cell r="D3925">
            <v>1</v>
          </cell>
          <cell r="K3925">
            <v>1960800</v>
          </cell>
        </row>
        <row r="3926">
          <cell r="D3926">
            <v>1</v>
          </cell>
          <cell r="K3926">
            <v>731000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4291400</v>
          </cell>
        </row>
        <row r="3954">
          <cell r="D3954" t="str">
            <v>AM</v>
          </cell>
        </row>
        <row r="3956">
          <cell r="D3956">
            <v>44981</v>
          </cell>
        </row>
        <row r="3958">
          <cell r="D3958" t="str">
            <v>KO 1138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1</v>
          </cell>
          <cell r="K3962">
            <v>1599600</v>
          </cell>
        </row>
        <row r="3963">
          <cell r="D3963">
            <v>1</v>
          </cell>
          <cell r="K3963">
            <v>1960800</v>
          </cell>
        </row>
        <row r="3964">
          <cell r="D3964">
            <v>1</v>
          </cell>
          <cell r="K3964">
            <v>731000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4291400</v>
          </cell>
        </row>
        <row r="3992">
          <cell r="D3992" t="str">
            <v>AM</v>
          </cell>
        </row>
        <row r="3994">
          <cell r="D3994">
            <v>44982</v>
          </cell>
        </row>
        <row r="3996">
          <cell r="D3996" t="str">
            <v>KO 1146</v>
          </cell>
        </row>
        <row r="3998">
          <cell r="D3998" t="str">
            <v>C</v>
          </cell>
          <cell r="K3998" t="str">
            <v>Amount</v>
          </cell>
        </row>
        <row r="4000">
          <cell r="D4000">
            <v>1</v>
          </cell>
          <cell r="K4000">
            <v>774000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774000</v>
          </cell>
        </row>
        <row r="4030">
          <cell r="D4030" t="str">
            <v>AM</v>
          </cell>
        </row>
        <row r="4032">
          <cell r="D4032">
            <v>44982</v>
          </cell>
        </row>
        <row r="4034">
          <cell r="D4034" t="str">
            <v>KO 1146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1</v>
          </cell>
          <cell r="K4038">
            <v>774000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774000</v>
          </cell>
        </row>
        <row r="4068">
          <cell r="D4068" t="str">
            <v>AM</v>
          </cell>
        </row>
        <row r="4070">
          <cell r="D4070">
            <v>44982</v>
          </cell>
        </row>
        <row r="4072">
          <cell r="D4072" t="str">
            <v>KO 1146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1</v>
          </cell>
          <cell r="K4076">
            <v>774000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774000</v>
          </cell>
        </row>
        <row r="4106">
          <cell r="D4106" t="str">
            <v>AM</v>
          </cell>
        </row>
        <row r="4108">
          <cell r="D4108">
            <v>44984</v>
          </cell>
        </row>
        <row r="4110">
          <cell r="D4110" t="str">
            <v>KO 1155</v>
          </cell>
        </row>
        <row r="4112">
          <cell r="D4112" t="str">
            <v>C</v>
          </cell>
          <cell r="K4112" t="str">
            <v>Amount</v>
          </cell>
        </row>
        <row r="4114">
          <cell r="D4114" t="str">
            <v/>
          </cell>
          <cell r="K4114">
            <v>187500</v>
          </cell>
        </row>
        <row r="4115">
          <cell r="D4115">
            <v>1</v>
          </cell>
          <cell r="K4115">
            <v>1396872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1584372</v>
          </cell>
        </row>
        <row r="4144">
          <cell r="D4144" t="str">
            <v>AM</v>
          </cell>
        </row>
        <row r="4146">
          <cell r="D4146">
            <v>44984</v>
          </cell>
        </row>
        <row r="4148">
          <cell r="D4148" t="str">
            <v>KO 1155</v>
          </cell>
        </row>
        <row r="4150">
          <cell r="D4150" t="str">
            <v>C</v>
          </cell>
          <cell r="K4150" t="str">
            <v>Amount</v>
          </cell>
        </row>
        <row r="4152">
          <cell r="D4152" t="str">
            <v/>
          </cell>
          <cell r="K4152">
            <v>187500</v>
          </cell>
        </row>
        <row r="4153">
          <cell r="D4153">
            <v>1</v>
          </cell>
          <cell r="K4153">
            <v>1396872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1584372</v>
          </cell>
        </row>
        <row r="4182">
          <cell r="D4182" t="str">
            <v>AM</v>
          </cell>
        </row>
        <row r="4184">
          <cell r="D4184">
            <v>44984</v>
          </cell>
        </row>
        <row r="4186">
          <cell r="D4186" t="str">
            <v>KO 1155</v>
          </cell>
        </row>
        <row r="4188">
          <cell r="D4188" t="str">
            <v>C</v>
          </cell>
          <cell r="K4188" t="str">
            <v>Amount</v>
          </cell>
        </row>
        <row r="4190">
          <cell r="D4190" t="str">
            <v/>
          </cell>
          <cell r="K4190">
            <v>187500</v>
          </cell>
        </row>
        <row r="4191">
          <cell r="D4191">
            <v>1</v>
          </cell>
          <cell r="K4191">
            <v>1396872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1584372</v>
          </cell>
        </row>
        <row r="4220">
          <cell r="D4220" t="str">
            <v>AM</v>
          </cell>
        </row>
        <row r="4222">
          <cell r="D4222">
            <v>44985</v>
          </cell>
        </row>
        <row r="4224">
          <cell r="D4224" t="str">
            <v>KO 1167</v>
          </cell>
        </row>
        <row r="4226">
          <cell r="D4226" t="str">
            <v>C</v>
          </cell>
          <cell r="K4226" t="str">
            <v>Amount</v>
          </cell>
        </row>
        <row r="4228">
          <cell r="D4228" t="str">
            <v/>
          </cell>
          <cell r="K4228">
            <v>185000</v>
          </cell>
        </row>
        <row r="4229">
          <cell r="D4229" t="str">
            <v/>
          </cell>
          <cell r="K4229">
            <v>667116</v>
          </cell>
        </row>
        <row r="4230">
          <cell r="D4230" t="str">
            <v/>
          </cell>
          <cell r="K4230">
            <v>121104</v>
          </cell>
        </row>
        <row r="4231">
          <cell r="D4231" t="str">
            <v/>
          </cell>
          <cell r="K4231">
            <v>506340</v>
          </cell>
        </row>
        <row r="4232">
          <cell r="D4232" t="str">
            <v/>
          </cell>
          <cell r="K4232">
            <v>1151010</v>
          </cell>
        </row>
        <row r="4233">
          <cell r="D4233" t="str">
            <v/>
          </cell>
          <cell r="K4233">
            <v>681210</v>
          </cell>
        </row>
        <row r="4234">
          <cell r="D4234" t="str">
            <v/>
          </cell>
          <cell r="K4234">
            <v>103356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3415136</v>
          </cell>
        </row>
        <row r="4258">
          <cell r="D4258" t="str">
            <v>AM</v>
          </cell>
        </row>
        <row r="4260">
          <cell r="D4260">
            <v>44985</v>
          </cell>
        </row>
        <row r="4262">
          <cell r="D4262" t="str">
            <v>KO 1167</v>
          </cell>
        </row>
        <row r="4264">
          <cell r="D4264" t="str">
            <v>C</v>
          </cell>
          <cell r="K4264" t="str">
            <v>Amount</v>
          </cell>
        </row>
        <row r="4266">
          <cell r="D4266" t="str">
            <v/>
          </cell>
          <cell r="K4266">
            <v>185000</v>
          </cell>
        </row>
        <row r="4267">
          <cell r="D4267" t="str">
            <v/>
          </cell>
          <cell r="K4267">
            <v>667116</v>
          </cell>
        </row>
        <row r="4268">
          <cell r="D4268" t="str">
            <v/>
          </cell>
          <cell r="K4268">
            <v>121104</v>
          </cell>
        </row>
        <row r="4269">
          <cell r="D4269" t="str">
            <v/>
          </cell>
          <cell r="K4269">
            <v>506340</v>
          </cell>
        </row>
        <row r="4270">
          <cell r="D4270" t="str">
            <v/>
          </cell>
          <cell r="K4270">
            <v>1151010</v>
          </cell>
        </row>
        <row r="4271">
          <cell r="D4271" t="str">
            <v/>
          </cell>
          <cell r="K4271">
            <v>681210</v>
          </cell>
        </row>
        <row r="4272">
          <cell r="D4272" t="str">
            <v/>
          </cell>
          <cell r="K4272">
            <v>103356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3415136</v>
          </cell>
        </row>
        <row r="4296">
          <cell r="D4296" t="str">
            <v>AM</v>
          </cell>
        </row>
        <row r="4298">
          <cell r="D4298">
            <v>44985</v>
          </cell>
        </row>
        <row r="4300">
          <cell r="D4300" t="str">
            <v>KO 1167</v>
          </cell>
        </row>
        <row r="4302">
          <cell r="D4302" t="str">
            <v>C</v>
          </cell>
          <cell r="K4302" t="str">
            <v>Amount</v>
          </cell>
        </row>
        <row r="4304">
          <cell r="D4304" t="str">
            <v/>
          </cell>
          <cell r="K4304">
            <v>185000</v>
          </cell>
        </row>
        <row r="4305">
          <cell r="D4305" t="str">
            <v/>
          </cell>
          <cell r="K4305">
            <v>667116</v>
          </cell>
        </row>
        <row r="4306">
          <cell r="D4306" t="str">
            <v/>
          </cell>
          <cell r="K4306">
            <v>121104</v>
          </cell>
        </row>
        <row r="4307">
          <cell r="D4307" t="str">
            <v/>
          </cell>
          <cell r="K4307">
            <v>506340</v>
          </cell>
        </row>
        <row r="4308">
          <cell r="D4308" t="str">
            <v/>
          </cell>
          <cell r="K4308">
            <v>1151010</v>
          </cell>
        </row>
        <row r="4309">
          <cell r="D4309" t="str">
            <v/>
          </cell>
          <cell r="K4309">
            <v>681210</v>
          </cell>
        </row>
        <row r="4310">
          <cell r="D4310" t="str">
            <v/>
          </cell>
          <cell r="K4310">
            <v>103356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3415136</v>
          </cell>
        </row>
        <row r="4334">
          <cell r="D4334" t="str">
            <v>AM</v>
          </cell>
        </row>
        <row r="4336">
          <cell r="D4336">
            <v>44985</v>
          </cell>
        </row>
        <row r="4338">
          <cell r="D4338" t="str">
            <v>KO 1170</v>
          </cell>
        </row>
        <row r="4340">
          <cell r="D4340" t="str">
            <v>C</v>
          </cell>
          <cell r="K4340" t="str">
            <v>Amount</v>
          </cell>
        </row>
        <row r="4342">
          <cell r="D4342">
            <v>1</v>
          </cell>
          <cell r="K4342">
            <v>774000</v>
          </cell>
        </row>
        <row r="4343">
          <cell r="D4343">
            <v>1</v>
          </cell>
          <cell r="K4343">
            <v>739600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1513600</v>
          </cell>
        </row>
        <row r="4372">
          <cell r="D4372" t="str">
            <v>AM</v>
          </cell>
        </row>
        <row r="4374">
          <cell r="D4374">
            <v>44985</v>
          </cell>
        </row>
        <row r="4376">
          <cell r="D4376" t="str">
            <v>KO 1170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1</v>
          </cell>
          <cell r="K4380">
            <v>774000</v>
          </cell>
        </row>
        <row r="4381">
          <cell r="D4381">
            <v>1</v>
          </cell>
          <cell r="K4381">
            <v>739600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1513600</v>
          </cell>
        </row>
        <row r="4410">
          <cell r="D4410" t="str">
            <v>AM</v>
          </cell>
        </row>
        <row r="4412">
          <cell r="D4412">
            <v>44985</v>
          </cell>
        </row>
        <row r="4414">
          <cell r="D4414" t="str">
            <v>KO 1170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1</v>
          </cell>
          <cell r="K4418">
            <v>774000</v>
          </cell>
        </row>
        <row r="4419">
          <cell r="D4419">
            <v>1</v>
          </cell>
          <cell r="K4419">
            <v>739600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1513600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2.576398032405" createdVersion="5" refreshedVersion="5" minRefreshableVersion="3" recordCount="211">
  <cacheSource type="worksheet">
    <worksheetSource name="Table1" r:id="rId2"/>
  </cacheSource>
  <cacheFields count="29">
    <cacheField name="//" numFmtId="0">
      <sharedItems containsMixedTypes="1" containsNumber="1" containsInteger="1" minValue="3" maxValue="195" count="41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  <n v="108"/>
        <n v="120"/>
        <n v="124"/>
        <n v="126"/>
        <n v="131"/>
        <n v="136"/>
        <n v="144"/>
        <n v="146"/>
        <n v="148"/>
        <n v="150"/>
        <n v="157"/>
        <n v="168"/>
        <n v="173"/>
        <n v="175"/>
        <n v="179"/>
        <n v="181"/>
        <n v="184"/>
        <n v="192"/>
        <n v="195" u="1"/>
      </sharedItems>
    </cacheField>
    <cacheField name="h_No. Invoice :" numFmtId="0">
      <sharedItems containsMixedTypes="1" containsNumber="1" containsInteger="1" minValue="23020001" maxValue="23020039"/>
    </cacheField>
    <cacheField name="Tgl Invoice :" numFmtId="164">
      <sharedItems containsNonDate="0" containsDate="1" containsString="0" containsBlank="1" minDate="2023-02-02T00:00:00" maxDate="2023-03-01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43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92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128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JANGKA (MATH SET) JOYKO MS-75LSN89400"/>
        <s v="LEM STICK JOYKO 15 GR GS-104 TG (ANIMAL KINGDOM) isi 24 pcPCS2450"/>
        <s v="LEM STICK JOYKO 8 GR GS-09 isi 12 pcPCS2100"/>
        <s v="ISI PENSIL 2B 2.0 MM JOYKO PL-10LSN19800"/>
        <s v="ISI PENSIL 2B 2.0 MM JOYKO PL-11LSN37200"/>
        <s v="STAPLER GUNTACKER JOYKO GT-701PCS97000"/>
        <s v="BINDER NOTE JOYKO A5 (CAMPUS/CLASSIC)PCS15800"/>
        <s v="CORRECTION FLUID JOYKO JK-01LSN36000"/>
        <s v="MESIN LABEL HARGA JOYKO MX-5500M (8 DIGITS, 1 LINE)PCS40500"/>
        <s v="GEL PEN SET JOYKO GPC-309S DIAMOND ARTPCS16800"/>
        <s v="ISI CUTTER 9 MM KENKO A-100 (KECIL)LSN32400"/>
        <s v="CORRECTION TAPE KENKO CT-1505FC (15M X 5MM)LSN69600"/>
        <s v="CORRECTION TAPE KENKO CT-310SL (12M x 5MM)LSN84000"/>
        <s v="CORRECTION TAPE KENKO CT-905 (12M x 5MM)LSN62400"/>
        <s v="CORRECTION TAPE KENKO CT-309 (12M x 5MM)LSN81600"/>
        <s v="GEL PEN KENKO HI-TECH-H 0.28 MMLSN39000"/>
        <s v="GEL PEN KENKO K-1LSN39600"/>
        <s v="BINDER CLIP JOYKO 155GRS67800"/>
        <s v="BINDER CLIP JOYKO 280GRS507600"/>
        <s v="PENSIL KENKO 2B-6019 ANTIBACTERIALGRS102000"/>
        <s v="GUNTING KENKO SC-828LSN56400"/>
        <s v="GUNTING KENKO SC-838NLSN79800"/>
        <s v="CRAYON / OIL PASTEL JOYKO OP-36S PP CASE SEA WORLDPCS41500"/>
        <s v="CORRECTION TAPE KENKO CT-909 (12M x 5MM)LSN60000"/>
        <s v="STAND PEN SPIRAL KENKO STP-100SGLSN54000"/>
        <s v="STAND PEN SPIRAL KENKO STP-300SGLSN49200"/>
        <s v="PENSIL WARNA KENKO CP-12HALF CLASSIC (PENDEK)LSN79200"/>
        <s v="STAPLER KENKO HD-10MPLSN67200"/>
        <s v="GEL PEN KENKO HI-TECH-H 0.28 MM FUN COLORLSN39000"/>
        <s v="CRAYON / OIL PASTEL PUTAR JOYKO TWCR-24MINI (PENDEK)LSN446400"/>
        <s v="LOOSE LEAF JOYART B5-2670 (50S)PAK5700"/>
        <s v="CRAYON / OIL PASTEL JOYKO OP-18S PP CASE SEA WORLDLSN276000"/>
        <s v="PAPER CLIP WARNA KENKO 3100LSN41400"/>
        <s v="STIP / PENGHAPUS KENKO ERB-40SQ HITAMPAK27500"/>
        <s v="CORRECTION TAPE JOYKO CT-540LSN68400"/>
        <s v="CORRECTION TAPE JOYKO CT-545LSN69600"/>
        <s v="CORRECTION TAPE KENKO CT-809 (8M x 5MM)LSN54000"/>
        <s v="PAPER TRIGONAL CLIP KENKO NO. 1PAK1700"/>
        <s v="KARTU STOCK FOLIO PUTIHPAK37500"/>
        <s v="CRAYON / OIL PASTEL JOYKO OP-55S PP CASE SEA WORLDPCS66900"/>
        <s v="KARTU STOCK KWARTO PUTIHPAK18500"/>
        <s v="STAPLER JOYKO HD-10LSN85200"/>
        <s v="CUTTER 9 MM KENKO K-200 (KECIL)LSN52200"/>
        <s v="PAPER JUMBO CLIP KENKO NO. 5PAK4300"/>
        <s v="LS228000" u="1"/>
        <s v="LEM STICK KENKO 8 GR (KECIL) isi 30 pcDUS66000" u="1"/>
        <s v="LS54300" u="1"/>
        <s v="PUSH PIN KENKO PN-30 WARNALSN33000" u="1"/>
        <s v="BOX4200" u="1"/>
        <s v="LS117600" u="1"/>
        <s v="CRAYON / OIL PASTEL KENKO 12W GARDENLSN258000" u="1"/>
        <s v="LS93000" u="1"/>
        <s v="ISI PENSIL 2B 0.5 MM JOYKO PL-05GRS146400" u="1"/>
        <s v="GUNTING JOYKO SC-838 SGPCS7700" u="1"/>
        <s v="KUAS SET JOYKO BR-1SET8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e v="#N/A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2"/>
    <n v="23020022"/>
    <d v="2023-02-13T00:00:00"/>
    <s v="G"/>
    <s v="0891"/>
    <s v="REJOAGUNG"/>
    <s v="AM 23020022"/>
    <s v="G 0891"/>
    <s v="LILY JULIAWATI (REJO AGUNG) JOMBANG"/>
    <n v="24"/>
    <s v="LSN"/>
    <n v="1"/>
    <s v="JANJKMS75"/>
    <s v="JANGKA (MATH SET) JOYKO MS-75"/>
    <s v="JANGKA (MATH SET) JOYKO MS-75"/>
    <n v="89400"/>
    <n v="0.125"/>
    <m/>
    <n v="1877400"/>
    <s v="NOVI / CONDRO"/>
    <m/>
    <n v="108"/>
    <n v="11"/>
    <n v="2145600"/>
    <n v="268200"/>
    <n v="1877400"/>
    <n v="52427550"/>
    <m/>
    <x v="73"/>
  </r>
  <r>
    <x v="1"/>
    <s v=""/>
    <m/>
    <m/>
    <m/>
    <m/>
    <s v=""/>
    <s v=" "/>
    <s v=""/>
    <n v="4320"/>
    <s v="PCS"/>
    <n v="5"/>
    <s v="LEMJKGS104"/>
    <s v="LEM STICK JOYKO 15 GR GS-104 TG (ANIMAL KINGDOM) isi 24 pc"/>
    <s v="LEM STICK JOYKO 15 GR GS-104 TG (ANIMAL KINGDOM) isi 24 pc"/>
    <n v="2450"/>
    <n v="0.125"/>
    <m/>
    <n v="9261000"/>
    <m/>
    <m/>
    <n v="108"/>
    <n v="11"/>
    <n v="10584000"/>
    <n v="1323000"/>
    <n v="9261000"/>
    <s v=""/>
    <m/>
    <x v="74"/>
  </r>
  <r>
    <x v="1"/>
    <s v=""/>
    <m/>
    <m/>
    <m/>
    <m/>
    <s v=""/>
    <s v=" "/>
    <s v=""/>
    <n v="768"/>
    <s v="PCS"/>
    <n v="1"/>
    <s v="LEMJKGS09"/>
    <e v="#N/A"/>
    <s v="LEM STICK JOYKO 8 GR GS-09 isi 12 pc"/>
    <n v="2100"/>
    <n v="0.125"/>
    <m/>
    <n v="1411200"/>
    <m/>
    <m/>
    <n v="108"/>
    <n v="11"/>
    <n v="1612800"/>
    <n v="201600"/>
    <n v="1411200"/>
    <s v=""/>
    <m/>
    <x v="75"/>
  </r>
  <r>
    <x v="1"/>
    <s v=""/>
    <m/>
    <m/>
    <m/>
    <m/>
    <s v=""/>
    <s v=" "/>
    <s v=""/>
    <n v="48"/>
    <s v="GRS"/>
    <n v="4"/>
    <s v="ISIJKPL05"/>
    <s v="ISI PENSIL 2B 0.5 MM JOYKO PL-05"/>
    <s v="ISI PENSIL 2B 0.5 MM JOYKO PL-05"/>
    <n v="176400"/>
    <n v="0.125"/>
    <m/>
    <n v="7408800"/>
    <m/>
    <m/>
    <n v="108"/>
    <n v="11"/>
    <n v="8467200"/>
    <n v="1058400"/>
    <n v="7408800"/>
    <s v=""/>
    <m/>
    <x v="38"/>
  </r>
  <r>
    <x v="1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08"/>
    <n v="11"/>
    <n v="5702400"/>
    <n v="712800"/>
    <n v="4989600"/>
    <s v=""/>
    <m/>
    <x v="76"/>
  </r>
  <r>
    <x v="1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108"/>
    <n v="11"/>
    <n v="5356800"/>
    <n v="669600"/>
    <n v="4687200"/>
    <s v=""/>
    <m/>
    <x v="77"/>
  </r>
  <r>
    <x v="1"/>
    <s v=""/>
    <m/>
    <m/>
    <m/>
    <m/>
    <s v=""/>
    <s v=" "/>
    <s v=""/>
    <n v="24"/>
    <s v="PCS"/>
    <n v="1"/>
    <s v="GTJKGT701"/>
    <e v="#N/A"/>
    <s v="STAPLER GUNTACKER JOYKO GT-701"/>
    <n v="97000"/>
    <n v="0.125"/>
    <m/>
    <n v="2037000"/>
    <m/>
    <m/>
    <n v="108"/>
    <n v="11"/>
    <n v="2328000"/>
    <n v="291000"/>
    <n v="2037000"/>
    <s v=""/>
    <m/>
    <x v="78"/>
  </r>
  <r>
    <x v="1"/>
    <s v=""/>
    <m/>
    <m/>
    <m/>
    <m/>
    <s v=""/>
    <s v=" "/>
    <s v=""/>
    <n v="72"/>
    <s v="PCS"/>
    <n v="1"/>
    <s v="BNKA5M480TSFS514"/>
    <s v="BINDER NOTE JOYKO A5 (CAMPUS/CLASSIC)"/>
    <s v="BINDER NOTE JOYKO A5 (CAMPUS/CLASSIC)"/>
    <n v="15800"/>
    <n v="0.125"/>
    <m/>
    <n v="995400"/>
    <m/>
    <m/>
    <n v="108"/>
    <n v="11"/>
    <n v="1137600"/>
    <n v="142200"/>
    <n v="995400"/>
    <s v=""/>
    <m/>
    <x v="79"/>
  </r>
  <r>
    <x v="1"/>
    <s v=""/>
    <m/>
    <m/>
    <m/>
    <m/>
    <s v=""/>
    <s v=" "/>
    <s v=""/>
    <n v="336"/>
    <s v="LSN"/>
    <n v="7"/>
    <s v="TIPJKJK01"/>
    <e v="#N/A"/>
    <s v="CORRECTION FLUID JOYKO JK-01"/>
    <n v="36000"/>
    <n v="0.125"/>
    <m/>
    <n v="10584000"/>
    <m/>
    <m/>
    <n v="108"/>
    <n v="11"/>
    <n v="12096000"/>
    <n v="1512000"/>
    <n v="10584000"/>
    <s v=""/>
    <m/>
    <x v="80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8"/>
    <n v="11"/>
    <n v="810000"/>
    <n v="101250"/>
    <n v="708750"/>
    <s v=""/>
    <m/>
    <x v="81"/>
  </r>
  <r>
    <x v="1"/>
    <s v=""/>
    <m/>
    <m/>
    <m/>
    <m/>
    <s v=""/>
    <s v=" "/>
    <s v=""/>
    <n v="576"/>
    <s v="PCS"/>
    <n v="3"/>
    <s v="PENJKGPC309"/>
    <e v="#N/A"/>
    <s v="GEL PEN SET JOYKO GPC-309S DIAMOND ART"/>
    <n v="16800"/>
    <n v="0.125"/>
    <m/>
    <n v="8467200"/>
    <m/>
    <m/>
    <n v="108"/>
    <n v="11"/>
    <n v="9676800"/>
    <n v="1209600"/>
    <n v="8467200"/>
    <s v=""/>
    <m/>
    <x v="8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3"/>
    <n v="23020023"/>
    <d v="2023-02-13T00:00:00"/>
    <s v="G"/>
    <s v="0892"/>
    <s v="REJOAGUNG"/>
    <s v="AM 23020023"/>
    <s v="G 0892"/>
    <s v="LILY JULIAWATI (REJO AGUNG) JOMBANG"/>
    <n v="36"/>
    <s v="LSN"/>
    <n v="1"/>
    <s v="TIPKENKE107"/>
    <s v="CORRECTION FLUID KENKO KE-107M"/>
    <s v="CORRECTION FLUID KENKO KE-107M"/>
    <n v="55800"/>
    <n v="0.125"/>
    <m/>
    <n v="1757700"/>
    <s v="NOVI / CONDRO"/>
    <m/>
    <n v="120"/>
    <n v="3"/>
    <n v="2008800"/>
    <n v="251100"/>
    <n v="1757700"/>
    <n v="6870150"/>
    <m/>
    <x v="51"/>
  </r>
  <r>
    <x v="1"/>
    <s v=""/>
    <m/>
    <m/>
    <m/>
    <m/>
    <s v=""/>
    <s v=" "/>
    <s v=""/>
    <n v="36"/>
    <s v="LSN"/>
    <n v="1"/>
    <s v="TIPKENKE01"/>
    <s v="CORRECTION FLUID KENKO KE-01"/>
    <s v="CORRECTION FLUID KENKO KE-01"/>
    <n v="54300"/>
    <n v="0.125"/>
    <m/>
    <n v="1710450"/>
    <m/>
    <m/>
    <n v="120"/>
    <n v="3"/>
    <n v="1954800"/>
    <n v="244350"/>
    <n v="1710450"/>
    <s v=""/>
    <m/>
    <x v="44"/>
  </r>
  <r>
    <x v="1"/>
    <s v=""/>
    <m/>
    <m/>
    <m/>
    <m/>
    <s v=""/>
    <s v=" "/>
    <s v=""/>
    <n v="120"/>
    <s v="LSN"/>
    <n v="1"/>
    <s v="ISIKENKECIL"/>
    <e v="#N/A"/>
    <s v="ISI CUTTER 9 MM KENKO A-100 (KECIL)"/>
    <n v="32400"/>
    <n v="0.125"/>
    <m/>
    <n v="3402000"/>
    <m/>
    <m/>
    <n v="120"/>
    <n v="3"/>
    <n v="3888000"/>
    <n v="486000"/>
    <n v="340200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4"/>
    <n v="23020024"/>
    <d v="2023-02-15T00:00:00"/>
    <s v="ko"/>
    <s v="1054"/>
    <s v="centraal"/>
    <s v="AM 23020024"/>
    <s v="KO 1054"/>
    <s v="CV TRINITY CENTRAAL PURWOKERTO"/>
    <n v="20"/>
    <s v="PCS"/>
    <n v="1"/>
    <s v="MESJKMX5500M"/>
    <s v="MESIN LABEL HARGA JOYKO MX-5500M (8 DIGITS, 1 LINE)"/>
    <s v="MESIN LABEL HARGA JOYKO MX-5500M (8 DIGITS, 1 LINE)"/>
    <n v="40500"/>
    <n v="0.13"/>
    <m/>
    <n v="704700"/>
    <s v="NOVI / CONDRO"/>
    <m/>
    <n v="124"/>
    <n v="1"/>
    <n v="810000"/>
    <n v="105300"/>
    <n v="704700"/>
    <n v="704700"/>
    <m/>
    <x v="8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5"/>
    <n v="23020025"/>
    <d v="2023-02-16T00:00:00"/>
    <s v="ko"/>
    <s v="1065"/>
    <s v="centraal"/>
    <s v="AM 23020025"/>
    <s v="KO 1065"/>
    <s v="CV TRINITY CENTRAAL PURWOKERTO"/>
    <n v="15"/>
    <s v="LSN"/>
    <m/>
    <s v="TIPKENCT1505FC"/>
    <s v="CORRECTION TAPE KENKO CT-1505FC (15M X 5MM)"/>
    <s v="CORRECTION TAPE KENKO CT-1505FC (15M X 5MM)"/>
    <n v="69600"/>
    <n v="0.13"/>
    <m/>
    <n v="908280"/>
    <s v="NOVI / CONDRO"/>
    <m/>
    <n v="126"/>
    <n v="4"/>
    <n v="1044000"/>
    <n v="135720"/>
    <n v="908280"/>
    <n v="3557952"/>
    <m/>
    <x v="84"/>
  </r>
  <r>
    <x v="1"/>
    <s v=""/>
    <m/>
    <m/>
    <m/>
    <m/>
    <s v=""/>
    <s v=" "/>
    <s v=""/>
    <n v="15"/>
    <s v="LSN"/>
    <m/>
    <s v="TIPKENCT310SL"/>
    <s v="CORRECTION TAPE KENKO CT-310SL (12M x 5MM)"/>
    <s v="CORRECTION TAPE KENKO CT-310SL (12M x 5MM)"/>
    <n v="84000"/>
    <n v="0.13"/>
    <m/>
    <n v="1096200"/>
    <m/>
    <m/>
    <n v="126"/>
    <n v="4"/>
    <n v="1260000"/>
    <n v="163800"/>
    <n v="1096200"/>
    <s v=""/>
    <m/>
    <x v="85"/>
  </r>
  <r>
    <x v="1"/>
    <s v=""/>
    <m/>
    <m/>
    <m/>
    <m/>
    <s v=""/>
    <s v=" "/>
    <s v=""/>
    <n v="9"/>
    <s v="LSN"/>
    <m/>
    <s v="TIPKENCT905"/>
    <s v="CORRECTION TAPE KENKO CT-905 (12M x 5MM)"/>
    <s v="CORRECTION TAPE KENKO CT-905 (12M x 5MM)"/>
    <n v="62400"/>
    <n v="0.13"/>
    <m/>
    <n v="488592"/>
    <m/>
    <m/>
    <n v="126"/>
    <n v="4"/>
    <n v="561600"/>
    <n v="73008"/>
    <n v="488592"/>
    <s v=""/>
    <m/>
    <x v="86"/>
  </r>
  <r>
    <x v="1"/>
    <s v=""/>
    <m/>
    <m/>
    <m/>
    <m/>
    <s v=""/>
    <s v=" "/>
    <s v=""/>
    <n v="15"/>
    <s v="LSN"/>
    <m/>
    <s v="TIPKENCT309"/>
    <s v="CORRECTION TAPE KENKO CT-309 (12M x 5MM)"/>
    <s v="CORRECTION TAPE KENKO CT-309 (12M x 5MM)"/>
    <n v="81600"/>
    <n v="0.13"/>
    <m/>
    <n v="1064880"/>
    <m/>
    <m/>
    <n v="126"/>
    <n v="4"/>
    <n v="1224000"/>
    <n v="159120"/>
    <n v="1064880"/>
    <s v=""/>
    <m/>
    <x v="8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6"/>
    <n v="23020026"/>
    <d v="2023-02-21T00:00:00"/>
    <s v="ko"/>
    <s v="1103"/>
    <s v="wisuda"/>
    <s v="AM 23020026"/>
    <s v="KO 1103"/>
    <s v="CV  WISUDA PURWOKERTO"/>
    <n v="12"/>
    <s v="LSN"/>
    <m/>
    <s v="PENKENHITECH028"/>
    <e v="#N/A"/>
    <s v="GEL PEN KENKO HI-TECH-H 0.28 MM"/>
    <n v="39000"/>
    <n v="0.1"/>
    <m/>
    <n v="421200"/>
    <s v="NOVI / YO"/>
    <m/>
    <n v="131"/>
    <n v="4"/>
    <n v="468000"/>
    <n v="46800"/>
    <n v="421200"/>
    <n v="3154680"/>
    <m/>
    <x v="88"/>
  </r>
  <r>
    <x v="1"/>
    <s v=""/>
    <m/>
    <m/>
    <m/>
    <m/>
    <s v=""/>
    <s v=" "/>
    <s v=""/>
    <n v="4"/>
    <s v="LSN"/>
    <m/>
    <s v="PENKENK1"/>
    <s v="GEL PEN KENKO K-1"/>
    <s v="GEL PEN KENKO K-1"/>
    <n v="39600"/>
    <n v="0.1"/>
    <m/>
    <n v="142560"/>
    <m/>
    <m/>
    <n v="131"/>
    <n v="4"/>
    <n v="158400"/>
    <n v="15840"/>
    <n v="142560"/>
    <s v=""/>
    <m/>
    <x v="89"/>
  </r>
  <r>
    <x v="1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131"/>
    <n v="4"/>
    <n v="1356000"/>
    <n v="135600"/>
    <n v="1220400"/>
    <s v=""/>
    <m/>
    <x v="90"/>
  </r>
  <r>
    <x v="1"/>
    <s v=""/>
    <m/>
    <m/>
    <m/>
    <m/>
    <s v=""/>
    <s v=" "/>
    <s v=""/>
    <n v="3"/>
    <s v="GRS"/>
    <n v="1"/>
    <s v="CLIJK280"/>
    <s v="BINDER CLIP JOYKO 280"/>
    <s v="BINDER CLIP JOYKO 280"/>
    <n v="507600"/>
    <n v="0.1"/>
    <m/>
    <n v="1370520"/>
    <m/>
    <m/>
    <n v="131"/>
    <n v="4"/>
    <n v="1522800"/>
    <n v="152280"/>
    <n v="1370520"/>
    <s v=""/>
    <m/>
    <x v="9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7"/>
    <n v="23020027"/>
    <d v="2023-02-21T00:00:00"/>
    <s v="ko"/>
    <s v="1106"/>
    <s v="DWIJAYA"/>
    <s v="AM 23020027"/>
    <s v="KO 1106"/>
    <s v="CV DWI JAYA YOGYAKARTA"/>
    <n v="3"/>
    <s v="LSN"/>
    <m/>
    <s v="CORRECTION TAPE KENKO CT-1505FC (15M X 5MM)"/>
    <e v="#N/A"/>
    <s v="CORRECTION TAPE KENKO CT-1505FC (15M X 5MM)"/>
    <n v="69600"/>
    <n v="0.1"/>
    <m/>
    <n v="187920"/>
    <s v="NOVI / YO"/>
    <m/>
    <n v="136"/>
    <n v="7"/>
    <n v="208800"/>
    <n v="20880"/>
    <n v="187920"/>
    <n v="1962360"/>
    <m/>
    <x v="84"/>
  </r>
  <r>
    <x v="1"/>
    <s v=""/>
    <m/>
    <m/>
    <m/>
    <m/>
    <s v=""/>
    <s v=" "/>
    <s v=""/>
    <n v="2"/>
    <s v="GRS"/>
    <m/>
    <s v="PENSIL KENKO 2B-6019 ANTIBACTERIAL"/>
    <e v="#N/A"/>
    <s v="PENSIL KENKO 2B-6019 ANTIBACTERIAL"/>
    <n v="102000"/>
    <n v="0.1"/>
    <m/>
    <n v="183600"/>
    <m/>
    <m/>
    <n v="136"/>
    <n v="7"/>
    <n v="204000"/>
    <n v="20400"/>
    <n v="183600"/>
    <s v=""/>
    <m/>
    <x v="92"/>
  </r>
  <r>
    <x v="1"/>
    <s v=""/>
    <m/>
    <m/>
    <m/>
    <m/>
    <s v=""/>
    <s v=" "/>
    <s v=""/>
    <n v="3"/>
    <s v="BOX"/>
    <m/>
    <s v="LEM STICK KENKO 15 GR (TANGGUNG) isi 20 pc"/>
    <e v="#N/A"/>
    <s v="LEM STICK KENKO 15 GR (TANGGUNG) isi 20 pc"/>
    <n v="72000"/>
    <n v="0.1"/>
    <m/>
    <n v="194400"/>
    <m/>
    <m/>
    <n v="136"/>
    <n v="7"/>
    <n v="216000"/>
    <n v="21600"/>
    <n v="194400"/>
    <s v=""/>
    <m/>
    <x v="49"/>
  </r>
  <r>
    <x v="1"/>
    <s v=""/>
    <m/>
    <m/>
    <m/>
    <m/>
    <s v=""/>
    <s v=" "/>
    <s v=""/>
    <n v="4"/>
    <s v="LSN"/>
    <m/>
    <s v="STAPLER KENKO HD-10"/>
    <e v="#N/A"/>
    <s v="STAPLER KENKO HD-10"/>
    <n v="93000"/>
    <n v="0.1"/>
    <m/>
    <n v="334800"/>
    <m/>
    <m/>
    <n v="136"/>
    <n v="7"/>
    <n v="372000"/>
    <n v="37200"/>
    <n v="334800"/>
    <s v=""/>
    <m/>
    <x v="52"/>
  </r>
  <r>
    <x v="1"/>
    <s v=""/>
    <m/>
    <m/>
    <m/>
    <m/>
    <s v=""/>
    <s v=" "/>
    <s v=""/>
    <n v="12"/>
    <s v="LSN"/>
    <m/>
    <s v="GEL PEN KENKO K-1"/>
    <e v="#N/A"/>
    <s v="GEL PEN KENKO K-1"/>
    <n v="39600"/>
    <n v="0.1"/>
    <m/>
    <n v="427680"/>
    <m/>
    <m/>
    <n v="136"/>
    <n v="7"/>
    <n v="475200"/>
    <n v="47520"/>
    <n v="427680"/>
    <s v=""/>
    <m/>
    <x v="89"/>
  </r>
  <r>
    <x v="1"/>
    <s v=""/>
    <m/>
    <m/>
    <m/>
    <m/>
    <s v=""/>
    <s v=" "/>
    <s v=""/>
    <n v="4"/>
    <s v="LSN"/>
    <m/>
    <s v="GUNTING KENKO SC-828"/>
    <e v="#N/A"/>
    <s v="GUNTING KENKO SC-828"/>
    <n v="56400"/>
    <n v="0.1"/>
    <m/>
    <n v="203040"/>
    <m/>
    <m/>
    <n v="136"/>
    <n v="7"/>
    <n v="225600"/>
    <n v="22560"/>
    <n v="203040"/>
    <s v=""/>
    <m/>
    <x v="93"/>
  </r>
  <r>
    <x v="1"/>
    <s v=""/>
    <m/>
    <m/>
    <m/>
    <m/>
    <s v=""/>
    <s v=" "/>
    <s v=""/>
    <n v="6"/>
    <s v="LSN"/>
    <m/>
    <s v="GUNTING KENKO SC-838N"/>
    <e v="#N/A"/>
    <s v="GUNTING KENKO SC-838N"/>
    <n v="79800"/>
    <n v="0.1"/>
    <m/>
    <n v="430920"/>
    <m/>
    <m/>
    <n v="136"/>
    <n v="7"/>
    <n v="478800"/>
    <n v="47880"/>
    <n v="430920"/>
    <s v=""/>
    <m/>
    <x v="9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8"/>
    <n v="23020028"/>
    <d v="2023-02-17T00:00:00"/>
    <s v="ko"/>
    <s v="0943"/>
    <s v="centraal"/>
    <s v="AM 23020028"/>
    <s v="KO 0943"/>
    <s v="CV TRINITY CENTRAAL PURWOKERTO"/>
    <n v="16"/>
    <s v="BOX"/>
    <m/>
    <s v="LEMKEN8GR"/>
    <s v="LEM STICK KENKO 8 GR (KECIL) isi 30 pc"/>
    <s v="LEM STICK KENKO 8 GR (KECIL) isi 30 pc"/>
    <n v="66000"/>
    <n v="0.13"/>
    <m/>
    <n v="918720"/>
    <s v="NOVI / CONDRO"/>
    <m/>
    <n v="144"/>
    <n v="1"/>
    <n v="1056000"/>
    <n v="137280"/>
    <n v="918720"/>
    <n v="918720"/>
    <m/>
    <x v="4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9"/>
    <n v="23020029"/>
    <d v="2023-02-23T00:00:00"/>
    <s v="ko"/>
    <s v="1120"/>
    <s v="centraal"/>
    <s v="AM 23020029"/>
    <s v="KO 1120"/>
    <s v="CV TRINITY CENTRAAL PURWOKERTO"/>
    <n v="72"/>
    <s v="PCS"/>
    <n v="2"/>
    <s v="OPJKOP36S"/>
    <e v="#N/A"/>
    <s v="CRAYON / OIL PASTEL JOYKO OP-36S PP CASE SEA WORLD"/>
    <n v="41500"/>
    <n v="0.13"/>
    <m/>
    <n v="2599560"/>
    <s v="NOVI / CONDRO"/>
    <m/>
    <n v="146"/>
    <n v="1"/>
    <n v="2988000"/>
    <n v="388440"/>
    <n v="2599560"/>
    <n v="2599560"/>
    <m/>
    <x v="9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0"/>
    <n v="23020030"/>
    <d v="2023-02-23T00:00:00"/>
    <s v="ko"/>
    <s v="1121"/>
    <s v="ANUGERAH"/>
    <s v="AM 23020030"/>
    <s v="KO 1121"/>
    <s v="CV PELITA JAYA (ANUGERAH SEJAHTERA) PURWOKERTO"/>
    <n v="96"/>
    <s v="LSN"/>
    <n v="2"/>
    <s v="TIPKENCT909"/>
    <s v="CORRECTION TAPE KENKO CT-909 (12M x 5MM)"/>
    <s v="CORRECTION TAPE KENKO CT-909 (12M x 5MM)"/>
    <n v="60000"/>
    <n v="0.13500000000000001"/>
    <m/>
    <n v="4982400"/>
    <s v="NOVI / CONDRO"/>
    <m/>
    <n v="148"/>
    <n v="1"/>
    <n v="5760000"/>
    <n v="777600"/>
    <n v="4982400"/>
    <n v="4982400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1"/>
    <n v="23020031"/>
    <d v="2023-02-23T00:00:00"/>
    <s v="ko"/>
    <s v="0725"/>
    <s v="RAINBOW"/>
    <s v="AM 23020031"/>
    <s v="KO 0725"/>
    <s v="CV RAINBOW NUSANTARA SIDOARJO"/>
    <n v="4"/>
    <s v="LSN"/>
    <m/>
    <s v="PENKENSTP100SG"/>
    <s v="STAND PEN SPIRAL KENKO STP-100SG"/>
    <s v="STAND PEN SPIRAL KENKO STP-100SG"/>
    <n v="54000"/>
    <n v="0.14499999999999999"/>
    <m/>
    <n v="184680"/>
    <s v="NOVI / CONDRO"/>
    <m/>
    <n v="150"/>
    <n v="6"/>
    <n v="216000"/>
    <n v="31319.999999999996"/>
    <n v="184680"/>
    <n v="2582442"/>
    <m/>
    <x v="97"/>
  </r>
  <r>
    <x v="1"/>
    <s v=""/>
    <m/>
    <m/>
    <m/>
    <m/>
    <s v=""/>
    <s v=" "/>
    <s v=""/>
    <n v="5"/>
    <s v="LSN"/>
    <m/>
    <s v="PENKENSTP300SG"/>
    <s v="STAND PEN SPIRAL KENKO STP-300SG"/>
    <s v="STAND PEN SPIRAL KENKO STP-300SG"/>
    <n v="49200"/>
    <n v="0.14499999999999999"/>
    <m/>
    <n v="210330"/>
    <m/>
    <m/>
    <n v="150"/>
    <n v="6"/>
    <n v="246000"/>
    <n v="35670"/>
    <n v="210330"/>
    <s v=""/>
    <m/>
    <x v="98"/>
  </r>
  <r>
    <x v="1"/>
    <s v=""/>
    <m/>
    <m/>
    <m/>
    <m/>
    <s v=""/>
    <s v=" "/>
    <s v=""/>
    <n v="8"/>
    <s v="LSN"/>
    <m/>
    <s v="PWKEN12WCP12HALF"/>
    <e v="#N/A"/>
    <s v="PENSIL WARNA KENKO CP-12HALF CLASSIC (PENDEK)"/>
    <n v="79200"/>
    <n v="0.14499999999999999"/>
    <m/>
    <n v="541728"/>
    <m/>
    <m/>
    <n v="150"/>
    <n v="6"/>
    <n v="633600"/>
    <n v="91872"/>
    <n v="541728"/>
    <s v=""/>
    <m/>
    <x v="99"/>
  </r>
  <r>
    <x v="1"/>
    <s v=""/>
    <m/>
    <m/>
    <m/>
    <m/>
    <s v=""/>
    <s v=" "/>
    <s v=""/>
    <n v="2"/>
    <s v="LSN"/>
    <m/>
    <s v="GARKEN100CM"/>
    <s v="GARISAN BESI (STAINLESS STEEL) KENKO 100 CM / 1 M"/>
    <s v="GARISAN BESI (STAINLESS STEEL) KENKO 100 CM / 1 M"/>
    <n v="522000"/>
    <n v="0.14499999999999999"/>
    <m/>
    <n v="892620"/>
    <m/>
    <m/>
    <n v="150"/>
    <n v="6"/>
    <n v="1044000"/>
    <n v="151380"/>
    <n v="892620"/>
    <s v=""/>
    <m/>
    <x v="22"/>
  </r>
  <r>
    <x v="1"/>
    <s v=""/>
    <m/>
    <m/>
    <m/>
    <m/>
    <s v=""/>
    <s v=" "/>
    <s v=""/>
    <n v="12"/>
    <s v="LSN"/>
    <m/>
    <s v="STAKENHD10MP"/>
    <e v="#N/A"/>
    <s v="STAPLER KENKO HD-10MP"/>
    <n v="67200"/>
    <n v="0.14499999999999999"/>
    <m/>
    <n v="689472"/>
    <m/>
    <m/>
    <n v="150"/>
    <n v="6"/>
    <n v="806400"/>
    <n v="116927.99999999999"/>
    <n v="689472"/>
    <s v=""/>
    <m/>
    <x v="100"/>
  </r>
  <r>
    <x v="1"/>
    <s v=""/>
    <m/>
    <m/>
    <m/>
    <m/>
    <s v=""/>
    <s v=" "/>
    <s v=""/>
    <n v="1"/>
    <s v="LSN"/>
    <m/>
    <s v="STAKEND4"/>
    <s v="DATE STAMP KENKO D-4 (Cap Tanggal 4 Mm)"/>
    <s v="DATE STAMP KENKO D-4 (Cap Tanggal 4 Mm)"/>
    <n v="74400"/>
    <n v="0.14499999999999999"/>
    <m/>
    <n v="63612"/>
    <m/>
    <m/>
    <n v="150"/>
    <n v="6"/>
    <n v="74400"/>
    <n v="10788"/>
    <n v="63612"/>
    <s v=""/>
    <m/>
    <x v="1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2"/>
    <n v="23020032"/>
    <d v="2023-02-23T00:00:00"/>
    <s v="ko"/>
    <s v="1124"/>
    <s v="NIRMALA"/>
    <s v="AM 23020032"/>
    <s v="KO 1124"/>
    <s v="CV SINAR CAHAYA NIRMALA BREBES"/>
    <n v="2"/>
    <s v="LSN"/>
    <m/>
    <s v="penkenhitech028funcolorhitam"/>
    <s v="GEL PEN KENKO HI-TECH-H 0.28 MM FUN COLOR HITAM"/>
    <s v="GEL PEN KENKO HI-TECH-H 0.28 MM FUN COLOR"/>
    <n v="39000"/>
    <n v="0.1"/>
    <m/>
    <n v="70200"/>
    <s v="NOVI / CONDRO"/>
    <m/>
    <n v="157"/>
    <n v="10"/>
    <n v="78000"/>
    <n v="7800"/>
    <n v="70200"/>
    <n v="1721520"/>
    <m/>
    <x v="101"/>
  </r>
  <r>
    <x v="1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57"/>
    <n v="10"/>
    <n v="248400"/>
    <n v="24840"/>
    <n v="223560"/>
    <s v=""/>
    <m/>
    <x v="13"/>
  </r>
  <r>
    <x v="1"/>
    <s v=""/>
    <m/>
    <m/>
    <m/>
    <m/>
    <s v=""/>
    <s v=" "/>
    <s v=""/>
    <n v="2"/>
    <s v="LSN"/>
    <m/>
    <s v="PWKEN12WPENDEK"/>
    <s v="PENSIL WARNA KENKO CP-12HALF CLASSIC (PENDEK)"/>
    <s v="PENSIL WARNA KENKO CP-12HALF CLASSIC (PENDEK)"/>
    <n v="79200"/>
    <n v="0.1"/>
    <m/>
    <n v="142560"/>
    <m/>
    <m/>
    <n v="157"/>
    <n v="10"/>
    <n v="158400"/>
    <n v="15840"/>
    <n v="142560"/>
    <s v=""/>
    <m/>
    <x v="99"/>
  </r>
  <r>
    <x v="1"/>
    <s v=""/>
    <m/>
    <m/>
    <m/>
    <m/>
    <s v=""/>
    <s v=" "/>
    <s v=""/>
    <n v="1"/>
    <s v="LSN"/>
    <m/>
    <s v="CRJK24WPENDEK"/>
    <e v="#N/A"/>
    <s v="CRAYON / OIL PASTEL PUTAR JOYKO TWCR-24MINI (PENDEK)"/>
    <n v="446400"/>
    <n v="0.1"/>
    <m/>
    <n v="401760"/>
    <m/>
    <m/>
    <n v="157"/>
    <n v="10"/>
    <n v="446400"/>
    <n v="44640"/>
    <n v="401760"/>
    <s v=""/>
    <m/>
    <x v="102"/>
  </r>
  <r>
    <x v="1"/>
    <s v=""/>
    <m/>
    <m/>
    <m/>
    <m/>
    <s v=""/>
    <s v=" "/>
    <s v=""/>
    <n v="25"/>
    <s v="PAK"/>
    <m/>
    <s v="LLJAB550"/>
    <e v="#N/A"/>
    <s v="LOOSE LEAF JOYART B5-2670 (50S)"/>
    <n v="5700"/>
    <n v="0.1"/>
    <m/>
    <n v="128250"/>
    <m/>
    <m/>
    <n v="157"/>
    <n v="10"/>
    <n v="142500"/>
    <n v="14250"/>
    <n v="128250"/>
    <s v=""/>
    <m/>
    <x v="103"/>
  </r>
  <r>
    <x v="1"/>
    <s v=""/>
    <m/>
    <m/>
    <m/>
    <m/>
    <s v=""/>
    <s v=" "/>
    <s v=""/>
    <n v="1"/>
    <s v="LSN"/>
    <m/>
    <s v="OPJKOP18S"/>
    <s v="CRAYON / OIL PASTEL JOYKO OP-18S PP CASE SEA WORLD"/>
    <s v="CRAYON / OIL PASTEL JOYKO OP-18S PP CASE SEA WORLD"/>
    <n v="276000"/>
    <n v="0.1"/>
    <m/>
    <n v="248400"/>
    <m/>
    <m/>
    <n v="157"/>
    <n v="10"/>
    <n v="276000"/>
    <n v="27600"/>
    <n v="248400"/>
    <s v=""/>
    <m/>
    <x v="104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57"/>
    <n v="10"/>
    <n v="118800"/>
    <n v="11880"/>
    <n v="106920"/>
    <s v=""/>
    <m/>
    <x v="33"/>
  </r>
  <r>
    <x v="1"/>
    <s v=""/>
    <m/>
    <m/>
    <m/>
    <m/>
    <s v=""/>
    <s v=" "/>
    <s v=""/>
    <n v="1"/>
    <s v="LSN"/>
    <m/>
    <s v="CLIKEN3100"/>
    <s v="PAPER CLIP WARNA KENKO 3100"/>
    <s v="PAPER CLIP WARNA KENKO 3100"/>
    <n v="41400"/>
    <n v="0.1"/>
    <m/>
    <n v="37260"/>
    <m/>
    <m/>
    <n v="157"/>
    <n v="10"/>
    <n v="41400"/>
    <n v="4140"/>
    <n v="37260"/>
    <s v=""/>
    <m/>
    <x v="105"/>
  </r>
  <r>
    <x v="1"/>
    <s v=""/>
    <m/>
    <m/>
    <m/>
    <m/>
    <s v=""/>
    <s v=" "/>
    <s v=""/>
    <n v="3"/>
    <s v="PAK"/>
    <m/>
    <s v="STIKEN40HITAM"/>
    <s v="STIP / PENGHAPUS KENKO ERB-40SQ HITAM"/>
    <s v="STIP / PENGHAPUS KENKO ERB-40SQ HITAM"/>
    <n v="27500"/>
    <n v="0.1"/>
    <m/>
    <n v="74250"/>
    <m/>
    <m/>
    <n v="157"/>
    <n v="10"/>
    <n v="82500"/>
    <n v="8250"/>
    <n v="74250"/>
    <s v=""/>
    <m/>
    <x v="106"/>
  </r>
  <r>
    <x v="1"/>
    <s v=""/>
    <m/>
    <m/>
    <m/>
    <m/>
    <s v=""/>
    <s v=" "/>
    <s v=""/>
    <n v="6"/>
    <s v="LSN"/>
    <m/>
    <s v="TIPKENKE301"/>
    <s v="CORRECTION FLUID KENKO KE-301"/>
    <s v="CORRECTION FLUID KENKO KE-301"/>
    <n v="53400"/>
    <n v="0.1"/>
    <m/>
    <n v="288360"/>
    <m/>
    <m/>
    <n v="157"/>
    <n v="10"/>
    <n v="320400"/>
    <n v="32040"/>
    <n v="28836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3"/>
    <n v="23020033"/>
    <d v="2023-02-23T00:00:00"/>
    <s v="ko"/>
    <s v="1073"/>
    <s v="centraal"/>
    <s v="AM 23020033"/>
    <s v="KO 1073"/>
    <s v="CV TRINITY CENTRAAL PURWOKERTO"/>
    <n v="20"/>
    <s v="LSN"/>
    <m/>
    <s v="TIPJKCT540"/>
    <s v="CORRECTION TAPE JOYKO CT-540"/>
    <s v="CORRECTION TAPE JOYKO CT-540"/>
    <n v="68400"/>
    <n v="0.13"/>
    <m/>
    <n v="1190160"/>
    <s v="NOVI / CONDRO"/>
    <m/>
    <n v="168"/>
    <n v="4"/>
    <n v="1368000"/>
    <n v="177840"/>
    <n v="1190160"/>
    <n v="4222980"/>
    <m/>
    <x v="107"/>
  </r>
  <r>
    <x v="1"/>
    <s v=""/>
    <m/>
    <m/>
    <m/>
    <m/>
    <s v=""/>
    <s v=" "/>
    <s v=""/>
    <n v="20"/>
    <s v="LSN"/>
    <m/>
    <s v="TIPJKCT545"/>
    <s v="CORRECTION TAPE JOYKO CT-545"/>
    <s v="CORRECTION TAPE JOYKO CT-545"/>
    <n v="69600"/>
    <n v="0.13"/>
    <m/>
    <n v="1211040"/>
    <m/>
    <m/>
    <n v="168"/>
    <n v="4"/>
    <n v="1392000"/>
    <n v="180960"/>
    <n v="1211040"/>
    <s v=""/>
    <m/>
    <x v="108"/>
  </r>
  <r>
    <x v="1"/>
    <s v=""/>
    <m/>
    <m/>
    <m/>
    <m/>
    <s v=""/>
    <s v=" "/>
    <s v=""/>
    <n v="20"/>
    <s v="LSN"/>
    <m/>
    <s v="TIPKENCT1505FC"/>
    <s v="CORRECTION TAPE KENKO CT-1505FC (15M X 5MM)"/>
    <s v="CORRECTION TAPE KENKO CT-1505FC (15M X 5MM)"/>
    <n v="69600"/>
    <n v="0.13"/>
    <m/>
    <n v="1211040"/>
    <m/>
    <m/>
    <n v="168"/>
    <n v="4"/>
    <n v="1392000"/>
    <n v="180960"/>
    <n v="1211040"/>
    <s v=""/>
    <m/>
    <x v="84"/>
  </r>
  <r>
    <x v="1"/>
    <s v=""/>
    <m/>
    <m/>
    <m/>
    <m/>
    <s v=""/>
    <s v=" "/>
    <s v=""/>
    <n v="13"/>
    <s v="LSN"/>
    <m/>
    <s v="TIPKENCT809"/>
    <s v="CORRECTION TAPE KENKO CT-809 (8M x 5MM)"/>
    <s v="CORRECTION TAPE KENKO CT-809 (8M x 5MM)"/>
    <n v="54000"/>
    <n v="0.13"/>
    <m/>
    <n v="610740"/>
    <m/>
    <m/>
    <n v="168"/>
    <n v="4"/>
    <n v="702000"/>
    <n v="91260"/>
    <n v="610740"/>
    <s v=""/>
    <m/>
    <x v="10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4"/>
    <n v="23020034"/>
    <d v="2023-02-23T00:00:00"/>
    <s v="ko"/>
    <s v="1125"/>
    <s v="ARMADA"/>
    <s v="AM 23020034"/>
    <s v="KO 1125"/>
    <s v="SANTOSO BUDIONO (  ARMADA  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173"/>
    <n v="1"/>
    <n v="3909600"/>
    <n v="527796"/>
    <n v="3381804"/>
    <n v="3381804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5"/>
    <n v="23020035"/>
    <d v="2023-02-24T00:00:00"/>
    <s v="ko"/>
    <s v="1138"/>
    <s v="bendan"/>
    <s v="AM 23020035"/>
    <s v="KO 1138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175"/>
    <n v="3"/>
    <n v="1860000"/>
    <n v="260400.00000000003"/>
    <n v="1599600"/>
    <n v="4291400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4000000000000001"/>
    <m/>
    <n v="1960800"/>
    <m/>
    <m/>
    <n v="175"/>
    <n v="3"/>
    <n v="2280000"/>
    <n v="319200.00000000006"/>
    <n v="1960800"/>
    <s v=""/>
    <m/>
    <x v="53"/>
  </r>
  <r>
    <x v="1"/>
    <s v=""/>
    <m/>
    <m/>
    <m/>
    <m/>
    <s v=""/>
    <s v=" "/>
    <s v=""/>
    <n v="500"/>
    <s v="PAK"/>
    <n v="1"/>
    <s v="CLIKEN1"/>
    <s v="PAPER TRIGONAL CLIP KENKO NO. 1"/>
    <s v="PAPER TRIGONAL CLIP KENKO NO. 1"/>
    <n v="1700"/>
    <n v="0.14000000000000001"/>
    <m/>
    <n v="731000"/>
    <m/>
    <m/>
    <n v="175"/>
    <n v="3"/>
    <n v="850000"/>
    <n v="119000.00000000001"/>
    <n v="731000"/>
    <s v=""/>
    <m/>
    <x v="1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6"/>
    <n v="23020036"/>
    <d v="2023-02-25T00:00:00"/>
    <s v="ko"/>
    <s v="1146"/>
    <s v="bendan"/>
    <s v="AM 23020036"/>
    <s v="KO 1146"/>
    <s v="HARNOYO (BENDAN) PEKALONGAN"/>
    <n v="5"/>
    <s v="GRS"/>
    <n v="1"/>
    <s v="CLIKEN260"/>
    <s v="BINDER CLIP KENKO NO. 260"/>
    <s v="BINDER CLIP KENKO NO. 260"/>
    <n v="180000"/>
    <n v="0.14000000000000001"/>
    <m/>
    <n v="774000"/>
    <s v="NOVI / CONDRO"/>
    <m/>
    <n v="179"/>
    <n v="1"/>
    <n v="900000"/>
    <n v="126000.00000000001"/>
    <n v="774000"/>
    <n v="774000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7"/>
    <n v="23020037"/>
    <d v="2023-02-27T00:00:00"/>
    <s v="ko"/>
    <s v="1155"/>
    <s v="centraal"/>
    <s v="AM 23020037"/>
    <s v="KO 1155"/>
    <s v="CV TRINITY CENTRAAL PURWOKERTO"/>
    <n v="5"/>
    <s v="PAK"/>
    <m/>
    <m/>
    <s v=""/>
    <s v="KARTU STOCK FOLIO PUTIH"/>
    <n v="37500"/>
    <m/>
    <m/>
    <n v="187500"/>
    <s v="NOVI / CONDRO"/>
    <m/>
    <n v="181"/>
    <n v="2"/>
    <n v="187500"/>
    <n v="0"/>
    <n v="187500"/>
    <n v="1584372"/>
    <m/>
    <x v="111"/>
  </r>
  <r>
    <x v="1"/>
    <s v=""/>
    <m/>
    <m/>
    <m/>
    <m/>
    <s v=""/>
    <s v=" "/>
    <s v=""/>
    <n v="24"/>
    <s v="PCS"/>
    <n v="1"/>
    <s v="OPJK55W"/>
    <s v="CRAYON / OIL PASTEL JOYKO OP-55S PP CASE SEA WORLD"/>
    <s v="CRAYON / OIL PASTEL JOYKO OP-55S PP CASE SEA WORLD"/>
    <n v="66900"/>
    <n v="0.13"/>
    <m/>
    <n v="1396872"/>
    <m/>
    <m/>
    <n v="181"/>
    <n v="2"/>
    <n v="1605600"/>
    <n v="208728"/>
    <n v="1396872"/>
    <s v=""/>
    <m/>
    <x v="1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8"/>
    <n v="23020038"/>
    <d v="2023-02-28T00:00:00"/>
    <s v="ko"/>
    <s v="1167"/>
    <s v="centraal"/>
    <s v="AM 23020038"/>
    <s v="KO 1167"/>
    <s v="CV TRINITY CENTRAAL PURWOKERTO"/>
    <n v="10"/>
    <s v="PAK"/>
    <m/>
    <m/>
    <s v=""/>
    <s v="KARTU STOCK KWARTO PUTIH"/>
    <n v="18500"/>
    <m/>
    <m/>
    <n v="185000"/>
    <s v="NOVI / CONDRO"/>
    <m/>
    <n v="184"/>
    <n v="7"/>
    <n v="185000"/>
    <n v="0"/>
    <n v="185000"/>
    <n v="3415136"/>
    <m/>
    <x v="113"/>
  </r>
  <r>
    <x v="1"/>
    <s v=""/>
    <m/>
    <m/>
    <m/>
    <m/>
    <s v=""/>
    <s v=" "/>
    <s v=""/>
    <n v="9"/>
    <s v="LSN"/>
    <m/>
    <s v="STAJKHD10"/>
    <s v="STAPLER JOYKO HD-10"/>
    <s v="STAPLER JOYKO HD-10"/>
    <n v="85200"/>
    <n v="0.13"/>
    <m/>
    <n v="667116"/>
    <m/>
    <m/>
    <n v="184"/>
    <n v="7"/>
    <n v="766800"/>
    <n v="99684"/>
    <n v="667116"/>
    <s v=""/>
    <m/>
    <x v="114"/>
  </r>
  <r>
    <x v="1"/>
    <s v=""/>
    <m/>
    <m/>
    <m/>
    <m/>
    <s v=""/>
    <s v=" "/>
    <s v=""/>
    <n v="1"/>
    <s v="LSN"/>
    <m/>
    <s v="PUNJK30"/>
    <s v="PUNCH JOYKO 30"/>
    <s v="PUNCH JOYKO 30"/>
    <n v="139200"/>
    <n v="0.13"/>
    <m/>
    <n v="121104"/>
    <m/>
    <m/>
    <n v="184"/>
    <n v="7"/>
    <n v="139200"/>
    <n v="18096"/>
    <n v="121104"/>
    <s v="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3"/>
    <m/>
    <n v="506340"/>
    <m/>
    <m/>
    <n v="184"/>
    <n v="7"/>
    <n v="582000"/>
    <n v="75660"/>
    <n v="506340"/>
    <s v=""/>
    <m/>
    <x v="30"/>
  </r>
  <r>
    <x v="1"/>
    <s v=""/>
    <m/>
    <m/>
    <m/>
    <m/>
    <s v=""/>
    <s v=" "/>
    <s v=""/>
    <n v="15"/>
    <s v="LSN"/>
    <m/>
    <s v="JANJKMS55"/>
    <s v="JANGKA (MATH SET) JOYKO MS-55"/>
    <s v="JANGKA (MATH SET) JOYKO MS-55"/>
    <n v="88200"/>
    <n v="0.13"/>
    <m/>
    <n v="1151010"/>
    <m/>
    <m/>
    <n v="184"/>
    <n v="7"/>
    <n v="1323000"/>
    <n v="171990"/>
    <n v="1151010"/>
    <s v=""/>
    <m/>
    <x v="16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184"/>
    <n v="7"/>
    <n v="783000"/>
    <n v="101790"/>
    <n v="681210"/>
    <s v=""/>
    <m/>
    <x v="115"/>
  </r>
  <r>
    <x v="1"/>
    <s v=""/>
    <m/>
    <m/>
    <m/>
    <m/>
    <s v=""/>
    <s v=" "/>
    <s v=""/>
    <n v="2"/>
    <s v="LSN"/>
    <m/>
    <s v="STAKENNO0"/>
    <s v="STAMP PAD KENKO NO. 0"/>
    <s v="STAMP PAD KENKO NO. 0"/>
    <n v="59400"/>
    <n v="0.13"/>
    <m/>
    <n v="103356"/>
    <m/>
    <m/>
    <n v="184"/>
    <n v="7"/>
    <n v="118800"/>
    <n v="15444"/>
    <n v="103356"/>
    <s v="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9"/>
    <n v="23020039"/>
    <d v="2023-02-28T00:00:00"/>
    <s v="ko"/>
    <s v="1170"/>
    <s v="bendan"/>
    <s v="AM 23020039"/>
    <s v="KO 1170"/>
    <s v="HARNOYO (BENDAN) PEKALONGAN"/>
    <n v="5"/>
    <s v="GRS"/>
    <n v="1"/>
    <s v="CLIKEN260"/>
    <s v="BINDER CLIP KENKO NO. 260"/>
    <s v="BINDER CLIP KENKO NO. 260"/>
    <n v="180000"/>
    <n v="0.14000000000000001"/>
    <m/>
    <n v="774000"/>
    <s v="NOVI / CONDRO"/>
    <m/>
    <n v="192"/>
    <n v="2"/>
    <n v="900000"/>
    <n v="126000.00000000001"/>
    <n v="774000"/>
    <n v="1513600"/>
    <m/>
    <x v="3"/>
  </r>
  <r>
    <x v="1"/>
    <s v=""/>
    <m/>
    <m/>
    <m/>
    <m/>
    <s v=""/>
    <s v=" "/>
    <s v=""/>
    <n v="200"/>
    <s v="PAK"/>
    <n v="1"/>
    <s v="CLIKEN5"/>
    <s v="PAPER JUMBO CLIP KENKO NO. 5"/>
    <s v="PAPER JUMBO CLIP KENKO NO. 5"/>
    <n v="4300"/>
    <n v="0.14000000000000001"/>
    <m/>
    <n v="739600"/>
    <m/>
    <m/>
    <n v="192"/>
    <n v="2"/>
    <n v="860000"/>
    <n v="120400.00000000001"/>
    <n v="739600"/>
    <s v=""/>
    <m/>
    <x v="1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3" firstHeaderRow="1" firstDataRow="1" firstDataCol="1"/>
  <pivotFields count="29">
    <pivotField axis="axisRow" showAll="0" sortType="ascending">
      <items count="4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4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19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128">
        <item x="2"/>
        <item x="90"/>
        <item x="91"/>
        <item x="34"/>
        <item x="4"/>
        <item x="3"/>
        <item x="40"/>
        <item x="79"/>
        <item m="1" x="121"/>
        <item x="62"/>
        <item x="63"/>
        <item x="61"/>
        <item x="80"/>
        <item x="42"/>
        <item x="5"/>
        <item x="44"/>
        <item x="51"/>
        <item x="43"/>
        <item x="50"/>
        <item x="39"/>
        <item x="107"/>
        <item x="108"/>
        <item x="84"/>
        <item x="87"/>
        <item x="85"/>
        <item x="109"/>
        <item x="86"/>
        <item x="96"/>
        <item x="12"/>
        <item x="104"/>
        <item x="95"/>
        <item x="112"/>
        <item x="57"/>
        <item m="1" x="123"/>
        <item x="58"/>
        <item x="11"/>
        <item x="102"/>
        <item x="54"/>
        <item x="115"/>
        <item x="26"/>
        <item x="15"/>
        <item x="28"/>
        <item x="22"/>
        <item x="55"/>
        <item x="101"/>
        <item x="20"/>
        <item x="88"/>
        <item x="33"/>
        <item x="89"/>
        <item x="82"/>
        <item x="0"/>
        <item x="1"/>
        <item m="1" x="126"/>
        <item x="93"/>
        <item x="94"/>
        <item x="37"/>
        <item x="31"/>
        <item x="83"/>
        <item m="1" x="125"/>
        <item x="38"/>
        <item x="76"/>
        <item x="77"/>
        <item x="9"/>
        <item x="17"/>
        <item x="72"/>
        <item x="16"/>
        <item x="73"/>
        <item x="111"/>
        <item x="113"/>
        <item x="60"/>
        <item m="1" x="127"/>
        <item x="10"/>
        <item x="41"/>
        <item x="36"/>
        <item x="74"/>
        <item x="75"/>
        <item x="49"/>
        <item x="48"/>
        <item m="1" x="118"/>
        <item x="103"/>
        <item m="1" x="122"/>
        <item m="1" x="117"/>
        <item m="1" x="119"/>
        <item m="1" x="124"/>
        <item x="81"/>
        <item x="14"/>
        <item x="21"/>
        <item x="105"/>
        <item x="116"/>
        <item x="59"/>
        <item x="47"/>
        <item x="110"/>
        <item x="45"/>
        <item x="46"/>
        <item x="65"/>
        <item x="66"/>
        <item x="64"/>
        <item x="92"/>
        <item x="67"/>
        <item x="35"/>
        <item x="69"/>
        <item x="68"/>
        <item x="13"/>
        <item x="99"/>
        <item x="27"/>
        <item x="29"/>
        <item x="30"/>
        <item x="23"/>
        <item m="1" x="120"/>
        <item x="32"/>
        <item x="70"/>
        <item x="71"/>
        <item x="24"/>
        <item x="25"/>
        <item x="97"/>
        <item x="98"/>
        <item x="78"/>
        <item x="114"/>
        <item x="8"/>
        <item x="7"/>
        <item x="52"/>
        <item x="100"/>
        <item x="6"/>
        <item x="53"/>
        <item x="19"/>
        <item x="106"/>
        <item x="18"/>
        <item x="56"/>
      </items>
    </pivotField>
  </pivotFields>
  <rowFields count="1">
    <field x="28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14" totalsRowCount="1" headerRowDxfId="94" dataDxfId="93">
  <autoFilter ref="A2:AC213"/>
  <tableColumns count="29">
    <tableColumn id="16" name="//" dataDxfId="92" totalsRowDxfId="91">
      <calculatedColumnFormula>IF(Table1[No. Invoice :]="","",ROW())</calculatedColumnFormula>
    </tableColumn>
    <tableColumn id="18" name="h_No. Invoice :" dataDxfId="90" totalsRowDxfId="89">
      <calculatedColumnFormula>IF(Table1[h_Kode Sales :_1]="","",B$1+COUNT(B$2:B2))</calculatedColumnFormula>
    </tableColumn>
    <tableColumn id="2" name="Tgl Invoice :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25" name="h_diskon" dataDxfId="44" totalsRowDxfId="43">
      <calculatedColumnFormula>IF(Table1[Item Description]="","",Table1[[#This Row],[h_hargasebelumdiskon]]*Table1[[#This Row],[Disc 1]])</calculatedColumnFormula>
    </tableColumn>
    <tableColumn id="26" name="h_hargasetelahdiskon" dataDxfId="42" totalsRowDxfId="41">
      <calculatedColumnFormula>IF(Table1[Item Description]="","",Table1[[#This Row],[h_hargasebelumdiskon]]-Table1[[#This Row],[h_diskon]])</calculatedColumnFormula>
    </tableColumn>
    <tableColumn id="27" name="Total Invoice" dataDxfId="40" totalsRowDxfId="39">
      <calculatedColumnFormula>IF(Table1[//]="","",SUMIF(Table1[h_id],Table1[h_id],Table1[h_hargasetelahdiskon]))</calculatedColumnFormula>
    </tableColumn>
    <tableColumn id="28" name="KETERANGAN" dataDxfId="38" totalsRowDxfId="37"/>
    <tableColumn id="29" name="H_A1" dataDxfId="36" totalsRow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14"/>
  <sheetViews>
    <sheetView topLeftCell="O184" zoomScale="85" zoomScaleNormal="85" workbookViewId="0">
      <selection activeCell="O223" sqref="O22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 ca="1"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 ca="1">IF(Table1[[#This Row],[Item Description]]="","",IF(Table1[[#This Row],[//]]="",INDIRECT(ADDRESS(ROW()-1,COLUMN())),Table1[[#This Row],[//]]))</f>
        <v>3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 ca="1">IF(Table1[[#This Row],[Item Description]]="","",IF(Table1[[#This Row],[//]]="",INDIRECT(ADDRESS(ROW()-1,COLUMN())),Table1[[#This Row],[//]]))</f>
        <v/>
      </c>
      <c r="W5" s="95" t="str">
        <f ca="1"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 ca="1">IF(Table1[[#This Row],[Item Description]]="","",IF(Table1[[#This Row],[//]]="",INDIRECT(ADDRESS(ROW()-1,COLUMN())),Table1[[#This Row],[//]]))</f>
        <v>6</v>
      </c>
      <c r="W6" s="95">
        <f ca="1"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 ca="1"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 ca="1">IF(Table1[[#This Row],[Item Description]]="","",IF(Table1[[#This Row],[//]]="",INDIRECT(ADDRESS(ROW()-1,COLUMN())),Table1[[#This Row],[//]]))</f>
        <v>6</v>
      </c>
      <c r="W7" s="95">
        <f ca="1"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 ca="1"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 ca="1"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 ca="1">IF(Table1[[#This Row],[Item Description]]="","",IF(Table1[[#This Row],[//]]="",INDIRECT(ADDRESS(ROW()-1,COLUMN())),Table1[[#This Row],[//]]))</f>
        <v>15</v>
      </c>
      <c r="W18" s="95">
        <f ca="1"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 ca="1">IF(Table1[[#This Row],[Item Description]]="","",IF(Table1[[#This Row],[//]]="",INDIRECT(ADDRESS(ROW()-1,COLUMN())),Table1[[#This Row],[//]]))</f>
        <v>15</v>
      </c>
      <c r="W19" s="95">
        <f ca="1"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 ca="1">IF(Table1[[#This Row],[Item Description]]="","",IF(Table1[[#This Row],[//]]="",INDIRECT(ADDRESS(ROW()-1,COLUMN())),Table1[[#This Row],[//]]))</f>
        <v>15</v>
      </c>
      <c r="W20" s="95">
        <f ca="1"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 ca="1">IF(Table1[[#This Row],[Item Description]]="","",IF(Table1[[#This Row],[//]]="",INDIRECT(ADDRESS(ROW()-1,COLUMN())),Table1[[#This Row],[//]]))</f>
        <v>15</v>
      </c>
      <c r="W21" s="95">
        <f ca="1"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 ca="1"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 ca="1">IF(Table1[[#This Row],[Item Description]]="","",IF(Table1[[#This Row],[//]]="",INDIRECT(ADDRESS(ROW()-1,COLUMN())),Table1[[#This Row],[//]]))</f>
        <v/>
      </c>
      <c r="W25" s="95" t="str">
        <f ca="1"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 ca="1">IF(Table1[[#This Row],[Item Description]]="","",IF(Table1[[#This Row],[//]]="",INDIRECT(ADDRESS(ROW()-1,COLUMN())),Table1[[#This Row],[//]]))</f>
        <v>26</v>
      </c>
      <c r="W26" s="95">
        <f ca="1"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 ca="1"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 ca="1">IF(Table1[[#This Row],[Item Description]]="","",IF(Table1[[#This Row],[//]]="",INDIRECT(ADDRESS(ROW()-1,COLUMN())),Table1[[#This Row],[//]]))</f>
        <v>26</v>
      </c>
      <c r="W27" s="95">
        <f ca="1"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 ca="1">IF(Table1[[#This Row],[Item Description]]="","",IF(Table1[[#This Row],[//]]="",INDIRECT(ADDRESS(ROW()-1,COLUMN())),Table1[[#This Row],[//]]))</f>
        <v>26</v>
      </c>
      <c r="W28" s="95">
        <f ca="1"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 ca="1">IF(Table1[[#This Row],[Item Description]]="","",IF(Table1[[#This Row],[//]]="",INDIRECT(ADDRESS(ROW()-1,COLUMN())),Table1[[#This Row],[//]]))</f>
        <v>26</v>
      </c>
      <c r="W29" s="95">
        <f ca="1"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 ca="1">IF(Table1[[#This Row],[Item Description]]="","",IF(Table1[[#This Row],[//]]="",INDIRECT(ADDRESS(ROW()-1,COLUMN())),Table1[[#This Row],[//]]))</f>
        <v>26</v>
      </c>
      <c r="W30" s="95">
        <f ca="1"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 ca="1">IF(Table1[[#This Row],[Item Description]]="","",IF(Table1[[#This Row],[//]]="",INDIRECT(ADDRESS(ROW()-1,COLUMN())),Table1[[#This Row],[//]]))</f>
        <v>32</v>
      </c>
      <c r="W32" s="95">
        <f ca="1"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 ca="1"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 ca="1">IF(Table1[[#This Row],[Item Description]]="","",IF(Table1[[#This Row],[//]]="",INDIRECT(ADDRESS(ROW()-1,COLUMN())),Table1[[#This Row],[//]]))</f>
        <v>32</v>
      </c>
      <c r="W33" s="95">
        <f ca="1"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 ca="1">IF(Table1[[#This Row],[Item Description]]="","",IF(Table1[[#This Row],[//]]="",INDIRECT(ADDRESS(ROW()-1,COLUMN())),Table1[[#This Row],[//]]))</f>
        <v>32</v>
      </c>
      <c r="W34" s="95">
        <f ca="1"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 ca="1">IF(Table1[[#This Row],[Item Description]]="","",IF(Table1[[#This Row],[//]]="",INDIRECT(ADDRESS(ROW()-1,COLUMN())),Table1[[#This Row],[//]]))</f>
        <v>32</v>
      </c>
      <c r="W35" s="95">
        <f ca="1"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 ca="1">IF(Table1[[#This Row],[Item Description]]="","",IF(Table1[[#This Row],[//]]="",INDIRECT(ADDRESS(ROW()-1,COLUMN())),Table1[[#This Row],[//]]))</f>
        <v>32</v>
      </c>
      <c r="W36" s="95">
        <f ca="1"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 ca="1">IF(Table1[[#This Row],[Item Description]]="","",IF(Table1[[#This Row],[//]]="",INDIRECT(ADDRESS(ROW()-1,COLUMN())),Table1[[#This Row],[//]]))</f>
        <v>32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e">
        <f>IF(Table1[[#This Row],[h_Item Description]]="","",INDEX([1]!db[NB PAJAK],MATCH(Table1[[#This Row],[h_Item Description]],[1]!db[kode],0)))</f>
        <v>#N/A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 ca="1">IF(Table1[[#This Row],[Item Description]]="","",IF(Table1[[#This Row],[//]]="",INDIRECT(ADDRESS(ROW()-1,COLUMN())),Table1[[#This Row],[//]]))</f>
        <v>32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 ca="1">IF(Table1[[#This Row],[Item Description]]="","",IF(Table1[[#This Row],[//]]="",INDIRECT(ADDRESS(ROW()-1,COLUMN())),Table1[[#This Row],[//]]))</f>
        <v>32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 ca="1">IF(Table1[[#This Row],[Item Description]]="","",IF(Table1[[#This Row],[//]]="",INDIRECT(ADDRESS(ROW()-1,COLUMN())),Table1[[#This Row],[//]]))</f>
        <v>41</v>
      </c>
      <c r="W41" s="95">
        <f ca="1"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 ca="1"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 ca="1">IF(Table1[[#This Row],[Item Description]]="","",IF(Table1[[#This Row],[//]]="",INDIRECT(ADDRESS(ROW()-1,COLUMN())),Table1[[#This Row],[//]]))</f>
        <v>41</v>
      </c>
      <c r="W42" s="95">
        <f ca="1"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 ca="1">IF(Table1[[#This Row],[Item Description]]="","",IF(Table1[[#This Row],[//]]="",INDIRECT(ADDRESS(ROW()-1,COLUMN())),Table1[[#This Row],[//]]))</f>
        <v>41</v>
      </c>
      <c r="W43" s="95">
        <f ca="1"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 ca="1">IF(Table1[[#This Row],[Item Description]]="","",IF(Table1[[#This Row],[//]]="",INDIRECT(ADDRESS(ROW()-1,COLUMN())),Table1[[#This Row],[//]]))</f>
        <v>41</v>
      </c>
      <c r="W44" s="95">
        <f ca="1"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 ca="1">IF(Table1[[#This Row],[Item Description]]="","",IF(Table1[[#This Row],[//]]="",INDIRECT(ADDRESS(ROW()-1,COLUMN())),Table1[[#This Row],[//]]))</f>
        <v>41</v>
      </c>
      <c r="W45" s="95">
        <f ca="1"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 ca="1">IF(Table1[[#This Row],[Item Description]]="","",IF(Table1[[#This Row],[//]]="",INDIRECT(ADDRESS(ROW()-1,COLUMN())),Table1[[#This Row],[//]]))</f>
        <v>41</v>
      </c>
      <c r="W46" s="95">
        <f ca="1"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 ca="1">IF(Table1[[#This Row],[Item Description]]="","",IF(Table1[[#This Row],[//]]="",INDIRECT(ADDRESS(ROW()-1,COLUMN())),Table1[[#This Row],[//]]))</f>
        <v>48</v>
      </c>
      <c r="W48" s="95">
        <f ca="1"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 ca="1"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 ca="1">IF(Table1[[#This Row],[Item Description]]="","",IF(Table1[[#This Row],[//]]="",INDIRECT(ADDRESS(ROW()-1,COLUMN())),Table1[[#This Row],[//]]))</f>
        <v>50</v>
      </c>
      <c r="W50" s="95">
        <f ca="1"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 ca="1"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 ca="1">IF(Table1[[#This Row],[Item Description]]="","",IF(Table1[[#This Row],[//]]="",INDIRECT(ADDRESS(ROW()-1,COLUMN())),Table1[[#This Row],[//]]))</f>
        <v>52</v>
      </c>
      <c r="W52" s="95">
        <f ca="1"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 ca="1"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 ca="1">IF(Table1[[#This Row],[Item Description]]="","",IF(Table1[[#This Row],[//]]="",INDIRECT(ADDRESS(ROW()-1,COLUMN())),Table1[[#This Row],[//]]))</f>
        <v>54</v>
      </c>
      <c r="W54" s="95">
        <f ca="1"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 ca="1"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 ca="1">IF(Table1[[#This Row],[Item Description]]="","",IF(Table1[[#This Row],[//]]="",INDIRECT(ADDRESS(ROW()-1,COLUMN())),Table1[[#This Row],[//]]))</f>
        <v>56</v>
      </c>
      <c r="W56" s="95">
        <f ca="1"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 ca="1"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 ca="1">IF(Table1[[#This Row],[Item Description]]="","",IF(Table1[[#This Row],[//]]="",INDIRECT(ADDRESS(ROW()-1,COLUMN())),Table1[[#This Row],[//]]))</f>
        <v>58</v>
      </c>
      <c r="W58" s="95">
        <f ca="1"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 ca="1"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 ca="1">IF(Table1[[#This Row],[Item Description]]="","",IF(Table1[[#This Row],[//]]="",INDIRECT(ADDRESS(ROW()-1,COLUMN())),Table1[[#This Row],[//]]))</f>
        <v>60</v>
      </c>
      <c r="W60" s="95">
        <f ca="1"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 ca="1"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 ca="1">IF(Table1[[#This Row],[Item Description]]="","",IF(Table1[[#This Row],[//]]="",INDIRECT(ADDRESS(ROW()-1,COLUMN())),Table1[[#This Row],[//]]))</f>
        <v>60</v>
      </c>
      <c r="W61" s="95">
        <f ca="1"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 ca="1">IF(Table1[[#This Row],[Item Description]]="","",IF(Table1[[#This Row],[//]]="",INDIRECT(ADDRESS(ROW()-1,COLUMN())),Table1[[#This Row],[//]]))</f>
        <v>60</v>
      </c>
      <c r="W62" s="95">
        <f ca="1"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 ca="1">IF(Table1[[#This Row],[Item Description]]="","",IF(Table1[[#This Row],[//]]="",INDIRECT(ADDRESS(ROW()-1,COLUMN())),Table1[[#This Row],[//]]))</f>
        <v>60</v>
      </c>
      <c r="W63" s="95">
        <f ca="1"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 ca="1">IF(Table1[[#This Row],[Item Description]]="","",IF(Table1[[#This Row],[//]]="",INDIRECT(ADDRESS(ROW()-1,COLUMN())),Table1[[#This Row],[//]]))</f>
        <v>60</v>
      </c>
      <c r="W64" s="95">
        <f ca="1"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 ca="1">IF(Table1[[#This Row],[Item Description]]="","",IF(Table1[[#This Row],[//]]="",INDIRECT(ADDRESS(ROW()-1,COLUMN())),Table1[[#This Row],[//]]))</f>
        <v>60</v>
      </c>
      <c r="W65" s="95">
        <f ca="1"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 ca="1">IF(Table1[[#This Row],[Item Description]]="","",IF(Table1[[#This Row],[//]]="",INDIRECT(ADDRESS(ROW()-1,COLUMN())),Table1[[#This Row],[//]]))</f>
        <v>60</v>
      </c>
      <c r="W66" s="95">
        <f ca="1"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 ca="1">IF(Table1[[#This Row],[Item Description]]="","",IF(Table1[[#This Row],[//]]="",INDIRECT(ADDRESS(ROW()-1,COLUMN())),Table1[[#This Row],[//]]))</f>
        <v>60</v>
      </c>
      <c r="W67" s="95">
        <f ca="1"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 ca="1">IF(Table1[[#This Row],[Item Description]]="","",IF(Table1[[#This Row],[//]]="",INDIRECT(ADDRESS(ROW()-1,COLUMN())),Table1[[#This Row],[//]]))</f>
        <v>60</v>
      </c>
      <c r="W68" s="95">
        <f ca="1"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 ca="1">IF(Table1[[#This Row],[Item Description]]="","",IF(Table1[[#This Row],[//]]="",INDIRECT(ADDRESS(ROW()-1,COLUMN())),Table1[[#This Row],[//]]))</f>
        <v>60</v>
      </c>
      <c r="W69" s="95">
        <f ca="1"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 ca="1">IF(Table1[[#This Row],[Item Description]]="","",IF(Table1[[#This Row],[//]]="",INDIRECT(ADDRESS(ROW()-1,COLUMN())),Table1[[#This Row],[//]]))</f>
        <v>71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 ca="1"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 ca="1">IF(Table1[[#This Row],[Item Description]]="","",IF(Table1[[#This Row],[//]]="",INDIRECT(ADDRESS(ROW()-1,COLUMN())),Table1[[#This Row],[//]]))</f>
        <v>71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 ca="1">IF(Table1[[#This Row],[Item Description]]="","",IF(Table1[[#This Row],[//]]="",INDIRECT(ADDRESS(ROW()-1,COLUMN())),Table1[[#This Row],[//]]))</f>
        <v>71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 ca="1">IF(Table1[[#This Row],[Item Description]]="","",IF(Table1[[#This Row],[//]]="",INDIRECT(ADDRESS(ROW()-1,COLUMN())),Table1[[#This Row],[//]]))</f>
        <v>71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 ca="1">IF(Table1[[#This Row],[Item Description]]="","",IF(Table1[[#This Row],[//]]="",INDIRECT(ADDRESS(ROW()-1,COLUMN())),Table1[[#This Row],[//]]))</f>
        <v>71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 ca="1">IF(Table1[[#This Row],[Item Description]]="","",IF(Table1[[#This Row],[//]]="",INDIRECT(ADDRESS(ROW()-1,COLUMN())),Table1[[#This Row],[//]]))</f>
        <v>71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 ca="1">IF(Table1[[#This Row],[Item Description]]="","",IF(Table1[[#This Row],[//]]="",INDIRECT(ADDRESS(ROW()-1,COLUMN())),Table1[[#This Row],[//]]))</f>
        <v>71</v>
      </c>
      <c r="W77" s="95">
        <f ca="1"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 ca="1">IF(Table1[[#This Row],[Item Description]]="","",IF(Table1[[#This Row],[//]]="",INDIRECT(ADDRESS(ROW()-1,COLUMN())),Table1[[#This Row],[//]]))</f>
        <v>71</v>
      </c>
      <c r="W78" s="95">
        <f ca="1"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 ca="1">IF(Table1[[#This Row],[Item Description]]="","",IF(Table1[[#This Row],[//]]="",INDIRECT(ADDRESS(ROW()-1,COLUMN())),Table1[[#This Row],[//]]))</f>
        <v>71</v>
      </c>
      <c r="W79" s="95">
        <f ca="1"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 ca="1">IF(Table1[[#This Row],[Item Description]]="","",IF(Table1[[#This Row],[//]]="",INDIRECT(ADDRESS(ROW()-1,COLUMN())),Table1[[#This Row],[//]]))</f>
        <v>81</v>
      </c>
      <c r="W81" s="95">
        <f ca="1"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 ca="1"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 ca="1">IF(Table1[[#This Row],[Item Description]]="","",IF(Table1[[#This Row],[//]]="",INDIRECT(ADDRESS(ROW()-1,COLUMN())),Table1[[#This Row],[//]]))</f>
        <v>84</v>
      </c>
      <c r="W84" s="95">
        <f ca="1"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 ca="1"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 ca="1">IF(Table1[[#This Row],[Item Description]]="","",IF(Table1[[#This Row],[//]]="",INDIRECT(ADDRESS(ROW()-1,COLUMN())),Table1[[#This Row],[//]]))</f>
        <v>84</v>
      </c>
      <c r="W85" s="95">
        <f ca="1"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 ca="1">IF(Table1[[#This Row],[Item Description]]="","",IF(Table1[[#This Row],[//]]="",INDIRECT(ADDRESS(ROW()-1,COLUMN())),Table1[[#This Row],[//]]))</f>
        <v>87</v>
      </c>
      <c r="W87" s="95">
        <f ca="1"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 ca="1"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 ca="1">IF(Table1[[#This Row],[Item Description]]="","",IF(Table1[[#This Row],[//]]="",INDIRECT(ADDRESS(ROW()-1,COLUMN())),Table1[[#This Row],[//]]))</f>
        <v>89</v>
      </c>
      <c r="W89" s="95">
        <f ca="1"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 ca="1"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 ca="1">IF(Table1[[#This Row],[Item Description]]="","",IF(Table1[[#This Row],[//]]="",INDIRECT(ADDRESS(ROW()-1,COLUMN())),Table1[[#This Row],[//]]))</f>
        <v>89</v>
      </c>
      <c r="W90" s="95">
        <f ca="1"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 ca="1">IF(Table1[[#This Row],[Item Description]]="","",IF(Table1[[#This Row],[//]]="",INDIRECT(ADDRESS(ROW()-1,COLUMN())),Table1[[#This Row],[//]]))</f>
        <v>89</v>
      </c>
      <c r="W91" s="95">
        <f ca="1"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 ca="1">IF(Table1[[#This Row],[Item Description]]="","",IF(Table1[[#This Row],[//]]="",INDIRECT(ADDRESS(ROW()-1,COLUMN())),Table1[[#This Row],[//]]))</f>
        <v>93</v>
      </c>
      <c r="W93" s="95">
        <f ca="1"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 ca="1"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 ca="1">IF(Table1[[#This Row],[Item Description]]="","",IF(Table1[[#This Row],[//]]="",INDIRECT(ADDRESS(ROW()-1,COLUMN())),Table1[[#This Row],[//]]))</f>
        <v>93</v>
      </c>
      <c r="W94" s="95">
        <f ca="1"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 ca="1">IF(Table1[[#This Row],[Item Description]]="","",IF(Table1[[#This Row],[//]]="",INDIRECT(ADDRESS(ROW()-1,COLUMN())),Table1[[#This Row],[//]]))</f>
        <v>93</v>
      </c>
      <c r="W95" s="95">
        <f ca="1"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 ca="1">IF(Table1[[#This Row],[Item Description]]="","",IF(Table1[[#This Row],[//]]="",INDIRECT(ADDRESS(ROW()-1,COLUMN())),Table1[[#This Row],[//]]))</f>
        <v>93</v>
      </c>
      <c r="W96" s="95">
        <f ca="1"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 ca="1">IF(Table1[[#This Row],[Item Description]]="","",IF(Table1[[#This Row],[//]]="",INDIRECT(ADDRESS(ROW()-1,COLUMN())),Table1[[#This Row],[//]]))</f>
        <v>93</v>
      </c>
      <c r="W97" s="95">
        <f ca="1"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 ca="1">IF(Table1[[#This Row],[Item Description]]="","",IF(Table1[[#This Row],[//]]="",INDIRECT(ADDRESS(ROW()-1,COLUMN())),Table1[[#This Row],[//]]))</f>
        <v>93</v>
      </c>
      <c r="W98" s="95">
        <f ca="1"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 ca="1">IF(Table1[[#This Row],[Item Description]]="","",IF(Table1[[#This Row],[//]]="",INDIRECT(ADDRESS(ROW()-1,COLUMN())),Table1[[#This Row],[//]]))</f>
        <v>93</v>
      </c>
      <c r="W99" s="95">
        <f ca="1"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 ca="1">IF(Table1[[#This Row],[Item Description]]="","",IF(Table1[[#This Row],[//]]="",INDIRECT(ADDRESS(ROW()-1,COLUMN())),Table1[[#This Row],[//]]))</f>
        <v>93</v>
      </c>
      <c r="W100" s="95">
        <f ca="1"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 ca="1">IF(Table1[[#This Row],[Item Description]]="","",IF(Table1[[#This Row],[//]]="",INDIRECT(ADDRESS(ROW()-1,COLUMN())),Table1[[#This Row],[//]]))</f>
        <v>93</v>
      </c>
      <c r="W101" s="95">
        <f ca="1"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 ca="1">IF(Table1[[#This Row],[Item Description]]="","",IF(Table1[[#This Row],[//]]="",INDIRECT(ADDRESS(ROW()-1,COLUMN())),Table1[[#This Row],[//]]))</f>
        <v>93</v>
      </c>
      <c r="W102" s="95">
        <f ca="1"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 ca="1">IF(Table1[[#This Row],[Item Description]]="","",IF(Table1[[#This Row],[//]]="",INDIRECT(ADDRESS(ROW()-1,COLUMN())),Table1[[#This Row],[//]]))</f>
        <v>93</v>
      </c>
      <c r="W103" s="95">
        <f ca="1"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 ca="1">IF(Table1[[#This Row],[Item Description]]="","",IF(Table1[[#This Row],[//]]="",INDIRECT(ADDRESS(ROW()-1,COLUMN())),Table1[[#This Row],[//]]))</f>
        <v>93</v>
      </c>
      <c r="W104" s="95">
        <f ca="1"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 ca="1">IF(Table1[[#This Row],[Item Description]]="","",IF(Table1[[#This Row],[//]]="",INDIRECT(ADDRESS(ROW()-1,COLUMN())),Table1[[#This Row],[//]]))</f>
        <v>93</v>
      </c>
      <c r="W105" s="95">
        <f ca="1"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 ca="1">IF(Table1[[#This Row],[Item Description]]="","",IF(Table1[[#This Row],[//]]="",INDIRECT(ADDRESS(ROW()-1,COLUMN())),Table1[[#This Row],[//]]))</f>
        <v>93</v>
      </c>
      <c r="W106" s="95">
        <f ca="1"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 t="str">
        <f>IF(Table1[No. Invoice :]="","",ROW())</f>
        <v/>
      </c>
      <c r="B107" s="291" t="str">
        <f>IF(Table1[h_Kode Sales :_1]="","",B$1+COUNT(B$2:B106))</f>
        <v/>
      </c>
      <c r="D107" s="292"/>
      <c r="E107" s="293"/>
      <c r="F107" s="292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M107" s="292"/>
      <c r="N107" s="291" t="str">
        <f>IF(Table1[[#This Row],[h_Item Description]]="","",INDEX([1]!db[NB PAJAK],MATCH(Table1[[#This Row],[h_Item Description]],[1]!db[kode],0)))</f>
        <v/>
      </c>
      <c r="P107" s="93"/>
      <c r="Q107" s="94"/>
      <c r="S107" s="294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>
        <f>IF(Table1[No. Invoice :]="","",ROW())</f>
        <v>108</v>
      </c>
      <c r="B108" s="291">
        <f>IF(Table1[h_Kode Sales :_1]="","",B$1+COUNT(B$2:B107))</f>
        <v>23020022</v>
      </c>
      <c r="C108" s="98">
        <v>44970</v>
      </c>
      <c r="D108" s="292" t="s">
        <v>184</v>
      </c>
      <c r="E108" s="293" t="s">
        <v>365</v>
      </c>
      <c r="F108" s="292" t="s">
        <v>103</v>
      </c>
      <c r="G108" s="95" t="str">
        <f>IF(Table1[[#This Row],[h_No. Invoice :]]="","",CONCATENATE("AM"," ",Table1[[#This Row],[h_No. Invoice :]]))</f>
        <v>AM 23020022</v>
      </c>
      <c r="H108" s="96" t="str">
        <f>CONCATENATE(UPPER(Table1[[#This Row],[h_Kode Sales :_1]])," ",Table1[[#This Row],[h_Kode Sales :_2]])</f>
        <v>G 0891</v>
      </c>
      <c r="I108" s="95" t="str">
        <f>IF(Table1[[#This Row],[h_toko]]="","",INDEX(Table2[e],IF(Table1[[#This Row],[h_toko]]="","",MATCH(Table1[[#This Row],[h_toko]],Table2[a],0)),))</f>
        <v>LILY JULIAWATI (REJO AGUNG) JOMBANG</v>
      </c>
      <c r="J108" s="92">
        <v>24</v>
      </c>
      <c r="K108" s="92" t="s">
        <v>92</v>
      </c>
      <c r="L108" s="92">
        <v>1</v>
      </c>
      <c r="M108" s="292" t="s">
        <v>366</v>
      </c>
      <c r="N108" s="291" t="str">
        <f>IF(Table1[[#This Row],[h_Item Description]]="","",INDEX([1]!db[NB PAJAK],MATCH(Table1[[#This Row],[h_Item Description]],[1]!db[kode],0)))</f>
        <v>JANGKA (MATH SET) JOYKO MS-75</v>
      </c>
      <c r="O108" s="92" t="s">
        <v>367</v>
      </c>
      <c r="P108" s="93">
        <v>89400</v>
      </c>
      <c r="Q108" s="94">
        <v>0.125</v>
      </c>
      <c r="S108" s="294">
        <f>Table1[[#This Row],[h_hargasetelahdiskon]]</f>
        <v>1877400</v>
      </c>
      <c r="T108" s="93" t="s">
        <v>93</v>
      </c>
      <c r="V108" s="95">
        <f ca="1">IF(Table1[[#This Row],[Item Description]]="","",IF(Table1[[#This Row],[//]]="",INDIRECT(ADDRESS(ROW()-1,COLUMN())),Table1[[#This Row],[//]]))</f>
        <v>108</v>
      </c>
      <c r="W108" s="95">
        <f ca="1">IF(Table1[[#This Row],[h_id]]="","",COUNTIF(Table1[h_id],Table1[[#This Row],[h_id]]))</f>
        <v>11</v>
      </c>
      <c r="X108" s="93">
        <f>IF(Table1[Item Description]="","",Table1[[#This Row],[Qty]]*Table1[[#This Row],[Unit Price]])</f>
        <v>2145600</v>
      </c>
      <c r="Y108" s="93">
        <f>IF(Table1[Item Description]="","",Table1[[#This Row],[h_hargasebelumdiskon]]*Table1[[#This Row],[Disc 1]])</f>
        <v>268200</v>
      </c>
      <c r="Z108" s="93">
        <f>IF(Table1[Item Description]="","",Table1[[#This Row],[h_hargasebelumdiskon]]-Table1[[#This Row],[h_diskon]])</f>
        <v>1877400</v>
      </c>
      <c r="AA108" s="93">
        <f ca="1">IF(Table1[//]="","",SUMIF(Table1[h_id],Table1[h_id],Table1[h_hargasetelahdiskon]))</f>
        <v>52427550</v>
      </c>
      <c r="AB108" s="93"/>
      <c r="AC108" s="93" t="str">
        <f>Table1[[#This Row],[Item Description]]&amp;Table1[[#This Row],[Unit]]&amp;Table1[[#This Row],[Unit Price]]</f>
        <v>JANGKA (MATH SET) JOYKO MS-75LSN89400</v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4320</v>
      </c>
      <c r="K109" s="92" t="s">
        <v>150</v>
      </c>
      <c r="L109" s="92">
        <v>5</v>
      </c>
      <c r="M109" s="292" t="s">
        <v>368</v>
      </c>
      <c r="N109" s="291" t="str">
        <f>IF(Table1[[#This Row],[h_Item Description]]="","",INDEX([1]!db[NB PAJAK],MATCH(Table1[[#This Row],[h_Item Description]],[1]!db[kode],0)))</f>
        <v>LEM STICK JOYKO 15 GR GS-104 TG (ANIMAL KINGDOM) isi 24 pc</v>
      </c>
      <c r="O109" s="92" t="s">
        <v>378</v>
      </c>
      <c r="P109" s="93">
        <v>2450</v>
      </c>
      <c r="Q109" s="94">
        <v>0.125</v>
      </c>
      <c r="S109" s="294">
        <f>Table1[[#This Row],[h_hargasetelahdiskon]]</f>
        <v>9261000</v>
      </c>
      <c r="V109" s="95">
        <f ca="1">IF(Table1[[#This Row],[Item Description]]="","",IF(Table1[[#This Row],[//]]="",INDIRECT(ADDRESS(ROW()-1,COLUMN())),Table1[[#This Row],[//]]))</f>
        <v>108</v>
      </c>
      <c r="W109" s="95">
        <f ca="1">IF(Table1[[#This Row],[h_id]]="","",COUNTIF(Table1[h_id],Table1[[#This Row],[h_id]]))</f>
        <v>11</v>
      </c>
      <c r="X109" s="93">
        <f>IF(Table1[Item Description]="","",Table1[[#This Row],[Qty]]*Table1[[#This Row],[Unit Price]])</f>
        <v>10584000</v>
      </c>
      <c r="Y109" s="93">
        <f>IF(Table1[Item Description]="","",Table1[[#This Row],[h_hargasebelumdiskon]]*Table1[[#This Row],[Disc 1]])</f>
        <v>1323000</v>
      </c>
      <c r="Z109" s="93">
        <f>IF(Table1[Item Description]="","",Table1[[#This Row],[h_hargasebelumdiskon]]-Table1[[#This Row],[h_diskon]])</f>
        <v>9261000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LEM STICK JOYKO 15 GR GS-104 TG (ANIMAL KINGDOM) isi 24 pcPCS2450</v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768</v>
      </c>
      <c r="K110" s="92" t="s">
        <v>150</v>
      </c>
      <c r="L110" s="92">
        <v>1</v>
      </c>
      <c r="M110" s="292" t="s">
        <v>369</v>
      </c>
      <c r="N110" s="291" t="e">
        <f>IF(Table1[[#This Row],[h_Item Description]]="","",INDEX([1]!db[NB PAJAK],MATCH(Table1[[#This Row],[h_Item Description]],[1]!db[kode],0)))</f>
        <v>#N/A</v>
      </c>
      <c r="O110" s="92" t="s">
        <v>379</v>
      </c>
      <c r="P110" s="93">
        <v>2100</v>
      </c>
      <c r="Q110" s="94">
        <v>0.125</v>
      </c>
      <c r="S110" s="294">
        <f>Table1[[#This Row],[h_hargasetelahdiskon]]</f>
        <v>1411200</v>
      </c>
      <c r="V110" s="95">
        <f ca="1">IF(Table1[[#This Row],[Item Description]]="","",IF(Table1[[#This Row],[//]]="",INDIRECT(ADDRESS(ROW()-1,COLUMN())),Table1[[#This Row],[//]]))</f>
        <v>108</v>
      </c>
      <c r="W110" s="95">
        <f ca="1">IF(Table1[[#This Row],[h_id]]="","",COUNTIF(Table1[h_id],Table1[[#This Row],[h_id]]))</f>
        <v>11</v>
      </c>
      <c r="X110" s="93">
        <f>IF(Table1[Item Description]="","",Table1[[#This Row],[Qty]]*Table1[[#This Row],[Unit Price]])</f>
        <v>1612800</v>
      </c>
      <c r="Y110" s="93">
        <f>IF(Table1[Item Description]="","",Table1[[#This Row],[h_hargasebelumdiskon]]*Table1[[#This Row],[Disc 1]])</f>
        <v>201600</v>
      </c>
      <c r="Z110" s="93">
        <f>IF(Table1[Item Description]="","",Table1[[#This Row],[h_hargasebelumdiskon]]-Table1[[#This Row],[h_diskon]])</f>
        <v>1411200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LEM STICK JOYKO 8 GR GS-09 isi 12 pcPCS2100</v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48</v>
      </c>
      <c r="K111" s="92" t="s">
        <v>131</v>
      </c>
      <c r="L111" s="92">
        <v>4</v>
      </c>
      <c r="M111" s="292" t="s">
        <v>256</v>
      </c>
      <c r="N111" s="291" t="str">
        <f>IF(Table1[[#This Row],[h_Item Description]]="","",INDEX([1]!db[NB PAJAK],MATCH(Table1[[#This Row],[h_Item Description]],[1]!db[kode],0)))</f>
        <v>ISI PENSIL 2B 0.5 MM JOYKO PL-05</v>
      </c>
      <c r="O111" s="92" t="s">
        <v>266</v>
      </c>
      <c r="P111" s="93">
        <v>176400</v>
      </c>
      <c r="Q111" s="94">
        <v>0.125</v>
      </c>
      <c r="S111" s="294">
        <f>Table1[[#This Row],[h_hargasetelahdiskon]]</f>
        <v>7408800</v>
      </c>
      <c r="V111" s="95">
        <f ca="1">IF(Table1[[#This Row],[Item Description]]="","",IF(Table1[[#This Row],[//]]="",INDIRECT(ADDRESS(ROW()-1,COLUMN())),Table1[[#This Row],[//]]))</f>
        <v>108</v>
      </c>
      <c r="W111" s="95">
        <f ca="1">IF(Table1[[#This Row],[h_id]]="","",COUNTIF(Table1[h_id],Table1[[#This Row],[h_id]]))</f>
        <v>11</v>
      </c>
      <c r="X111" s="93">
        <f>IF(Table1[Item Description]="","",Table1[[#This Row],[Qty]]*Table1[[#This Row],[Unit Price]])</f>
        <v>8467200</v>
      </c>
      <c r="Y111" s="93">
        <f>IF(Table1[Item Description]="","",Table1[[#This Row],[h_hargasebelumdiskon]]*Table1[[#This Row],[Disc 1]])</f>
        <v>1058400</v>
      </c>
      <c r="Z111" s="93">
        <f>IF(Table1[Item Description]="","",Table1[[#This Row],[h_hargasebelumdiskon]]-Table1[[#This Row],[h_diskon]])</f>
        <v>7408800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ISI PENSIL 2B 0.5 MM JOYKO PL-05GRS176400</v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288</v>
      </c>
      <c r="K112" s="92" t="s">
        <v>92</v>
      </c>
      <c r="L112" s="92">
        <v>2</v>
      </c>
      <c r="M112" s="292" t="s">
        <v>370</v>
      </c>
      <c r="N112" s="291" t="str">
        <f>IF(Table1[[#This Row],[h_Item Description]]="","",INDEX([1]!db[NB PAJAK],MATCH(Table1[[#This Row],[h_Item Description]],[1]!db[kode],0)))</f>
        <v>ISI PENSIL 2B 2.0 MM JOYKO PL-10</v>
      </c>
      <c r="O112" s="92" t="s">
        <v>380</v>
      </c>
      <c r="P112" s="93">
        <v>19800</v>
      </c>
      <c r="Q112" s="94">
        <v>0.125</v>
      </c>
      <c r="S112" s="294">
        <f>Table1[[#This Row],[h_hargasetelahdiskon]]</f>
        <v>4989600</v>
      </c>
      <c r="V112" s="95">
        <f ca="1">IF(Table1[[#This Row],[Item Description]]="","",IF(Table1[[#This Row],[//]]="",INDIRECT(ADDRESS(ROW()-1,COLUMN())),Table1[[#This Row],[//]]))</f>
        <v>108</v>
      </c>
      <c r="W112" s="95">
        <f ca="1">IF(Table1[[#This Row],[h_id]]="","",COUNTIF(Table1[h_id],Table1[[#This Row],[h_id]]))</f>
        <v>11</v>
      </c>
      <c r="X112" s="93">
        <f>IF(Table1[Item Description]="","",Table1[[#This Row],[Qty]]*Table1[[#This Row],[Unit Price]])</f>
        <v>5702400</v>
      </c>
      <c r="Y112" s="93">
        <f>IF(Table1[Item Description]="","",Table1[[#This Row],[h_hargasebelumdiskon]]*Table1[[#This Row],[Disc 1]])</f>
        <v>712800</v>
      </c>
      <c r="Z112" s="93">
        <f>IF(Table1[Item Description]="","",Table1[[#This Row],[h_hargasebelumdiskon]]-Table1[[#This Row],[h_diskon]])</f>
        <v>4989600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ISI PENSIL 2B 2.0 MM JOYKO PL-10LSN19800</v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144</v>
      </c>
      <c r="K113" s="92" t="s">
        <v>92</v>
      </c>
      <c r="L113" s="92">
        <v>2</v>
      </c>
      <c r="M113" s="292" t="s">
        <v>371</v>
      </c>
      <c r="N113" s="291" t="str">
        <f>IF(Table1[[#This Row],[h_Item Description]]="","",INDEX([1]!db[NB PAJAK],MATCH(Table1[[#This Row],[h_Item Description]],[1]!db[kode],0)))</f>
        <v>ISI PENSIL 2B 2.0 MM JOYKO PL-11</v>
      </c>
      <c r="O113" s="92" t="s">
        <v>381</v>
      </c>
      <c r="P113" s="93">
        <v>37200</v>
      </c>
      <c r="Q113" s="94">
        <v>0.125</v>
      </c>
      <c r="S113" s="294">
        <f>Table1[[#This Row],[h_hargasetelahdiskon]]</f>
        <v>4687200</v>
      </c>
      <c r="V113" s="95">
        <f ca="1">IF(Table1[[#This Row],[Item Description]]="","",IF(Table1[[#This Row],[//]]="",INDIRECT(ADDRESS(ROW()-1,COLUMN())),Table1[[#This Row],[//]]))</f>
        <v>108</v>
      </c>
      <c r="W113" s="95">
        <f ca="1">IF(Table1[[#This Row],[h_id]]="","",COUNTIF(Table1[h_id],Table1[[#This Row],[h_id]]))</f>
        <v>11</v>
      </c>
      <c r="X113" s="93">
        <f>IF(Table1[Item Description]="","",Table1[[#This Row],[Qty]]*Table1[[#This Row],[Unit Price]])</f>
        <v>5356800</v>
      </c>
      <c r="Y113" s="93">
        <f>IF(Table1[Item Description]="","",Table1[[#This Row],[h_hargasebelumdiskon]]*Table1[[#This Row],[Disc 1]])</f>
        <v>669600</v>
      </c>
      <c r="Z113" s="93">
        <f>IF(Table1[Item Description]="","",Table1[[#This Row],[h_hargasebelumdiskon]]-Table1[[#This Row],[h_diskon]])</f>
        <v>4687200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ISI PENSIL 2B 2.0 MM JOYKO PL-11LSN37200</v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24</v>
      </c>
      <c r="K114" s="92" t="s">
        <v>150</v>
      </c>
      <c r="L114" s="92">
        <v>1</v>
      </c>
      <c r="M114" s="292" t="s">
        <v>375</v>
      </c>
      <c r="N114" s="291" t="e">
        <f>IF(Table1[[#This Row],[h_Item Description]]="","",INDEX([1]!db[NB PAJAK],MATCH(Table1[[#This Row],[h_Item Description]],[1]!db[kode],0)))</f>
        <v>#N/A</v>
      </c>
      <c r="O114" s="92" t="s">
        <v>382</v>
      </c>
      <c r="P114" s="93">
        <v>97000</v>
      </c>
      <c r="Q114" s="94">
        <v>0.125</v>
      </c>
      <c r="S114" s="294">
        <f>Table1[[#This Row],[h_hargasetelahdiskon]]</f>
        <v>2037000</v>
      </c>
      <c r="V114" s="95">
        <f ca="1">IF(Table1[[#This Row],[Item Description]]="","",IF(Table1[[#This Row],[//]]="",INDIRECT(ADDRESS(ROW()-1,COLUMN())),Table1[[#This Row],[//]]))</f>
        <v>108</v>
      </c>
      <c r="W114" s="95">
        <f ca="1">IF(Table1[[#This Row],[h_id]]="","",COUNTIF(Table1[h_id],Table1[[#This Row],[h_id]]))</f>
        <v>11</v>
      </c>
      <c r="X114" s="93">
        <f>IF(Table1[Item Description]="","",Table1[[#This Row],[Qty]]*Table1[[#This Row],[Unit Price]])</f>
        <v>2328000</v>
      </c>
      <c r="Y114" s="93">
        <f>IF(Table1[Item Description]="","",Table1[[#This Row],[h_hargasebelumdiskon]]*Table1[[#This Row],[Disc 1]])</f>
        <v>291000</v>
      </c>
      <c r="Z114" s="93">
        <f>IF(Table1[Item Description]="","",Table1[[#This Row],[h_hargasebelumdiskon]]-Table1[[#This Row],[h_diskon]])</f>
        <v>2037000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GT-701PCS97000</v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72</v>
      </c>
      <c r="K115" s="92" t="s">
        <v>150</v>
      </c>
      <c r="L115" s="92">
        <v>1</v>
      </c>
      <c r="M115" s="292" t="s">
        <v>372</v>
      </c>
      <c r="N115" s="291" t="s">
        <v>376</v>
      </c>
      <c r="O115" s="92" t="s">
        <v>376</v>
      </c>
      <c r="P115" s="93">
        <v>15800</v>
      </c>
      <c r="Q115" s="94">
        <v>0.125</v>
      </c>
      <c r="S115" s="294">
        <f>Table1[[#This Row],[h_hargasetelahdiskon]]</f>
        <v>995400</v>
      </c>
      <c r="V115" s="95">
        <f ca="1">IF(Table1[[#This Row],[Item Description]]="","",IF(Table1[[#This Row],[//]]="",INDIRECT(ADDRESS(ROW()-1,COLUMN())),Table1[[#This Row],[//]]))</f>
        <v>108</v>
      </c>
      <c r="W115" s="95">
        <f ca="1">IF(Table1[[#This Row],[h_id]]="","",COUNTIF(Table1[h_id],Table1[[#This Row],[h_id]]))</f>
        <v>11</v>
      </c>
      <c r="X115" s="93">
        <f>IF(Table1[Item Description]="","",Table1[[#This Row],[Qty]]*Table1[[#This Row],[Unit Price]])</f>
        <v>1137600</v>
      </c>
      <c r="Y115" s="93">
        <f>IF(Table1[Item Description]="","",Table1[[#This Row],[h_hargasebelumdiskon]]*Table1[[#This Row],[Disc 1]])</f>
        <v>142200</v>
      </c>
      <c r="Z115" s="93">
        <f>IF(Table1[Item Description]="","",Table1[[#This Row],[h_hargasebelumdiskon]]-Table1[[#This Row],[h_diskon]])</f>
        <v>995400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BINDER NOTE JOYKO A5 (CAMPUS/CLASSIC)PCS15800</v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336</v>
      </c>
      <c r="K116" s="92" t="s">
        <v>92</v>
      </c>
      <c r="L116" s="92">
        <v>7</v>
      </c>
      <c r="M116" s="292" t="s">
        <v>373</v>
      </c>
      <c r="N116" s="291" t="e">
        <f>IF(Table1[[#This Row],[h_Item Description]]="","",INDEX([1]!db[NB PAJAK],MATCH(Table1[[#This Row],[h_Item Description]],[1]!db[kode],0)))</f>
        <v>#N/A</v>
      </c>
      <c r="O116" s="92" t="s">
        <v>383</v>
      </c>
      <c r="P116" s="93">
        <v>36000</v>
      </c>
      <c r="Q116" s="94">
        <v>0.125</v>
      </c>
      <c r="S116" s="294">
        <f>Table1[[#This Row],[h_hargasetelahdiskon]]</f>
        <v>10584000</v>
      </c>
      <c r="V116" s="95">
        <f ca="1">IF(Table1[[#This Row],[Item Description]]="","",IF(Table1[[#This Row],[//]]="",INDIRECT(ADDRESS(ROW()-1,COLUMN())),Table1[[#This Row],[//]]))</f>
        <v>108</v>
      </c>
      <c r="W116" s="95">
        <f ca="1">IF(Table1[[#This Row],[h_id]]="","",COUNTIF(Table1[h_id],Table1[[#This Row],[h_id]]))</f>
        <v>11</v>
      </c>
      <c r="X116" s="93">
        <f>IF(Table1[Item Description]="","",Table1[[#This Row],[Qty]]*Table1[[#This Row],[Unit Price]])</f>
        <v>12096000</v>
      </c>
      <c r="Y116" s="93">
        <f>IF(Table1[Item Description]="","",Table1[[#This Row],[h_hargasebelumdiskon]]*Table1[[#This Row],[Disc 1]])</f>
        <v>1512000</v>
      </c>
      <c r="Z116" s="93">
        <f>IF(Table1[Item Description]="","",Table1[[#This Row],[h_hargasebelumdiskon]]-Table1[[#This Row],[h_diskon]])</f>
        <v>10584000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CORRECTION FLUID JOYKO JK-01LSN36000</v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20</v>
      </c>
      <c r="K117" s="92" t="s">
        <v>150</v>
      </c>
      <c r="L117" s="92">
        <v>1</v>
      </c>
      <c r="M117" s="292" t="s">
        <v>377</v>
      </c>
      <c r="N117" s="291" t="str">
        <f>IF(Table1[[#This Row],[h_Item Description]]="","",INDEX([1]!db[NB PAJAK],MATCH(Table1[[#This Row],[h_Item Description]],[1]!db[kode],0)))</f>
        <v>MESIN LABEL HARGA JOYKO MX-5500M (8 DIGITS, 1 LINE)</v>
      </c>
      <c r="O117" s="92" t="s">
        <v>384</v>
      </c>
      <c r="P117" s="93">
        <v>40500</v>
      </c>
      <c r="Q117" s="94">
        <v>0.125</v>
      </c>
      <c r="S117" s="294">
        <f>Table1[[#This Row],[h_hargasetelahdiskon]]</f>
        <v>708750</v>
      </c>
      <c r="V117" s="95">
        <f ca="1">IF(Table1[[#This Row],[Item Description]]="","",IF(Table1[[#This Row],[//]]="",INDIRECT(ADDRESS(ROW()-1,COLUMN())),Table1[[#This Row],[//]]))</f>
        <v>108</v>
      </c>
      <c r="W117" s="95">
        <f ca="1">IF(Table1[[#This Row],[h_id]]="","",COUNTIF(Table1[h_id],Table1[[#This Row],[h_id]]))</f>
        <v>11</v>
      </c>
      <c r="X117" s="93">
        <f>IF(Table1[Item Description]="","",Table1[[#This Row],[Qty]]*Table1[[#This Row],[Unit Price]])</f>
        <v>810000</v>
      </c>
      <c r="Y117" s="93">
        <f>IF(Table1[Item Description]="","",Table1[[#This Row],[h_hargasebelumdiskon]]*Table1[[#This Row],[Disc 1]])</f>
        <v>101250</v>
      </c>
      <c r="Z117" s="93">
        <f>IF(Table1[Item Description]="","",Table1[[#This Row],[h_hargasebelumdiskon]]-Table1[[#This Row],[h_diskon]])</f>
        <v>708750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MESIN LABEL HARGA JOYKO MX-5500M (8 DIGITS, 1 LINE)PCS40500</v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576</v>
      </c>
      <c r="K118" s="92" t="s">
        <v>150</v>
      </c>
      <c r="L118" s="92">
        <v>3</v>
      </c>
      <c r="M118" s="292" t="s">
        <v>374</v>
      </c>
      <c r="N118" s="291" t="e">
        <f>IF(Table1[[#This Row],[h_Item Description]]="","",INDEX([1]!db[NB PAJAK],MATCH(Table1[[#This Row],[h_Item Description]],[1]!db[kode],0)))</f>
        <v>#N/A</v>
      </c>
      <c r="O118" s="92" t="s">
        <v>385</v>
      </c>
      <c r="P118" s="93">
        <v>16800</v>
      </c>
      <c r="Q118" s="94">
        <v>0.125</v>
      </c>
      <c r="S118" s="294">
        <f>Table1[[#This Row],[h_hargasetelahdiskon]]</f>
        <v>8467200</v>
      </c>
      <c r="V118" s="95">
        <f ca="1">IF(Table1[[#This Row],[Item Description]]="","",IF(Table1[[#This Row],[//]]="",INDIRECT(ADDRESS(ROW()-1,COLUMN())),Table1[[#This Row],[//]]))</f>
        <v>108</v>
      </c>
      <c r="W118" s="95">
        <f ca="1">IF(Table1[[#This Row],[h_id]]="","",COUNTIF(Table1[h_id],Table1[[#This Row],[h_id]]))</f>
        <v>11</v>
      </c>
      <c r="X118" s="93">
        <f>IF(Table1[Item Description]="","",Table1[[#This Row],[Qty]]*Table1[[#This Row],[Unit Price]])</f>
        <v>9676800</v>
      </c>
      <c r="Y118" s="93">
        <f>IF(Table1[Item Description]="","",Table1[[#This Row],[h_hargasebelumdiskon]]*Table1[[#This Row],[Disc 1]])</f>
        <v>1209600</v>
      </c>
      <c r="Z118" s="93">
        <f>IF(Table1[Item Description]="","",Table1[[#This Row],[h_hargasebelumdiskon]]-Table1[[#This Row],[h_diskon]])</f>
        <v>8467200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GEL PEN SET JOYKO GPC-309S DIAMOND ARTPCS16800</v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291">
        <f>IF(Table1[h_Kode Sales :_1]="","",B$1+COUNT(B$2:B119))</f>
        <v>23020023</v>
      </c>
      <c r="C120" s="98">
        <v>44970</v>
      </c>
      <c r="D120" s="292" t="s">
        <v>184</v>
      </c>
      <c r="E120" s="293" t="s">
        <v>396</v>
      </c>
      <c r="F120" s="292" t="s">
        <v>103</v>
      </c>
      <c r="G120" s="95" t="str">
        <f>IF(Table1[[#This Row],[h_No. Invoice :]]="","",CONCATENATE("AM"," ",Table1[[#This Row],[h_No. Invoice :]]))</f>
        <v>AM 23020023</v>
      </c>
      <c r="H120" s="96" t="str">
        <f>CONCATENATE(UPPER(Table1[[#This Row],[h_Kode Sales :_1]])," ",Table1[[#This Row],[h_Kode Sales :_2]])</f>
        <v>G 0892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36</v>
      </c>
      <c r="K120" s="92" t="s">
        <v>92</v>
      </c>
      <c r="L120" s="92">
        <v>1</v>
      </c>
      <c r="M120" s="292" t="s">
        <v>284</v>
      </c>
      <c r="N120" s="291" t="str">
        <f>IF(Table1[[#This Row],[h_Item Description]]="","",INDEX([1]!db[NB PAJAK],MATCH(Table1[[#This Row],[h_Item Description]],[1]!db[kode],0)))</f>
        <v>CORRECTION FLUID KENKO KE-107M</v>
      </c>
      <c r="O120" s="92" t="s">
        <v>285</v>
      </c>
      <c r="P120" s="93">
        <v>55800</v>
      </c>
      <c r="Q120" s="94">
        <v>0.125</v>
      </c>
      <c r="S120" s="294">
        <f>Table1[[#This Row],[h_hargasetelahdiskon]]</f>
        <v>1757700</v>
      </c>
      <c r="T120" s="93" t="s">
        <v>93</v>
      </c>
      <c r="V120" s="95">
        <f ca="1">IF(Table1[[#This Row],[Item Description]]="","",IF(Table1[[#This Row],[//]]="",INDIRECT(ADDRESS(ROW()-1,COLUMN())),Table1[[#This Row],[//]]))</f>
        <v>120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2008800</v>
      </c>
      <c r="Y120" s="93">
        <f>IF(Table1[Item Description]="","",Table1[[#This Row],[h_hargasebelumdiskon]]*Table1[[#This Row],[Disc 1]])</f>
        <v>251100</v>
      </c>
      <c r="Z120" s="93">
        <f>IF(Table1[Item Description]="","",Table1[[#This Row],[h_hargasebelumdiskon]]-Table1[[#This Row],[h_diskon]])</f>
        <v>1757700</v>
      </c>
      <c r="AA120" s="93">
        <f ca="1">IF(Table1[//]="","",SUMIF(Table1[h_id],Table1[h_id],Table1[h_hargasetelahdiskon]))</f>
        <v>6870150</v>
      </c>
      <c r="AB120" s="93"/>
      <c r="AC120" s="93" t="str">
        <f>Table1[[#This Row],[Item Description]]&amp;Table1[[#This Row],[Unit]]&amp;Table1[[#This Row],[Unit Price]]</f>
        <v>CORRECTION FLUID KENKO KE-107MLSN55800</v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36</v>
      </c>
      <c r="K121" s="92" t="s">
        <v>92</v>
      </c>
      <c r="L121" s="92">
        <v>1</v>
      </c>
      <c r="M121" s="292" t="s">
        <v>175</v>
      </c>
      <c r="N121" s="291" t="str">
        <f>IF(Table1[[#This Row],[h_Item Description]]="","",INDEX([1]!db[NB PAJAK],MATCH(Table1[[#This Row],[h_Item Description]],[1]!db[kode],0)))</f>
        <v>CORRECTION FLUID KENKO KE-01</v>
      </c>
      <c r="O121" s="92" t="s">
        <v>135</v>
      </c>
      <c r="P121" s="93">
        <v>54300</v>
      </c>
      <c r="Q121" s="94">
        <v>0.125</v>
      </c>
      <c r="S121" s="294">
        <f>Table1[[#This Row],[h_hargasetelahdiskon]]</f>
        <v>1710450</v>
      </c>
      <c r="V121" s="95">
        <f ca="1">IF(Table1[[#This Row],[Item Description]]="","",IF(Table1[[#This Row],[//]]="",INDIRECT(ADDRESS(ROW()-1,COLUMN())),Table1[[#This Row],[//]]))</f>
        <v>120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1954800</v>
      </c>
      <c r="Y121" s="93">
        <f>IF(Table1[Item Description]="","",Table1[[#This Row],[h_hargasebelumdiskon]]*Table1[[#This Row],[Disc 1]])</f>
        <v>244350</v>
      </c>
      <c r="Z121" s="93">
        <f>IF(Table1[Item Description]="","",Table1[[#This Row],[h_hargasebelumdiskon]]-Table1[[#This Row],[h_diskon]])</f>
        <v>1710450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CORRECTION FLUID KENKO KE-01LSN54300</v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120</v>
      </c>
      <c r="K122" s="92" t="s">
        <v>92</v>
      </c>
      <c r="L122" s="92">
        <v>1</v>
      </c>
      <c r="M122" s="292" t="s">
        <v>397</v>
      </c>
      <c r="N122" s="291" t="e">
        <f>IF(Table1[[#This Row],[h_Item Description]]="","",INDEX([1]!db[NB PAJAK],MATCH(Table1[[#This Row],[h_Item Description]],[1]!db[kode],0)))</f>
        <v>#N/A</v>
      </c>
      <c r="O122" s="92" t="s">
        <v>398</v>
      </c>
      <c r="P122" s="93">
        <v>32400</v>
      </c>
      <c r="Q122" s="94">
        <v>0.125</v>
      </c>
      <c r="S122" s="294">
        <f>Table1[[#This Row],[h_hargasetelahdiskon]]</f>
        <v>3402000</v>
      </c>
      <c r="V122" s="95">
        <f ca="1">IF(Table1[[#This Row],[Item Description]]="","",IF(Table1[[#This Row],[//]]="",INDIRECT(ADDRESS(ROW()-1,COLUMN())),Table1[[#This Row],[//]]))</f>
        <v>120</v>
      </c>
      <c r="W122" s="95">
        <f ca="1">IF(Table1[[#This Row],[h_id]]="","",COUNTIF(Table1[h_id],Table1[[#This Row],[h_id]]))</f>
        <v>3</v>
      </c>
      <c r="X122" s="93">
        <f>IF(Table1[Item Description]="","",Table1[[#This Row],[Qty]]*Table1[[#This Row],[Unit Price]])</f>
        <v>3888000</v>
      </c>
      <c r="Y122" s="93">
        <f>IF(Table1[Item Description]="","",Table1[[#This Row],[h_hargasebelumdiskon]]*Table1[[#This Row],[Disc 1]])</f>
        <v>486000</v>
      </c>
      <c r="Z122" s="93">
        <f>IF(Table1[Item Description]="","",Table1[[#This Row],[h_hargasebelumdiskon]]-Table1[[#This Row],[h_diskon]])</f>
        <v>3402000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ISI CUTTER 9 MM KENKO A-100 (KECIL)LSN32400</v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>
        <f>IF(Table1[No. Invoice :]="","",ROW())</f>
        <v>124</v>
      </c>
      <c r="B124" s="291">
        <f>IF(Table1[h_Kode Sales :_1]="","",B$1+COUNT(B$2:B123))</f>
        <v>23020024</v>
      </c>
      <c r="C124" s="98">
        <v>44972</v>
      </c>
      <c r="D124" s="92" t="s">
        <v>142</v>
      </c>
      <c r="E124" s="97" t="s">
        <v>400</v>
      </c>
      <c r="F124" s="92" t="s">
        <v>91</v>
      </c>
      <c r="G124" s="95" t="str">
        <f>IF(Table1[[#This Row],[h_No. Invoice :]]="","",CONCATENATE("AM"," ",Table1[[#This Row],[h_No. Invoice :]]))</f>
        <v>AM 23020024</v>
      </c>
      <c r="H124" s="96" t="str">
        <f>CONCATENATE(UPPER(Table1[[#This Row],[h_Kode Sales :_1]])," ",Table1[[#This Row],[h_Kode Sales :_2]])</f>
        <v>KO 1054</v>
      </c>
      <c r="I124" s="95" t="str">
        <f>IF(Table1[[#This Row],[h_toko]]="","",INDEX(Table2[e],IF(Table1[[#This Row],[h_toko]]="","",MATCH(Table1[[#This Row],[h_toko]],Table2[a],0)),))</f>
        <v>CV TRINITY CENTRAAL PURWOKERTO</v>
      </c>
      <c r="J124" s="92">
        <v>20</v>
      </c>
      <c r="K124" s="92" t="s">
        <v>150</v>
      </c>
      <c r="L124" s="92">
        <v>1</v>
      </c>
      <c r="M124" s="92" t="s">
        <v>377</v>
      </c>
      <c r="N124" s="291" t="str">
        <f>IF(Table1[[#This Row],[h_Item Description]]="","",INDEX([1]!db[NB PAJAK],MATCH(Table1[[#This Row],[h_Item Description]],[1]!db[kode],0)))</f>
        <v>MESIN LABEL HARGA JOYKO MX-5500M (8 DIGITS, 1 LINE)</v>
      </c>
      <c r="O124" s="92" t="s">
        <v>384</v>
      </c>
      <c r="P124" s="93">
        <v>40500</v>
      </c>
      <c r="Q124" s="94">
        <v>0.13</v>
      </c>
      <c r="S124" s="294">
        <f>Table1[[#This Row],[h_hargasetelahdiskon]]</f>
        <v>704700</v>
      </c>
      <c r="T124" s="93" t="s">
        <v>93</v>
      </c>
      <c r="V124" s="95">
        <f ca="1">IF(Table1[[#This Row],[Item Description]]="","",IF(Table1[[#This Row],[//]]="",INDIRECT(ADDRESS(ROW()-1,COLUMN())),Table1[[#This Row],[//]]))</f>
        <v>124</v>
      </c>
      <c r="W124" s="95">
        <f ca="1">IF(Table1[[#This Row],[h_id]]="","",COUNTIF(Table1[h_id],Table1[[#This Row],[h_id]]))</f>
        <v>1</v>
      </c>
      <c r="X124" s="93">
        <f>IF(Table1[Item Description]="","",Table1[[#This Row],[Qty]]*Table1[[#This Row],[Unit Price]])</f>
        <v>810000</v>
      </c>
      <c r="Y124" s="93">
        <f>IF(Table1[Item Description]="","",Table1[[#This Row],[h_hargasebelumdiskon]]*Table1[[#This Row],[Disc 1]])</f>
        <v>105300</v>
      </c>
      <c r="Z124" s="93">
        <f>IF(Table1[Item Description]="","",Table1[[#This Row],[h_hargasebelumdiskon]]-Table1[[#This Row],[h_diskon]])</f>
        <v>704700</v>
      </c>
      <c r="AA124" s="93">
        <f ca="1">IF(Table1[//]="","",SUMIF(Table1[h_id],Table1[h_id],Table1[h_hargasetelahdiskon]))</f>
        <v>704700</v>
      </c>
      <c r="AB124" s="93"/>
      <c r="AC124" s="93" t="str">
        <f>Table1[[#This Row],[Item Description]]&amp;Table1[[#This Row],[Unit]]&amp;Table1[[#This Row],[Unit Price]]</f>
        <v>MESIN LABEL HARGA JOYKO MX-5500M (8 DIGITS, 1 LINE)PCS40500</v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M125" s="292"/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>
        <f>IF(Table1[No. Invoice :]="","",ROW())</f>
        <v>126</v>
      </c>
      <c r="B126" s="291">
        <f>IF(Table1[h_Kode Sales :_1]="","",B$1+COUNT(B$2:B125))</f>
        <v>23020025</v>
      </c>
      <c r="C126" s="98">
        <v>44973</v>
      </c>
      <c r="D126" s="92" t="s">
        <v>142</v>
      </c>
      <c r="E126" s="97" t="s">
        <v>401</v>
      </c>
      <c r="F126" s="92" t="s">
        <v>42</v>
      </c>
      <c r="G126" s="95" t="str">
        <f>IF(Table1[[#This Row],[h_No. Invoice :]]="","",CONCATENATE("AM"," ",Table1[[#This Row],[h_No. Invoice :]]))</f>
        <v>AM 23020025</v>
      </c>
      <c r="H126" s="96" t="str">
        <f>CONCATENATE(UPPER(Table1[[#This Row],[h_Kode Sales :_1]])," ",Table1[[#This Row],[h_Kode Sales :_2]])</f>
        <v>KO 1065</v>
      </c>
      <c r="I126" s="95" t="str">
        <f>IF(Table1[[#This Row],[h_toko]]="","",INDEX(Table2[e],IF(Table1[[#This Row],[h_toko]]="","",MATCH(Table1[[#This Row],[h_toko]],Table2[a],0)),))</f>
        <v>CV TRINITY CENTRAAL PURWOKERTO</v>
      </c>
      <c r="J126" s="92">
        <v>15</v>
      </c>
      <c r="K126" s="92" t="s">
        <v>92</v>
      </c>
      <c r="M126" s="92" t="s">
        <v>405</v>
      </c>
      <c r="N126" s="291" t="str">
        <f>IF(Table1[[#This Row],[h_Item Description]]="","",INDEX([1]!db[NB PAJAK],MATCH(Table1[[#This Row],[h_Item Description]],[1]!db[kode],0)))</f>
        <v>CORRECTION TAPE KENKO CT-1505FC (15M X 5MM)</v>
      </c>
      <c r="O126" s="92" t="s">
        <v>406</v>
      </c>
      <c r="P126" s="93">
        <v>69600</v>
      </c>
      <c r="Q126" s="94">
        <v>0.13</v>
      </c>
      <c r="S126" s="294">
        <f>Table1[[#This Row],[h_hargasetelahdiskon]]</f>
        <v>908280</v>
      </c>
      <c r="T126" s="93" t="s">
        <v>93</v>
      </c>
      <c r="V126" s="95">
        <f ca="1">IF(Table1[[#This Row],[Item Description]]="","",IF(Table1[[#This Row],[//]]="",INDIRECT(ADDRESS(ROW()-1,COLUMN())),Table1[[#This Row],[//]]))</f>
        <v>126</v>
      </c>
      <c r="W126" s="95">
        <f ca="1">IF(Table1[[#This Row],[h_id]]="","",COUNTIF(Table1[h_id],Table1[[#This Row],[h_id]]))</f>
        <v>4</v>
      </c>
      <c r="X126" s="93">
        <f>IF(Table1[Item Description]="","",Table1[[#This Row],[Qty]]*Table1[[#This Row],[Unit Price]])</f>
        <v>1044000</v>
      </c>
      <c r="Y126" s="93">
        <f>IF(Table1[Item Description]="","",Table1[[#This Row],[h_hargasebelumdiskon]]*Table1[[#This Row],[Disc 1]])</f>
        <v>135720</v>
      </c>
      <c r="Z126" s="93">
        <f>IF(Table1[Item Description]="","",Table1[[#This Row],[h_hargasebelumdiskon]]-Table1[[#This Row],[h_diskon]])</f>
        <v>908280</v>
      </c>
      <c r="AA126" s="93">
        <f ca="1">IF(Table1[//]="","",SUMIF(Table1[h_id],Table1[h_id],Table1[h_hargasetelahdiskon]))</f>
        <v>3557952</v>
      </c>
      <c r="AB126" s="93"/>
      <c r="AC126" s="93" t="str">
        <f>Table1[[#This Row],[Item Description]]&amp;Table1[[#This Row],[Unit]]&amp;Table1[[#This Row],[Unit Price]]</f>
        <v>CORRECTION TAPE KENKO CT-1505FC (15M X 5MM)LSN69600</v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</v>
      </c>
      <c r="K127" s="92" t="s">
        <v>92</v>
      </c>
      <c r="M127" s="92" t="s">
        <v>402</v>
      </c>
      <c r="N127" s="291" t="str">
        <f>IF(Table1[[#This Row],[h_Item Description]]="","",INDEX([1]!db[NB PAJAK],MATCH(Table1[[#This Row],[h_Item Description]],[1]!db[kode],0)))</f>
        <v>CORRECTION TAPE KENKO CT-310SL (12M x 5MM)</v>
      </c>
      <c r="O127" s="92" t="s">
        <v>407</v>
      </c>
      <c r="P127" s="93">
        <v>84000</v>
      </c>
      <c r="Q127" s="94">
        <v>0.13</v>
      </c>
      <c r="S127" s="294">
        <f>Table1[[#This Row],[h_hargasetelahdiskon]]</f>
        <v>1096200</v>
      </c>
      <c r="V127" s="95">
        <f ca="1">IF(Table1[[#This Row],[Item Description]]="","",IF(Table1[[#This Row],[//]]="",INDIRECT(ADDRESS(ROW()-1,COLUMN())),Table1[[#This Row],[//]]))</f>
        <v>126</v>
      </c>
      <c r="W127" s="95">
        <f ca="1">IF(Table1[[#This Row],[h_id]]="","",COUNTIF(Table1[h_id],Table1[[#This Row],[h_id]]))</f>
        <v>4</v>
      </c>
      <c r="X127" s="93">
        <f>IF(Table1[Item Description]="","",Table1[[#This Row],[Qty]]*Table1[[#This Row],[Unit Price]])</f>
        <v>1260000</v>
      </c>
      <c r="Y127" s="93">
        <f>IF(Table1[Item Description]="","",Table1[[#This Row],[h_hargasebelumdiskon]]*Table1[[#This Row],[Disc 1]])</f>
        <v>163800</v>
      </c>
      <c r="Z127" s="93">
        <f>IF(Table1[Item Description]="","",Table1[[#This Row],[h_hargasebelumdiskon]]-Table1[[#This Row],[h_diskon]])</f>
        <v>1096200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CORRECTION TAPE KENKO CT-310SL (12M x 5MM)LSN84000</v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9</v>
      </c>
      <c r="K128" s="92" t="s">
        <v>92</v>
      </c>
      <c r="M128" s="92" t="s">
        <v>403</v>
      </c>
      <c r="N128" s="291" t="str">
        <f>IF(Table1[[#This Row],[h_Item Description]]="","",INDEX([1]!db[NB PAJAK],MATCH(Table1[[#This Row],[h_Item Description]],[1]!db[kode],0)))</f>
        <v>CORRECTION TAPE KENKO CT-905 (12M x 5MM)</v>
      </c>
      <c r="O128" s="92" t="s">
        <v>408</v>
      </c>
      <c r="P128" s="93">
        <v>62400</v>
      </c>
      <c r="Q128" s="94">
        <v>0.13</v>
      </c>
      <c r="S128" s="294">
        <f>Table1[[#This Row],[h_hargasetelahdiskon]]</f>
        <v>488592</v>
      </c>
      <c r="V128" s="95">
        <f ca="1">IF(Table1[[#This Row],[Item Description]]="","",IF(Table1[[#This Row],[//]]="",INDIRECT(ADDRESS(ROW()-1,COLUMN())),Table1[[#This Row],[//]]))</f>
        <v>126</v>
      </c>
      <c r="W128" s="95">
        <f ca="1">IF(Table1[[#This Row],[h_id]]="","",COUNTIF(Table1[h_id],Table1[[#This Row],[h_id]]))</f>
        <v>4</v>
      </c>
      <c r="X128" s="93">
        <f>IF(Table1[Item Description]="","",Table1[[#This Row],[Qty]]*Table1[[#This Row],[Unit Price]])</f>
        <v>561600</v>
      </c>
      <c r="Y128" s="93">
        <f>IF(Table1[Item Description]="","",Table1[[#This Row],[h_hargasebelumdiskon]]*Table1[[#This Row],[Disc 1]])</f>
        <v>73008</v>
      </c>
      <c r="Z128" s="93">
        <f>IF(Table1[Item Description]="","",Table1[[#This Row],[h_hargasebelumdiskon]]-Table1[[#This Row],[h_diskon]])</f>
        <v>488592</v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>CORRECTION TAPE KENKO CT-905 (12M x 5MM)LSN62400</v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15</v>
      </c>
      <c r="K129" s="92" t="s">
        <v>92</v>
      </c>
      <c r="M129" s="92" t="s">
        <v>404</v>
      </c>
      <c r="N129" s="291" t="str">
        <f>IF(Table1[[#This Row],[h_Item Description]]="","",INDEX([1]!db[NB PAJAK],MATCH(Table1[[#This Row],[h_Item Description]],[1]!db[kode],0)))</f>
        <v>CORRECTION TAPE KENKO CT-309 (12M x 5MM)</v>
      </c>
      <c r="O129" s="92" t="s">
        <v>409</v>
      </c>
      <c r="P129" s="93">
        <v>81600</v>
      </c>
      <c r="Q129" s="94">
        <v>0.13</v>
      </c>
      <c r="S129" s="294">
        <f>Table1[[#This Row],[h_hargasetelahdiskon]]</f>
        <v>1064880</v>
      </c>
      <c r="V129" s="95">
        <f ca="1">IF(Table1[[#This Row],[Item Description]]="","",IF(Table1[[#This Row],[//]]="",INDIRECT(ADDRESS(ROW()-1,COLUMN())),Table1[[#This Row],[//]]))</f>
        <v>126</v>
      </c>
      <c r="W129" s="95">
        <f ca="1">IF(Table1[[#This Row],[h_id]]="","",COUNTIF(Table1[h_id],Table1[[#This Row],[h_id]]))</f>
        <v>4</v>
      </c>
      <c r="X129" s="93">
        <f>IF(Table1[Item Description]="","",Table1[[#This Row],[Qty]]*Table1[[#This Row],[Unit Price]])</f>
        <v>1224000</v>
      </c>
      <c r="Y129" s="93">
        <f>IF(Table1[Item Description]="","",Table1[[#This Row],[h_hargasebelumdiskon]]*Table1[[#This Row],[Disc 1]])</f>
        <v>159120</v>
      </c>
      <c r="Z129" s="93">
        <f>IF(Table1[Item Description]="","",Table1[[#This Row],[h_hargasebelumdiskon]]-Table1[[#This Row],[h_diskon]])</f>
        <v>1064880</v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>CORRECTION TAPE KENKO CT-309 (12M x 5MM)LSN81600</v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>
        <f>IF(Table1[No. Invoice :]="","",ROW())</f>
        <v>131</v>
      </c>
      <c r="B131" s="291">
        <f>IF(Table1[h_Kode Sales :_1]="","",B$1+COUNT(B$2:B130))</f>
        <v>23020026</v>
      </c>
      <c r="C131" s="98">
        <v>44978</v>
      </c>
      <c r="D131" s="92" t="s">
        <v>90</v>
      </c>
      <c r="E131" s="97" t="s">
        <v>415</v>
      </c>
      <c r="F131" s="92" t="s">
        <v>223</v>
      </c>
      <c r="G131" s="95" t="str">
        <f>IF(Table1[[#This Row],[h_No. Invoice :]]="","",CONCATENATE("AM"," ",Table1[[#This Row],[h_No. Invoice :]]))</f>
        <v>AM 23020026</v>
      </c>
      <c r="H131" s="96" t="str">
        <f>CONCATENATE(UPPER(Table1[[#This Row],[h_Kode Sales :_1]])," ",Table1[[#This Row],[h_Kode Sales :_2]])</f>
        <v>KO 1103</v>
      </c>
      <c r="I131" s="95" t="str">
        <f>IF(Table1[[#This Row],[h_toko]]="","",INDEX(Table2[e],IF(Table1[[#This Row],[h_toko]]="","",MATCH(Table1[[#This Row],[h_toko]],Table2[a],0)),))</f>
        <v>CV  WISUDA PURWOKERTO</v>
      </c>
      <c r="J131" s="92">
        <v>12</v>
      </c>
      <c r="K131" s="92" t="s">
        <v>92</v>
      </c>
      <c r="M131" s="92" t="s">
        <v>416</v>
      </c>
      <c r="N131" s="291" t="e">
        <f>IF(Table1[[#This Row],[h_Item Description]]="","",INDEX([1]!db[NB PAJAK],MATCH(Table1[[#This Row],[h_Item Description]],[1]!db[kode],0)))</f>
        <v>#N/A</v>
      </c>
      <c r="O131" s="92" t="s">
        <v>423</v>
      </c>
      <c r="P131" s="93">
        <v>39000</v>
      </c>
      <c r="Q131" s="94">
        <v>0.1</v>
      </c>
      <c r="S131" s="294">
        <f>Table1[[#This Row],[h_hargasetelahdiskon]]</f>
        <v>421200</v>
      </c>
      <c r="T131" s="93" t="s">
        <v>132</v>
      </c>
      <c r="V131" s="95">
        <f ca="1">IF(Table1[[#This Row],[Item Description]]="","",IF(Table1[[#This Row],[//]]="",INDIRECT(ADDRESS(ROW()-1,COLUMN())),Table1[[#This Row],[//]]))</f>
        <v>131</v>
      </c>
      <c r="W131" s="95">
        <f ca="1">IF(Table1[[#This Row],[h_id]]="","",COUNTIF(Table1[h_id],Table1[[#This Row],[h_id]]))</f>
        <v>4</v>
      </c>
      <c r="X131" s="93">
        <f>IF(Table1[Item Description]="","",Table1[[#This Row],[Qty]]*Table1[[#This Row],[Unit Price]])</f>
        <v>468000</v>
      </c>
      <c r="Y131" s="93">
        <f>IF(Table1[Item Description]="","",Table1[[#This Row],[h_hargasebelumdiskon]]*Table1[[#This Row],[Disc 1]])</f>
        <v>46800</v>
      </c>
      <c r="Z131" s="93">
        <f>IF(Table1[Item Description]="","",Table1[[#This Row],[h_hargasebelumdiskon]]-Table1[[#This Row],[h_diskon]])</f>
        <v>421200</v>
      </c>
      <c r="AA131" s="93">
        <f ca="1">IF(Table1[//]="","",SUMIF(Table1[h_id],Table1[h_id],Table1[h_hargasetelahdiskon]))</f>
        <v>3154680</v>
      </c>
      <c r="AB131" s="93"/>
      <c r="AC131" s="93" t="str">
        <f>Table1[[#This Row],[Item Description]]&amp;Table1[[#This Row],[Unit]]&amp;Table1[[#This Row],[Unit Price]]</f>
        <v>GEL PEN KENKO HI-TECH-H 0.28 MMLSN39000</v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:_1]="","",B$1+COUNT(B$2:B129))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4</v>
      </c>
      <c r="K132" s="92" t="s">
        <v>92</v>
      </c>
      <c r="M132" s="92" t="s">
        <v>417</v>
      </c>
      <c r="N132" s="291" t="str">
        <f>IF(Table1[[#This Row],[h_Item Description]]="","",INDEX([1]!db[NB PAJAK],MATCH(Table1[[#This Row],[h_Item Description]],[1]!db[kode],0)))</f>
        <v>GEL PEN KENKO K-1</v>
      </c>
      <c r="O132" s="92" t="s">
        <v>420</v>
      </c>
      <c r="P132" s="93">
        <v>39600</v>
      </c>
      <c r="Q132" s="94">
        <v>0.1</v>
      </c>
      <c r="S132" s="294">
        <f>Table1[[#This Row],[h_hargasetelahdiskon]]</f>
        <v>142560</v>
      </c>
      <c r="V132" s="95">
        <f ca="1">IF(Table1[[#This Row],[Item Description]]="","",IF(Table1[[#This Row],[//]]="",INDIRECT(ADDRESS(ROW()-1,COLUMN())),Table1[[#This Row],[//]]))</f>
        <v>131</v>
      </c>
      <c r="W132" s="95">
        <f ca="1">IF(Table1[[#This Row],[h_id]]="","",COUNTIF(Table1[h_id],Table1[[#This Row],[h_id]]))</f>
        <v>4</v>
      </c>
      <c r="X132" s="93">
        <f>IF(Table1[Item Description]="","",Table1[[#This Row],[Qty]]*Table1[[#This Row],[Unit Price]])</f>
        <v>158400</v>
      </c>
      <c r="Y132" s="93">
        <f>IF(Table1[Item Description]="","",Table1[[#This Row],[h_hargasebelumdiskon]]*Table1[[#This Row],[Disc 1]])</f>
        <v>15840</v>
      </c>
      <c r="Z132" s="93">
        <f>IF(Table1[Item Description]="","",Table1[[#This Row],[h_hargasebelumdiskon]]-Table1[[#This Row],[h_diskon]])</f>
        <v>142560</v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>GEL PEN KENKO K-1LSN39600</v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J133" s="92">
        <v>20</v>
      </c>
      <c r="K133" s="92" t="s">
        <v>131</v>
      </c>
      <c r="L133" s="92">
        <v>1</v>
      </c>
      <c r="M133" s="92" t="s">
        <v>418</v>
      </c>
      <c r="N133" s="291" t="str">
        <f>IF(Table1[[#This Row],[h_Item Description]]="","",INDEX([1]!db[NB PAJAK],MATCH(Table1[[#This Row],[h_Item Description]],[1]!db[kode],0)))</f>
        <v>BINDER CLIP JOYKO 155</v>
      </c>
      <c r="O133" s="92" t="s">
        <v>421</v>
      </c>
      <c r="P133" s="93">
        <v>67800</v>
      </c>
      <c r="Q133" s="94">
        <v>0.1</v>
      </c>
      <c r="S133" s="294">
        <f>Table1[[#This Row],[h_hargasetelahdiskon]]</f>
        <v>1220400</v>
      </c>
      <c r="V133" s="95">
        <f ca="1">IF(Table1[[#This Row],[Item Description]]="","",IF(Table1[[#This Row],[//]]="",INDIRECT(ADDRESS(ROW()-1,COLUMN())),Table1[[#This Row],[//]]))</f>
        <v>131</v>
      </c>
      <c r="W133" s="95">
        <f ca="1">IF(Table1[[#This Row],[h_id]]="","",COUNTIF(Table1[h_id],Table1[[#This Row],[h_id]]))</f>
        <v>4</v>
      </c>
      <c r="X133" s="93">
        <f>IF(Table1[Item Description]="","",Table1[[#This Row],[Qty]]*Table1[[#This Row],[Unit Price]])</f>
        <v>1356000</v>
      </c>
      <c r="Y133" s="93">
        <f>IF(Table1[Item Description]="","",Table1[[#This Row],[h_hargasebelumdiskon]]*Table1[[#This Row],[Disc 1]])</f>
        <v>135600</v>
      </c>
      <c r="Z133" s="93">
        <f>IF(Table1[Item Description]="","",Table1[[#This Row],[h_hargasebelumdiskon]]-Table1[[#This Row],[h_diskon]])</f>
        <v>1220400</v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>BINDER CLIP JOYKO 155GRS67800</v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:_1]="","",B$1+COUNT(B$2:B129))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J134" s="92">
        <v>3</v>
      </c>
      <c r="K134" s="92" t="s">
        <v>131</v>
      </c>
      <c r="L134" s="92">
        <v>1</v>
      </c>
      <c r="M134" s="92" t="s">
        <v>419</v>
      </c>
      <c r="N134" s="291" t="str">
        <f>IF(Table1[[#This Row],[h_Item Description]]="","",INDEX([1]!db[NB PAJAK],MATCH(Table1[[#This Row],[h_Item Description]],[1]!db[kode],0)))</f>
        <v>BINDER CLIP JOYKO 280</v>
      </c>
      <c r="O134" s="92" t="s">
        <v>422</v>
      </c>
      <c r="P134" s="93">
        <v>507600</v>
      </c>
      <c r="Q134" s="94">
        <v>0.1</v>
      </c>
      <c r="S134" s="294">
        <f>Table1[[#This Row],[h_hargasetelahdiskon]]</f>
        <v>1370520</v>
      </c>
      <c r="V134" s="95">
        <f ca="1">IF(Table1[[#This Row],[Item Description]]="","",IF(Table1[[#This Row],[//]]="",INDIRECT(ADDRESS(ROW()-1,COLUMN())),Table1[[#This Row],[//]]))</f>
        <v>131</v>
      </c>
      <c r="W134" s="95">
        <f ca="1">IF(Table1[[#This Row],[h_id]]="","",COUNTIF(Table1[h_id],Table1[[#This Row],[h_id]]))</f>
        <v>4</v>
      </c>
      <c r="X134" s="93">
        <f>IF(Table1[Item Description]="","",Table1[[#This Row],[Qty]]*Table1[[#This Row],[Unit Price]])</f>
        <v>1522800</v>
      </c>
      <c r="Y134" s="93">
        <f>IF(Table1[Item Description]="","",Table1[[#This Row],[h_hargasebelumdiskon]]*Table1[[#This Row],[Disc 1]])</f>
        <v>152280</v>
      </c>
      <c r="Z134" s="93">
        <f>IF(Table1[Item Description]="","",Table1[[#This Row],[h_hargasebelumdiskon]]-Table1[[#This Row],[h_diskon]])</f>
        <v>1370520</v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>BINDER CLIP JOYKO 280GRS507600</v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>
        <f>IF(Table1[No. Invoice :]="","",ROW())</f>
        <v>136</v>
      </c>
      <c r="B136" s="291">
        <f>IF(Table1[h_Kode Sales :_1]="","",B$1+COUNT(B$2:B135))</f>
        <v>23020027</v>
      </c>
      <c r="C136" s="98">
        <v>44978</v>
      </c>
      <c r="D136" s="92" t="s">
        <v>142</v>
      </c>
      <c r="E136" s="97" t="s">
        <v>424</v>
      </c>
      <c r="F136" s="92" t="s">
        <v>41</v>
      </c>
      <c r="G136" s="95" t="str">
        <f>IF(Table1[[#This Row],[h_No. Invoice :]]="","",CONCATENATE("AM"," ",Table1[[#This Row],[h_No. Invoice :]]))</f>
        <v>AM 23020027</v>
      </c>
      <c r="H136" s="96" t="str">
        <f>CONCATENATE(UPPER(Table1[[#This Row],[h_Kode Sales :_1]])," ",Table1[[#This Row],[h_Kode Sales :_2]])</f>
        <v>KO 1106</v>
      </c>
      <c r="I136" s="95" t="str">
        <f>IF(Table1[[#This Row],[h_toko]]="","",INDEX(Table2[e],IF(Table1[[#This Row],[h_toko]]="","",MATCH(Table1[[#This Row],[h_toko]],Table2[a],0)),))</f>
        <v>CV DWI JAYA YOGYAKARTA</v>
      </c>
      <c r="J136" s="92">
        <v>3</v>
      </c>
      <c r="K136" s="92" t="s">
        <v>92</v>
      </c>
      <c r="M136" s="92" t="s">
        <v>406</v>
      </c>
      <c r="N136" s="291" t="e">
        <f>IF(Table1[[#This Row],[h_Item Description]]="","",INDEX([1]!db[NB PAJAK],MATCH(Table1[[#This Row],[h_Item Description]],[1]!db[kode],0)))</f>
        <v>#N/A</v>
      </c>
      <c r="O136" s="92" t="s">
        <v>406</v>
      </c>
      <c r="P136" s="93">
        <v>69600</v>
      </c>
      <c r="Q136" s="94">
        <v>0.1</v>
      </c>
      <c r="S136" s="294">
        <f>Table1[[#This Row],[h_hargasetelahdiskon]]</f>
        <v>187920</v>
      </c>
      <c r="T136" s="93" t="s">
        <v>132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7</v>
      </c>
      <c r="X136" s="93">
        <f>IF(Table1[Item Description]="","",Table1[[#This Row],[Qty]]*Table1[[#This Row],[Unit Price]])</f>
        <v>208800</v>
      </c>
      <c r="Y136" s="93">
        <f>IF(Table1[Item Description]="","",Table1[[#This Row],[h_hargasebelumdiskon]]*Table1[[#This Row],[Disc 1]])</f>
        <v>20880</v>
      </c>
      <c r="Z136" s="93">
        <f>IF(Table1[Item Description]="","",Table1[[#This Row],[h_hargasebelumdiskon]]-Table1[[#This Row],[h_diskon]])</f>
        <v>187920</v>
      </c>
      <c r="AA136" s="93">
        <f ca="1">IF(Table1[//]="","",SUMIF(Table1[h_id],Table1[h_id],Table1[h_hargasetelahdiskon]))</f>
        <v>1962360</v>
      </c>
      <c r="AB136" s="93"/>
      <c r="AC136" s="93" t="str">
        <f>Table1[[#This Row],[Item Description]]&amp;Table1[[#This Row],[Unit]]&amp;Table1[[#This Row],[Unit Price]]</f>
        <v>CORRECTION TAPE KENKO CT-1505FC (15M X 5MM)LSN69600</v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</v>
      </c>
      <c r="K137" s="92" t="s">
        <v>131</v>
      </c>
      <c r="M137" s="92" t="s">
        <v>425</v>
      </c>
      <c r="N137" s="291" t="e">
        <f>IF(Table1[[#This Row],[h_Item Description]]="","",INDEX([1]!db[NB PAJAK],MATCH(Table1[[#This Row],[h_Item Description]],[1]!db[kode],0)))</f>
        <v>#N/A</v>
      </c>
      <c r="O137" s="92" t="s">
        <v>425</v>
      </c>
      <c r="P137" s="93">
        <v>102000</v>
      </c>
      <c r="Q137" s="94">
        <v>0.1</v>
      </c>
      <c r="S137" s="294">
        <f>Table1[[#This Row],[h_hargasetelahdiskon]]</f>
        <v>183600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7</v>
      </c>
      <c r="X137" s="93">
        <f>IF(Table1[Item Description]="","",Table1[[#This Row],[Qty]]*Table1[[#This Row],[Unit Price]])</f>
        <v>204000</v>
      </c>
      <c r="Y137" s="93">
        <f>IF(Table1[Item Description]="","",Table1[[#This Row],[h_hargasebelumdiskon]]*Table1[[#This Row],[Disc 1]])</f>
        <v>20400</v>
      </c>
      <c r="Z137" s="93">
        <f>IF(Table1[Item Description]="","",Table1[[#This Row],[h_hargasebelumdiskon]]-Table1[[#This Row],[h_diskon]])</f>
        <v>183600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PENSIL KENKO 2B-6019 ANTIBACTERIALGRS102000</v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3</v>
      </c>
      <c r="K138" s="92" t="s">
        <v>141</v>
      </c>
      <c r="M138" s="92" t="s">
        <v>283</v>
      </c>
      <c r="N138" s="291" t="e">
        <f>IF(Table1[[#This Row],[h_Item Description]]="","",INDEX([1]!db[NB PAJAK],MATCH(Table1[[#This Row],[h_Item Description]],[1]!db[kode],0)))</f>
        <v>#N/A</v>
      </c>
      <c r="O138" s="92" t="s">
        <v>283</v>
      </c>
      <c r="P138" s="93">
        <v>72000</v>
      </c>
      <c r="Q138" s="94">
        <v>0.1</v>
      </c>
      <c r="S138" s="294">
        <f>Table1[[#This Row],[h_hargasetelahdiskon]]</f>
        <v>194400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7</v>
      </c>
      <c r="X138" s="93">
        <f>IF(Table1[Item Description]="","",Table1[[#This Row],[Qty]]*Table1[[#This Row],[Unit Price]])</f>
        <v>216000</v>
      </c>
      <c r="Y138" s="93">
        <f>IF(Table1[Item Description]="","",Table1[[#This Row],[h_hargasebelumdiskon]]*Table1[[#This Row],[Disc 1]])</f>
        <v>21600</v>
      </c>
      <c r="Z138" s="93">
        <f>IF(Table1[Item Description]="","",Table1[[#This Row],[h_hargasebelumdiskon]]-Table1[[#This Row],[h_diskon]])</f>
        <v>194400</v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>LEM STICK KENKO 15 GR (TANGGUNG) isi 20 pcBOX72000</v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J139" s="92">
        <v>4</v>
      </c>
      <c r="K139" s="92" t="s">
        <v>92</v>
      </c>
      <c r="M139" s="92" t="s">
        <v>137</v>
      </c>
      <c r="N139" s="291" t="e">
        <f>IF(Table1[[#This Row],[h_Item Description]]="","",INDEX([1]!db[NB PAJAK],MATCH(Table1[[#This Row],[h_Item Description]],[1]!db[kode],0)))</f>
        <v>#N/A</v>
      </c>
      <c r="O139" s="92" t="s">
        <v>137</v>
      </c>
      <c r="P139" s="93">
        <v>93000</v>
      </c>
      <c r="Q139" s="94">
        <v>0.1</v>
      </c>
      <c r="S139" s="294">
        <f>Table1[[#This Row],[h_hargasetelahdiskon]]</f>
        <v>334800</v>
      </c>
      <c r="V139" s="95">
        <f ca="1">IF(Table1[[#This Row],[Item Description]]="","",IF(Table1[[#This Row],[//]]="",INDIRECT(ADDRESS(ROW()-1,COLUMN())),Table1[[#This Row],[//]]))</f>
        <v>136</v>
      </c>
      <c r="W139" s="95">
        <f ca="1">IF(Table1[[#This Row],[h_id]]="","",COUNTIF(Table1[h_id],Table1[[#This Row],[h_id]]))</f>
        <v>7</v>
      </c>
      <c r="X139" s="93">
        <f>IF(Table1[Item Description]="","",Table1[[#This Row],[Qty]]*Table1[[#This Row],[Unit Price]])</f>
        <v>372000</v>
      </c>
      <c r="Y139" s="93">
        <f>IF(Table1[Item Description]="","",Table1[[#This Row],[h_hargasebelumdiskon]]*Table1[[#This Row],[Disc 1]])</f>
        <v>37200</v>
      </c>
      <c r="Z139" s="93">
        <f>IF(Table1[Item Description]="","",Table1[[#This Row],[h_hargasebelumdiskon]]-Table1[[#This Row],[h_diskon]])</f>
        <v>334800</v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>STAPLER KENKO HD-10LSN93000</v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</v>
      </c>
      <c r="K140" s="92" t="s">
        <v>92</v>
      </c>
      <c r="M140" s="92" t="s">
        <v>420</v>
      </c>
      <c r="N140" s="291" t="e">
        <f>IF(Table1[[#This Row],[h_Item Description]]="","",INDEX([1]!db[NB PAJAK],MATCH(Table1[[#This Row],[h_Item Description]],[1]!db[kode],0)))</f>
        <v>#N/A</v>
      </c>
      <c r="O140" s="92" t="s">
        <v>420</v>
      </c>
      <c r="P140" s="93">
        <v>39600</v>
      </c>
      <c r="Q140" s="94">
        <v>0.1</v>
      </c>
      <c r="S140" s="294">
        <f>Table1[[#This Row],[h_hargasetelahdiskon]]</f>
        <v>427680</v>
      </c>
      <c r="V140" s="95">
        <f ca="1">IF(Table1[[#This Row],[Item Description]]="","",IF(Table1[[#This Row],[//]]="",INDIRECT(ADDRESS(ROW()-1,COLUMN())),Table1[[#This Row],[//]]))</f>
        <v>136</v>
      </c>
      <c r="W140" s="95">
        <f ca="1">IF(Table1[[#This Row],[h_id]]="","",COUNTIF(Table1[h_id],Table1[[#This Row],[h_id]]))</f>
        <v>7</v>
      </c>
      <c r="X140" s="93">
        <f>IF(Table1[Item Description]="","",Table1[[#This Row],[Qty]]*Table1[[#This Row],[Unit Price]])</f>
        <v>475200</v>
      </c>
      <c r="Y140" s="93">
        <f>IF(Table1[Item Description]="","",Table1[[#This Row],[h_hargasebelumdiskon]]*Table1[[#This Row],[Disc 1]])</f>
        <v>47520</v>
      </c>
      <c r="Z140" s="93">
        <f>IF(Table1[Item Description]="","",Table1[[#This Row],[h_hargasebelumdiskon]]-Table1[[#This Row],[h_diskon]])</f>
        <v>427680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KENKO K-1LSN39600</v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4</v>
      </c>
      <c r="K141" s="92" t="s">
        <v>92</v>
      </c>
      <c r="M141" s="92" t="s">
        <v>426</v>
      </c>
      <c r="N141" s="291" t="e">
        <f>IF(Table1[[#This Row],[h_Item Description]]="","",INDEX([1]!db[NB PAJAK],MATCH(Table1[[#This Row],[h_Item Description]],[1]!db[kode],0)))</f>
        <v>#N/A</v>
      </c>
      <c r="O141" s="92" t="s">
        <v>426</v>
      </c>
      <c r="P141" s="93">
        <v>56400</v>
      </c>
      <c r="Q141" s="94">
        <v>0.1</v>
      </c>
      <c r="S141" s="294">
        <f>Table1[[#This Row],[h_hargasetelahdiskon]]</f>
        <v>203040</v>
      </c>
      <c r="V141" s="95">
        <f ca="1">IF(Table1[[#This Row],[Item Description]]="","",IF(Table1[[#This Row],[//]]="",INDIRECT(ADDRESS(ROW()-1,COLUMN())),Table1[[#This Row],[//]]))</f>
        <v>136</v>
      </c>
      <c r="W141" s="95">
        <f ca="1">IF(Table1[[#This Row],[h_id]]="","",COUNTIF(Table1[h_id],Table1[[#This Row],[h_id]]))</f>
        <v>7</v>
      </c>
      <c r="X141" s="93">
        <f>IF(Table1[Item Description]="","",Table1[[#This Row],[Qty]]*Table1[[#This Row],[Unit Price]])</f>
        <v>225600</v>
      </c>
      <c r="Y141" s="93">
        <f>IF(Table1[Item Description]="","",Table1[[#This Row],[h_hargasebelumdiskon]]*Table1[[#This Row],[Disc 1]])</f>
        <v>22560</v>
      </c>
      <c r="Z141" s="93">
        <f>IF(Table1[Item Description]="","",Table1[[#This Row],[h_hargasebelumdiskon]]-Table1[[#This Row],[h_diskon]])</f>
        <v>203040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GUNTING KENKO SC-828LSN56400</v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J142" s="92">
        <v>6</v>
      </c>
      <c r="K142" s="92" t="s">
        <v>92</v>
      </c>
      <c r="M142" s="92" t="s">
        <v>427</v>
      </c>
      <c r="N142" s="291" t="e">
        <f>IF(Table1[[#This Row],[h_Item Description]]="","",INDEX([1]!db[NB PAJAK],MATCH(Table1[[#This Row],[h_Item Description]],[1]!db[kode],0)))</f>
        <v>#N/A</v>
      </c>
      <c r="O142" s="92" t="s">
        <v>427</v>
      </c>
      <c r="P142" s="93">
        <v>79800</v>
      </c>
      <c r="Q142" s="94">
        <v>0.1</v>
      </c>
      <c r="S142" s="294">
        <f>Table1[[#This Row],[h_hargasetelahdiskon]]</f>
        <v>430920</v>
      </c>
      <c r="V142" s="95">
        <f ca="1">IF(Table1[[#This Row],[Item Description]]="","",IF(Table1[[#This Row],[//]]="",INDIRECT(ADDRESS(ROW()-1,COLUMN())),Table1[[#This Row],[//]]))</f>
        <v>136</v>
      </c>
      <c r="W142" s="95">
        <f ca="1">IF(Table1[[#This Row],[h_id]]="","",COUNTIF(Table1[h_id],Table1[[#This Row],[h_id]]))</f>
        <v>7</v>
      </c>
      <c r="X142" s="93">
        <f>IF(Table1[Item Description]="","",Table1[[#This Row],[Qty]]*Table1[[#This Row],[Unit Price]])</f>
        <v>478800</v>
      </c>
      <c r="Y142" s="93">
        <f>IF(Table1[Item Description]="","",Table1[[#This Row],[h_hargasebelumdiskon]]*Table1[[#This Row],[Disc 1]])</f>
        <v>47880</v>
      </c>
      <c r="Z142" s="93">
        <f>IF(Table1[Item Description]="","",Table1[[#This Row],[h_hargasebelumdiskon]]-Table1[[#This Row],[h_diskon]])</f>
        <v>430920</v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>GUNTING KENKO SC-838NLSN79800</v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:_1]="","",B$1+COUNT(B$2:B129))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M143" s="292"/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>
        <f>IF(Table1[No. Invoice :]="","",ROW())</f>
        <v>144</v>
      </c>
      <c r="B144" s="291">
        <f>IF(Table1[h_Kode Sales :_1]="","",B$1+COUNT(B$2:B143))</f>
        <v>23020028</v>
      </c>
      <c r="C144" s="98">
        <v>44974</v>
      </c>
      <c r="D144" s="92" t="s">
        <v>142</v>
      </c>
      <c r="E144" s="97" t="s">
        <v>414</v>
      </c>
      <c r="F144" s="92" t="s">
        <v>91</v>
      </c>
      <c r="G144" s="95" t="str">
        <f>IF(Table1[[#This Row],[h_No. Invoice :]]="","",CONCATENATE("AM"," ",Table1[[#This Row],[h_No. Invoice :]]))</f>
        <v>AM 23020028</v>
      </c>
      <c r="H144" s="96" t="str">
        <f>CONCATENATE(UPPER(Table1[[#This Row],[h_Kode Sales :_1]])," ",Table1[[#This Row],[h_Kode Sales :_2]])</f>
        <v>KO 0943</v>
      </c>
      <c r="I144" s="95" t="str">
        <f>IF(Table1[[#This Row],[h_toko]]="","",INDEX(Table2[e],IF(Table1[[#This Row],[h_toko]]="","",MATCH(Table1[[#This Row],[h_toko]],Table2[a],0)),))</f>
        <v>CV TRINITY CENTRAAL PURWOKERTO</v>
      </c>
      <c r="J144" s="92">
        <v>16</v>
      </c>
      <c r="K144" s="92" t="s">
        <v>141</v>
      </c>
      <c r="M144" s="92" t="s">
        <v>280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281</v>
      </c>
      <c r="P144" s="93">
        <v>66000</v>
      </c>
      <c r="Q144" s="94">
        <v>0.13</v>
      </c>
      <c r="S144" s="294">
        <f>Table1[[#This Row],[h_hargasetelahdiskon]]</f>
        <v>918720</v>
      </c>
      <c r="T144" s="93" t="s">
        <v>93</v>
      </c>
      <c r="V144" s="95">
        <f ca="1">IF(Table1[[#This Row],[Item Description]]="","",IF(Table1[[#This Row],[//]]="",INDIRECT(ADDRESS(ROW()-1,COLUMN())),Table1[[#This Row],[//]]))</f>
        <v>144</v>
      </c>
      <c r="W144" s="95">
        <f ca="1">IF(Table1[[#This Row],[h_id]]="","",COUNTIF(Table1[h_id],Table1[[#This Row],[h_id]]))</f>
        <v>1</v>
      </c>
      <c r="X144" s="93">
        <f>IF(Table1[Item Description]="","",Table1[[#This Row],[Qty]]*Table1[[#This Row],[Unit Price]])</f>
        <v>1056000</v>
      </c>
      <c r="Y144" s="93">
        <f>IF(Table1[Item Description]="","",Table1[[#This Row],[h_hargasebelumdiskon]]*Table1[[#This Row],[Disc 1]])</f>
        <v>137280</v>
      </c>
      <c r="Z144" s="93">
        <f>IF(Table1[Item Description]="","",Table1[[#This Row],[h_hargasebelumdiskon]]-Table1[[#This Row],[h_diskon]])</f>
        <v>918720</v>
      </c>
      <c r="AA144" s="93">
        <f ca="1">IF(Table1[//]="","",SUMIF(Table1[h_id],Table1[h_id],Table1[h_hargasetelahdiskon]))</f>
        <v>918720</v>
      </c>
      <c r="AB144" s="93"/>
      <c r="AC144" s="93" t="str">
        <f>Table1[[#This Row],[Item Description]]&amp;Table1[[#This Row],[Unit]]&amp;Table1[[#This Row],[Unit Price]]</f>
        <v>LEM STICK KENKO 8 GR (KECIL) isi 30 pcBOX66000</v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M145" s="292"/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>
        <f>IF(Table1[No. Invoice :]="","",ROW())</f>
        <v>146</v>
      </c>
      <c r="B146" s="291">
        <f>IF(Table1[h_Kode Sales :_1]="","",B$1+COUNT(B$2:B145))</f>
        <v>23020029</v>
      </c>
      <c r="C146" s="98">
        <v>44980</v>
      </c>
      <c r="D146" s="92" t="s">
        <v>142</v>
      </c>
      <c r="E146" s="97" t="s">
        <v>435</v>
      </c>
      <c r="F146" s="92" t="s">
        <v>91</v>
      </c>
      <c r="G146" s="95" t="str">
        <f>IF(Table1[[#This Row],[h_No. Invoice :]]="","",CONCATENATE("AM"," ",Table1[[#This Row],[h_No. Invoice :]]))</f>
        <v>AM 23020029</v>
      </c>
      <c r="H146" s="96" t="str">
        <f>CONCATENATE(UPPER(Table1[[#This Row],[h_Kode Sales :_1]])," ",Table1[[#This Row],[h_Kode Sales :_2]])</f>
        <v>KO 1120</v>
      </c>
      <c r="I146" s="95" t="str">
        <f>IF(Table1[[#This Row],[h_toko]]="","",INDEX(Table2[e],IF(Table1[[#This Row],[h_toko]]="","",MATCH(Table1[[#This Row],[h_toko]],Table2[a],0)),))</f>
        <v>CV TRINITY CENTRAAL PURWOKERTO</v>
      </c>
      <c r="J146" s="92">
        <v>72</v>
      </c>
      <c r="K146" s="92" t="s">
        <v>150</v>
      </c>
      <c r="L146" s="92">
        <v>2</v>
      </c>
      <c r="M146" s="92" t="s">
        <v>438</v>
      </c>
      <c r="N146" s="291" t="e">
        <f>IF(Table1[[#This Row],[h_Item Description]]="","",INDEX([1]!db[NB PAJAK],MATCH(Table1[[#This Row],[h_Item Description]],[1]!db[kode],0)))</f>
        <v>#N/A</v>
      </c>
      <c r="O146" s="92" t="s">
        <v>439</v>
      </c>
      <c r="P146" s="93">
        <v>41500</v>
      </c>
      <c r="Q146" s="94">
        <v>0.13</v>
      </c>
      <c r="S146" s="294">
        <f>Table1[[#This Row],[h_hargasetelahdiskon]]</f>
        <v>2599560</v>
      </c>
      <c r="T146" s="93" t="s">
        <v>93</v>
      </c>
      <c r="V146" s="95">
        <f ca="1">IF(Table1[[#This Row],[Item Description]]="","",IF(Table1[[#This Row],[//]]="",INDIRECT(ADDRESS(ROW()-1,COLUMN())),Table1[[#This Row],[//]]))</f>
        <v>146</v>
      </c>
      <c r="W146" s="95">
        <f ca="1">IF(Table1[[#This Row],[h_id]]="","",COUNTIF(Table1[h_id],Table1[[#This Row],[h_id]]))</f>
        <v>1</v>
      </c>
      <c r="X146" s="93">
        <f>IF(Table1[Item Description]="","",Table1[[#This Row],[Qty]]*Table1[[#This Row],[Unit Price]])</f>
        <v>2988000</v>
      </c>
      <c r="Y146" s="93">
        <f>IF(Table1[Item Description]="","",Table1[[#This Row],[h_hargasebelumdiskon]]*Table1[[#This Row],[Disc 1]])</f>
        <v>388440</v>
      </c>
      <c r="Z146" s="93">
        <f>IF(Table1[Item Description]="","",Table1[[#This Row],[h_hargasebelumdiskon]]-Table1[[#This Row],[h_diskon]])</f>
        <v>2599560</v>
      </c>
      <c r="AA146" s="93">
        <f ca="1">IF(Table1[//]="","",SUMIF(Table1[h_id],Table1[h_id],Table1[h_hargasetelahdiskon]))</f>
        <v>2599560</v>
      </c>
      <c r="AB146" s="93"/>
      <c r="AC146" s="93" t="str">
        <f>Table1[[#This Row],[Item Description]]&amp;Table1[[#This Row],[Unit]]&amp;Table1[[#This Row],[Unit Price]]</f>
        <v>CRAYON / OIL PASTEL JOYKO OP-36S PP CASE SEA WORLDPCS41500</v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M147" s="292"/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>
        <f>IF(Table1[No. Invoice :]="","",ROW())</f>
        <v>148</v>
      </c>
      <c r="B148" s="291">
        <f>IF(Table1[h_Kode Sales :_1]="","",B$1+COUNT(B$2:B147))</f>
        <v>23020030</v>
      </c>
      <c r="C148" s="98">
        <v>44980</v>
      </c>
      <c r="D148" s="92" t="s">
        <v>142</v>
      </c>
      <c r="E148" s="97" t="s">
        <v>441</v>
      </c>
      <c r="F148" s="92" t="s">
        <v>94</v>
      </c>
      <c r="G148" s="95" t="str">
        <f>IF(Table1[[#This Row],[h_No. Invoice :]]="","",CONCATENATE("AM"," ",Table1[[#This Row],[h_No. Invoice :]]))</f>
        <v>AM 23020030</v>
      </c>
      <c r="H148" s="96" t="str">
        <f>CONCATENATE(UPPER(Table1[[#This Row],[h_Kode Sales :_1]])," ",Table1[[#This Row],[h_Kode Sales :_2]])</f>
        <v>KO 1121</v>
      </c>
      <c r="I148" s="95" t="str">
        <f>IF(Table1[[#This Row],[h_toko]]="","",INDEX(Table2[e],IF(Table1[[#This Row],[h_toko]]="","",MATCH(Table1[[#This Row],[h_toko]],Table2[a],0)),))</f>
        <v>CV PELITA JAYA (ANUGERAH SEJAHTERA) PURWOKERTO</v>
      </c>
      <c r="J148" s="92">
        <v>96</v>
      </c>
      <c r="K148" s="92" t="s">
        <v>92</v>
      </c>
      <c r="L148" s="92">
        <v>2</v>
      </c>
      <c r="M148" s="92" t="s">
        <v>442</v>
      </c>
      <c r="N148" s="291" t="str">
        <f>IF(Table1[[#This Row],[h_Item Description]]="","",INDEX([1]!db[NB PAJAK],MATCH(Table1[[#This Row],[h_Item Description]],[1]!db[kode],0)))</f>
        <v>CORRECTION TAPE KENKO CT-909 (12M x 5MM)</v>
      </c>
      <c r="O148" s="92" t="s">
        <v>443</v>
      </c>
      <c r="P148" s="93">
        <v>60000</v>
      </c>
      <c r="Q148" s="94">
        <v>0.13500000000000001</v>
      </c>
      <c r="S148" s="294">
        <f>Table1[[#This Row],[h_hargasetelahdiskon]]</f>
        <v>4982400</v>
      </c>
      <c r="T148" s="93" t="s">
        <v>93</v>
      </c>
      <c r="V148" s="95">
        <f ca="1">IF(Table1[[#This Row],[Item Description]]="","",IF(Table1[[#This Row],[//]]="",INDIRECT(ADDRESS(ROW()-1,COLUMN())),Table1[[#This Row],[//]]))</f>
        <v>148</v>
      </c>
      <c r="W148" s="95">
        <f ca="1">IF(Table1[[#This Row],[h_id]]="","",COUNTIF(Table1[h_id],Table1[[#This Row],[h_id]]))</f>
        <v>1</v>
      </c>
      <c r="X148" s="93">
        <f>IF(Table1[Item Description]="","",Table1[[#This Row],[Qty]]*Table1[[#This Row],[Unit Price]])</f>
        <v>5760000</v>
      </c>
      <c r="Y148" s="93">
        <f>IF(Table1[Item Description]="","",Table1[[#This Row],[h_hargasebelumdiskon]]*Table1[[#This Row],[Disc 1]])</f>
        <v>777600</v>
      </c>
      <c r="Z148" s="93">
        <f>IF(Table1[Item Description]="","",Table1[[#This Row],[h_hargasebelumdiskon]]-Table1[[#This Row],[h_diskon]])</f>
        <v>4982400</v>
      </c>
      <c r="AA148" s="93">
        <f ca="1">IF(Table1[//]="","",SUMIF(Table1[h_id],Table1[h_id],Table1[h_hargasetelahdiskon]))</f>
        <v>4982400</v>
      </c>
      <c r="AB148" s="93"/>
      <c r="AC148" s="93" t="str">
        <f>Table1[[#This Row],[Item Description]]&amp;Table1[[#This Row],[Unit]]&amp;Table1[[#This Row],[Unit Price]]</f>
        <v>CORRECTION TAPE KENKO CT-909 (12M x 5MM)LSN60000</v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M149" s="292"/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>
        <f>IF(Table1[No. Invoice :]="","",ROW())</f>
        <v>150</v>
      </c>
      <c r="B150" s="291">
        <f>IF(Table1[h_Kode Sales :_1]="","",B$1+COUNT(B$2:B149))</f>
        <v>23020031</v>
      </c>
      <c r="C150" s="98">
        <v>44980</v>
      </c>
      <c r="D150" s="92" t="s">
        <v>142</v>
      </c>
      <c r="E150" s="97" t="s">
        <v>445</v>
      </c>
      <c r="F150" s="92" t="s">
        <v>70</v>
      </c>
      <c r="G150" s="95" t="str">
        <f>IF(Table1[[#This Row],[h_No. Invoice :]]="","",CONCATENATE("AM"," ",Table1[[#This Row],[h_No. Invoice :]]))</f>
        <v>AM 23020031</v>
      </c>
      <c r="H150" s="96" t="str">
        <f>CONCATENATE(UPPER(Table1[[#This Row],[h_Kode Sales :_1]])," ",Table1[[#This Row],[h_Kode Sales :_2]])</f>
        <v>KO 0725</v>
      </c>
      <c r="I150" s="95" t="str">
        <f>IF(Table1[[#This Row],[h_toko]]="","",INDEX(Table2[e],IF(Table1[[#This Row],[h_toko]]="","",MATCH(Table1[[#This Row],[h_toko]],Table2[a],0)),))</f>
        <v>CV RAINBOW NUSANTARA SIDOARJO</v>
      </c>
      <c r="J150" s="92">
        <v>4</v>
      </c>
      <c r="K150" s="92" t="s">
        <v>92</v>
      </c>
      <c r="M150" s="92" t="s">
        <v>447</v>
      </c>
      <c r="N150" s="291" t="str">
        <f>IF(Table1[[#This Row],[h_Item Description]]="","",INDEX([1]!db[NB PAJAK],MATCH(Table1[[#This Row],[h_Item Description]],[1]!db[kode],0)))</f>
        <v>STAND PEN SPIRAL KENKO STP-100SG</v>
      </c>
      <c r="O150" s="92" t="s">
        <v>449</v>
      </c>
      <c r="P150" s="93">
        <v>54000</v>
      </c>
      <c r="Q150" s="94">
        <v>0.14499999999999999</v>
      </c>
      <c r="S150" s="294">
        <f>Table1[[#This Row],[h_hargasetelahdiskon]]</f>
        <v>184680</v>
      </c>
      <c r="T150" s="93" t="s">
        <v>93</v>
      </c>
      <c r="V150" s="95">
        <f ca="1">IF(Table1[[#This Row],[Item Description]]="","",IF(Table1[[#This Row],[//]]="",INDIRECT(ADDRESS(ROW()-1,COLUMN())),Table1[[#This Row],[//]]))</f>
        <v>150</v>
      </c>
      <c r="W150" s="95">
        <f ca="1">IF(Table1[[#This Row],[h_id]]="","",COUNTIF(Table1[h_id],Table1[[#This Row],[h_id]]))</f>
        <v>6</v>
      </c>
      <c r="X150" s="93">
        <f>IF(Table1[Item Description]="","",Table1[[#This Row],[Qty]]*Table1[[#This Row],[Unit Price]])</f>
        <v>216000</v>
      </c>
      <c r="Y150" s="93">
        <f>IF(Table1[Item Description]="","",Table1[[#This Row],[h_hargasebelumdiskon]]*Table1[[#This Row],[Disc 1]])</f>
        <v>31319.999999999996</v>
      </c>
      <c r="Z150" s="93">
        <f>IF(Table1[Item Description]="","",Table1[[#This Row],[h_hargasebelumdiskon]]-Table1[[#This Row],[h_diskon]])</f>
        <v>184680</v>
      </c>
      <c r="AA150" s="93">
        <f ca="1">IF(Table1[//]="","",SUMIF(Table1[h_id],Table1[h_id],Table1[h_hargasetelahdiskon]))</f>
        <v>2582442</v>
      </c>
      <c r="AB150" s="93"/>
      <c r="AC150" s="93" t="str">
        <f>Table1[[#This Row],[Item Description]]&amp;Table1[[#This Row],[Unit]]&amp;Table1[[#This Row],[Unit Price]]</f>
        <v>STAND PEN SPIRAL KENKO STP-100SGLSN54000</v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J151" s="92">
        <v>5</v>
      </c>
      <c r="K151" s="92" t="s">
        <v>92</v>
      </c>
      <c r="M151" s="92" t="s">
        <v>448</v>
      </c>
      <c r="N151" s="291" t="str">
        <f>IF(Table1[[#This Row],[h_Item Description]]="","",INDEX([1]!db[NB PAJAK],MATCH(Table1[[#This Row],[h_Item Description]],[1]!db[kode],0)))</f>
        <v>STAND PEN SPIRAL KENKO STP-300SG</v>
      </c>
      <c r="O151" s="92" t="s">
        <v>450</v>
      </c>
      <c r="P151" s="93">
        <v>49200</v>
      </c>
      <c r="Q151" s="94">
        <v>0.14499999999999999</v>
      </c>
      <c r="S151" s="294">
        <f>Table1[[#This Row],[h_hargasetelahdiskon]]</f>
        <v>210330</v>
      </c>
      <c r="V151" s="95">
        <f ca="1">IF(Table1[[#This Row],[Item Description]]="","",IF(Table1[[#This Row],[//]]="",INDIRECT(ADDRESS(ROW()-1,COLUMN())),Table1[[#This Row],[//]]))</f>
        <v>150</v>
      </c>
      <c r="W151" s="95">
        <f ca="1">IF(Table1[[#This Row],[h_id]]="","",COUNTIF(Table1[h_id],Table1[[#This Row],[h_id]]))</f>
        <v>6</v>
      </c>
      <c r="X151" s="93">
        <f>IF(Table1[Item Description]="","",Table1[[#This Row],[Qty]]*Table1[[#This Row],[Unit Price]])</f>
        <v>246000</v>
      </c>
      <c r="Y151" s="93">
        <f>IF(Table1[Item Description]="","",Table1[[#This Row],[h_hargasebelumdiskon]]*Table1[[#This Row],[Disc 1]])</f>
        <v>35670</v>
      </c>
      <c r="Z151" s="93">
        <f>IF(Table1[Item Description]="","",Table1[[#This Row],[h_hargasebelumdiskon]]-Table1[[#This Row],[h_diskon]])</f>
        <v>210330</v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>STAND PEN SPIRAL KENKO STP-300SGLSN49200</v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J152" s="92">
        <v>8</v>
      </c>
      <c r="K152" s="92" t="s">
        <v>92</v>
      </c>
      <c r="M152" s="92" t="s">
        <v>205</v>
      </c>
      <c r="N152" s="291" t="e">
        <f>IF(Table1[[#This Row],[h_Item Description]]="","",INDEX([1]!db[NB PAJAK],MATCH(Table1[[#This Row],[h_Item Description]],[1]!db[kode],0)))</f>
        <v>#N/A</v>
      </c>
      <c r="O152" s="92" t="s">
        <v>211</v>
      </c>
      <c r="P152" s="93">
        <v>79200</v>
      </c>
      <c r="Q152" s="94">
        <v>0.14499999999999999</v>
      </c>
      <c r="S152" s="294">
        <f>Table1[[#This Row],[h_hargasetelahdiskon]]</f>
        <v>541728</v>
      </c>
      <c r="V152" s="95">
        <f ca="1">IF(Table1[[#This Row],[Item Description]]="","",IF(Table1[[#This Row],[//]]="",INDIRECT(ADDRESS(ROW()-1,COLUMN())),Table1[[#This Row],[//]]))</f>
        <v>150</v>
      </c>
      <c r="W152" s="95">
        <f ca="1">IF(Table1[[#This Row],[h_id]]="","",COUNTIF(Table1[h_id],Table1[[#This Row],[h_id]]))</f>
        <v>6</v>
      </c>
      <c r="X152" s="93">
        <f>IF(Table1[Item Description]="","",Table1[[#This Row],[Qty]]*Table1[[#This Row],[Unit Price]])</f>
        <v>633600</v>
      </c>
      <c r="Y152" s="93">
        <f>IF(Table1[Item Description]="","",Table1[[#This Row],[h_hargasebelumdiskon]]*Table1[[#This Row],[Disc 1]])</f>
        <v>91872</v>
      </c>
      <c r="Z152" s="93">
        <f>IF(Table1[Item Description]="","",Table1[[#This Row],[h_hargasebelumdiskon]]-Table1[[#This Row],[h_diskon]])</f>
        <v>541728</v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>PENSIL WARNA KENKO CP-12HALF CLASSIC (PENDEK)LSN79200</v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J153" s="92">
        <v>2</v>
      </c>
      <c r="K153" s="92" t="s">
        <v>92</v>
      </c>
      <c r="M153" s="92" t="s">
        <v>200</v>
      </c>
      <c r="N153" s="291" t="str">
        <f>IF(Table1[[#This Row],[h_Item Description]]="","",INDEX([1]!db[NB PAJAK],MATCH(Table1[[#This Row],[h_Item Description]],[1]!db[kode],0)))</f>
        <v>GARISAN BESI (STAINLESS STEEL) KENKO 100 CM / 1 M</v>
      </c>
      <c r="O153" s="92" t="s">
        <v>207</v>
      </c>
      <c r="P153" s="93">
        <v>522000</v>
      </c>
      <c r="Q153" s="94">
        <v>0.14499999999999999</v>
      </c>
      <c r="S153" s="294">
        <f>Table1[[#This Row],[h_hargasetelahdiskon]]</f>
        <v>892620</v>
      </c>
      <c r="V153" s="95">
        <f ca="1">IF(Table1[[#This Row],[Item Description]]="","",IF(Table1[[#This Row],[//]]="",INDIRECT(ADDRESS(ROW()-1,COLUMN())),Table1[[#This Row],[//]]))</f>
        <v>150</v>
      </c>
      <c r="W153" s="95">
        <f ca="1">IF(Table1[[#This Row],[h_id]]="","",COUNTIF(Table1[h_id],Table1[[#This Row],[h_id]]))</f>
        <v>6</v>
      </c>
      <c r="X153" s="93">
        <f>IF(Table1[Item Description]="","",Table1[[#This Row],[Qty]]*Table1[[#This Row],[Unit Price]])</f>
        <v>1044000</v>
      </c>
      <c r="Y153" s="93">
        <f>IF(Table1[Item Description]="","",Table1[[#This Row],[h_hargasebelumdiskon]]*Table1[[#This Row],[Disc 1]])</f>
        <v>151380</v>
      </c>
      <c r="Z153" s="93">
        <f>IF(Table1[Item Description]="","",Table1[[#This Row],[h_hargasebelumdiskon]]-Table1[[#This Row],[h_diskon]])</f>
        <v>892620</v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>GARISAN BESI (STAINLESS STEEL) KENKO 100 CM / 1 MLSN522000</v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12</v>
      </c>
      <c r="K154" s="92" t="s">
        <v>92</v>
      </c>
      <c r="M154" s="92" t="s">
        <v>446</v>
      </c>
      <c r="N154" s="291" t="e">
        <f>IF(Table1[[#This Row],[h_Item Description]]="","",INDEX([1]!db[NB PAJAK],MATCH(Table1[[#This Row],[h_Item Description]],[1]!db[kode],0)))</f>
        <v>#N/A</v>
      </c>
      <c r="O154" s="92" t="s">
        <v>451</v>
      </c>
      <c r="P154" s="93">
        <v>67200</v>
      </c>
      <c r="Q154" s="94">
        <v>0.14499999999999999</v>
      </c>
      <c r="S154" s="294">
        <f>Table1[[#This Row],[h_hargasetelahdiskon]]</f>
        <v>689472</v>
      </c>
      <c r="V154" s="95">
        <f ca="1">IF(Table1[[#This Row],[Item Description]]="","",IF(Table1[[#This Row],[//]]="",INDIRECT(ADDRESS(ROW()-1,COLUMN())),Table1[[#This Row],[//]]))</f>
        <v>150</v>
      </c>
      <c r="W154" s="95">
        <f ca="1">IF(Table1[[#This Row],[h_id]]="","",COUNTIF(Table1[h_id],Table1[[#This Row],[h_id]]))</f>
        <v>6</v>
      </c>
      <c r="X154" s="93">
        <f>IF(Table1[Item Description]="","",Table1[[#This Row],[Qty]]*Table1[[#This Row],[Unit Price]])</f>
        <v>806400</v>
      </c>
      <c r="Y154" s="93">
        <f>IF(Table1[Item Description]="","",Table1[[#This Row],[h_hargasebelumdiskon]]*Table1[[#This Row],[Disc 1]])</f>
        <v>116927.99999999999</v>
      </c>
      <c r="Z154" s="93">
        <f>IF(Table1[Item Description]="","",Table1[[#This Row],[h_hargasebelumdiskon]]-Table1[[#This Row],[h_diskon]])</f>
        <v>689472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STAPLER KENKO HD-10MPLSN67200</v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J155" s="92">
        <v>1</v>
      </c>
      <c r="K155" s="92" t="s">
        <v>92</v>
      </c>
      <c r="M155" s="92" t="s">
        <v>154</v>
      </c>
      <c r="N155" s="291" t="str">
        <f>IF(Table1[[#This Row],[h_Item Description]]="","",INDEX([1]!db[NB PAJAK],MATCH(Table1[[#This Row],[h_Item Description]],[1]!db[kode],0)))</f>
        <v>DATE STAMP KENKO D-4 (Cap Tanggal 4 Mm)</v>
      </c>
      <c r="O155" s="92" t="s">
        <v>163</v>
      </c>
      <c r="P155" s="93">
        <v>74400</v>
      </c>
      <c r="Q155" s="94">
        <v>0.14499999999999999</v>
      </c>
      <c r="S155" s="294">
        <f>Table1[[#This Row],[h_hargasetelahdiskon]]</f>
        <v>63612</v>
      </c>
      <c r="V155" s="95">
        <f ca="1">IF(Table1[[#This Row],[Item Description]]="","",IF(Table1[[#This Row],[//]]="",INDIRECT(ADDRESS(ROW()-1,COLUMN())),Table1[[#This Row],[//]]))</f>
        <v>150</v>
      </c>
      <c r="W155" s="95">
        <f ca="1">IF(Table1[[#This Row],[h_id]]="","",COUNTIF(Table1[h_id],Table1[[#This Row],[h_id]]))</f>
        <v>6</v>
      </c>
      <c r="X155" s="93">
        <f>IF(Table1[Item Description]="","",Table1[[#This Row],[Qty]]*Table1[[#This Row],[Unit Price]])</f>
        <v>74400</v>
      </c>
      <c r="Y155" s="93">
        <f>IF(Table1[Item Description]="","",Table1[[#This Row],[h_hargasebelumdiskon]]*Table1[[#This Row],[Disc 1]])</f>
        <v>10788</v>
      </c>
      <c r="Z155" s="93">
        <f>IF(Table1[Item Description]="","",Table1[[#This Row],[h_hargasebelumdiskon]]-Table1[[#This Row],[h_diskon]])</f>
        <v>63612</v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>DATE STAMP KENKO D-4 (Cap Tanggal 4 Mm)LSN74400</v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M156" s="292"/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>
        <f>IF(Table1[No. Invoice :]="","",ROW())</f>
        <v>157</v>
      </c>
      <c r="B157" s="291">
        <f>IF(Table1[h_Kode Sales :_1]="","",B$1+COUNT(B$2:B156))</f>
        <v>23020032</v>
      </c>
      <c r="C157" s="98">
        <v>44980</v>
      </c>
      <c r="D157" s="92" t="s">
        <v>142</v>
      </c>
      <c r="E157" s="97" t="s">
        <v>456</v>
      </c>
      <c r="F157" s="92" t="s">
        <v>78</v>
      </c>
      <c r="G157" s="95" t="str">
        <f>IF(Table1[[#This Row],[h_No. Invoice :]]="","",CONCATENATE("AM"," ",Table1[[#This Row],[h_No. Invoice :]]))</f>
        <v>AM 23020032</v>
      </c>
      <c r="H157" s="96" t="str">
        <f>CONCATENATE(UPPER(Table1[[#This Row],[h_Kode Sales :_1]])," ",Table1[[#This Row],[h_Kode Sales :_2]])</f>
        <v>KO 1124</v>
      </c>
      <c r="I157" s="95" t="str">
        <f>IF(Table1[[#This Row],[h_toko]]="","",INDEX(Table2[e],IF(Table1[[#This Row],[h_toko]]="","",MATCH(Table1[[#This Row],[h_toko]],Table2[a],0)),))</f>
        <v>CV SINAR CAHAYA NIRMALA BREBES</v>
      </c>
      <c r="J157" s="92">
        <v>2</v>
      </c>
      <c r="K157" s="92" t="s">
        <v>92</v>
      </c>
      <c r="M157" s="92" t="s">
        <v>462</v>
      </c>
      <c r="N157" s="291" t="str">
        <f>IF(Table1[[#This Row],[h_Item Description]]="","",INDEX([1]!db[NB PAJAK],MATCH(Table1[[#This Row],[h_Item Description]],[1]!db[kode],0)))</f>
        <v>GEL PEN KENKO HI-TECH-H 0.28 MM FUN COLOR HITAM</v>
      </c>
      <c r="O157" s="92" t="s">
        <v>465</v>
      </c>
      <c r="P157" s="93">
        <v>39000</v>
      </c>
      <c r="Q157" s="94">
        <v>0.1</v>
      </c>
      <c r="S157" s="294">
        <f>Table1[[#This Row],[h_hargasetelahdiskon]]</f>
        <v>70200</v>
      </c>
      <c r="T157" s="93" t="s">
        <v>93</v>
      </c>
      <c r="V157" s="95">
        <f ca="1">IF(Table1[[#This Row],[Item Description]]="","",IF(Table1[[#This Row],[//]]="",INDIRECT(ADDRESS(ROW()-1,COLUMN())),Table1[[#This Row],[//]]))</f>
        <v>157</v>
      </c>
      <c r="W157" s="95">
        <f ca="1">IF(Table1[[#This Row],[h_id]]="","",COUNTIF(Table1[h_id],Table1[[#This Row],[h_id]]))</f>
        <v>10</v>
      </c>
      <c r="X157" s="93">
        <f>IF(Table1[Item Description]="","",Table1[[#This Row],[Qty]]*Table1[[#This Row],[Unit Price]])</f>
        <v>78000</v>
      </c>
      <c r="Y157" s="93">
        <f>IF(Table1[Item Description]="","",Table1[[#This Row],[h_hargasebelumdiskon]]*Table1[[#This Row],[Disc 1]])</f>
        <v>7800</v>
      </c>
      <c r="Z157" s="93">
        <f>IF(Table1[Item Description]="","",Table1[[#This Row],[h_hargasebelumdiskon]]-Table1[[#This Row],[h_diskon]])</f>
        <v>70200</v>
      </c>
      <c r="AA157" s="93">
        <f ca="1">IF(Table1[//]="","",SUMIF(Table1[h_id],Table1[h_id],Table1[h_hargasetelahdiskon]))</f>
        <v>1721520</v>
      </c>
      <c r="AB157" s="93"/>
      <c r="AC157" s="93" t="str">
        <f>Table1[[#This Row],[Item Description]]&amp;Table1[[#This Row],[Unit]]&amp;Table1[[#This Row],[Unit Price]]</f>
        <v>GEL PEN KENKO HI-TECH-H 0.28 MM FUN COLORLSN39000</v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</v>
      </c>
      <c r="K158" s="92" t="s">
        <v>92</v>
      </c>
      <c r="M158" s="92" t="s">
        <v>157</v>
      </c>
      <c r="N158" s="291" t="str">
        <f>IF(Table1[[#This Row],[h_Item Description]]="","",INDEX([1]!db[NB PAJAK],MATCH(Table1[[#This Row],[h_Item Description]],[1]!db[kode],0)))</f>
        <v>PENSIL WARNA KENKO CP-12F CLASSIC (PANJANG)</v>
      </c>
      <c r="O158" s="92" t="s">
        <v>161</v>
      </c>
      <c r="P158" s="93">
        <v>124200</v>
      </c>
      <c r="Q158" s="94">
        <v>0.1</v>
      </c>
      <c r="S158" s="294">
        <f>Table1[[#This Row],[h_hargasetelahdiskon]]</f>
        <v>223560</v>
      </c>
      <c r="V158" s="95">
        <f ca="1">IF(Table1[[#This Row],[Item Description]]="","",IF(Table1[[#This Row],[//]]="",INDIRECT(ADDRESS(ROW()-1,COLUMN())),Table1[[#This Row],[//]]))</f>
        <v>157</v>
      </c>
      <c r="W158" s="95">
        <f ca="1">IF(Table1[[#This Row],[h_id]]="","",COUNTIF(Table1[h_id],Table1[[#This Row],[h_id]]))</f>
        <v>10</v>
      </c>
      <c r="X158" s="93">
        <f>IF(Table1[Item Description]="","",Table1[[#This Row],[Qty]]*Table1[[#This Row],[Unit Price]])</f>
        <v>248400</v>
      </c>
      <c r="Y158" s="93">
        <f>IF(Table1[Item Description]="","",Table1[[#This Row],[h_hargasebelumdiskon]]*Table1[[#This Row],[Disc 1]])</f>
        <v>24840</v>
      </c>
      <c r="Z158" s="93">
        <f>IF(Table1[Item Description]="","",Table1[[#This Row],[h_hargasebelumdiskon]]-Table1[[#This Row],[h_diskon]])</f>
        <v>223560</v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>PENSIL WARNA KENKO CP-12F CLASSIC (PANJANG)LSN124200</v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2</v>
      </c>
      <c r="K159" s="92" t="s">
        <v>92</v>
      </c>
      <c r="M159" s="92" t="s">
        <v>457</v>
      </c>
      <c r="N159" s="291" t="str">
        <f>IF(Table1[[#This Row],[h_Item Description]]="","",INDEX([1]!db[NB PAJAK],MATCH(Table1[[#This Row],[h_Item Description]],[1]!db[kode],0)))</f>
        <v>PENSIL WARNA KENKO CP-12HALF CLASSIC (PENDEK)</v>
      </c>
      <c r="O159" s="92" t="s">
        <v>211</v>
      </c>
      <c r="P159" s="93">
        <v>79200</v>
      </c>
      <c r="Q159" s="94">
        <v>0.1</v>
      </c>
      <c r="S159" s="294">
        <f>Table1[[#This Row],[h_hargasetelahdiskon]]</f>
        <v>142560</v>
      </c>
      <c r="V159" s="95">
        <f ca="1">IF(Table1[[#This Row],[Item Description]]="","",IF(Table1[[#This Row],[//]]="",INDIRECT(ADDRESS(ROW()-1,COLUMN())),Table1[[#This Row],[//]]))</f>
        <v>157</v>
      </c>
      <c r="W159" s="95">
        <f ca="1">IF(Table1[[#This Row],[h_id]]="","",COUNTIF(Table1[h_id],Table1[[#This Row],[h_id]]))</f>
        <v>10</v>
      </c>
      <c r="X159" s="93">
        <f>IF(Table1[Item Description]="","",Table1[[#This Row],[Qty]]*Table1[[#This Row],[Unit Price]])</f>
        <v>158400</v>
      </c>
      <c r="Y159" s="93">
        <f>IF(Table1[Item Description]="","",Table1[[#This Row],[h_hargasebelumdiskon]]*Table1[[#This Row],[Disc 1]])</f>
        <v>15840</v>
      </c>
      <c r="Z159" s="93">
        <f>IF(Table1[Item Description]="","",Table1[[#This Row],[h_hargasebelumdiskon]]-Table1[[#This Row],[h_diskon]])</f>
        <v>142560</v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>PENSIL WARNA KENKO CP-12HALF CLASSIC (PENDEK)LSN79200</v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1</v>
      </c>
      <c r="K160" s="92" t="s">
        <v>92</v>
      </c>
      <c r="M160" s="92" t="s">
        <v>458</v>
      </c>
      <c r="N160" s="291" t="e">
        <f>IF(Table1[[#This Row],[h_Item Description]]="","",INDEX([1]!db[NB PAJAK],MATCH(Table1[[#This Row],[h_Item Description]],[1]!db[kode],0)))</f>
        <v>#N/A</v>
      </c>
      <c r="O160" s="92" t="s">
        <v>463</v>
      </c>
      <c r="P160" s="93">
        <v>446400</v>
      </c>
      <c r="Q160" s="94">
        <v>0.1</v>
      </c>
      <c r="S160" s="294">
        <f>Table1[[#This Row],[h_hargasetelahdiskon]]</f>
        <v>401760</v>
      </c>
      <c r="V160" s="95">
        <f ca="1">IF(Table1[[#This Row],[Item Description]]="","",IF(Table1[[#This Row],[//]]="",INDIRECT(ADDRESS(ROW()-1,COLUMN())),Table1[[#This Row],[//]]))</f>
        <v>157</v>
      </c>
      <c r="W160" s="95">
        <f ca="1">IF(Table1[[#This Row],[h_id]]="","",COUNTIF(Table1[h_id],Table1[[#This Row],[h_id]]))</f>
        <v>10</v>
      </c>
      <c r="X160" s="93">
        <f>IF(Table1[Item Description]="","",Table1[[#This Row],[Qty]]*Table1[[#This Row],[Unit Price]])</f>
        <v>446400</v>
      </c>
      <c r="Y160" s="93">
        <f>IF(Table1[Item Description]="","",Table1[[#This Row],[h_hargasebelumdiskon]]*Table1[[#This Row],[Disc 1]])</f>
        <v>44640</v>
      </c>
      <c r="Z160" s="93">
        <f>IF(Table1[Item Description]="","",Table1[[#This Row],[h_hargasebelumdiskon]]-Table1[[#This Row],[h_diskon]])</f>
        <v>401760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CRAYON / OIL PASTEL PUTAR JOYKO TWCR-24MINI (PENDEK)LSN446400</v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J161" s="92">
        <v>25</v>
      </c>
      <c r="K161" s="92" t="s">
        <v>316</v>
      </c>
      <c r="M161" s="92" t="s">
        <v>459</v>
      </c>
      <c r="N161" s="291" t="e">
        <f>IF(Table1[[#This Row],[h_Item Description]]="","",INDEX([1]!db[NB PAJAK],MATCH(Table1[[#This Row],[h_Item Description]],[1]!db[kode],0)))</f>
        <v>#N/A</v>
      </c>
      <c r="O161" s="92" t="s">
        <v>464</v>
      </c>
      <c r="P161" s="93">
        <v>5700</v>
      </c>
      <c r="Q161" s="94">
        <v>0.1</v>
      </c>
      <c r="S161" s="294">
        <f>Table1[[#This Row],[h_hargasetelahdiskon]]</f>
        <v>128250</v>
      </c>
      <c r="V161" s="95">
        <f ca="1">IF(Table1[[#This Row],[Item Description]]="","",IF(Table1[[#This Row],[//]]="",INDIRECT(ADDRESS(ROW()-1,COLUMN())),Table1[[#This Row],[//]]))</f>
        <v>157</v>
      </c>
      <c r="W161" s="95">
        <f ca="1">IF(Table1[[#This Row],[h_id]]="","",COUNTIF(Table1[h_id],Table1[[#This Row],[h_id]]))</f>
        <v>10</v>
      </c>
      <c r="X161" s="93">
        <f>IF(Table1[Item Description]="","",Table1[[#This Row],[Qty]]*Table1[[#This Row],[Unit Price]])</f>
        <v>142500</v>
      </c>
      <c r="Y161" s="93">
        <f>IF(Table1[Item Description]="","",Table1[[#This Row],[h_hargasebelumdiskon]]*Table1[[#This Row],[Disc 1]])</f>
        <v>14250</v>
      </c>
      <c r="Z161" s="93">
        <f>IF(Table1[Item Description]="","",Table1[[#This Row],[h_hargasebelumdiskon]]-Table1[[#This Row],[h_diskon]])</f>
        <v>128250</v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>LOOSE LEAF JOYART B5-2670 (50S)PAK5700</v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J162" s="92">
        <v>1</v>
      </c>
      <c r="K162" s="92" t="s">
        <v>92</v>
      </c>
      <c r="M162" s="92" t="s">
        <v>436</v>
      </c>
      <c r="N162" s="291" t="str">
        <f>IF(Table1[[#This Row],[h_Item Description]]="","",INDEX([1]!db[NB PAJAK],MATCH(Table1[[#This Row],[h_Item Description]],[1]!db[kode],0)))</f>
        <v>CRAYON / OIL PASTEL JOYKO OP-18S PP CASE SEA WORLD</v>
      </c>
      <c r="O162" s="92" t="s">
        <v>437</v>
      </c>
      <c r="P162" s="93">
        <v>276000</v>
      </c>
      <c r="Q162" s="94">
        <v>0.1</v>
      </c>
      <c r="S162" s="294">
        <f>Table1[[#This Row],[h_hargasetelahdiskon]]</f>
        <v>248400</v>
      </c>
      <c r="V162" s="95">
        <f ca="1">IF(Table1[[#This Row],[Item Description]]="","",IF(Table1[[#This Row],[//]]="",INDIRECT(ADDRESS(ROW()-1,COLUMN())),Table1[[#This Row],[//]]))</f>
        <v>157</v>
      </c>
      <c r="W162" s="95">
        <f ca="1">IF(Table1[[#This Row],[h_id]]="","",COUNTIF(Table1[h_id],Table1[[#This Row],[h_id]]))</f>
        <v>10</v>
      </c>
      <c r="X162" s="93">
        <f>IF(Table1[Item Description]="","",Table1[[#This Row],[Qty]]*Table1[[#This Row],[Unit Price]])</f>
        <v>276000</v>
      </c>
      <c r="Y162" s="93">
        <f>IF(Table1[Item Description]="","",Table1[[#This Row],[h_hargasebelumdiskon]]*Table1[[#This Row],[Disc 1]])</f>
        <v>27600</v>
      </c>
      <c r="Z162" s="93">
        <f>IF(Table1[Item Description]="","",Table1[[#This Row],[h_hargasebelumdiskon]]-Table1[[#This Row],[h_diskon]])</f>
        <v>248400</v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>CRAYON / OIL PASTEL JOYKO OP-18S PP CASE SEA WORLDLSN276000</v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J163" s="92">
        <v>3</v>
      </c>
      <c r="K163" s="92" t="s">
        <v>92</v>
      </c>
      <c r="M163" s="92" t="s">
        <v>227</v>
      </c>
      <c r="N163" s="291" t="str">
        <f>IF(Table1[[#This Row],[h_Item Description]]="","",INDEX([1]!db[NB PAJAK],MATCH(Table1[[#This Row],[h_Item Description]],[1]!db[kode],0)))</f>
        <v>GEL PEN KENKO K-1 HITAM</v>
      </c>
      <c r="O163" s="92" t="s">
        <v>233</v>
      </c>
      <c r="P163" s="93">
        <v>39600</v>
      </c>
      <c r="Q163" s="94">
        <v>0.1</v>
      </c>
      <c r="S163" s="294">
        <f>Table1[[#This Row],[h_hargasetelahdiskon]]</f>
        <v>106920</v>
      </c>
      <c r="V163" s="95">
        <f ca="1">IF(Table1[[#This Row],[Item Description]]="","",IF(Table1[[#This Row],[//]]="",INDIRECT(ADDRESS(ROW()-1,COLUMN())),Table1[[#This Row],[//]]))</f>
        <v>157</v>
      </c>
      <c r="W163" s="95">
        <f ca="1">IF(Table1[[#This Row],[h_id]]="","",COUNTIF(Table1[h_id],Table1[[#This Row],[h_id]]))</f>
        <v>10</v>
      </c>
      <c r="X163" s="93">
        <f>IF(Table1[Item Description]="","",Table1[[#This Row],[Qty]]*Table1[[#This Row],[Unit Price]])</f>
        <v>118800</v>
      </c>
      <c r="Y163" s="93">
        <f>IF(Table1[Item Description]="","",Table1[[#This Row],[h_hargasebelumdiskon]]*Table1[[#This Row],[Disc 1]])</f>
        <v>11880</v>
      </c>
      <c r="Z163" s="93">
        <f>IF(Table1[Item Description]="","",Table1[[#This Row],[h_hargasebelumdiskon]]-Table1[[#This Row],[h_diskon]])</f>
        <v>106920</v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>GEL PEN KENKO K-1 HITAMLSN39600</v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1</v>
      </c>
      <c r="K164" s="92" t="s">
        <v>92</v>
      </c>
      <c r="M164" s="92" t="s">
        <v>460</v>
      </c>
      <c r="N164" s="291" t="str">
        <f>IF(Table1[[#This Row],[h_Item Description]]="","",INDEX([1]!db[NB PAJAK],MATCH(Table1[[#This Row],[h_Item Description]],[1]!db[kode],0)))</f>
        <v>PAPER CLIP WARNA KENKO 3100</v>
      </c>
      <c r="O164" s="92" t="s">
        <v>466</v>
      </c>
      <c r="P164" s="93">
        <v>41400</v>
      </c>
      <c r="Q164" s="94">
        <v>0.1</v>
      </c>
      <c r="S164" s="294">
        <f>Table1[[#This Row],[h_hargasetelahdiskon]]</f>
        <v>37260</v>
      </c>
      <c r="V164" s="95">
        <f ca="1">IF(Table1[[#This Row],[Item Description]]="","",IF(Table1[[#This Row],[//]]="",INDIRECT(ADDRESS(ROW()-1,COLUMN())),Table1[[#This Row],[//]]))</f>
        <v>157</v>
      </c>
      <c r="W164" s="95">
        <f ca="1">IF(Table1[[#This Row],[h_id]]="","",COUNTIF(Table1[h_id],Table1[[#This Row],[h_id]]))</f>
        <v>10</v>
      </c>
      <c r="X164" s="93">
        <f>IF(Table1[Item Description]="","",Table1[[#This Row],[Qty]]*Table1[[#This Row],[Unit Price]])</f>
        <v>41400</v>
      </c>
      <c r="Y164" s="93">
        <f>IF(Table1[Item Description]="","",Table1[[#This Row],[h_hargasebelumdiskon]]*Table1[[#This Row],[Disc 1]])</f>
        <v>4140</v>
      </c>
      <c r="Z164" s="93">
        <f>IF(Table1[Item Description]="","",Table1[[#This Row],[h_hargasebelumdiskon]]-Table1[[#This Row],[h_diskon]])</f>
        <v>37260</v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>PAPER CLIP WARNA KENKO 3100LSN41400</v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3</v>
      </c>
      <c r="K165" s="92" t="s">
        <v>316</v>
      </c>
      <c r="M165" s="92" t="s">
        <v>461</v>
      </c>
      <c r="N165" s="291" t="str">
        <f>IF(Table1[[#This Row],[h_Item Description]]="","",INDEX([1]!db[NB PAJAK],MATCH(Table1[[#This Row],[h_Item Description]],[1]!db[kode],0)))</f>
        <v>STIP / PENGHAPUS KENKO ERB-40SQ HITAM</v>
      </c>
      <c r="O165" s="92" t="s">
        <v>467</v>
      </c>
      <c r="P165" s="93">
        <v>27500</v>
      </c>
      <c r="Q165" s="94">
        <v>0.1</v>
      </c>
      <c r="S165" s="294">
        <f>Table1[[#This Row],[h_hargasetelahdiskon]]</f>
        <v>74250</v>
      </c>
      <c r="V165" s="95">
        <f ca="1">IF(Table1[[#This Row],[Item Description]]="","",IF(Table1[[#This Row],[//]]="",INDIRECT(ADDRESS(ROW()-1,COLUMN())),Table1[[#This Row],[//]]))</f>
        <v>157</v>
      </c>
      <c r="W165" s="95">
        <f ca="1">IF(Table1[[#This Row],[h_id]]="","",COUNTIF(Table1[h_id],Table1[[#This Row],[h_id]]))</f>
        <v>10</v>
      </c>
      <c r="X165" s="93">
        <f>IF(Table1[Item Description]="","",Table1[[#This Row],[Qty]]*Table1[[#This Row],[Unit Price]])</f>
        <v>82500</v>
      </c>
      <c r="Y165" s="93">
        <f>IF(Table1[Item Description]="","",Table1[[#This Row],[h_hargasebelumdiskon]]*Table1[[#This Row],[Disc 1]])</f>
        <v>8250</v>
      </c>
      <c r="Z165" s="93">
        <f>IF(Table1[Item Description]="","",Table1[[#This Row],[h_hargasebelumdiskon]]-Table1[[#This Row],[h_diskon]])</f>
        <v>74250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STIP / PENGHAPUS KENKO ERB-40SQ HITAMPAK27500</v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6</v>
      </c>
      <c r="K166" s="92" t="s">
        <v>92</v>
      </c>
      <c r="M166" s="92" t="s">
        <v>288</v>
      </c>
      <c r="N166" s="291" t="str">
        <f>IF(Table1[[#This Row],[h_Item Description]]="","",INDEX([1]!db[NB PAJAK],MATCH(Table1[[#This Row],[h_Item Description]],[1]!db[kode],0)))</f>
        <v>CORRECTION FLUID KENKO KE-301</v>
      </c>
      <c r="O166" s="92" t="s">
        <v>292</v>
      </c>
      <c r="P166" s="93">
        <v>53400</v>
      </c>
      <c r="Q166" s="94">
        <v>0.1</v>
      </c>
      <c r="S166" s="294">
        <f>Table1[[#This Row],[h_hargasetelahdiskon]]</f>
        <v>288360</v>
      </c>
      <c r="V166" s="95">
        <f ca="1">IF(Table1[[#This Row],[Item Description]]="","",IF(Table1[[#This Row],[//]]="",INDIRECT(ADDRESS(ROW()-1,COLUMN())),Table1[[#This Row],[//]]))</f>
        <v>157</v>
      </c>
      <c r="W166" s="95">
        <f ca="1">IF(Table1[[#This Row],[h_id]]="","",COUNTIF(Table1[h_id],Table1[[#This Row],[h_id]]))</f>
        <v>10</v>
      </c>
      <c r="X166" s="93">
        <f>IF(Table1[Item Description]="","",Table1[[#This Row],[Qty]]*Table1[[#This Row],[Unit Price]])</f>
        <v>320400</v>
      </c>
      <c r="Y166" s="93">
        <f>IF(Table1[Item Description]="","",Table1[[#This Row],[h_hargasebelumdiskon]]*Table1[[#This Row],[Disc 1]])</f>
        <v>32040</v>
      </c>
      <c r="Z166" s="93">
        <f>IF(Table1[Item Description]="","",Table1[[#This Row],[h_hargasebelumdiskon]]-Table1[[#This Row],[h_diskon]])</f>
        <v>288360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CORRECTION FLUID KENKO KE-301LSN53400</v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M167" s="292"/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291">
        <f>IF(Table1[h_Kode Sales :_1]="","",B$1+COUNT(B$2:B167))</f>
        <v>23020033</v>
      </c>
      <c r="C168" s="98">
        <v>44980</v>
      </c>
      <c r="D168" s="92" t="s">
        <v>142</v>
      </c>
      <c r="E168" s="97" t="s">
        <v>474</v>
      </c>
      <c r="F168" s="92" t="s">
        <v>91</v>
      </c>
      <c r="G168" s="95" t="str">
        <f>IF(Table1[[#This Row],[h_No. Invoice :]]="","",CONCATENATE("AM"," ",Table1[[#This Row],[h_No. Invoice :]]))</f>
        <v>AM 23020033</v>
      </c>
      <c r="H168" s="96" t="str">
        <f>CONCATENATE(UPPER(Table1[[#This Row],[h_Kode Sales :_1]])," ",Table1[[#This Row],[h_Kode Sales :_2]])</f>
        <v>KO 1073</v>
      </c>
      <c r="I168" s="95" t="str">
        <f>IF(Table1[[#This Row],[h_toko]]="","",INDEX(Table2[e],IF(Table1[[#This Row],[h_toko]]="","",MATCH(Table1[[#This Row],[h_toko]],Table2[a],0)),))</f>
        <v>CV TRINITY CENTRAAL PURWOKERTO</v>
      </c>
      <c r="J168" s="92">
        <v>20</v>
      </c>
      <c r="K168" s="92" t="s">
        <v>92</v>
      </c>
      <c r="M168" s="92" t="s">
        <v>475</v>
      </c>
      <c r="N168" s="291" t="str">
        <f>IF(Table1[[#This Row],[h_Item Description]]="","",INDEX([1]!db[NB PAJAK],MATCH(Table1[[#This Row],[h_Item Description]],[1]!db[kode],0)))</f>
        <v>CORRECTION TAPE JOYKO CT-540</v>
      </c>
      <c r="O168" s="92" t="s">
        <v>478</v>
      </c>
      <c r="P168" s="93">
        <v>68400</v>
      </c>
      <c r="Q168" s="94">
        <v>0.13</v>
      </c>
      <c r="S168" s="294">
        <f>Table1[[#This Row],[h_hargasetelahdiskon]]</f>
        <v>1190160</v>
      </c>
      <c r="T168" s="93" t="s">
        <v>93</v>
      </c>
      <c r="V168" s="95">
        <f ca="1">IF(Table1[[#This Row],[Item Description]]="","",IF(Table1[[#This Row],[//]]="",INDIRECT(ADDRESS(ROW()-1,COLUMN())),Table1[[#This Row],[//]]))</f>
        <v>168</v>
      </c>
      <c r="W168" s="95">
        <f ca="1">IF(Table1[[#This Row],[h_id]]="","",COUNTIF(Table1[h_id],Table1[[#This Row],[h_id]]))</f>
        <v>4</v>
      </c>
      <c r="X168" s="93">
        <f>IF(Table1[Item Description]="","",Table1[[#This Row],[Qty]]*Table1[[#This Row],[Unit Price]])</f>
        <v>1368000</v>
      </c>
      <c r="Y168" s="93">
        <f>IF(Table1[Item Description]="","",Table1[[#This Row],[h_hargasebelumdiskon]]*Table1[[#This Row],[Disc 1]])</f>
        <v>177840</v>
      </c>
      <c r="Z168" s="93">
        <f>IF(Table1[Item Description]="","",Table1[[#This Row],[h_hargasebelumdiskon]]-Table1[[#This Row],[h_diskon]])</f>
        <v>1190160</v>
      </c>
      <c r="AA168" s="93">
        <f ca="1">IF(Table1[//]="","",SUMIF(Table1[h_id],Table1[h_id],Table1[h_hargasetelahdiskon]))</f>
        <v>4222980</v>
      </c>
      <c r="AB168" s="93"/>
      <c r="AC168" s="93" t="str">
        <f>Table1[[#This Row],[Item Description]]&amp;Table1[[#This Row],[Unit]]&amp;Table1[[#This Row],[Unit Price]]</f>
        <v>CORRECTION TAPE JOYKO CT-540LSN68400</v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20</v>
      </c>
      <c r="K169" s="92" t="s">
        <v>92</v>
      </c>
      <c r="M169" s="92" t="s">
        <v>476</v>
      </c>
      <c r="N169" s="291" t="str">
        <f>IF(Table1[[#This Row],[h_Item Description]]="","",INDEX([1]!db[NB PAJAK],MATCH(Table1[[#This Row],[h_Item Description]],[1]!db[kode],0)))</f>
        <v>CORRECTION TAPE JOYKO CT-545</v>
      </c>
      <c r="O169" s="92" t="s">
        <v>479</v>
      </c>
      <c r="P169" s="93">
        <v>69600</v>
      </c>
      <c r="Q169" s="94">
        <v>0.13</v>
      </c>
      <c r="S169" s="294">
        <f>Table1[[#This Row],[h_hargasetelahdiskon]]</f>
        <v>1211040</v>
      </c>
      <c r="V169" s="95">
        <f ca="1">IF(Table1[[#This Row],[Item Description]]="","",IF(Table1[[#This Row],[//]]="",INDIRECT(ADDRESS(ROW()-1,COLUMN())),Table1[[#This Row],[//]]))</f>
        <v>168</v>
      </c>
      <c r="W169" s="95">
        <f ca="1">IF(Table1[[#This Row],[h_id]]="","",COUNTIF(Table1[h_id],Table1[[#This Row],[h_id]]))</f>
        <v>4</v>
      </c>
      <c r="X169" s="93">
        <f>IF(Table1[Item Description]="","",Table1[[#This Row],[Qty]]*Table1[[#This Row],[Unit Price]])</f>
        <v>1392000</v>
      </c>
      <c r="Y169" s="93">
        <f>IF(Table1[Item Description]="","",Table1[[#This Row],[h_hargasebelumdiskon]]*Table1[[#This Row],[Disc 1]])</f>
        <v>180960</v>
      </c>
      <c r="Z169" s="93">
        <f>IF(Table1[Item Description]="","",Table1[[#This Row],[h_hargasebelumdiskon]]-Table1[[#This Row],[h_diskon]])</f>
        <v>1211040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CORRECTION TAPE JOYKO CT-545LSN69600</v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20</v>
      </c>
      <c r="K170" s="92" t="s">
        <v>92</v>
      </c>
      <c r="M170" s="92" t="s">
        <v>405</v>
      </c>
      <c r="N170" s="291" t="str">
        <f>IF(Table1[[#This Row],[h_Item Description]]="","",INDEX([1]!db[NB PAJAK],MATCH(Table1[[#This Row],[h_Item Description]],[1]!db[kode],0)))</f>
        <v>CORRECTION TAPE KENKO CT-1505FC (15M X 5MM)</v>
      </c>
      <c r="O170" s="92" t="s">
        <v>406</v>
      </c>
      <c r="P170" s="93">
        <v>69600</v>
      </c>
      <c r="Q170" s="94">
        <v>0.13</v>
      </c>
      <c r="S170" s="294">
        <f>Table1[[#This Row],[h_hargasetelahdiskon]]</f>
        <v>1211040</v>
      </c>
      <c r="V170" s="95">
        <f ca="1">IF(Table1[[#This Row],[Item Description]]="","",IF(Table1[[#This Row],[//]]="",INDIRECT(ADDRESS(ROW()-1,COLUMN())),Table1[[#This Row],[//]]))</f>
        <v>168</v>
      </c>
      <c r="W170" s="95">
        <f ca="1">IF(Table1[[#This Row],[h_id]]="","",COUNTIF(Table1[h_id],Table1[[#This Row],[h_id]]))</f>
        <v>4</v>
      </c>
      <c r="X170" s="93">
        <f>IF(Table1[Item Description]="","",Table1[[#This Row],[Qty]]*Table1[[#This Row],[Unit Price]])</f>
        <v>1392000</v>
      </c>
      <c r="Y170" s="93">
        <f>IF(Table1[Item Description]="","",Table1[[#This Row],[h_hargasebelumdiskon]]*Table1[[#This Row],[Disc 1]])</f>
        <v>180960</v>
      </c>
      <c r="Z170" s="93">
        <f>IF(Table1[Item Description]="","",Table1[[#This Row],[h_hargasebelumdiskon]]-Table1[[#This Row],[h_diskon]])</f>
        <v>1211040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CORRECTION TAPE KENKO CT-1505FC (15M X 5MM)LSN69600</v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13</v>
      </c>
      <c r="K171" s="92" t="s">
        <v>92</v>
      </c>
      <c r="M171" s="92" t="s">
        <v>477</v>
      </c>
      <c r="N171" s="291" t="str">
        <f>IF(Table1[[#This Row],[h_Item Description]]="","",INDEX([1]!db[NB PAJAK],MATCH(Table1[[#This Row],[h_Item Description]],[1]!db[kode],0)))</f>
        <v>CORRECTION TAPE KENKO CT-809 (8M x 5MM)</v>
      </c>
      <c r="O171" s="92" t="s">
        <v>480</v>
      </c>
      <c r="P171" s="93">
        <v>54000</v>
      </c>
      <c r="Q171" s="94">
        <v>0.13</v>
      </c>
      <c r="S171" s="294">
        <f>Table1[[#This Row],[h_hargasetelahdiskon]]</f>
        <v>610740</v>
      </c>
      <c r="V171" s="95">
        <f ca="1">IF(Table1[[#This Row],[Item Description]]="","",IF(Table1[[#This Row],[//]]="",INDIRECT(ADDRESS(ROW()-1,COLUMN())),Table1[[#This Row],[//]]))</f>
        <v>168</v>
      </c>
      <c r="W171" s="95">
        <f ca="1">IF(Table1[[#This Row],[h_id]]="","",COUNTIF(Table1[h_id],Table1[[#This Row],[h_id]]))</f>
        <v>4</v>
      </c>
      <c r="X171" s="93">
        <f>IF(Table1[Item Description]="","",Table1[[#This Row],[Qty]]*Table1[[#This Row],[Unit Price]])</f>
        <v>702000</v>
      </c>
      <c r="Y171" s="93">
        <f>IF(Table1[Item Description]="","",Table1[[#This Row],[h_hargasebelumdiskon]]*Table1[[#This Row],[Disc 1]])</f>
        <v>91260</v>
      </c>
      <c r="Z171" s="93">
        <f>IF(Table1[Item Description]="","",Table1[[#This Row],[h_hargasebelumdiskon]]-Table1[[#This Row],[h_diskon]])</f>
        <v>610740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CORRECTION TAPE KENKO CT-809 (8M x 5MM)LSN54000</v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M172" s="292"/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>
        <f>IF(Table1[No. Invoice :]="","",ROW())</f>
        <v>173</v>
      </c>
      <c r="B173" s="291">
        <f>IF(Table1[h_Kode Sales :_1]="","",B$1+COUNT(B$2:B172))</f>
        <v>23020034</v>
      </c>
      <c r="C173" s="98">
        <v>44980</v>
      </c>
      <c r="D173" s="92" t="s">
        <v>142</v>
      </c>
      <c r="E173" s="97" t="s">
        <v>484</v>
      </c>
      <c r="F173" s="92" t="s">
        <v>97</v>
      </c>
      <c r="G173" s="95" t="str">
        <f>IF(Table1[[#This Row],[h_No. Invoice :]]="","",CONCATENATE("AM"," ",Table1[[#This Row],[h_No. Invoice :]]))</f>
        <v>AM 23020034</v>
      </c>
      <c r="H173" s="96" t="str">
        <f>CONCATENATE(UPPER(Table1[[#This Row],[h_Kode Sales :_1]])," ",Table1[[#This Row],[h_Kode Sales :_2]])</f>
        <v>KO 1125</v>
      </c>
      <c r="I173" s="95" t="str">
        <f>IF(Table1[[#This Row],[h_toko]]="","",INDEX(Table2[e],IF(Table1[[#This Row],[h_toko]]="","",MATCH(Table1[[#This Row],[h_toko]],Table2[a],0)),))</f>
        <v>SANTOSO BUDIONO (  ARMADA  ) PURWOKERTO</v>
      </c>
      <c r="J173" s="92">
        <v>72</v>
      </c>
      <c r="K173" s="92" t="s">
        <v>92</v>
      </c>
      <c r="L173" s="92">
        <v>1</v>
      </c>
      <c r="M173" s="92" t="s">
        <v>175</v>
      </c>
      <c r="N173" s="291" t="str">
        <f>IF(Table1[[#This Row],[h_Item Description]]="","",INDEX([1]!db[NB PAJAK],MATCH(Table1[[#This Row],[h_Item Description]],[1]!db[kode],0)))</f>
        <v>CORRECTION FLUID KENKO KE-01</v>
      </c>
      <c r="O173" s="92" t="s">
        <v>135</v>
      </c>
      <c r="P173" s="93">
        <v>54300</v>
      </c>
      <c r="Q173" s="94">
        <v>0.13500000000000001</v>
      </c>
      <c r="S173" s="294">
        <f>Table1[[#This Row],[h_hargasetelahdiskon]]</f>
        <v>3381804</v>
      </c>
      <c r="T173" s="93" t="s">
        <v>93</v>
      </c>
      <c r="V173" s="95">
        <f ca="1">IF(Table1[[#This Row],[Item Description]]="","",IF(Table1[[#This Row],[//]]="",INDIRECT(ADDRESS(ROW()-1,COLUMN())),Table1[[#This Row],[//]]))</f>
        <v>173</v>
      </c>
      <c r="W173" s="95">
        <f ca="1">IF(Table1[[#This Row],[h_id]]="","",COUNTIF(Table1[h_id],Table1[[#This Row],[h_id]]))</f>
        <v>1</v>
      </c>
      <c r="X173" s="93">
        <f>IF(Table1[Item Description]="","",Table1[[#This Row],[Qty]]*Table1[[#This Row],[Unit Price]])</f>
        <v>3909600</v>
      </c>
      <c r="Y173" s="93">
        <f>IF(Table1[Item Description]="","",Table1[[#This Row],[h_hargasebelumdiskon]]*Table1[[#This Row],[Disc 1]])</f>
        <v>527796</v>
      </c>
      <c r="Z173" s="93">
        <f>IF(Table1[Item Description]="","",Table1[[#This Row],[h_hargasebelumdiskon]]-Table1[[#This Row],[h_diskon]])</f>
        <v>3381804</v>
      </c>
      <c r="AA173" s="93">
        <f ca="1">IF(Table1[//]="","",SUMIF(Table1[h_id],Table1[h_id],Table1[h_hargasetelahdiskon]))</f>
        <v>3381804</v>
      </c>
      <c r="AB173" s="93"/>
      <c r="AC173" s="93" t="str">
        <f>Table1[[#This Row],[Item Description]]&amp;Table1[[#This Row],[Unit]]&amp;Table1[[#This Row],[Unit Price]]</f>
        <v>CORRECTION FLUID KENKO KE-01LSN54300</v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>
        <f>IF(Table1[No. Invoice :]="","",ROW())</f>
        <v>175</v>
      </c>
      <c r="B175" s="291">
        <f>IF(Table1[h_Kode Sales :_1]="","",B$1+COUNT(B$2:B174))</f>
        <v>23020035</v>
      </c>
      <c r="C175" s="98">
        <v>44981</v>
      </c>
      <c r="D175" s="92" t="s">
        <v>142</v>
      </c>
      <c r="E175" s="97" t="s">
        <v>485</v>
      </c>
      <c r="F175" s="92" t="s">
        <v>73</v>
      </c>
      <c r="G175" s="95" t="str">
        <f>IF(Table1[[#This Row],[h_No. Invoice :]]="","",CONCATENATE("AM"," ",Table1[[#This Row],[h_No. Invoice :]]))</f>
        <v>AM 23020035</v>
      </c>
      <c r="H175" s="96" t="str">
        <f>CONCATENATE(UPPER(Table1[[#This Row],[h_Kode Sales :_1]])," ",Table1[[#This Row],[h_Kode Sales :_2]])</f>
        <v>KO 1138</v>
      </c>
      <c r="I175" s="95" t="str">
        <f>IF(Table1[[#This Row],[h_toko]]="","",INDEX(Table2[e],IF(Table1[[#This Row],[h_toko]]="","",MATCH(Table1[[#This Row],[h_toko]],Table2[a],0)),))</f>
        <v>HARNOYO (BENDAN) PEKALONGAN</v>
      </c>
      <c r="J175" s="92">
        <v>20</v>
      </c>
      <c r="K175" s="92" t="s">
        <v>92</v>
      </c>
      <c r="L175" s="92">
        <v>1</v>
      </c>
      <c r="M175" s="92" t="s">
        <v>177</v>
      </c>
      <c r="N175" s="291" t="str">
        <f>IF(Table1[[#This Row],[h_Item Description]]="","",INDEX([1]!db[NB PAJAK],MATCH(Table1[[#This Row],[h_Item Description]],[1]!db[kode],0)))</f>
        <v>STAPLER KENKO HD-10</v>
      </c>
      <c r="O175" s="92" t="s">
        <v>137</v>
      </c>
      <c r="P175" s="93">
        <v>93000</v>
      </c>
      <c r="Q175" s="94">
        <v>0.14000000000000001</v>
      </c>
      <c r="S175" s="294">
        <f>Table1[[#This Row],[h_hargasetelahdiskon]]</f>
        <v>1599600</v>
      </c>
      <c r="T175" s="93" t="s">
        <v>93</v>
      </c>
      <c r="V175" s="95">
        <f ca="1">IF(Table1[[#This Row],[Item Description]]="","",IF(Table1[[#This Row],[//]]="",INDIRECT(ADDRESS(ROW()-1,COLUMN())),Table1[[#This Row],[//]]))</f>
        <v>175</v>
      </c>
      <c r="W175" s="95">
        <f ca="1">IF(Table1[[#This Row],[h_id]]="","",COUNTIF(Table1[h_id],Table1[[#This Row],[h_id]]))</f>
        <v>3</v>
      </c>
      <c r="X175" s="93">
        <f>IF(Table1[Item Description]="","",Table1[[#This Row],[Qty]]*Table1[[#This Row],[Unit Price]])</f>
        <v>1860000</v>
      </c>
      <c r="Y175" s="93">
        <f>IF(Table1[Item Description]="","",Table1[[#This Row],[h_hargasebelumdiskon]]*Table1[[#This Row],[Disc 1]])</f>
        <v>260400.00000000003</v>
      </c>
      <c r="Z175" s="93">
        <f>IF(Table1[Item Description]="","",Table1[[#This Row],[h_hargasebelumdiskon]]-Table1[[#This Row],[h_diskon]])</f>
        <v>1599600</v>
      </c>
      <c r="AA175" s="93">
        <f ca="1">IF(Table1[//]="","",SUMIF(Table1[h_id],Table1[h_id],Table1[h_hargasetelahdiskon]))</f>
        <v>4291400</v>
      </c>
      <c r="AB175" s="93"/>
      <c r="AC175" s="93" t="str">
        <f>Table1[[#This Row],[Item Description]]&amp;Table1[[#This Row],[Unit]]&amp;Table1[[#This Row],[Unit Price]]</f>
        <v>STAPLER KENKO HD-10LSN93000</v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10</v>
      </c>
      <c r="K176" s="92" t="s">
        <v>92</v>
      </c>
      <c r="L176" s="92">
        <v>1</v>
      </c>
      <c r="M176" s="92" t="s">
        <v>176</v>
      </c>
      <c r="N176" s="291" t="str">
        <f>IF(Table1[[#This Row],[h_Item Description]]="","",INDEX([1]!db[NB PAJAK],MATCH(Table1[[#This Row],[h_Item Description]],[1]!db[kode],0)))</f>
        <v>STAPLER KENKO HD-50</v>
      </c>
      <c r="O176" s="92" t="s">
        <v>136</v>
      </c>
      <c r="P176" s="93">
        <v>228000</v>
      </c>
      <c r="Q176" s="94">
        <v>0.14000000000000001</v>
      </c>
      <c r="S176" s="294">
        <f>Table1[[#This Row],[h_hargasetelahdiskon]]</f>
        <v>1960800</v>
      </c>
      <c r="V176" s="95">
        <f ca="1">IF(Table1[[#This Row],[Item Description]]="","",IF(Table1[[#This Row],[//]]="",INDIRECT(ADDRESS(ROW()-1,COLUMN())),Table1[[#This Row],[//]]))</f>
        <v>175</v>
      </c>
      <c r="W176" s="95">
        <f ca="1">IF(Table1[[#This Row],[h_id]]="","",COUNTIF(Table1[h_id],Table1[[#This Row],[h_id]]))</f>
        <v>3</v>
      </c>
      <c r="X176" s="93">
        <f>IF(Table1[Item Description]="","",Table1[[#This Row],[Qty]]*Table1[[#This Row],[Unit Price]])</f>
        <v>2280000</v>
      </c>
      <c r="Y176" s="93">
        <f>IF(Table1[Item Description]="","",Table1[[#This Row],[h_hargasebelumdiskon]]*Table1[[#This Row],[Disc 1]])</f>
        <v>319200.00000000006</v>
      </c>
      <c r="Z176" s="93">
        <f>IF(Table1[Item Description]="","",Table1[[#This Row],[h_hargasebelumdiskon]]-Table1[[#This Row],[h_diskon]])</f>
        <v>1960800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KENKO HD-50LSN228000</v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500</v>
      </c>
      <c r="K177" s="92" t="s">
        <v>316</v>
      </c>
      <c r="L177" s="92">
        <v>1</v>
      </c>
      <c r="M177" s="92" t="s">
        <v>279</v>
      </c>
      <c r="N177" s="291" t="str">
        <f>IF(Table1[[#This Row],[h_Item Description]]="","",INDEX([1]!db[NB PAJAK],MATCH(Table1[[#This Row],[h_Item Description]],[1]!db[kode],0)))</f>
        <v>PAPER TRIGONAL CLIP KENKO NO. 1</v>
      </c>
      <c r="O177" s="92" t="s">
        <v>289</v>
      </c>
      <c r="P177" s="93">
        <v>1700</v>
      </c>
      <c r="Q177" s="94">
        <v>0.14000000000000001</v>
      </c>
      <c r="S177" s="294">
        <f>Table1[[#This Row],[h_hargasetelahdiskon]]</f>
        <v>731000</v>
      </c>
      <c r="V177" s="95">
        <f ca="1">IF(Table1[[#This Row],[Item Description]]="","",IF(Table1[[#This Row],[//]]="",INDIRECT(ADDRESS(ROW()-1,COLUMN())),Table1[[#This Row],[//]]))</f>
        <v>175</v>
      </c>
      <c r="W177" s="95">
        <f ca="1">IF(Table1[[#This Row],[h_id]]="","",COUNTIF(Table1[h_id],Table1[[#This Row],[h_id]]))</f>
        <v>3</v>
      </c>
      <c r="X177" s="93">
        <f>IF(Table1[Item Description]="","",Table1[[#This Row],[Qty]]*Table1[[#This Row],[Unit Price]])</f>
        <v>850000</v>
      </c>
      <c r="Y177" s="93">
        <f>IF(Table1[Item Description]="","",Table1[[#This Row],[h_hargasebelumdiskon]]*Table1[[#This Row],[Disc 1]])</f>
        <v>119000.00000000001</v>
      </c>
      <c r="Z177" s="93">
        <f>IF(Table1[Item Description]="","",Table1[[#This Row],[h_hargasebelumdiskon]]-Table1[[#This Row],[h_diskon]])</f>
        <v>731000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PAPER TRIGONAL CLIP KENKO NO. 1PAK1700</v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>
        <f>IF(Table1[No. Invoice :]="","",ROW())</f>
        <v>179</v>
      </c>
      <c r="B179" s="291">
        <f>IF(Table1[h_Kode Sales :_1]="","",B$1+COUNT(B$2:B178))</f>
        <v>23020036</v>
      </c>
      <c r="C179" s="98">
        <v>44982</v>
      </c>
      <c r="D179" s="92" t="s">
        <v>142</v>
      </c>
      <c r="E179" s="97" t="s">
        <v>487</v>
      </c>
      <c r="F179" s="92" t="s">
        <v>73</v>
      </c>
      <c r="G179" s="95" t="str">
        <f>IF(Table1[[#This Row],[h_No. Invoice :]]="","",CONCATENATE("AM"," ",Table1[[#This Row],[h_No. Invoice :]]))</f>
        <v>AM 23020036</v>
      </c>
      <c r="H179" s="96" t="str">
        <f>CONCATENATE(UPPER(Table1[[#This Row],[h_Kode Sales :_1]])," ",Table1[[#This Row],[h_Kode Sales :_2]])</f>
        <v>KO 1146</v>
      </c>
      <c r="I179" s="95" t="str">
        <f>IF(Table1[[#This Row],[h_toko]]="","",INDEX(Table2[e],IF(Table1[[#This Row],[h_toko]]="","",MATCH(Table1[[#This Row],[h_toko]],Table2[a],0)),))</f>
        <v>HARNOYO (BENDAN) PEKALONGAN</v>
      </c>
      <c r="J179" s="92">
        <v>5</v>
      </c>
      <c r="K179" s="92" t="s">
        <v>131</v>
      </c>
      <c r="L179" s="92">
        <v>1</v>
      </c>
      <c r="M179" s="92" t="s">
        <v>173</v>
      </c>
      <c r="N179" s="291" t="str">
        <f>IF(Table1[[#This Row],[h_Item Description]]="","",INDEX([1]!db[NB PAJAK],MATCH(Table1[[#This Row],[h_Item Description]],[1]!db[kode],0)))</f>
        <v>BINDER CLIP KENKO NO. 260</v>
      </c>
      <c r="O179" s="92" t="s">
        <v>129</v>
      </c>
      <c r="P179" s="93">
        <v>180000</v>
      </c>
      <c r="Q179" s="94">
        <v>0.14000000000000001</v>
      </c>
      <c r="S179" s="294">
        <f>Table1[[#This Row],[h_hargasetelahdiskon]]</f>
        <v>774000</v>
      </c>
      <c r="T179" s="93" t="s">
        <v>93</v>
      </c>
      <c r="V179" s="95">
        <f ca="1">IF(Table1[[#This Row],[Item Description]]="","",IF(Table1[[#This Row],[//]]="",INDIRECT(ADDRESS(ROW()-1,COLUMN())),Table1[[#This Row],[//]]))</f>
        <v>179</v>
      </c>
      <c r="W179" s="95">
        <f ca="1">IF(Table1[[#This Row],[h_id]]="","",COUNTIF(Table1[h_id],Table1[[#This Row],[h_id]]))</f>
        <v>1</v>
      </c>
      <c r="X179" s="93">
        <f>IF(Table1[Item Description]="","",Table1[[#This Row],[Qty]]*Table1[[#This Row],[Unit Price]])</f>
        <v>900000</v>
      </c>
      <c r="Y179" s="93">
        <f>IF(Table1[Item Description]="","",Table1[[#This Row],[h_hargasebelumdiskon]]*Table1[[#This Row],[Disc 1]])</f>
        <v>126000.00000000001</v>
      </c>
      <c r="Z179" s="93">
        <f>IF(Table1[Item Description]="","",Table1[[#This Row],[h_hargasebelumdiskon]]-Table1[[#This Row],[h_diskon]])</f>
        <v>774000</v>
      </c>
      <c r="AA179" s="93">
        <f ca="1">IF(Table1[//]="","",SUMIF(Table1[h_id],Table1[h_id],Table1[h_hargasetelahdiskon]))</f>
        <v>774000</v>
      </c>
      <c r="AB179" s="93"/>
      <c r="AC179" s="93" t="str">
        <f>Table1[[#This Row],[Item Description]]&amp;Table1[[#This Row],[Unit]]&amp;Table1[[#This Row],[Unit Price]]</f>
        <v>BINDER CLIP KENKO NO. 260GRS180000</v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>
        <f>IF(Table1[No. Invoice :]="","",ROW())</f>
        <v>181</v>
      </c>
      <c r="B181" s="291">
        <f>IF(Table1[h_Kode Sales :_1]="","",B$1+COUNT(B$2:B180))</f>
        <v>23020037</v>
      </c>
      <c r="C181" s="98">
        <v>44984</v>
      </c>
      <c r="D181" s="92" t="s">
        <v>142</v>
      </c>
      <c r="E181" s="97" t="s">
        <v>488</v>
      </c>
      <c r="F181" s="92" t="s">
        <v>42</v>
      </c>
      <c r="G181" s="95" t="str">
        <f>IF(Table1[[#This Row],[h_No. Invoice :]]="","",CONCATENATE("AM"," ",Table1[[#This Row],[h_No. Invoice :]]))</f>
        <v>AM 23020037</v>
      </c>
      <c r="H181" s="96" t="str">
        <f>CONCATENATE(UPPER(Table1[[#This Row],[h_Kode Sales :_1]])," ",Table1[[#This Row],[h_Kode Sales :_2]])</f>
        <v>KO 1155</v>
      </c>
      <c r="I181" s="95" t="str">
        <f>IF(Table1[[#This Row],[h_toko]]="","",INDEX(Table2[e],IF(Table1[[#This Row],[h_toko]]="","",MATCH(Table1[[#This Row],[h_toko]],Table2[a],0)),))</f>
        <v>CV TRINITY CENTRAAL PURWOKERTO</v>
      </c>
      <c r="J181" s="92">
        <v>5</v>
      </c>
      <c r="K181" s="92" t="s">
        <v>316</v>
      </c>
      <c r="M181" s="292"/>
      <c r="N181" s="291" t="str">
        <f>IF(Table1[[#This Row],[h_Item Description]]="","",INDEX([1]!db[NB PAJAK],MATCH(Table1[[#This Row],[h_Item Description]],[1]!db[kode],0)))</f>
        <v/>
      </c>
      <c r="O181" s="92" t="s">
        <v>490</v>
      </c>
      <c r="P181" s="93">
        <v>37500</v>
      </c>
      <c r="Q181" s="94"/>
      <c r="S181" s="294">
        <f>Table1[[#This Row],[h_hargasetelahdiskon]]</f>
        <v>187500</v>
      </c>
      <c r="T181" s="93" t="s">
        <v>93</v>
      </c>
      <c r="V181" s="95">
        <f ca="1">IF(Table1[[#This Row],[Item Description]]="","",IF(Table1[[#This Row],[//]]="",INDIRECT(ADDRESS(ROW()-1,COLUMN())),Table1[[#This Row],[//]]))</f>
        <v>181</v>
      </c>
      <c r="W181" s="95">
        <f ca="1">IF(Table1[[#This Row],[h_id]]="","",COUNTIF(Table1[h_id],Table1[[#This Row],[h_id]]))</f>
        <v>2</v>
      </c>
      <c r="X181" s="93">
        <f>IF(Table1[Item Description]="","",Table1[[#This Row],[Qty]]*Table1[[#This Row],[Unit Price]])</f>
        <v>187500</v>
      </c>
      <c r="Y181" s="93">
        <f>IF(Table1[Item Description]="","",Table1[[#This Row],[h_hargasebelumdiskon]]*Table1[[#This Row],[Disc 1]])</f>
        <v>0</v>
      </c>
      <c r="Z181" s="93">
        <f>IF(Table1[Item Description]="","",Table1[[#This Row],[h_hargasebelumdiskon]]-Table1[[#This Row],[h_diskon]])</f>
        <v>187500</v>
      </c>
      <c r="AA181" s="93">
        <f ca="1">IF(Table1[//]="","",SUMIF(Table1[h_id],Table1[h_id],Table1[h_hargasetelahdiskon]))</f>
        <v>1584372</v>
      </c>
      <c r="AB181" s="93"/>
      <c r="AC181" s="93" t="str">
        <f>Table1[[#This Row],[Item Description]]&amp;Table1[[#This Row],[Unit]]&amp;Table1[[#This Row],[Unit Price]]</f>
        <v>KARTU STOCK FOLIO PUTIHPAK37500</v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24</v>
      </c>
      <c r="K182" s="92" t="s">
        <v>150</v>
      </c>
      <c r="L182" s="92">
        <v>1</v>
      </c>
      <c r="M182" s="92" t="s">
        <v>489</v>
      </c>
      <c r="N182" s="291" t="str">
        <f>IF(Table1[[#This Row],[h_Item Description]]="","",INDEX([1]!db[NB PAJAK],MATCH(Table1[[#This Row],[h_Item Description]],[1]!db[kode],0)))</f>
        <v>CRAYON / OIL PASTEL JOYKO OP-55S PP CASE SEA WORLD</v>
      </c>
      <c r="O182" s="92" t="s">
        <v>491</v>
      </c>
      <c r="P182" s="93">
        <v>66900</v>
      </c>
      <c r="Q182" s="94">
        <v>0.13</v>
      </c>
      <c r="S182" s="294">
        <f>Table1[[#This Row],[h_hargasetelahdiskon]]</f>
        <v>1396872</v>
      </c>
      <c r="V182" s="95">
        <f ca="1">IF(Table1[[#This Row],[Item Description]]="","",IF(Table1[[#This Row],[//]]="",INDIRECT(ADDRESS(ROW()-1,COLUMN())),Table1[[#This Row],[//]]))</f>
        <v>181</v>
      </c>
      <c r="W182" s="95">
        <f ca="1">IF(Table1[[#This Row],[h_id]]="","",COUNTIF(Table1[h_id],Table1[[#This Row],[h_id]]))</f>
        <v>2</v>
      </c>
      <c r="X182" s="93">
        <f>IF(Table1[Item Description]="","",Table1[[#This Row],[Qty]]*Table1[[#This Row],[Unit Price]])</f>
        <v>1605600</v>
      </c>
      <c r="Y182" s="93">
        <f>IF(Table1[Item Description]="","",Table1[[#This Row],[h_hargasebelumdiskon]]*Table1[[#This Row],[Disc 1]])</f>
        <v>208728</v>
      </c>
      <c r="Z182" s="93">
        <f>IF(Table1[Item Description]="","",Table1[[#This Row],[h_hargasebelumdiskon]]-Table1[[#This Row],[h_diskon]])</f>
        <v>1396872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CRAYON / OIL PASTEL JOYKO OP-55S PP CASE SEA WORLDPCS66900</v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>
        <f>IF(Table1[No. Invoice :]="","",ROW())</f>
        <v>184</v>
      </c>
      <c r="B184" s="291">
        <f>IF(Table1[h_Kode Sales :_1]="","",B$1+COUNT(B$2:B182))</f>
        <v>23020038</v>
      </c>
      <c r="C184" s="98">
        <v>44985</v>
      </c>
      <c r="D184" s="92" t="s">
        <v>142</v>
      </c>
      <c r="E184" s="97" t="s">
        <v>494</v>
      </c>
      <c r="F184" s="92" t="s">
        <v>91</v>
      </c>
      <c r="G184" s="95" t="str">
        <f>IF(Table1[[#This Row],[h_No. Invoice :]]="","",CONCATENATE("AM"," ",Table1[[#This Row],[h_No. Invoice :]]))</f>
        <v>AM 23020038</v>
      </c>
      <c r="H184" s="96" t="str">
        <f>CONCATENATE(UPPER(Table1[[#This Row],[h_Kode Sales :_1]])," ",Table1[[#This Row],[h_Kode Sales :_2]])</f>
        <v>KO 1167</v>
      </c>
      <c r="I184" s="95" t="str">
        <f>IF(Table1[[#This Row],[h_toko]]="","",INDEX(Table2[e],IF(Table1[[#This Row],[h_toko]]="","",MATCH(Table1[[#This Row],[h_toko]],Table2[a],0)),))</f>
        <v>CV TRINITY CENTRAAL PURWOKERTO</v>
      </c>
      <c r="J184" s="92">
        <v>10</v>
      </c>
      <c r="K184" s="92" t="s">
        <v>316</v>
      </c>
      <c r="M184" s="292"/>
      <c r="N184" s="291" t="str">
        <f>IF(Table1[[#This Row],[h_Item Description]]="","",INDEX([1]!db[NB PAJAK],MATCH(Table1[[#This Row],[h_Item Description]],[1]!db[kode],0)))</f>
        <v/>
      </c>
      <c r="O184" s="92" t="s">
        <v>498</v>
      </c>
      <c r="P184" s="93">
        <v>18500</v>
      </c>
      <c r="Q184" s="94"/>
      <c r="S184" s="294">
        <f>Table1[[#This Row],[h_hargasetelahdiskon]]</f>
        <v>185000</v>
      </c>
      <c r="T184" s="93" t="s">
        <v>93</v>
      </c>
      <c r="V184" s="95">
        <f ca="1">IF(Table1[[#This Row],[Item Description]]="","",IF(Table1[[#This Row],[//]]="",INDIRECT(ADDRESS(ROW()-1,COLUMN())),Table1[[#This Row],[//]]))</f>
        <v>184</v>
      </c>
      <c r="W184" s="95">
        <f ca="1">IF(Table1[[#This Row],[h_id]]="","",COUNTIF(Table1[h_id],Table1[[#This Row],[h_id]]))</f>
        <v>7</v>
      </c>
      <c r="X184" s="93">
        <f>IF(Table1[Item Description]="","",Table1[[#This Row],[Qty]]*Table1[[#This Row],[Unit Price]])</f>
        <v>185000</v>
      </c>
      <c r="Y184" s="93">
        <f>IF(Table1[Item Description]="","",Table1[[#This Row],[h_hargasebelumdiskon]]*Table1[[#This Row],[Disc 1]])</f>
        <v>0</v>
      </c>
      <c r="Z184" s="93">
        <f>IF(Table1[Item Description]="","",Table1[[#This Row],[h_hargasebelumdiskon]]-Table1[[#This Row],[h_diskon]])</f>
        <v>185000</v>
      </c>
      <c r="AA184" s="93">
        <f ca="1">IF(Table1[//]="","",SUMIF(Table1[h_id],Table1[h_id],Table1[h_hargasetelahdiskon]))</f>
        <v>3415136</v>
      </c>
      <c r="AB184" s="93"/>
      <c r="AC184" s="93" t="str">
        <f>Table1[[#This Row],[Item Description]]&amp;Table1[[#This Row],[Unit]]&amp;Table1[[#This Row],[Unit Price]]</f>
        <v>KARTU STOCK KWARTO PUTIHPAK18500</v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J185" s="92">
        <v>9</v>
      </c>
      <c r="K185" s="92" t="s">
        <v>92</v>
      </c>
      <c r="M185" s="92" t="s">
        <v>495</v>
      </c>
      <c r="N185" s="291" t="str">
        <f>IF(Table1[[#This Row],[h_Item Description]]="","",INDEX([1]!db[NB PAJAK],MATCH(Table1[[#This Row],[h_Item Description]],[1]!db[kode],0)))</f>
        <v>STAPLER JOYKO HD-10</v>
      </c>
      <c r="O185" s="92" t="s">
        <v>499</v>
      </c>
      <c r="P185" s="93">
        <v>85200</v>
      </c>
      <c r="Q185" s="94">
        <v>0.13</v>
      </c>
      <c r="S185" s="294">
        <f>Table1[[#This Row],[h_hargasetelahdiskon]]</f>
        <v>667116</v>
      </c>
      <c r="V185" s="95">
        <f ca="1">IF(Table1[[#This Row],[Item Description]]="","",IF(Table1[[#This Row],[//]]="",INDIRECT(ADDRESS(ROW()-1,COLUMN())),Table1[[#This Row],[//]]))</f>
        <v>184</v>
      </c>
      <c r="W185" s="95">
        <f ca="1">IF(Table1[[#This Row],[h_id]]="","",COUNTIF(Table1[h_id],Table1[[#This Row],[h_id]]))</f>
        <v>7</v>
      </c>
      <c r="X185" s="93">
        <f>IF(Table1[Item Description]="","",Table1[[#This Row],[Qty]]*Table1[[#This Row],[Unit Price]])</f>
        <v>766800</v>
      </c>
      <c r="Y185" s="93">
        <f>IF(Table1[Item Description]="","",Table1[[#This Row],[h_hargasebelumdiskon]]*Table1[[#This Row],[Disc 1]])</f>
        <v>99684</v>
      </c>
      <c r="Z185" s="93">
        <f>IF(Table1[Item Description]="","",Table1[[#This Row],[h_hargasebelumdiskon]]-Table1[[#This Row],[h_diskon]])</f>
        <v>667116</v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>STAPLER JOYKO HD-10LSN85200</v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92</v>
      </c>
      <c r="M186" s="92" t="s">
        <v>496</v>
      </c>
      <c r="N186" s="291" t="str">
        <f>IF(Table1[[#This Row],[h_Item Description]]="","",INDEX([1]!db[NB PAJAK],MATCH(Table1[[#This Row],[h_Item Description]],[1]!db[kode],0)))</f>
        <v>PUNCH JOYKO 30</v>
      </c>
      <c r="O186" s="92" t="s">
        <v>231</v>
      </c>
      <c r="P186" s="93">
        <v>139200</v>
      </c>
      <c r="Q186" s="94">
        <v>0.13</v>
      </c>
      <c r="S186" s="294">
        <f>Table1[[#This Row],[h_hargasetelahdiskon]]</f>
        <v>121104</v>
      </c>
      <c r="V186" s="95">
        <f ca="1">IF(Table1[[#This Row],[Item Description]]="","",IF(Table1[[#This Row],[//]]="",INDIRECT(ADDRESS(ROW()-1,COLUMN())),Table1[[#This Row],[//]]))</f>
        <v>184</v>
      </c>
      <c r="W186" s="95">
        <f ca="1">IF(Table1[[#This Row],[h_id]]="","",COUNTIF(Table1[h_id],Table1[[#This Row],[h_id]]))</f>
        <v>7</v>
      </c>
      <c r="X186" s="93">
        <f>IF(Table1[Item Description]="","",Table1[[#This Row],[Qty]]*Table1[[#This Row],[Unit Price]])</f>
        <v>139200</v>
      </c>
      <c r="Y186" s="93">
        <f>IF(Table1[Item Description]="","",Table1[[#This Row],[h_hargasebelumdiskon]]*Table1[[#This Row],[Disc 1]])</f>
        <v>18096</v>
      </c>
      <c r="Z186" s="93">
        <f>IF(Table1[Item Description]="","",Table1[[#This Row],[h_hargasebelumdiskon]]-Table1[[#This Row],[h_diskon]])</f>
        <v>121104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PUNCH JOYKO 30LSN139200</v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12</v>
      </c>
      <c r="K187" s="92" t="s">
        <v>150</v>
      </c>
      <c r="M187" s="92" t="s">
        <v>225</v>
      </c>
      <c r="N187" s="291" t="str">
        <f>IF(Table1[[#This Row],[h_Item Description]]="","",INDEX([1]!db[NB PAJAK],MATCH(Table1[[#This Row],[h_Item Description]],[1]!db[kode],0)))</f>
        <v>PUNCH KENKO NO. 85</v>
      </c>
      <c r="O187" s="92" t="s">
        <v>235</v>
      </c>
      <c r="P187" s="93">
        <v>48500</v>
      </c>
      <c r="Q187" s="94">
        <v>0.13</v>
      </c>
      <c r="S187" s="294">
        <f>Table1[[#This Row],[h_hargasetelahdiskon]]</f>
        <v>506340</v>
      </c>
      <c r="V187" s="95">
        <f ca="1">IF(Table1[[#This Row],[Item Description]]="","",IF(Table1[[#This Row],[//]]="",INDIRECT(ADDRESS(ROW()-1,COLUMN())),Table1[[#This Row],[//]]))</f>
        <v>184</v>
      </c>
      <c r="W187" s="95">
        <f ca="1">IF(Table1[[#This Row],[h_id]]="","",COUNTIF(Table1[h_id],Table1[[#This Row],[h_id]]))</f>
        <v>7</v>
      </c>
      <c r="X187" s="93">
        <f>IF(Table1[Item Description]="","",Table1[[#This Row],[Qty]]*Table1[[#This Row],[Unit Price]])</f>
        <v>582000</v>
      </c>
      <c r="Y187" s="93">
        <f>IF(Table1[Item Description]="","",Table1[[#This Row],[h_hargasebelumdiskon]]*Table1[[#This Row],[Disc 1]])</f>
        <v>75660</v>
      </c>
      <c r="Z187" s="93">
        <f>IF(Table1[Item Description]="","",Table1[[#This Row],[h_hargasebelumdiskon]]-Table1[[#This Row],[h_diskon]])</f>
        <v>506340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PUNCH KENKO NO. 85PCS48500</v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J188" s="92">
        <v>15</v>
      </c>
      <c r="K188" s="92" t="s">
        <v>92</v>
      </c>
      <c r="M188" s="92" t="s">
        <v>158</v>
      </c>
      <c r="N188" s="291" t="str">
        <f>IF(Table1[[#This Row],[h_Item Description]]="","",INDEX([1]!db[NB PAJAK],MATCH(Table1[[#This Row],[h_Item Description]],[1]!db[kode],0)))</f>
        <v>JANGKA (MATH SET) JOYKO MS-55</v>
      </c>
      <c r="O188" s="92" t="s">
        <v>164</v>
      </c>
      <c r="P188" s="93">
        <v>88200</v>
      </c>
      <c r="Q188" s="94">
        <v>0.13</v>
      </c>
      <c r="S188" s="294">
        <f>Table1[[#This Row],[h_hargasetelahdiskon]]</f>
        <v>1151010</v>
      </c>
      <c r="V188" s="95">
        <f ca="1">IF(Table1[[#This Row],[Item Description]]="","",IF(Table1[[#This Row],[//]]="",INDIRECT(ADDRESS(ROW()-1,COLUMN())),Table1[[#This Row],[//]]))</f>
        <v>184</v>
      </c>
      <c r="W188" s="95">
        <f ca="1">IF(Table1[[#This Row],[h_id]]="","",COUNTIF(Table1[h_id],Table1[[#This Row],[h_id]]))</f>
        <v>7</v>
      </c>
      <c r="X188" s="93">
        <f>IF(Table1[Item Description]="","",Table1[[#This Row],[Qty]]*Table1[[#This Row],[Unit Price]])</f>
        <v>1323000</v>
      </c>
      <c r="Y188" s="93">
        <f>IF(Table1[Item Description]="","",Table1[[#This Row],[h_hargasebelumdiskon]]*Table1[[#This Row],[Disc 1]])</f>
        <v>171990</v>
      </c>
      <c r="Z188" s="93">
        <f>IF(Table1[Item Description]="","",Table1[[#This Row],[h_hargasebelumdiskon]]-Table1[[#This Row],[h_diskon]])</f>
        <v>1151010</v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>JANGKA (MATH SET) JOYKO MS-55LSN88200</v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J189" s="92">
        <v>15</v>
      </c>
      <c r="K189" s="92" t="s">
        <v>92</v>
      </c>
      <c r="M189" s="92" t="s">
        <v>497</v>
      </c>
      <c r="N189" s="291" t="str">
        <f>IF(Table1[[#This Row],[h_Item Description]]="","",INDEX([1]!db[NB PAJAK],MATCH(Table1[[#This Row],[h_Item Description]],[1]!db[kode],0)))</f>
        <v>CUTTER 9 MM KENKO K-200 (KECIL)</v>
      </c>
      <c r="O189" s="92" t="s">
        <v>500</v>
      </c>
      <c r="P189" s="93">
        <v>52200</v>
      </c>
      <c r="Q189" s="94">
        <v>0.13</v>
      </c>
      <c r="S189" s="294">
        <f>Table1[[#This Row],[h_hargasetelahdiskon]]</f>
        <v>681210</v>
      </c>
      <c r="V189" s="95">
        <f ca="1">IF(Table1[[#This Row],[Item Description]]="","",IF(Table1[[#This Row],[//]]="",INDIRECT(ADDRESS(ROW()-1,COLUMN())),Table1[[#This Row],[//]]))</f>
        <v>184</v>
      </c>
      <c r="W189" s="95">
        <f ca="1">IF(Table1[[#This Row],[h_id]]="","",COUNTIF(Table1[h_id],Table1[[#This Row],[h_id]]))</f>
        <v>7</v>
      </c>
      <c r="X189" s="93">
        <f>IF(Table1[Item Description]="","",Table1[[#This Row],[Qty]]*Table1[[#This Row],[Unit Price]])</f>
        <v>783000</v>
      </c>
      <c r="Y189" s="93">
        <f>IF(Table1[Item Description]="","",Table1[[#This Row],[h_hargasebelumdiskon]]*Table1[[#This Row],[Disc 1]])</f>
        <v>101790</v>
      </c>
      <c r="Z189" s="93">
        <f>IF(Table1[Item Description]="","",Table1[[#This Row],[h_hargasebelumdiskon]]-Table1[[#This Row],[h_diskon]])</f>
        <v>681210</v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>CUTTER 9 MM KENKO K-200 (KECIL)LSN52200</v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J190" s="92">
        <v>2</v>
      </c>
      <c r="K190" s="92" t="s">
        <v>92</v>
      </c>
      <c r="M190" s="92" t="s">
        <v>201</v>
      </c>
      <c r="N190" s="291" t="str">
        <f>IF(Table1[[#This Row],[h_Item Description]]="","",INDEX([1]!db[NB PAJAK],MATCH(Table1[[#This Row],[h_Item Description]],[1]!db[kode],0)))</f>
        <v>STAMP PAD KENKO NO. 0</v>
      </c>
      <c r="O190" s="92" t="s">
        <v>208</v>
      </c>
      <c r="P190" s="93">
        <v>59400</v>
      </c>
      <c r="Q190" s="94">
        <v>0.13</v>
      </c>
      <c r="S190" s="294">
        <f>Table1[[#This Row],[h_hargasetelahdiskon]]</f>
        <v>103356</v>
      </c>
      <c r="V190" s="95">
        <f ca="1">IF(Table1[[#This Row],[Item Description]]="","",IF(Table1[[#This Row],[//]]="",INDIRECT(ADDRESS(ROW()-1,COLUMN())),Table1[[#This Row],[//]]))</f>
        <v>184</v>
      </c>
      <c r="W190" s="95">
        <f ca="1">IF(Table1[[#This Row],[h_id]]="","",COUNTIF(Table1[h_id],Table1[[#This Row],[h_id]]))</f>
        <v>7</v>
      </c>
      <c r="X190" s="93">
        <f>IF(Table1[Item Description]="","",Table1[[#This Row],[Qty]]*Table1[[#This Row],[Unit Price]])</f>
        <v>118800</v>
      </c>
      <c r="Y190" s="93">
        <f>IF(Table1[Item Description]="","",Table1[[#This Row],[h_hargasebelumdiskon]]*Table1[[#This Row],[Disc 1]])</f>
        <v>15444</v>
      </c>
      <c r="Z190" s="93">
        <f>IF(Table1[Item Description]="","",Table1[[#This Row],[h_hargasebelumdiskon]]-Table1[[#This Row],[h_diskon]])</f>
        <v>103356</v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>STAMP PAD KENKO NO. 0LSN59400</v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>
        <f>IF(Table1[No. Invoice :]="","",ROW())</f>
        <v>192</v>
      </c>
      <c r="B192" s="291">
        <f>IF(Table1[h_Kode Sales :_1]="","",B$1+COUNT(B$2:B191))</f>
        <v>23020039</v>
      </c>
      <c r="C192" s="98">
        <v>44985</v>
      </c>
      <c r="D192" s="92" t="s">
        <v>142</v>
      </c>
      <c r="E192" s="97" t="s">
        <v>504</v>
      </c>
      <c r="F192" s="92" t="s">
        <v>73</v>
      </c>
      <c r="G192" s="95" t="str">
        <f>IF(Table1[[#This Row],[h_No. Invoice :]]="","",CONCATENATE("AM"," ",Table1[[#This Row],[h_No. Invoice :]]))</f>
        <v>AM 23020039</v>
      </c>
      <c r="H192" s="96" t="str">
        <f>CONCATENATE(UPPER(Table1[[#This Row],[h_Kode Sales :_1]])," ",Table1[[#This Row],[h_Kode Sales :_2]])</f>
        <v>KO 1170</v>
      </c>
      <c r="I192" s="95" t="str">
        <f>IF(Table1[[#This Row],[h_toko]]="","",INDEX(Table2[e],IF(Table1[[#This Row],[h_toko]]="","",MATCH(Table1[[#This Row],[h_toko]],Table2[a],0)),))</f>
        <v>HARNOYO (BENDAN) PEKALONGAN</v>
      </c>
      <c r="J192" s="92">
        <v>5</v>
      </c>
      <c r="K192" s="92" t="s">
        <v>131</v>
      </c>
      <c r="L192" s="92">
        <v>1</v>
      </c>
      <c r="M192" s="92" t="s">
        <v>173</v>
      </c>
      <c r="N192" s="291" t="str">
        <f>IF(Table1[[#This Row],[h_Item Description]]="","",INDEX([1]!db[NB PAJAK],MATCH(Table1[[#This Row],[h_Item Description]],[1]!db[kode],0)))</f>
        <v>BINDER CLIP KENKO NO. 260</v>
      </c>
      <c r="O192" s="92" t="s">
        <v>129</v>
      </c>
      <c r="P192" s="93">
        <v>180000</v>
      </c>
      <c r="Q192" s="94">
        <v>0.14000000000000001</v>
      </c>
      <c r="S192" s="294">
        <f>Table1[[#This Row],[h_hargasetelahdiskon]]</f>
        <v>774000</v>
      </c>
      <c r="T192" s="93" t="s">
        <v>93</v>
      </c>
      <c r="V192" s="95">
        <f ca="1">IF(Table1[[#This Row],[Item Description]]="","",IF(Table1[[#This Row],[//]]="",INDIRECT(ADDRESS(ROW()-1,COLUMN())),Table1[[#This Row],[//]]))</f>
        <v>192</v>
      </c>
      <c r="W192" s="95">
        <f ca="1">IF(Table1[[#This Row],[h_id]]="","",COUNTIF(Table1[h_id],Table1[[#This Row],[h_id]]))</f>
        <v>2</v>
      </c>
      <c r="X192" s="93">
        <f>IF(Table1[Item Description]="","",Table1[[#This Row],[Qty]]*Table1[[#This Row],[Unit Price]])</f>
        <v>900000</v>
      </c>
      <c r="Y192" s="93">
        <f>IF(Table1[Item Description]="","",Table1[[#This Row],[h_hargasebelumdiskon]]*Table1[[#This Row],[Disc 1]])</f>
        <v>126000.00000000001</v>
      </c>
      <c r="Z192" s="93">
        <f>IF(Table1[Item Description]="","",Table1[[#This Row],[h_hargasebelumdiskon]]-Table1[[#This Row],[h_diskon]])</f>
        <v>774000</v>
      </c>
      <c r="AA192" s="93">
        <f ca="1">IF(Table1[//]="","",SUMIF(Table1[h_id],Table1[h_id],Table1[h_hargasetelahdiskon]))</f>
        <v>1513600</v>
      </c>
      <c r="AB192" s="93"/>
      <c r="AC192" s="93" t="str">
        <f>Table1[[#This Row],[Item Description]]&amp;Table1[[#This Row],[Unit]]&amp;Table1[[#This Row],[Unit Price]]</f>
        <v>BINDER CLIP KENKO NO. 260GRS180000</v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J193" s="92">
        <v>200</v>
      </c>
      <c r="K193" s="92" t="s">
        <v>316</v>
      </c>
      <c r="L193" s="92">
        <v>1</v>
      </c>
      <c r="M193" s="92" t="s">
        <v>287</v>
      </c>
      <c r="N193" s="291" t="str">
        <f>IF(Table1[[#This Row],[h_Item Description]]="","",INDEX([1]!db[NB PAJAK],MATCH(Table1[[#This Row],[h_Item Description]],[1]!db[kode],0)))</f>
        <v>PAPER JUMBO CLIP KENKO NO. 5</v>
      </c>
      <c r="O193" s="92" t="s">
        <v>291</v>
      </c>
      <c r="P193" s="93">
        <v>4300</v>
      </c>
      <c r="Q193" s="94">
        <v>0.14000000000000001</v>
      </c>
      <c r="S193" s="294">
        <f>Table1[[#This Row],[h_hargasetelahdiskon]]</f>
        <v>739600</v>
      </c>
      <c r="V193" s="95">
        <f ca="1">IF(Table1[[#This Row],[Item Description]]="","",IF(Table1[[#This Row],[//]]="",INDIRECT(ADDRESS(ROW()-1,COLUMN())),Table1[[#This Row],[//]]))</f>
        <v>192</v>
      </c>
      <c r="W193" s="95">
        <f ca="1">IF(Table1[[#This Row],[h_id]]="","",COUNTIF(Table1[h_id],Table1[[#This Row],[h_id]]))</f>
        <v>2</v>
      </c>
      <c r="X193" s="93">
        <f>IF(Table1[Item Description]="","",Table1[[#This Row],[Qty]]*Table1[[#This Row],[Unit Price]])</f>
        <v>860000</v>
      </c>
      <c r="Y193" s="93">
        <f>IF(Table1[Item Description]="","",Table1[[#This Row],[h_hargasebelumdiskon]]*Table1[[#This Row],[Disc 1]])</f>
        <v>120400.00000000001</v>
      </c>
      <c r="Z193" s="93">
        <f>IF(Table1[Item Description]="","",Table1[[#This Row],[h_hargasebelumdiskon]]-Table1[[#This Row],[h_diskon]])</f>
        <v>739600</v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>PAPER JUMBO CLIP KENKO NO. 5PAK4300</v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 t="str">
        <f>IF(Table1[No. Invoice :]="","",ROW())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 t="str">
        <f>IF(Table1[No. Invoice :]="","",ROW())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IF(Table1[Item Description]="","",Table1[[#This Row],[h_hargasebelumdiskon]]*Table1[[#This Row],[Disc 1]])</f>
        <v/>
      </c>
      <c r="Z201" s="93" t="str">
        <f>IF(Table1[Item Description]="","",Table1[[#This Row],[h_hargasebelumdiskon]]-Table1[[#This Row],[h_diskon]])</f>
        <v/>
      </c>
      <c r="AA201" s="93" t="str">
        <f>IF(Table1[//]="","",SUMIF(Table1[h_id],Table1[h_id],Table1[h_hargasetelahdiskon]))</f>
        <v/>
      </c>
      <c r="AB201" s="93"/>
      <c r="AC201" s="93" t="str">
        <f>Table1[[#This Row],[Item Description]]&amp;Table1[[#This Row],[Unit]]&amp;Table1[[#This Row],[Unit Price]]</f>
        <v/>
      </c>
    </row>
    <row r="202" spans="1:29" x14ac:dyDescent="0.25">
      <c r="A202" s="95" t="str">
        <f>IF(Table1[No. Invoice :]="","",ROW())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IF(Table1[Item Description]="","",Table1[[#This Row],[h_hargasebelumdiskon]]*Table1[[#This Row],[Disc 1]])</f>
        <v/>
      </c>
      <c r="Z202" s="93" t="str">
        <f>IF(Table1[Item Description]="","",Table1[[#This Row],[h_hargasebelumdiskon]]-Table1[[#This Row],[h_diskon]])</f>
        <v/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/>
      </c>
    </row>
    <row r="203" spans="1:29" x14ac:dyDescent="0.25">
      <c r="A203" s="95" t="str">
        <f>IF(Table1[No. Invoice :]="","",ROW())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IF(Table1[Item Description]="","",Table1[[#This Row],[h_hargasebelumdiskon]]*Table1[[#This Row],[Disc 1]])</f>
        <v/>
      </c>
      <c r="Z203" s="93" t="str">
        <f>IF(Table1[Item Description]="","",Table1[[#This Row],[h_hargasebelumdiskon]]-Table1[[#This Row],[h_diskon]])</f>
        <v/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/>
      </c>
    </row>
    <row r="204" spans="1:29" x14ac:dyDescent="0.25">
      <c r="A204" s="95" t="str">
        <f>IF(Table1[No. Invoice :]="","",ROW())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 t="str">
        <f>IF(Table1[No. Invoice :]="","",ROW())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IF(Table1[Item Description]="","",Table1[[#This Row],[h_hargasebelumdiskon]]*Table1[[#This Row],[Disc 1]])</f>
        <v/>
      </c>
      <c r="Z205" s="93" t="str">
        <f>IF(Table1[Item Description]="","",Table1[[#This Row],[h_hargasebelumdiskon]]-Table1[[#This Row],[h_diskon]])</f>
        <v/>
      </c>
      <c r="AA205" s="93" t="str">
        <f>IF(Table1[//]="","",SUMIF(Table1[h_id],Table1[h_id],Table1[h_hargasetelahdiskon]))</f>
        <v/>
      </c>
      <c r="AB205" s="93"/>
      <c r="AC205" s="93" t="str">
        <f>Table1[[#This Row],[Item Description]]&amp;Table1[[#This Row],[Unit]]&amp;Table1[[#This Row],[Unit Price]]</f>
        <v/>
      </c>
    </row>
    <row r="206" spans="1:29" x14ac:dyDescent="0.25">
      <c r="A206" s="95" t="str">
        <f>IF(Table1[No. Invoice :]="","",ROW())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 t="str">
        <f>IF(Table1[No. Invoice :]="","",ROW())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IF(Table1[Item Description]="","",Table1[[#This Row],[h_hargasebelumdiskon]]*Table1[[#This Row],[Disc 1]])</f>
        <v/>
      </c>
      <c r="Z207" s="93" t="str">
        <f>IF(Table1[Item Description]="","",Table1[[#This Row],[h_hargasebelumdiskon]]-Table1[[#This Row],[h_diskon]])</f>
        <v/>
      </c>
      <c r="AA207" s="93" t="str">
        <f>IF(Table1[//]="","",SUMIF(Table1[h_id],Table1[h_id],Table1[h_hargasetelahdiskon]))</f>
        <v/>
      </c>
      <c r="AB207" s="93"/>
      <c r="AC207" s="93" t="str">
        <f>Table1[[#This Row],[Item Description]]&amp;Table1[[#This Row],[Unit]]&amp;Table1[[#This Row],[Unit Price]]</f>
        <v/>
      </c>
    </row>
    <row r="208" spans="1:29" x14ac:dyDescent="0.25">
      <c r="A208" s="95" t="str">
        <f>IF(Table1[No. Invoice :]="","",ROW())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 t="str">
        <f>IF(Table1[No. Invoice :]="","",ROW())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IF(Table1[Item Description]="","",Table1[[#This Row],[h_hargasebelumdiskon]]*Table1[[#This Row],[Disc 1]])</f>
        <v/>
      </c>
      <c r="Z213" s="93" t="str">
        <f>IF(Table1[Item Description]="","",Table1[[#This Row],[h_hargasebelumdiskon]]-Table1[[#This Row],[h_diskon]])</f>
        <v/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/>
      </c>
    </row>
    <row r="214" spans="1:29" x14ac:dyDescent="0.25">
      <c r="A214" s="295"/>
      <c r="B214" s="295"/>
      <c r="C214" s="296"/>
      <c r="D214" s="297"/>
      <c r="E214" s="298"/>
      <c r="F214" s="297"/>
      <c r="G214" s="295"/>
      <c r="H214" s="299"/>
      <c r="I214" s="295"/>
      <c r="J214" s="297"/>
      <c r="K214" s="297"/>
      <c r="L214" s="297"/>
      <c r="M214" s="297"/>
      <c r="N214" s="295"/>
      <c r="O214" s="297"/>
      <c r="P214" s="300"/>
      <c r="Q214" s="301"/>
      <c r="R214" s="301"/>
      <c r="S214" s="300"/>
      <c r="T214" s="300"/>
      <c r="U214" s="297"/>
      <c r="V214" s="295"/>
      <c r="W214" s="295"/>
      <c r="X214" s="300"/>
      <c r="Y214" s="300"/>
      <c r="Z214" s="300"/>
      <c r="AA214" s="300"/>
      <c r="AB214" s="300"/>
      <c r="AC214" s="300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topLeftCell="H22" zoomScaleNormal="100" workbookViewId="0">
      <selection activeCell="M41" sqref="M41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39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 ca="1">SUM(pajak[Total Invoice])</f>
        <v>393538106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 ca="1">IF(pajak[[#This Row],[//]]="","",SUMIF(Table1[h_id],pajak[[#This Row],[//]],Table1[h_hargasebelumdiskon]))</f>
        <v>1987200</v>
      </c>
      <c r="J3" s="89">
        <f ca="1">IF(pajak[[#This Row],[//]]="","",SUMIF(Table1[h_id],pajak[[#This Row],[//]],Table1[h_diskon]))</f>
        <v>258336</v>
      </c>
      <c r="K3" s="89">
        <f ca="1">IF(pajak[[#This Row],[//]]="","",SUMIF(Table1[h_id],pajak[[#This Row],[//]],Table1[h_hargasetelahdiskon]))</f>
        <v>1728864</v>
      </c>
      <c r="L3" s="89">
        <f ca="1">IF(pajak[//]="","",pajak[[#This Row],[Sub Total]]/1.11*11%)</f>
        <v>171328.86486486485</v>
      </c>
      <c r="M3" s="89">
        <f ca="1"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 ca="1">IF(INDEX([2]Invoice!$K:$K,Table4[[#This Row],[cek_rekap(share)]])=pajak[[#This Row],[Total Invoice]],"-",FALSE)</f>
        <v>-</v>
      </c>
      <c r="V3" t="s">
        <v>25</v>
      </c>
      <c r="W3" s="89">
        <f ca="1">SUM(pajak[PPN 11%])</f>
        <v>38999271.765765756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 ca="1">IF(pajak[[#This Row],[//]]="","",SUMIF(Table1[h_id],pajak[[#This Row],[//]],Table1[h_hargasebelumdiskon]))</f>
        <v>3900000</v>
      </c>
      <c r="J4" s="89">
        <f ca="1">IF(pajak[[#This Row],[//]]="","",SUMIF(Table1[h_id],pajak[[#This Row],[//]],Table1[h_diskon]))</f>
        <v>546000.00000000012</v>
      </c>
      <c r="K4" s="89">
        <f ca="1">IF(pajak[[#This Row],[//]]="","",SUMIF(Table1[h_id],pajak[[#This Row],[//]],Table1[h_hargasetelahdiskon]))</f>
        <v>3354000</v>
      </c>
      <c r="L4" s="89">
        <f ca="1">IF(pajak[//]="","",pajak[[#This Row],[Sub Total]]/1.11*11%)</f>
        <v>332378.37837837834</v>
      </c>
      <c r="M4" s="89">
        <f ca="1"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 ca="1">IF(INDEX([2]Invoice!$K:$K,Table4[[#This Row],[cek_rekap(share)]])=pajak[[#This Row],[Total Invoice]],"-",FALSE)</f>
        <v>-</v>
      </c>
      <c r="W4" s="89">
        <f ca="1">(W2/1.11)*11%</f>
        <v>38999271.765765764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 ca="1">IF(pajak[[#This Row],[//]]="","",SUMIF(Table1[h_id],pajak[[#This Row],[//]],Table1[h_hargasebelumdiskon]))</f>
        <v>34632000</v>
      </c>
      <c r="J5" s="89">
        <f ca="1">IF(pajak[[#This Row],[//]]="","",SUMIF(Table1[h_id],pajak[[#This Row],[//]],Table1[h_diskon]))</f>
        <v>4675320</v>
      </c>
      <c r="K5" s="89">
        <f ca="1">IF(pajak[[#This Row],[//]]="","",SUMIF(Table1[h_id],pajak[[#This Row],[//]],Table1[h_hargasetelahdiskon]))</f>
        <v>29956680</v>
      </c>
      <c r="L5" s="89">
        <f ca="1">IF(pajak[//]="","",pajak[[#This Row],[Sub Total]]/1.11*11%)</f>
        <v>2968679.9999999995</v>
      </c>
      <c r="M5" s="89">
        <f ca="1"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 ca="1"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 ca="1">IF(pajak[[#This Row],[//]]="","",SUMIF(Table1[h_id],pajak[[#This Row],[//]],Table1[h_hargasebelumdiskon]))</f>
        <v>17448400</v>
      </c>
      <c r="J6" s="89">
        <f ca="1">IF(pajak[[#This Row],[//]]="","",SUMIF(Table1[h_id],pajak[[#This Row],[//]],Table1[h_diskon]))</f>
        <v>2268292</v>
      </c>
      <c r="K6" s="89">
        <f ca="1">IF(pajak[[#This Row],[//]]="","",SUMIF(Table1[h_id],pajak[[#This Row],[//]],Table1[h_hargasetelahdiskon]))</f>
        <v>15180108</v>
      </c>
      <c r="L6" s="89">
        <f ca="1">IF(pajak[//]="","",pajak[[#This Row],[Sub Total]]/1.11*11%)</f>
        <v>1504335.027027027</v>
      </c>
      <c r="M6" s="89">
        <f ca="1"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 ca="1"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 ca="1">IF(pajak[[#This Row],[//]]="","",SUMIF(Table1[h_id],pajak[[#This Row],[//]],Table1[h_hargasebelumdiskon]))</f>
        <v>6350400</v>
      </c>
      <c r="J7" s="89">
        <f ca="1">IF(pajak[[#This Row],[//]]="","",SUMIF(Table1[h_id],pajak[[#This Row],[//]],Table1[h_diskon]))</f>
        <v>857304</v>
      </c>
      <c r="K7" s="89">
        <f ca="1">IF(pajak[[#This Row],[//]]="","",SUMIF(Table1[h_id],pajak[[#This Row],[//]],Table1[h_hargasetelahdiskon]))</f>
        <v>5493096</v>
      </c>
      <c r="L7" s="89">
        <f ca="1">IF(pajak[//]="","",pajak[[#This Row],[Sub Total]]/1.11*11%)</f>
        <v>544360.86486486485</v>
      </c>
      <c r="M7" s="89">
        <f ca="1"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 ca="1"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 ca="1">IF(pajak[[#This Row],[//]]="","",SUMIF(Table1[h_id],pajak[[#This Row],[//]],Table1[h_hargasebelumdiskon]))</f>
        <v>11246400</v>
      </c>
      <c r="J8" s="89">
        <f ca="1">IF(pajak[[#This Row],[//]]="","",SUMIF(Table1[h_id],pajak[[#This Row],[//]],Table1[h_diskon]))</f>
        <v>1405800</v>
      </c>
      <c r="K8" s="89">
        <f ca="1">IF(pajak[[#This Row],[//]]="","",SUMIF(Table1[h_id],pajak[[#This Row],[//]],Table1[h_hargasetelahdiskon]))</f>
        <v>9840600</v>
      </c>
      <c r="L8" s="89">
        <f ca="1">IF(pajak[//]="","",pajak[[#This Row],[Sub Total]]/1.11*11%)</f>
        <v>975194.59459459444</v>
      </c>
      <c r="M8" s="89">
        <f ca="1"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 ca="1"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 ca="1">IF(pajak[[#This Row],[//]]="","",SUMIF(Table1[h_id],pajak[[#This Row],[//]],Table1[h_hargasebelumdiskon]))</f>
        <v>4095200</v>
      </c>
      <c r="J9" s="89">
        <f ca="1">IF(pajak[[#This Row],[//]]="","",SUMIF(Table1[h_id],pajak[[#This Row],[//]],Table1[h_diskon]))</f>
        <v>593804</v>
      </c>
      <c r="K9" s="89">
        <f ca="1">IF(pajak[[#This Row],[//]]="","",SUMIF(Table1[h_id],pajak[[#This Row],[//]],Table1[h_hargasetelahdiskon]))</f>
        <v>3501396</v>
      </c>
      <c r="L9" s="89">
        <f ca="1">IF(pajak[//]="","",pajak[[#This Row],[Sub Total]]/1.11*11%)</f>
        <v>346985.18918918917</v>
      </c>
      <c r="M9" s="89">
        <f ca="1"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 ca="1"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 ca="1">IF(pajak[[#This Row],[//]]="","",SUMIF(Table1[h_id],pajak[[#This Row],[//]],Table1[h_hargasebelumdiskon]))</f>
        <v>3532000</v>
      </c>
      <c r="J10" s="89">
        <f ca="1">IF(pajak[[#This Row],[//]]="","",SUMIF(Table1[h_id],pajak[[#This Row],[//]],Table1[h_diskon]))</f>
        <v>353200</v>
      </c>
      <c r="K10" s="89">
        <f ca="1">IF(pajak[[#This Row],[//]]="","",SUMIF(Table1[h_id],pajak[[#This Row],[//]],Table1[h_hargasetelahdiskon]))</f>
        <v>3178800</v>
      </c>
      <c r="L10" s="89">
        <f ca="1">IF(pajak[//]="","",pajak[[#This Row],[Sub Total]]/1.11*11%)</f>
        <v>315016.21621621621</v>
      </c>
      <c r="M10" s="89">
        <f ca="1"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 ca="1"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 ca="1">IF(pajak[[#This Row],[//]]="","",SUMIF(Table1[h_id],pajak[[#This Row],[//]],Table1[h_hargasebelumdiskon]))</f>
        <v>5616000</v>
      </c>
      <c r="J11" s="89">
        <f ca="1">IF(pajak[[#This Row],[//]]="","",SUMIF(Table1[h_id],pajak[[#This Row],[//]],Table1[h_diskon]))</f>
        <v>730080</v>
      </c>
      <c r="K11" s="89">
        <f ca="1">IF(pajak[[#This Row],[//]]="","",SUMIF(Table1[h_id],pajak[[#This Row],[//]],Table1[h_hargasetelahdiskon]))</f>
        <v>4885920</v>
      </c>
      <c r="L11" s="89">
        <f ca="1">IF(pajak[//]="","",pajak[[#This Row],[Sub Total]]/1.11*11%)</f>
        <v>484190.2702702703</v>
      </c>
      <c r="M11" s="89">
        <f ca="1"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 ca="1"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 ca="1">IF(pajak[[#This Row],[//]]="","",SUMIF(Table1[h_id],pajak[[#This Row],[//]],Table1[h_hargasebelumdiskon]))</f>
        <v>5616000</v>
      </c>
      <c r="J12" s="89">
        <f ca="1">IF(pajak[[#This Row],[//]]="","",SUMIF(Table1[h_id],pajak[[#This Row],[//]],Table1[h_diskon]))</f>
        <v>758160</v>
      </c>
      <c r="K12" s="89">
        <f ca="1">IF(pajak[[#This Row],[//]]="","",SUMIF(Table1[h_id],pajak[[#This Row],[//]],Table1[h_hargasetelahdiskon]))</f>
        <v>4857840</v>
      </c>
      <c r="L12" s="89">
        <f ca="1">IF(pajak[//]="","",pajak[[#This Row],[Sub Total]]/1.11*11%)</f>
        <v>481407.56756756752</v>
      </c>
      <c r="M12" s="89">
        <f ca="1"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 ca="1"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 ca="1">IF(pajak[[#This Row],[//]]="","",SUMIF(Table1[h_id],pajak[[#This Row],[//]],Table1[h_hargasebelumdiskon]))</f>
        <v>28080000</v>
      </c>
      <c r="J13" s="89">
        <f ca="1">IF(pajak[[#This Row],[//]]="","",SUMIF(Table1[h_id],pajak[[#This Row],[//]],Table1[h_diskon]))</f>
        <v>3790800.0000000005</v>
      </c>
      <c r="K13" s="89">
        <f ca="1">IF(pajak[[#This Row],[//]]="","",SUMIF(Table1[h_id],pajak[[#This Row],[//]],Table1[h_hargasetelahdiskon]))</f>
        <v>24289200</v>
      </c>
      <c r="L13" s="89">
        <f ca="1">IF(pajak[//]="","",pajak[[#This Row],[Sub Total]]/1.11*11%)</f>
        <v>2407037.8378378376</v>
      </c>
      <c r="M13" s="89">
        <f ca="1"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 ca="1"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 ca="1">IF(pajak[[#This Row],[//]]="","",SUMIF(Table1[h_id],pajak[[#This Row],[//]],Table1[h_hargasebelumdiskon]))</f>
        <v>1526400</v>
      </c>
      <c r="J14" s="89">
        <f ca="1">IF(pajak[[#This Row],[//]]="","",SUMIF(Table1[h_id],pajak[[#This Row],[//]],Table1[h_diskon]))</f>
        <v>190800</v>
      </c>
      <c r="K14" s="89">
        <f ca="1">IF(pajak[[#This Row],[//]]="","",SUMIF(Table1[h_id],pajak[[#This Row],[//]],Table1[h_hargasetelahdiskon]))</f>
        <v>1335600</v>
      </c>
      <c r="L14" s="89">
        <f ca="1">IF(pajak[//]="","",pajak[[#This Row],[Sub Total]]/1.11*11%)</f>
        <v>132356.75675675675</v>
      </c>
      <c r="M14" s="89">
        <f ca="1"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 ca="1"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 ca="1">IF(pajak[[#This Row],[//]]="","",SUMIF(Table1[h_id],pajak[[#This Row],[//]],Table1[h_hargasebelumdiskon]))</f>
        <v>2050000</v>
      </c>
      <c r="J15" s="89">
        <f ca="1">IF(pajak[[#This Row],[//]]="","",SUMIF(Table1[h_id],pajak[[#This Row],[//]],Table1[h_diskon]))</f>
        <v>276750</v>
      </c>
      <c r="K15" s="89">
        <f ca="1">IF(pajak[[#This Row],[//]]="","",SUMIF(Table1[h_id],pajak[[#This Row],[//]],Table1[h_hargasetelahdiskon]))</f>
        <v>1773250</v>
      </c>
      <c r="L15" s="89">
        <f ca="1">IF(pajak[//]="","",pajak[[#This Row],[Sub Total]]/1.11*11%)</f>
        <v>175727.47747747746</v>
      </c>
      <c r="M15" s="89">
        <f ca="1"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 ca="1"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 ca="1">IF(pajak[[#This Row],[//]]="","",SUMIF(Table1[h_id],pajak[[#This Row],[//]],Table1[h_hargasebelumdiskon]))</f>
        <v>792000</v>
      </c>
      <c r="J16" s="89">
        <f ca="1">IF(pajak[[#This Row],[//]]="","",SUMIF(Table1[h_id],pajak[[#This Row],[//]],Table1[h_diskon]))</f>
        <v>102960</v>
      </c>
      <c r="K16" s="89">
        <f ca="1">IF(pajak[[#This Row],[//]]="","",SUMIF(Table1[h_id],pajak[[#This Row],[//]],Table1[h_hargasetelahdiskon]))</f>
        <v>689040</v>
      </c>
      <c r="L16" s="89">
        <f ca="1">IF(pajak[//]="","",pajak[[#This Row],[Sub Total]]/1.11*11%)</f>
        <v>68283.24324324324</v>
      </c>
      <c r="M16" s="89">
        <f ca="1"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 ca="1"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 ca="1">IF(pajak[[#This Row],[//]]="","",SUMIF(Table1[h_id],pajak[[#This Row],[//]],Table1[h_hargasebelumdiskon]))</f>
        <v>55790800</v>
      </c>
      <c r="J17" s="89">
        <f ca="1">IF(pajak[[#This Row],[//]]="","",SUMIF(Table1[h_id],pajak[[#This Row],[//]],Table1[h_diskon]))</f>
        <v>6973850</v>
      </c>
      <c r="K17" s="89">
        <f ca="1">IF(pajak[[#This Row],[//]]="","",SUMIF(Table1[h_id],pajak[[#This Row],[//]],Table1[h_hargasetelahdiskon]))</f>
        <v>48816950</v>
      </c>
      <c r="L17" s="89">
        <f ca="1">IF(pajak[//]="","",pajak[[#This Row],[Sub Total]]/1.11*11%)</f>
        <v>4837715.7657657648</v>
      </c>
      <c r="M17" s="89">
        <f ca="1"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 ca="1"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 ca="1">IF(pajak[[#This Row],[//]]="","",SUMIF(Table1[h_id],pajak[[#This Row],[//]],Table1[h_hargasebelumdiskon]))</f>
        <v>21990400</v>
      </c>
      <c r="J18" s="89">
        <f ca="1">IF(pajak[[#This Row],[//]]="","",SUMIF(Table1[h_id],pajak[[#This Row],[//]],Table1[h_diskon]))</f>
        <v>2968704</v>
      </c>
      <c r="K18" s="89">
        <f ca="1">IF(pajak[[#This Row],[//]]="","",SUMIF(Table1[h_id],pajak[[#This Row],[//]],Table1[h_hargasetelahdiskon]))</f>
        <v>19021696</v>
      </c>
      <c r="L18" s="89">
        <f ca="1">IF(pajak[//]="","",pajak[[#This Row],[Sub Total]]/1.11*11%)</f>
        <v>1885032.9369369368</v>
      </c>
      <c r="M18" s="89">
        <f ca="1"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 ca="1"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 ca="1">IF(pajak[[#This Row],[//]]="","",SUMIF(Table1[h_id],pajak[[#This Row],[//]],Table1[h_hargasebelumdiskon]))</f>
        <v>2952000</v>
      </c>
      <c r="J19" s="89">
        <f ca="1">IF(pajak[[#This Row],[//]]="","",SUMIF(Table1[h_id],pajak[[#This Row],[//]],Table1[h_diskon]))</f>
        <v>413280.00000000006</v>
      </c>
      <c r="K19" s="89">
        <f ca="1">IF(pajak[[#This Row],[//]]="","",SUMIF(Table1[h_id],pajak[[#This Row],[//]],Table1[h_hargasetelahdiskon]))</f>
        <v>2538720</v>
      </c>
      <c r="L19" s="89">
        <f ca="1">IF(pajak[//]="","",pajak[[#This Row],[Sub Total]]/1.11*11%)</f>
        <v>251584.86486486488</v>
      </c>
      <c r="M19" s="89">
        <f ca="1"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 ca="1"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 ca="1">IF(pajak[[#This Row],[//]]="","",SUMIF(Table1[h_id],pajak[[#This Row],[//]],Table1[h_hargasebelumdiskon]))</f>
        <v>22464000</v>
      </c>
      <c r="J20" s="89">
        <f ca="1">IF(pajak[[#This Row],[//]]="","",SUMIF(Table1[h_id],pajak[[#This Row],[//]],Table1[h_diskon]))</f>
        <v>2808000</v>
      </c>
      <c r="K20" s="89">
        <f ca="1">IF(pajak[[#This Row],[//]]="","",SUMIF(Table1[h_id],pajak[[#This Row],[//]],Table1[h_hargasetelahdiskon]))</f>
        <v>19656000</v>
      </c>
      <c r="L20" s="89">
        <f ca="1">IF(pajak[//]="","",pajak[[#This Row],[Sub Total]]/1.11*11%)</f>
        <v>1947891.8918918918</v>
      </c>
      <c r="M20" s="89">
        <f ca="1"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 ca="1"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 ca="1">IF(pajak[[#This Row],[//]]="","",SUMIF(Table1[h_id],pajak[[#This Row],[//]],Table1[h_hargasebelumdiskon]))</f>
        <v>500000</v>
      </c>
      <c r="J21" s="89">
        <f ca="1">IF(pajak[[#This Row],[//]]="","",SUMIF(Table1[h_id],pajak[[#This Row],[//]],Table1[h_diskon]))</f>
        <v>0</v>
      </c>
      <c r="K21" s="89">
        <f ca="1">IF(pajak[[#This Row],[//]]="","",SUMIF(Table1[h_id],pajak[[#This Row],[//]],Table1[h_hargasetelahdiskon]))</f>
        <v>500000</v>
      </c>
      <c r="L21" s="89">
        <f ca="1">IF(pajak[//]="","",pajak[[#This Row],[Sub Total]]/1.11*11%)</f>
        <v>49549.549549549549</v>
      </c>
      <c r="M21" s="89">
        <f ca="1"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 ca="1"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 ca="1">IF(pajak[[#This Row],[//]]="","",SUMIF(Table1[h_id],pajak[[#This Row],[//]],Table1[h_hargasebelumdiskon]))</f>
        <v>4136000</v>
      </c>
      <c r="J22" s="89">
        <f ca="1">IF(pajak[[#This Row],[//]]="","",SUMIF(Table1[h_id],pajak[[#This Row],[//]],Table1[h_diskon]))</f>
        <v>537680</v>
      </c>
      <c r="K22" s="89">
        <f ca="1">IF(pajak[[#This Row],[//]]="","",SUMIF(Table1[h_id],pajak[[#This Row],[//]],Table1[h_hargasetelahdiskon]))</f>
        <v>3598320</v>
      </c>
      <c r="L22" s="89">
        <f ca="1">IF(pajak[//]="","",pajak[[#This Row],[Sub Total]]/1.11*11%)</f>
        <v>356590.27027027024</v>
      </c>
      <c r="M22" s="89">
        <f ca="1"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 ca="1"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 ca="1">IF(pajak[[#This Row],[//]]="","",SUMIF(Table1[h_id],pajak[[#This Row],[//]],Table1[h_hargasebelumdiskon]))</f>
        <v>101344800</v>
      </c>
      <c r="J23" s="89">
        <f ca="1">IF(pajak[[#This Row],[//]]="","",SUMIF(Table1[h_id],pajak[[#This Row],[//]],Table1[h_diskon]))</f>
        <v>12668100</v>
      </c>
      <c r="K23" s="89">
        <f ca="1">IF(pajak[[#This Row],[//]]="","",SUMIF(Table1[h_id],pajak[[#This Row],[//]],Table1[h_hargasetelahdiskon]))</f>
        <v>88676700</v>
      </c>
      <c r="L23" s="89">
        <f ca="1">IF(pajak[//]="","",pajak[[#This Row],[Sub Total]]/1.11*11%)</f>
        <v>8787781.0810810793</v>
      </c>
      <c r="M23" s="89">
        <f ca="1"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 ca="1">IF(INDEX([2]Invoice!$K:$K,Table4[[#This Row],[cek_rekap(share)]])=pajak[[#This Row],[Total Invoice]],"-",FALSE)</f>
        <v>-</v>
      </c>
    </row>
    <row r="24" spans="1:20" x14ac:dyDescent="0.25">
      <c r="A24" s="88">
        <v>108</v>
      </c>
      <c r="B24" s="88"/>
      <c r="D24" s="86">
        <f t="shared" si="1"/>
        <v>108</v>
      </c>
      <c r="E24" s="86" t="str">
        <f>IF(pajak[[#This Row],[//]]="","",INDEX(Table1[No. Invoice :],pajak[//]-offset))</f>
        <v>AM 23020022</v>
      </c>
      <c r="F24" s="90">
        <f>IF(pajak[[#This Row],[//]]="","",INDEX(Table1[Tgl Invoice :],pajak[//]-offset))</f>
        <v>44970</v>
      </c>
      <c r="G24" s="86" t="str">
        <f>IF(pajak[[#This Row],[//]]="","",INDEX(Table1[Kode Sales :],pajak[//]-offset))</f>
        <v>G 0891</v>
      </c>
      <c r="H24" s="86" t="str">
        <f>IF(pajak[[#This Row],[//]]="","",INDEX(Table1[Toko],pajak[//]-offset))</f>
        <v>LILY JULIAWATI (REJO AGUNG) JOMBANG</v>
      </c>
      <c r="I24" s="89">
        <f ca="1">IF(pajak[[#This Row],[//]]="","",SUMIF(Table1[h_id],pajak[[#This Row],[//]],Table1[h_hargasebelumdiskon]))</f>
        <v>59917200</v>
      </c>
      <c r="J24" s="89">
        <f ca="1">IF(pajak[[#This Row],[//]]="","",SUMIF(Table1[h_id],pajak[[#This Row],[//]],Table1[h_diskon]))</f>
        <v>7489650</v>
      </c>
      <c r="K24" s="89">
        <f ca="1">IF(pajak[[#This Row],[//]]="","",SUMIF(Table1[h_id],pajak[[#This Row],[//]],Table1[h_hargasetelahdiskon]))</f>
        <v>52427550</v>
      </c>
      <c r="L24" s="89">
        <f ca="1">IF(pajak[//]="","",pajak[[#This Row],[Sub Total]]/1.11*11%)</f>
        <v>5195522.9729729732</v>
      </c>
      <c r="M24" s="89">
        <f ca="1">pajak[[#This Row],[Sub Total]]</f>
        <v>52427550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 ca="1">IF(INDEX([2]Invoice!$K:$K,Table4[[#This Row],[cek_rekap(share)]])=pajak[[#This Row],[Total Invoice]],"-",FALSE)</f>
        <v>-</v>
      </c>
    </row>
    <row r="25" spans="1:20" x14ac:dyDescent="0.25">
      <c r="A25" s="88">
        <v>120</v>
      </c>
      <c r="B25" s="88"/>
      <c r="D25" s="86">
        <f t="shared" si="1"/>
        <v>120</v>
      </c>
      <c r="E25" s="86" t="str">
        <f>IF(pajak[[#This Row],[//]]="","",INDEX(Table1[No. Invoice :],pajak[//]-offset))</f>
        <v>AM 23020023</v>
      </c>
      <c r="F25" s="90">
        <f>IF(pajak[[#This Row],[//]]="","",INDEX(Table1[Tgl Invoice :],pajak[//]-offset))</f>
        <v>44970</v>
      </c>
      <c r="G25" s="86" t="str">
        <f>IF(pajak[[#This Row],[//]]="","",INDEX(Table1[Kode Sales :],pajak[//]-offset))</f>
        <v>G 0892</v>
      </c>
      <c r="H25" s="86" t="str">
        <f>IF(pajak[[#This Row],[//]]="","",INDEX(Table1[Toko],pajak[//]-offset))</f>
        <v>LILY JULIAWATI (REJO AGUNG) JOMBANG</v>
      </c>
      <c r="I25" s="89">
        <f ca="1">IF(pajak[[#This Row],[//]]="","",SUMIF(Table1[h_id],pajak[[#This Row],[//]],Table1[h_hargasebelumdiskon]))</f>
        <v>7851600</v>
      </c>
      <c r="J25" s="89">
        <f ca="1">IF(pajak[[#This Row],[//]]="","",SUMIF(Table1[h_id],pajak[[#This Row],[//]],Table1[h_diskon]))</f>
        <v>981450</v>
      </c>
      <c r="K25" s="89">
        <f ca="1">IF(pajak[[#This Row],[//]]="","",SUMIF(Table1[h_id],pajak[[#This Row],[//]],Table1[h_hargasetelahdiskon]))</f>
        <v>6870150</v>
      </c>
      <c r="L25" s="89">
        <f ca="1">IF(pajak[//]="","",pajak[[#This Row],[Sub Total]]/1.11*11%)</f>
        <v>680825.67567567562</v>
      </c>
      <c r="M25" s="89">
        <f ca="1">pajak[[#This Row],[Sub Total]]</f>
        <v>6870150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 ca="1">IF(INDEX([2]Invoice!$K:$K,Table4[[#This Row],[cek_rekap(share)]])=pajak[[#This Row],[Total Invoice]],"-",FALSE)</f>
        <v>-</v>
      </c>
    </row>
    <row r="26" spans="1:20" x14ac:dyDescent="0.25">
      <c r="A26" s="88">
        <v>124</v>
      </c>
      <c r="B26" s="88"/>
      <c r="D26" s="86">
        <f t="shared" si="1"/>
        <v>124</v>
      </c>
      <c r="E26" s="86" t="str">
        <f>IF(pajak[[#This Row],[//]]="","",INDEX(Table1[No. Invoice :],pajak[//]-offset))</f>
        <v>AM 23020024</v>
      </c>
      <c r="F26" s="90">
        <f>IF(pajak[[#This Row],[//]]="","",INDEX(Table1[Tgl Invoice :],pajak[//]-offset))</f>
        <v>44972</v>
      </c>
      <c r="G26" s="86" t="str">
        <f>IF(pajak[[#This Row],[//]]="","",INDEX(Table1[Kode Sales :],pajak[//]-offset))</f>
        <v>KO 1054</v>
      </c>
      <c r="H26" s="86" t="str">
        <f>IF(pajak[[#This Row],[//]]="","",INDEX(Table1[Toko],pajak[//]-offset))</f>
        <v>CV TRINITY CENTRAAL PURWOKERTO</v>
      </c>
      <c r="I26" s="89">
        <f ca="1">IF(pajak[[#This Row],[//]]="","",SUMIF(Table1[h_id],pajak[[#This Row],[//]],Table1[h_hargasebelumdiskon]))</f>
        <v>810000</v>
      </c>
      <c r="J26" s="89">
        <f ca="1">IF(pajak[[#This Row],[//]]="","",SUMIF(Table1[h_id],pajak[[#This Row],[//]],Table1[h_diskon]))</f>
        <v>105300</v>
      </c>
      <c r="K26" s="89">
        <f ca="1">IF(pajak[[#This Row],[//]]="","",SUMIF(Table1[h_id],pajak[[#This Row],[//]],Table1[h_hargasetelahdiskon]))</f>
        <v>704700</v>
      </c>
      <c r="L26" s="89">
        <f ca="1">IF(pajak[//]="","",pajak[[#This Row],[Sub Total]]/1.11*11%)</f>
        <v>69835.135135135133</v>
      </c>
      <c r="M26" s="89">
        <f ca="1">pajak[[#This Row],[Sub Total]]</f>
        <v>704700</v>
      </c>
      <c r="N26" s="86" t="str">
        <f>IF(pajak[[#This Row],[//]]="","",INDEX(Table1[pembuat nota :],pajak[//]-offset))</f>
        <v>NOVI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 ca="1">IF(INDEX([2]Invoice!$K:$K,Table4[[#This Row],[cek_rekap(share)]])=pajak[[#This Row],[Total Invoice]],"-",FALSE)</f>
        <v>-</v>
      </c>
    </row>
    <row r="27" spans="1:20" x14ac:dyDescent="0.25">
      <c r="A27" s="88">
        <v>126</v>
      </c>
      <c r="D27" s="86">
        <f t="shared" si="1"/>
        <v>126</v>
      </c>
      <c r="E27" s="86" t="str">
        <f>IF(pajak[[#This Row],[//]]="","",INDEX(Table1[No. Invoice :],pajak[//]-offset))</f>
        <v>AM 23020025</v>
      </c>
      <c r="F27" s="90">
        <f>IF(pajak[[#This Row],[//]]="","",INDEX(Table1[Tgl Invoice :],pajak[//]-offset))</f>
        <v>44973</v>
      </c>
      <c r="G27" s="86" t="str">
        <f>IF(pajak[[#This Row],[//]]="","",INDEX(Table1[Kode Sales :],pajak[//]-offset))</f>
        <v>KO 1065</v>
      </c>
      <c r="H27" s="86" t="str">
        <f>IF(pajak[[#This Row],[//]]="","",INDEX(Table1[Toko],pajak[//]-offset))</f>
        <v>CV TRINITY CENTRAAL PURWOKERTO</v>
      </c>
      <c r="I27" s="89">
        <f ca="1">IF(pajak[[#This Row],[//]]="","",SUMIF(Table1[h_id],pajak[[#This Row],[//]],Table1[h_hargasebelumdiskon]))</f>
        <v>4089600</v>
      </c>
      <c r="J27" s="89">
        <f ca="1">IF(pajak[[#This Row],[//]]="","",SUMIF(Table1[h_id],pajak[[#This Row],[//]],Table1[h_diskon]))</f>
        <v>531648</v>
      </c>
      <c r="K27" s="89">
        <f ca="1">IF(pajak[[#This Row],[//]]="","",SUMIF(Table1[h_id],pajak[[#This Row],[//]],Table1[h_hargasetelahdiskon]))</f>
        <v>3557952</v>
      </c>
      <c r="L27" s="89">
        <f ca="1">IF(pajak[//]="","",pajak[[#This Row],[Sub Total]]/1.11*11%)</f>
        <v>352589.83783783781</v>
      </c>
      <c r="M27" s="89">
        <f ca="1">pajak[[#This Row],[Sub Total]]</f>
        <v>3557952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 ca="1">IF(INDEX([2]Invoice!$K:$K,Table4[[#This Row],[cek_rekap(share)]])=pajak[[#This Row],[Total Invoice]],"-",FALSE)</f>
        <v>-</v>
      </c>
    </row>
    <row r="28" spans="1:20" x14ac:dyDescent="0.25">
      <c r="A28" s="88">
        <v>131</v>
      </c>
      <c r="D28" s="86">
        <f t="shared" ref="D28:D41" si="2">IF(ROW()-2&lt;=jNota,A28,"")</f>
        <v>131</v>
      </c>
      <c r="E28" s="86" t="str">
        <f>IF(pajak[[#This Row],[//]]="","",INDEX(Table1[No. Invoice :],pajak[//]-offset))</f>
        <v>AM 23020026</v>
      </c>
      <c r="F28" s="90">
        <f>IF(pajak[[#This Row],[//]]="","",INDEX(Table1[Tgl Invoice :],pajak[//]-offset))</f>
        <v>44978</v>
      </c>
      <c r="G28" s="86" t="str">
        <f>IF(pajak[[#This Row],[//]]="","",INDEX(Table1[Kode Sales :],pajak[//]-offset))</f>
        <v>KO 1103</v>
      </c>
      <c r="H28" s="86" t="str">
        <f>IF(pajak[[#This Row],[//]]="","",INDEX(Table1[Toko],pajak[//]-offset))</f>
        <v>CV  WISUDA PURWOKERTO</v>
      </c>
      <c r="I28" s="89">
        <f ca="1">IF(pajak[[#This Row],[//]]="","",SUMIF(Table1[h_id],pajak[[#This Row],[//]],Table1[h_hargasebelumdiskon]))</f>
        <v>3505200</v>
      </c>
      <c r="J28" s="89">
        <f ca="1">IF(pajak[[#This Row],[//]]="","",SUMIF(Table1[h_id],pajak[[#This Row],[//]],Table1[h_diskon]))</f>
        <v>350520</v>
      </c>
      <c r="K28" s="89">
        <f ca="1">IF(pajak[[#This Row],[//]]="","",SUMIF(Table1[h_id],pajak[[#This Row],[//]],Table1[h_hargasetelahdiskon]))</f>
        <v>3154680</v>
      </c>
      <c r="L28" s="89">
        <f ca="1">IF(pajak[//]="","",pajak[[#This Row],[Sub Total]]/1.11*11%)</f>
        <v>312625.94594594592</v>
      </c>
      <c r="M28" s="89">
        <f ca="1">pajak[[#This Row],[Sub Total]]</f>
        <v>3154680</v>
      </c>
      <c r="N28" s="86" t="str">
        <f>IF(pajak[[#This Row],[//]]="","",INDEX(Table1[pembuat nota :],pajak[//]-offset))</f>
        <v>NOVI / YO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>
        <f>Table4[[#This Row],[cek_ppn]]+28</f>
        <v>2884</v>
      </c>
      <c r="T28" s="86" t="str">
        <f ca="1">IF(INDEX([2]Invoice!$K:$K,Table4[[#This Row],[cek_rekap(share)]])=pajak[[#This Row],[Total Invoice]],"-",FALSE)</f>
        <v>-</v>
      </c>
    </row>
    <row r="29" spans="1:20" x14ac:dyDescent="0.25">
      <c r="A29" s="88">
        <v>136</v>
      </c>
      <c r="D29" s="86">
        <f t="shared" si="2"/>
        <v>136</v>
      </c>
      <c r="E29" s="86" t="str">
        <f>IF(pajak[[#This Row],[//]]="","",INDEX(Table1[No. Invoice :],pajak[//]-offset))</f>
        <v>AM 23020027</v>
      </c>
      <c r="F29" s="90">
        <f>IF(pajak[[#This Row],[//]]="","",INDEX(Table1[Tgl Invoice :],pajak[//]-offset))</f>
        <v>44978</v>
      </c>
      <c r="G29" s="86" t="str">
        <f>IF(pajak[[#This Row],[//]]="","",INDEX(Table1[Kode Sales :],pajak[//]-offset))</f>
        <v>KO 1106</v>
      </c>
      <c r="H29" s="86" t="str">
        <f>IF(pajak[[#This Row],[//]]="","",INDEX(Table1[Toko],pajak[//]-offset))</f>
        <v>CV DWI JAYA YOGYAKARTA</v>
      </c>
      <c r="I29" s="89">
        <f ca="1">IF(pajak[[#This Row],[//]]="","",SUMIF(Table1[h_id],pajak[[#This Row],[//]],Table1[h_hargasebelumdiskon]))</f>
        <v>2180400</v>
      </c>
      <c r="J29" s="89">
        <f ca="1">IF(pajak[[#This Row],[//]]="","",SUMIF(Table1[h_id],pajak[[#This Row],[//]],Table1[h_diskon]))</f>
        <v>218040</v>
      </c>
      <c r="K29" s="89">
        <f ca="1">IF(pajak[[#This Row],[//]]="","",SUMIF(Table1[h_id],pajak[[#This Row],[//]],Table1[h_hargasetelahdiskon]))</f>
        <v>1962360</v>
      </c>
      <c r="L29" s="89">
        <f ca="1">IF(pajak[//]="","",pajak[[#This Row],[Sub Total]]/1.11*11%)</f>
        <v>194468.10810810811</v>
      </c>
      <c r="M29" s="89">
        <f ca="1">pajak[[#This Row],[Sub Total]]</f>
        <v>1962360</v>
      </c>
      <c r="N29" s="86" t="str">
        <f>IF(pajak[[#This Row],[//]]="","",INDEX(Table1[pembuat nota :],pajak[//]-offset))</f>
        <v>NOVI / YO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>
        <f>Table4[[#This Row],[cek_ppn]]+28</f>
        <v>2998</v>
      </c>
      <c r="T29" s="86" t="str">
        <f ca="1">IF(INDEX([2]Invoice!$K:$K,Table4[[#This Row],[cek_rekap(share)]])=pajak[[#This Row],[Total Invoice]],"-",FALSE)</f>
        <v>-</v>
      </c>
    </row>
    <row r="30" spans="1:20" x14ac:dyDescent="0.25">
      <c r="A30" s="88">
        <v>144</v>
      </c>
      <c r="D30" s="86">
        <f t="shared" si="2"/>
        <v>144</v>
      </c>
      <c r="E30" s="86" t="str">
        <f>IF(pajak[[#This Row],[//]]="","",INDEX(Table1[No. Invoice :],pajak[//]-offset))</f>
        <v>AM 23020028</v>
      </c>
      <c r="F30" s="90">
        <f>IF(pajak[[#This Row],[//]]="","",INDEX(Table1[Tgl Invoice :],pajak[//]-offset))</f>
        <v>44974</v>
      </c>
      <c r="G30" s="86" t="str">
        <f>IF(pajak[[#This Row],[//]]="","",INDEX(Table1[Kode Sales :],pajak[//]-offset))</f>
        <v>KO 0943</v>
      </c>
      <c r="H30" s="86" t="str">
        <f>IF(pajak[[#This Row],[//]]="","",INDEX(Table1[Toko],pajak[//]-offset))</f>
        <v>CV TRINITY CENTRAAL PURWOKERTO</v>
      </c>
      <c r="I30" s="89">
        <f ca="1">IF(pajak[[#This Row],[//]]="","",SUMIF(Table1[h_id],pajak[[#This Row],[//]],Table1[h_hargasebelumdiskon]))</f>
        <v>1056000</v>
      </c>
      <c r="J30" s="89">
        <f ca="1">IF(pajak[[#This Row],[//]]="","",SUMIF(Table1[h_id],pajak[[#This Row],[//]],Table1[h_diskon]))</f>
        <v>137280</v>
      </c>
      <c r="K30" s="89">
        <f ca="1">IF(pajak[[#This Row],[//]]="","",SUMIF(Table1[h_id],pajak[[#This Row],[//]],Table1[h_hargasetelahdiskon]))</f>
        <v>918720</v>
      </c>
      <c r="L30" s="89">
        <f ca="1">IF(pajak[//]="","",pajak[[#This Row],[Sub Total]]/1.11*11%)</f>
        <v>91044.32432432432</v>
      </c>
      <c r="M30" s="89">
        <f ca="1">pajak[[#This Row],[Sub Total]]</f>
        <v>918720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>
        <f>Table4[[#This Row],[cek_ppn]]+28</f>
        <v>3112</v>
      </c>
      <c r="T30" s="86" t="str">
        <f ca="1">IF(INDEX([2]Invoice!$K:$K,Table4[[#This Row],[cek_rekap(share)]])=pajak[[#This Row],[Total Invoice]],"-",FALSE)</f>
        <v>-</v>
      </c>
    </row>
    <row r="31" spans="1:20" x14ac:dyDescent="0.25">
      <c r="A31" s="88">
        <v>146</v>
      </c>
      <c r="D31" s="86">
        <f t="shared" si="2"/>
        <v>146</v>
      </c>
      <c r="E31" s="86" t="str">
        <f>IF(pajak[[#This Row],[//]]="","",INDEX(Table1[No. Invoice :],pajak[//]-offset))</f>
        <v>AM 23020029</v>
      </c>
      <c r="F31" s="90">
        <f>IF(pajak[[#This Row],[//]]="","",INDEX(Table1[Tgl Invoice :],pajak[//]-offset))</f>
        <v>44980</v>
      </c>
      <c r="G31" s="86" t="str">
        <f>IF(pajak[[#This Row],[//]]="","",INDEX(Table1[Kode Sales :],pajak[//]-offset))</f>
        <v>KO 1120</v>
      </c>
      <c r="H31" s="86" t="str">
        <f>IF(pajak[[#This Row],[//]]="","",INDEX(Table1[Toko],pajak[//]-offset))</f>
        <v>CV TRINITY CENTRAAL PURWOKERTO</v>
      </c>
      <c r="I31" s="89">
        <f ca="1">IF(pajak[[#This Row],[//]]="","",SUMIF(Table1[h_id],pajak[[#This Row],[//]],Table1[h_hargasebelumdiskon]))</f>
        <v>2988000</v>
      </c>
      <c r="J31" s="89">
        <f ca="1">IF(pajak[[#This Row],[//]]="","",SUMIF(Table1[h_id],pajak[[#This Row],[//]],Table1[h_diskon]))</f>
        <v>388440</v>
      </c>
      <c r="K31" s="89">
        <f ca="1">IF(pajak[[#This Row],[//]]="","",SUMIF(Table1[h_id],pajak[[#This Row],[//]],Table1[h_hargasetelahdiskon]))</f>
        <v>2599560</v>
      </c>
      <c r="L31" s="89">
        <f ca="1">IF(pajak[//]="","",pajak[[#This Row],[Sub Total]]/1.11*11%)</f>
        <v>257614.05405405402</v>
      </c>
      <c r="M31" s="89">
        <f ca="1">pajak[[#This Row],[Sub Total]]</f>
        <v>2599560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>
        <f>Table4[[#This Row],[cek_ppn]]+28</f>
        <v>3226</v>
      </c>
      <c r="T31" s="86" t="str">
        <f ca="1">IF(INDEX([2]Invoice!$K:$K,Table4[[#This Row],[cek_rekap(share)]])=pajak[[#This Row],[Total Invoice]],"-",FALSE)</f>
        <v>-</v>
      </c>
    </row>
    <row r="32" spans="1:20" x14ac:dyDescent="0.25">
      <c r="A32" s="88">
        <v>148</v>
      </c>
      <c r="D32" s="86">
        <f t="shared" si="2"/>
        <v>148</v>
      </c>
      <c r="E32" s="86" t="str">
        <f>IF(pajak[[#This Row],[//]]="","",INDEX(Table1[No. Invoice :],pajak[//]-offset))</f>
        <v>AM 23020030</v>
      </c>
      <c r="F32" s="90">
        <f>IF(pajak[[#This Row],[//]]="","",INDEX(Table1[Tgl Invoice :],pajak[//]-offset))</f>
        <v>44980</v>
      </c>
      <c r="G32" s="86" t="str">
        <f>IF(pajak[[#This Row],[//]]="","",INDEX(Table1[Kode Sales :],pajak[//]-offset))</f>
        <v>KO 1121</v>
      </c>
      <c r="H32" s="86" t="str">
        <f>IF(pajak[[#This Row],[//]]="","",INDEX(Table1[Toko],pajak[//]-offset))</f>
        <v>CV PELITA JAYA (ANUGERAH SEJAHTERA) PURWOKERTO</v>
      </c>
      <c r="I32" s="89">
        <f ca="1">IF(pajak[[#This Row],[//]]="","",SUMIF(Table1[h_id],pajak[[#This Row],[//]],Table1[h_hargasebelumdiskon]))</f>
        <v>5760000</v>
      </c>
      <c r="J32" s="89">
        <f ca="1">IF(pajak[[#This Row],[//]]="","",SUMIF(Table1[h_id],pajak[[#This Row],[//]],Table1[h_diskon]))</f>
        <v>777600</v>
      </c>
      <c r="K32" s="89">
        <f ca="1">IF(pajak[[#This Row],[//]]="","",SUMIF(Table1[h_id],pajak[[#This Row],[//]],Table1[h_hargasetelahdiskon]))</f>
        <v>4982400</v>
      </c>
      <c r="L32" s="89">
        <f ca="1">IF(pajak[//]="","",pajak[[#This Row],[Sub Total]]/1.11*11%)</f>
        <v>493751.35135135136</v>
      </c>
      <c r="M32" s="89">
        <f ca="1">pajak[[#This Row],[Sub Total]]</f>
        <v>4982400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>
        <f>Table4[[#This Row],[cek_ppn]]+28</f>
        <v>3340</v>
      </c>
      <c r="T32" s="86" t="str">
        <f ca="1">IF(INDEX([2]Invoice!$K:$K,Table4[[#This Row],[cek_rekap(share)]])=pajak[[#This Row],[Total Invoice]],"-",FALSE)</f>
        <v>-</v>
      </c>
    </row>
    <row r="33" spans="1:20" x14ac:dyDescent="0.25">
      <c r="A33" s="88">
        <v>150</v>
      </c>
      <c r="D33" s="86">
        <f t="shared" si="2"/>
        <v>150</v>
      </c>
      <c r="E33" s="86" t="str">
        <f>IF(pajak[[#This Row],[//]]="","",INDEX(Table1[No. Invoice :],pajak[//]-offset))</f>
        <v>AM 23020031</v>
      </c>
      <c r="F33" s="90">
        <f>IF(pajak[[#This Row],[//]]="","",INDEX(Table1[Tgl Invoice :],pajak[//]-offset))</f>
        <v>44980</v>
      </c>
      <c r="G33" s="86" t="str">
        <f>IF(pajak[[#This Row],[//]]="","",INDEX(Table1[Kode Sales :],pajak[//]-offset))</f>
        <v>KO 0725</v>
      </c>
      <c r="H33" s="86" t="str">
        <f>IF(pajak[[#This Row],[//]]="","",INDEX(Table1[Toko],pajak[//]-offset))</f>
        <v>CV RAINBOW NUSANTARA SIDOARJO</v>
      </c>
      <c r="I33" s="89">
        <f ca="1">IF(pajak[[#This Row],[//]]="","",SUMIF(Table1[h_id],pajak[[#This Row],[//]],Table1[h_hargasebelumdiskon]))</f>
        <v>3020400</v>
      </c>
      <c r="J33" s="89">
        <f ca="1">IF(pajak[[#This Row],[//]]="","",SUMIF(Table1[h_id],pajak[[#This Row],[//]],Table1[h_diskon]))</f>
        <v>437958</v>
      </c>
      <c r="K33" s="89">
        <f ca="1">IF(pajak[[#This Row],[//]]="","",SUMIF(Table1[h_id],pajak[[#This Row],[//]],Table1[h_hargasetelahdiskon]))</f>
        <v>2582442</v>
      </c>
      <c r="L33" s="89">
        <f ca="1">IF(pajak[//]="","",pajak[[#This Row],[Sub Total]]/1.11*11%)</f>
        <v>255917.67567567568</v>
      </c>
      <c r="M33" s="89">
        <f ca="1">pajak[[#This Row],[Sub Total]]</f>
        <v>2582442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>
        <f>Table4[[#This Row],[cek_ppn]]+28</f>
        <v>3454</v>
      </c>
      <c r="T33" s="86" t="str">
        <f ca="1">IF(INDEX([2]Invoice!$K:$K,Table4[[#This Row],[cek_rekap(share)]])=pajak[[#This Row],[Total Invoice]],"-",FALSE)</f>
        <v>-</v>
      </c>
    </row>
    <row r="34" spans="1:20" x14ac:dyDescent="0.25">
      <c r="A34" s="88">
        <v>157</v>
      </c>
      <c r="D34" s="86">
        <f t="shared" si="2"/>
        <v>157</v>
      </c>
      <c r="E34" s="86" t="str">
        <f>IF(pajak[[#This Row],[//]]="","",INDEX(Table1[No. Invoice :],pajak[//]-offset))</f>
        <v>AM 23020032</v>
      </c>
      <c r="F34" s="90">
        <f>IF(pajak[[#This Row],[//]]="","",INDEX(Table1[Tgl Invoice :],pajak[//]-offset))</f>
        <v>44980</v>
      </c>
      <c r="G34" s="86" t="str">
        <f>IF(pajak[[#This Row],[//]]="","",INDEX(Table1[Kode Sales :],pajak[//]-offset))</f>
        <v>KO 1124</v>
      </c>
      <c r="H34" s="86" t="str">
        <f>IF(pajak[[#This Row],[//]]="","",INDEX(Table1[Toko],pajak[//]-offset))</f>
        <v>CV SINAR CAHAYA NIRMALA BREBES</v>
      </c>
      <c r="I34" s="89">
        <f ca="1">IF(pajak[[#This Row],[//]]="","",SUMIF(Table1[h_id],pajak[[#This Row],[//]],Table1[h_hargasebelumdiskon]))</f>
        <v>1912800</v>
      </c>
      <c r="J34" s="89">
        <f ca="1">IF(pajak[[#This Row],[//]]="","",SUMIF(Table1[h_id],pajak[[#This Row],[//]],Table1[h_diskon]))</f>
        <v>191280</v>
      </c>
      <c r="K34" s="89">
        <f ca="1">IF(pajak[[#This Row],[//]]="","",SUMIF(Table1[h_id],pajak[[#This Row],[//]],Table1[h_hargasetelahdiskon]))</f>
        <v>1721520</v>
      </c>
      <c r="L34" s="89">
        <f ca="1">IF(pajak[//]="","",pajak[[#This Row],[Sub Total]]/1.11*11%)</f>
        <v>170601.08108108107</v>
      </c>
      <c r="M34" s="89">
        <f ca="1">pajak[[#This Row],[Sub Total]]</f>
        <v>1721520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>
        <f>Table4[[#This Row],[cek_ppn]]+28</f>
        <v>3568</v>
      </c>
      <c r="T34" s="86" t="str">
        <f ca="1">IF(INDEX([2]Invoice!$K:$K,Table4[[#This Row],[cek_rekap(share)]])=pajak[[#This Row],[Total Invoice]],"-",FALSE)</f>
        <v>-</v>
      </c>
    </row>
    <row r="35" spans="1:20" x14ac:dyDescent="0.25">
      <c r="A35" s="88">
        <v>168</v>
      </c>
      <c r="D35" s="86">
        <f t="shared" si="2"/>
        <v>168</v>
      </c>
      <c r="E35" s="86" t="str">
        <f>IF(pajak[[#This Row],[//]]="","",INDEX(Table1[No. Invoice :],pajak[//]-offset))</f>
        <v>AM 23020033</v>
      </c>
      <c r="F35" s="90">
        <f>IF(pajak[[#This Row],[//]]="","",INDEX(Table1[Tgl Invoice :],pajak[//]-offset))</f>
        <v>44980</v>
      </c>
      <c r="G35" s="86" t="str">
        <f>IF(pajak[[#This Row],[//]]="","",INDEX(Table1[Kode Sales :],pajak[//]-offset))</f>
        <v>KO 1073</v>
      </c>
      <c r="H35" s="86" t="str">
        <f>IF(pajak[[#This Row],[//]]="","",INDEX(Table1[Toko],pajak[//]-offset))</f>
        <v>CV TRINITY CENTRAAL PURWOKERTO</v>
      </c>
      <c r="I35" s="89">
        <f ca="1">IF(pajak[[#This Row],[//]]="","",SUMIF(Table1[h_id],pajak[[#This Row],[//]],Table1[h_hargasebelumdiskon]))</f>
        <v>4854000</v>
      </c>
      <c r="J35" s="89">
        <f ca="1">IF(pajak[[#This Row],[//]]="","",SUMIF(Table1[h_id],pajak[[#This Row],[//]],Table1[h_diskon]))</f>
        <v>631020</v>
      </c>
      <c r="K35" s="89">
        <f ca="1">IF(pajak[[#This Row],[//]]="","",SUMIF(Table1[h_id],pajak[[#This Row],[//]],Table1[h_hargasetelahdiskon]))</f>
        <v>4222980</v>
      </c>
      <c r="L35" s="89">
        <f ca="1">IF(pajak[//]="","",pajak[[#This Row],[Sub Total]]/1.11*11%)</f>
        <v>418493.51351351349</v>
      </c>
      <c r="M35" s="89">
        <f ca="1">pajak[[#This Row],[Sub Total]]</f>
        <v>4222980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>
        <f>Table4[[#This Row],[cek_ppn]]+28</f>
        <v>3682</v>
      </c>
      <c r="T35" s="86" t="str">
        <f ca="1">IF(INDEX([2]Invoice!$K:$K,Table4[[#This Row],[cek_rekap(share)]])=pajak[[#This Row],[Total Invoice]],"-",FALSE)</f>
        <v>-</v>
      </c>
    </row>
    <row r="36" spans="1:20" x14ac:dyDescent="0.25">
      <c r="A36" s="88">
        <v>173</v>
      </c>
      <c r="D36" s="86">
        <f t="shared" si="2"/>
        <v>173</v>
      </c>
      <c r="E36" s="86" t="str">
        <f>IF(pajak[[#This Row],[//]]="","",INDEX(Table1[No. Invoice :],pajak[//]-offset))</f>
        <v>AM 23020034</v>
      </c>
      <c r="F36" s="90">
        <f>IF(pajak[[#This Row],[//]]="","",INDEX(Table1[Tgl Invoice :],pajak[//]-offset))</f>
        <v>44980</v>
      </c>
      <c r="G36" s="86" t="str">
        <f>IF(pajak[[#This Row],[//]]="","",INDEX(Table1[Kode Sales :],pajak[//]-offset))</f>
        <v>KO 1125</v>
      </c>
      <c r="H36" s="86" t="str">
        <f>IF(pajak[[#This Row],[//]]="","",INDEX(Table1[Toko],pajak[//]-offset))</f>
        <v>SANTOSO BUDIONO (  ARMADA  ) PURWOKERTO</v>
      </c>
      <c r="I36" s="89">
        <f ca="1">IF(pajak[[#This Row],[//]]="","",SUMIF(Table1[h_id],pajak[[#This Row],[//]],Table1[h_hargasebelumdiskon]))</f>
        <v>3909600</v>
      </c>
      <c r="J36" s="89">
        <f ca="1">IF(pajak[[#This Row],[//]]="","",SUMIF(Table1[h_id],pajak[[#This Row],[//]],Table1[h_diskon]))</f>
        <v>527796</v>
      </c>
      <c r="K36" s="89">
        <f ca="1">IF(pajak[[#This Row],[//]]="","",SUMIF(Table1[h_id],pajak[[#This Row],[//]],Table1[h_hargasetelahdiskon]))</f>
        <v>3381804</v>
      </c>
      <c r="L36" s="89">
        <f ca="1">IF(pajak[//]="","",pajak[[#This Row],[Sub Total]]/1.11*11%)</f>
        <v>335133.7297297297</v>
      </c>
      <c r="M36" s="89">
        <f ca="1">pajak[[#This Row],[Sub Total]]</f>
        <v>3381804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>
        <f>Table4[[#This Row],[cek_ppn]]+28</f>
        <v>3796</v>
      </c>
      <c r="T36" s="86" t="str">
        <f ca="1">IF(INDEX([2]Invoice!$K:$K,Table4[[#This Row],[cek_rekap(share)]])=pajak[[#This Row],[Total Invoice]],"-",FALSE)</f>
        <v>-</v>
      </c>
    </row>
    <row r="37" spans="1:20" x14ac:dyDescent="0.25">
      <c r="A37" s="88">
        <v>175</v>
      </c>
      <c r="D37" s="86">
        <f t="shared" si="2"/>
        <v>175</v>
      </c>
      <c r="E37" s="86" t="str">
        <f>IF(pajak[[#This Row],[//]]="","",INDEX(Table1[No. Invoice :],pajak[//]-offset))</f>
        <v>AM 23020035</v>
      </c>
      <c r="F37" s="90">
        <f>IF(pajak[[#This Row],[//]]="","",INDEX(Table1[Tgl Invoice :],pajak[//]-offset))</f>
        <v>44981</v>
      </c>
      <c r="G37" s="86" t="str">
        <f>IF(pajak[[#This Row],[//]]="","",INDEX(Table1[Kode Sales :],pajak[//]-offset))</f>
        <v>KO 1138</v>
      </c>
      <c r="H37" s="86" t="str">
        <f>IF(pajak[[#This Row],[//]]="","",INDEX(Table1[Toko],pajak[//]-offset))</f>
        <v>HARNOYO (BENDAN) PEKALONGAN</v>
      </c>
      <c r="I37" s="89">
        <f ca="1">IF(pajak[[#This Row],[//]]="","",SUMIF(Table1[h_id],pajak[[#This Row],[//]],Table1[h_hargasebelumdiskon]))</f>
        <v>4990000</v>
      </c>
      <c r="J37" s="89">
        <f ca="1">IF(pajak[[#This Row],[//]]="","",SUMIF(Table1[h_id],pajak[[#This Row],[//]],Table1[h_diskon]))</f>
        <v>698600.00000000012</v>
      </c>
      <c r="K37" s="89">
        <f ca="1">IF(pajak[[#This Row],[//]]="","",SUMIF(Table1[h_id],pajak[[#This Row],[//]],Table1[h_hargasetelahdiskon]))</f>
        <v>4291400</v>
      </c>
      <c r="L37" s="89">
        <f ca="1">IF(pajak[//]="","",pajak[[#This Row],[Sub Total]]/1.11*11%)</f>
        <v>425273.87387387385</v>
      </c>
      <c r="M37" s="89">
        <f ca="1">pajak[[#This Row],[Sub Total]]</f>
        <v>4291400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>
        <f>Table4[[#This Row],[cek_ppn]]+28</f>
        <v>3910</v>
      </c>
      <c r="T37" s="86" t="str">
        <f ca="1">IF(INDEX([2]Invoice!$K:$K,Table4[[#This Row],[cek_rekap(share)]])=pajak[[#This Row],[Total Invoice]],"-",FALSE)</f>
        <v>-</v>
      </c>
    </row>
    <row r="38" spans="1:20" x14ac:dyDescent="0.25">
      <c r="A38" s="88">
        <v>179</v>
      </c>
      <c r="D38" s="86">
        <f t="shared" si="2"/>
        <v>179</v>
      </c>
      <c r="E38" s="86" t="str">
        <f>IF(pajak[[#This Row],[//]]="","",INDEX(Table1[No. Invoice :],pajak[//]-offset))</f>
        <v>AM 23020036</v>
      </c>
      <c r="F38" s="90">
        <f>IF(pajak[[#This Row],[//]]="","",INDEX(Table1[Tgl Invoice :],pajak[//]-offset))</f>
        <v>44982</v>
      </c>
      <c r="G38" s="86" t="str">
        <f>IF(pajak[[#This Row],[//]]="","",INDEX(Table1[Kode Sales :],pajak[//]-offset))</f>
        <v>KO 1146</v>
      </c>
      <c r="H38" s="86" t="str">
        <f>IF(pajak[[#This Row],[//]]="","",INDEX(Table1[Toko],pajak[//]-offset))</f>
        <v>HARNOYO (BENDAN) PEKALONGAN</v>
      </c>
      <c r="I38" s="89">
        <f ca="1">IF(pajak[[#This Row],[//]]="","",SUMIF(Table1[h_id],pajak[[#This Row],[//]],Table1[h_hargasebelumdiskon]))</f>
        <v>900000</v>
      </c>
      <c r="J38" s="89">
        <f ca="1">IF(pajak[[#This Row],[//]]="","",SUMIF(Table1[h_id],pajak[[#This Row],[//]],Table1[h_diskon]))</f>
        <v>126000.00000000001</v>
      </c>
      <c r="K38" s="89">
        <f ca="1">IF(pajak[[#This Row],[//]]="","",SUMIF(Table1[h_id],pajak[[#This Row],[//]],Table1[h_hargasetelahdiskon]))</f>
        <v>774000</v>
      </c>
      <c r="L38" s="89">
        <f ca="1">IF(pajak[//]="","",pajak[[#This Row],[Sub Total]]/1.11*11%)</f>
        <v>76702.702702702707</v>
      </c>
      <c r="M38" s="89">
        <f ca="1">pajak[[#This Row],[Sub Total]]</f>
        <v>774000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>
        <f>Table4[[#This Row],[cek_ppn]]+28</f>
        <v>4024</v>
      </c>
      <c r="T38" s="86" t="str">
        <f ca="1">IF(INDEX([2]Invoice!$K:$K,Table4[[#This Row],[cek_rekap(share)]])=pajak[[#This Row],[Total Invoice]],"-",FALSE)</f>
        <v>-</v>
      </c>
    </row>
    <row r="39" spans="1:20" x14ac:dyDescent="0.25">
      <c r="A39" s="88">
        <v>181</v>
      </c>
      <c r="D39" s="86">
        <f t="shared" si="2"/>
        <v>181</v>
      </c>
      <c r="E39" s="86" t="str">
        <f>IF(pajak[[#This Row],[//]]="","",INDEX(Table1[No. Invoice :],pajak[//]-offset))</f>
        <v>AM 23020037</v>
      </c>
      <c r="F39" s="90">
        <f>IF(pajak[[#This Row],[//]]="","",INDEX(Table1[Tgl Invoice :],pajak[//]-offset))</f>
        <v>44984</v>
      </c>
      <c r="G39" s="86" t="str">
        <f>IF(pajak[[#This Row],[//]]="","",INDEX(Table1[Kode Sales :],pajak[//]-offset))</f>
        <v>KO 1155</v>
      </c>
      <c r="H39" s="86" t="str">
        <f>IF(pajak[[#This Row],[//]]="","",INDEX(Table1[Toko],pajak[//]-offset))</f>
        <v>CV TRINITY CENTRAAL PURWOKERTO</v>
      </c>
      <c r="I39" s="89">
        <f ca="1">IF(pajak[[#This Row],[//]]="","",SUMIF(Table1[h_id],pajak[[#This Row],[//]],Table1[h_hargasebelumdiskon]))</f>
        <v>1793100</v>
      </c>
      <c r="J39" s="89">
        <f ca="1">IF(pajak[[#This Row],[//]]="","",SUMIF(Table1[h_id],pajak[[#This Row],[//]],Table1[h_diskon]))</f>
        <v>208728</v>
      </c>
      <c r="K39" s="89">
        <f ca="1">IF(pajak[[#This Row],[//]]="","",SUMIF(Table1[h_id],pajak[[#This Row],[//]],Table1[h_hargasetelahdiskon]))</f>
        <v>1584372</v>
      </c>
      <c r="L39" s="89">
        <f ca="1">IF(pajak[//]="","",pajak[[#This Row],[Sub Total]]/1.11*11%)</f>
        <v>157009.83783783784</v>
      </c>
      <c r="M39" s="89">
        <f ca="1">pajak[[#This Row],[Sub Total]]</f>
        <v>1584372</v>
      </c>
      <c r="N39" s="86" t="str">
        <f>IF(pajak[[#This Row],[//]]="","",INDEX(Table1[pembuat nota :],pajak[//]-offset))</f>
        <v>NOVI / CONDRO</v>
      </c>
      <c r="O39" s="86" t="str">
        <f>IF(pajak[[#This Row],[//]]="","",IF(INDEX(Table1[edited :],pajak[//]-offset)="","",INDEX(Table1[edited :],pajak[//]-offset)))</f>
        <v/>
      </c>
      <c r="R39" s="86">
        <f>IF(pajak[[#This Row],[Kode Sales :]]="","",MATCH(pajak[[#This Row],[Kode Sales :]],[2]Invoice!$D:$D,0))</f>
        <v>4110</v>
      </c>
      <c r="S39" s="86">
        <f>Table4[[#This Row],[cek_ppn]]+28</f>
        <v>4138</v>
      </c>
      <c r="T39" s="86" t="str">
        <f ca="1">IF(INDEX([2]Invoice!$K:$K,Table4[[#This Row],[cek_rekap(share)]])=pajak[[#This Row],[Total Invoice]],"-",FALSE)</f>
        <v>-</v>
      </c>
    </row>
    <row r="40" spans="1:20" x14ac:dyDescent="0.25">
      <c r="A40" s="88">
        <v>184</v>
      </c>
      <c r="D40" s="86">
        <f t="shared" si="2"/>
        <v>184</v>
      </c>
      <c r="E40" s="86" t="str">
        <f>IF(pajak[[#This Row],[//]]="","",INDEX(Table1[No. Invoice :],pajak[//]-offset))</f>
        <v>AM 23020038</v>
      </c>
      <c r="F40" s="90">
        <f>IF(pajak[[#This Row],[//]]="","",INDEX(Table1[Tgl Invoice :],pajak[//]-offset))</f>
        <v>44985</v>
      </c>
      <c r="G40" s="86" t="str">
        <f>IF(pajak[[#This Row],[//]]="","",INDEX(Table1[Kode Sales :],pajak[//]-offset))</f>
        <v>KO 1167</v>
      </c>
      <c r="H40" s="86" t="str">
        <f>IF(pajak[[#This Row],[//]]="","",INDEX(Table1[Toko],pajak[//]-offset))</f>
        <v>CV TRINITY CENTRAAL PURWOKERTO</v>
      </c>
      <c r="I40" s="89">
        <f ca="1">IF(pajak[[#This Row],[//]]="","",SUMIF(Table1[h_id],pajak[[#This Row],[//]],Table1[h_hargasebelumdiskon]))</f>
        <v>3897800</v>
      </c>
      <c r="J40" s="89">
        <f ca="1">IF(pajak[[#This Row],[//]]="","",SUMIF(Table1[h_id],pajak[[#This Row],[//]],Table1[h_diskon]))</f>
        <v>482664</v>
      </c>
      <c r="K40" s="89">
        <f ca="1">IF(pajak[[#This Row],[//]]="","",SUMIF(Table1[h_id],pajak[[#This Row],[//]],Table1[h_hargasetelahdiskon]))</f>
        <v>3415136</v>
      </c>
      <c r="L40" s="89">
        <f ca="1">IF(pajak[//]="","",pajak[[#This Row],[Sub Total]]/1.11*11%)</f>
        <v>338436.90090090089</v>
      </c>
      <c r="M40" s="89">
        <f ca="1">pajak[[#This Row],[Sub Total]]</f>
        <v>3415136</v>
      </c>
      <c r="N40" s="86" t="str">
        <f>IF(pajak[[#This Row],[//]]="","",INDEX(Table1[pembuat nota :],pajak[//]-offset))</f>
        <v>NOVI / CONDRO</v>
      </c>
      <c r="O40" s="86" t="str">
        <f>IF(pajak[[#This Row],[//]]="","",IF(INDEX(Table1[edited :],pajak[//]-offset)="","",INDEX(Table1[edited :],pajak[//]-offset)))</f>
        <v/>
      </c>
      <c r="R40" s="86">
        <f>IF(pajak[[#This Row],[Kode Sales :]]="","",MATCH(pajak[[#This Row],[Kode Sales :]],[2]Invoice!$D:$D,0))</f>
        <v>4224</v>
      </c>
      <c r="S40" s="86">
        <f>Table4[[#This Row],[cek_ppn]]+28</f>
        <v>4252</v>
      </c>
      <c r="T40" s="86" t="str">
        <f ca="1">IF(INDEX([2]Invoice!$K:$K,Table4[[#This Row],[cek_rekap(share)]])=pajak[[#This Row],[Total Invoice]],"-",FALSE)</f>
        <v>-</v>
      </c>
    </row>
    <row r="41" spans="1:20" x14ac:dyDescent="0.25">
      <c r="A41" s="88">
        <v>192</v>
      </c>
      <c r="D41" s="86">
        <f t="shared" si="2"/>
        <v>192</v>
      </c>
      <c r="E41" s="86" t="str">
        <f>IF(pajak[[#This Row],[//]]="","",INDEX(Table1[No. Invoice :],pajak[//]-offset))</f>
        <v>AM 23020039</v>
      </c>
      <c r="F41" s="90">
        <f>IF(pajak[[#This Row],[//]]="","",INDEX(Table1[Tgl Invoice :],pajak[//]-offset))</f>
        <v>44985</v>
      </c>
      <c r="G41" s="86" t="str">
        <f>IF(pajak[[#This Row],[//]]="","",INDEX(Table1[Kode Sales :],pajak[//]-offset))</f>
        <v>KO 1170</v>
      </c>
      <c r="H41" s="86" t="str">
        <f>IF(pajak[[#This Row],[//]]="","",INDEX(Table1[Toko],pajak[//]-offset))</f>
        <v>HARNOYO (BENDAN) PEKALONGAN</v>
      </c>
      <c r="I41" s="89">
        <f ca="1">IF(pajak[[#This Row],[//]]="","",SUMIF(Table1[h_id],pajak[[#This Row],[//]],Table1[h_hargasebelumdiskon]))</f>
        <v>1760000</v>
      </c>
      <c r="J41" s="89">
        <f ca="1">IF(pajak[[#This Row],[//]]="","",SUMIF(Table1[h_id],pajak[[#This Row],[//]],Table1[h_diskon]))</f>
        <v>246400.00000000003</v>
      </c>
      <c r="K41" s="89">
        <f ca="1">IF(pajak[[#This Row],[//]]="","",SUMIF(Table1[h_id],pajak[[#This Row],[//]],Table1[h_hargasetelahdiskon]))</f>
        <v>1513600</v>
      </c>
      <c r="L41" s="89">
        <f ca="1">IF(pajak[//]="","",pajak[[#This Row],[Sub Total]]/1.11*11%)</f>
        <v>149996.39639639639</v>
      </c>
      <c r="M41" s="89">
        <f ca="1">pajak[[#This Row],[Sub Total]]</f>
        <v>1513600</v>
      </c>
      <c r="N41" s="86" t="str">
        <f>IF(pajak[[#This Row],[//]]="","",INDEX(Table1[pembuat nota :],pajak[//]-offset))</f>
        <v>NOVI / CONDRO</v>
      </c>
      <c r="O41" s="86" t="str">
        <f>IF(pajak[[#This Row],[//]]="","",IF(INDEX(Table1[edited :],pajak[//]-offset)="","",INDEX(Table1[edited :],pajak[//]-offset)))</f>
        <v/>
      </c>
      <c r="R41" s="86">
        <f>IF(pajak[[#This Row],[Kode Sales :]]="","",MATCH(pajak[[#This Row],[Kode Sales :]],[2]Invoice!$D:$D,0))</f>
        <v>4338</v>
      </c>
      <c r="S41" s="86">
        <f>Table4[[#This Row],[cek_ppn]]+28</f>
        <v>4366</v>
      </c>
      <c r="T41" s="86" t="str">
        <f ca="1">IF(INDEX([2]Invoice!$K:$K,Table4[[#This Row],[cek_rekap(share)]])=pajak[[#This Row],[Total Invoice]],"-",FALSE)</f>
        <v>-</v>
      </c>
    </row>
    <row r="42" spans="1:20" x14ac:dyDescent="0.25">
      <c r="A42" s="88"/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1:20" x14ac:dyDescent="0.25">
      <c r="A43" s="88" t="s">
        <v>55</v>
      </c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1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1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1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1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1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 ca="1">SUBTOTAL(109,pajak[Total])</f>
        <v>451245700</v>
      </c>
      <c r="J56" s="89">
        <f ca="1">SUBTOTAL(109,pajak[Diskon])</f>
        <v>57707594</v>
      </c>
      <c r="K56" s="89">
        <f ca="1">SUBTOTAL(109,pajak[Sub Total])</f>
        <v>393538106</v>
      </c>
      <c r="L56" s="89">
        <f ca="1">SUBTOTAL(109,pajak[PPN 11%])</f>
        <v>38999271.765765756</v>
      </c>
      <c r="M56" s="89">
        <f ca="1">SUBTOTAL(109,pajak[Total Invoice])</f>
        <v>393538106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192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BENDAN</v>
      </c>
      <c r="F1" t="s">
        <v>46</v>
      </c>
      <c r="G1">
        <f ca="1">INDEX(Table1[h_jumlahbarang],newestIdRow-offset)</f>
        <v>2</v>
      </c>
      <c r="I1" s="349" t="s">
        <v>77</v>
      </c>
      <c r="J1" s="349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23020039</v>
      </c>
      <c r="G3" s="11" t="s">
        <v>16</v>
      </c>
      <c r="H3" s="356" t="str">
        <f>INDEX(Table2[b],MATCH(kToko,Table2[a],0))</f>
        <v>HARNOYO</v>
      </c>
      <c r="I3" s="356"/>
      <c r="J3" s="356"/>
      <c r="K3" s="357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7" t="s">
        <v>18</v>
      </c>
      <c r="G4" s="17"/>
      <c r="H4" s="358"/>
      <c r="I4" s="358"/>
      <c r="J4" s="358"/>
      <c r="K4" s="359"/>
      <c r="L4" s="12"/>
    </row>
    <row r="5" spans="1:12" s="10" customFormat="1" ht="16.5" customHeight="1" x14ac:dyDescent="0.3">
      <c r="A5" s="7"/>
      <c r="B5" s="1" t="s">
        <v>2</v>
      </c>
      <c r="C5" s="8"/>
      <c r="D5" s="328">
        <f>INDEX(Table1[Tgl Invoice :],newestIdRow-offset)</f>
        <v>44985</v>
      </c>
      <c r="E5" s="329"/>
      <c r="F5" s="327"/>
      <c r="G5" s="18"/>
      <c r="H5" s="330" t="str">
        <f>IF(INDEX(Table2[c],MATCH(kToko,Table2[a],0))="","",INDEX(Table2[c],MATCH(kToko,Table2[a],0)))</f>
        <v>(BENDAN)</v>
      </c>
      <c r="I5" s="330"/>
      <c r="J5" s="330"/>
      <c r="K5" s="331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7"/>
      <c r="G6" s="18"/>
      <c r="H6" s="332" t="str">
        <f>INDEX(Table2[d],MATCH(kToko,Table2[a],0))</f>
        <v>PEKALONGAN</v>
      </c>
      <c r="I6" s="332"/>
      <c r="J6" s="332"/>
      <c r="K6" s="333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1170</v>
      </c>
      <c r="E7" s="9"/>
      <c r="F7" s="21"/>
      <c r="G7" s="22"/>
      <c r="H7" s="334"/>
      <c r="I7" s="334"/>
      <c r="J7" s="334"/>
      <c r="K7" s="335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5</v>
      </c>
      <c r="C11" s="46" t="str">
        <f ca="1">IF(A11&gt;jumlahBarang,"",INDEX(Table1[Unit],newestIdRow-offset+A11-1))</f>
        <v>GRS</v>
      </c>
      <c r="D11" s="47">
        <f ca="1">IF(A11&gt;jumlahBarang,"",IF(INDEX(Table1[C],newestIdRow-offset+A11-1)="","",INDEX(Table1[C],newestIdRow-offset+A11-1)))</f>
        <v>1</v>
      </c>
      <c r="E11" s="48" t="str">
        <f ca="1">IF(A11&gt;jumlahBarang,"",INDEX(Table1[Item Description],newestIdRow-offset+A11-1))</f>
        <v>BINDER CLIP KENKO NO. 260</v>
      </c>
      <c r="F11" s="49"/>
      <c r="G11" s="50"/>
      <c r="H11" s="51">
        <f ca="1">IF(A11&gt;jumlahBarang,"",INDEX(Table1[Unit Price],newestIdRow-offset+A11-1))</f>
        <v>180000</v>
      </c>
      <c r="I11" s="52">
        <f ca="1">IF(A11&gt;jumlahBarang,"",INDEX(Table1[Disc 1],newestIdRow-offset+A11-1))</f>
        <v>0.14000000000000001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774000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200</v>
      </c>
      <c r="C12" s="46" t="str">
        <f ca="1">IF(A12&gt;jumlahBarang,"",INDEX(Table1[Unit],newestIdRow-offset+A12-1))</f>
        <v>PAK</v>
      </c>
      <c r="D12" s="47">
        <f ca="1">IF(A12&gt;jumlahBarang,"",IF(INDEX(Table1[C],newestIdRow-offset+A12-1)="","",INDEX(Table1[C],newestIdRow-offset+A12-1)))</f>
        <v>1</v>
      </c>
      <c r="E12" s="48" t="str">
        <f ca="1">IF(A12&gt;jumlahBarang,"",INDEX(Table1[Item Description],newestIdRow-offset+A12-1))</f>
        <v>PAPER JUMBO CLIP KENKO NO. 5</v>
      </c>
      <c r="F12" s="49"/>
      <c r="G12" s="50"/>
      <c r="H12" s="51">
        <f ca="1">IF(A12&gt;jumlahBarang,"",INDEX(Table1[Unit Price],newestIdRow-offset+A12-1))</f>
        <v>4300</v>
      </c>
      <c r="I12" s="52">
        <f ca="1">IF(A12&gt;jumlahBarang,"",INDEX(Table1[Disc 1],newestIdRow-offset+A12-1))</f>
        <v>0.14000000000000001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739600</v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IF(A13&gt;jumlahBarang,"",INDEX(Table1[Disc 1],newestIdRow-offset+A13-1))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IF(A14&gt;jumlahBarang,"",INDEX(Table1[Disc 1],newestIdRow-offset+A14-1))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IF(A15&gt;jumlahBarang,"",INDEX(Table1[Disc 1],newestIdRow-offset+A15-1))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IF(A16&gt;jumlahBarang,"",INDEX(Table1[Disc 1],newestIdRow-offset+A16-1))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IF(A17&gt;jumlahBarang,"",INDEX(Table1[Disc 1],newestIdRow-offset+A17-1))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IF(A18&gt;jumlahBarang,"",INDEX(Table1[Disc 1],newestIdRow-offset+A18-1))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IF(A19&gt;jumlahBarang,"",INDEX(Table1[Disc 1],newestIdRow-offset+A19-1))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IF(A20&gt;jumlahBarang,"",INDEX(Table1[Disc 1],newestIdRow-offset+A20-1))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IF(A21&gt;jumlahBarang,"",INDEX(Table1[Disc 1],newestIdRow-offset+A21-1))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IF(A22&gt;jumlahBarang,"",INDEX(Table1[Disc 1],newestIdRow-offset+A22-1))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IF(A23&gt;jumlahBarang,"",INDEX(Table1[Disc 1],newestIdRow-offset+A23-1))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IF(A24&gt;jumlahBarang,"",INDEX(Table1[Disc 1],newestIdRow-offset+A24-1))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IF(A25&gt;jumlahBarang,"",INDEX(Table1[Disc 1],newestIdRow-offset+A25-1))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IF(A26&gt;jumlahBarang,"",INDEX(Table1[Disc 1],newestIdRow-offset+A26-1))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55"/>
      <c r="K28" s="355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52">
        <f ca="1">INDEX(pajak[Sub Total],MATCH(newestIdRow,pajak[//],0))</f>
        <v>1513600</v>
      </c>
      <c r="K29" s="353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54"/>
      <c r="K30" s="354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55"/>
      <c r="K32" s="355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52">
        <f ca="1">INDEX(pajak[PPN 11%],MATCH(newestIdRow,pajak[//],0))</f>
        <v>149996.39639639639</v>
      </c>
      <c r="K33" s="353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55"/>
      <c r="K34" s="355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1513600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0" t="str">
        <f>INDEX(pajak[pembuat nota],MATCH(newestIdRow,pajak[//],0))</f>
        <v>NOVI / CONDRO</v>
      </c>
      <c r="K37" s="351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0" t="str">
        <f>INDEX(pajak[edited],MATCH(newestIdRow,pajak[//],0))</f>
        <v/>
      </c>
      <c r="K38" s="351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23020039</v>
      </c>
      <c r="F41" s="210"/>
      <c r="G41" s="211" t="s">
        <v>16</v>
      </c>
      <c r="H41" s="336" t="str">
        <f>H3</f>
        <v>HARNOYO</v>
      </c>
      <c r="I41" s="336"/>
      <c r="J41" s="336"/>
      <c r="K41" s="337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0" t="s">
        <v>18</v>
      </c>
      <c r="G42" s="217"/>
      <c r="H42" s="338"/>
      <c r="I42" s="338"/>
      <c r="J42" s="338"/>
      <c r="K42" s="339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1">
        <f>D5</f>
        <v>44985</v>
      </c>
      <c r="E43" s="342"/>
      <c r="F43" s="340"/>
      <c r="G43" s="218"/>
      <c r="H43" s="343" t="str">
        <f>H5</f>
        <v>(BENDAN)</v>
      </c>
      <c r="I43" s="343"/>
      <c r="J43" s="343"/>
      <c r="K43" s="344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0"/>
      <c r="G44" s="218"/>
      <c r="H44" s="345" t="str">
        <f>H6</f>
        <v>PEKALONGAN</v>
      </c>
      <c r="I44" s="345"/>
      <c r="J44" s="345"/>
      <c r="K44" s="346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1170</v>
      </c>
      <c r="E45" s="209"/>
      <c r="F45" s="222"/>
      <c r="G45" s="223"/>
      <c r="H45" s="347"/>
      <c r="I45" s="347"/>
      <c r="J45" s="347"/>
      <c r="K45" s="348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ca="1">B11</f>
        <v>5</v>
      </c>
      <c r="C49" s="249" t="str">
        <f ca="1">C11</f>
        <v>GRS</v>
      </c>
      <c r="D49" s="250">
        <f ca="1">D11</f>
        <v>1</v>
      </c>
      <c r="E49" s="251" t="str">
        <f ca="1">E11</f>
        <v>BINDER CLIP KENKO NO. 260</v>
      </c>
      <c r="F49" s="252"/>
      <c r="G49" s="253"/>
      <c r="H49" s="254">
        <f ca="1">H11</f>
        <v>180000</v>
      </c>
      <c r="I49" s="255">
        <f ca="1">I11</f>
        <v>0.14000000000000001</v>
      </c>
      <c r="J49" s="255" t="str">
        <f ca="1">J11</f>
        <v/>
      </c>
      <c r="K49" s="256">
        <f ca="1">K11</f>
        <v>774000</v>
      </c>
      <c r="L49" s="238"/>
    </row>
    <row r="50" spans="1:12" s="10" customFormat="1" ht="14.1" customHeight="1" x14ac:dyDescent="0.25">
      <c r="A50" s="247">
        <v>2</v>
      </c>
      <c r="B50" s="248">
        <f t="shared" ref="B50:E50" ca="1" si="0">B12</f>
        <v>200</v>
      </c>
      <c r="C50" s="249" t="str">
        <f t="shared" ca="1" si="0"/>
        <v>PAK</v>
      </c>
      <c r="D50" s="250">
        <f t="shared" ca="1" si="0"/>
        <v>1</v>
      </c>
      <c r="E50" s="251" t="str">
        <f t="shared" ca="1" si="0"/>
        <v>PAPER JUMBO CLIP KENKO NO. 5</v>
      </c>
      <c r="F50" s="252"/>
      <c r="G50" s="253"/>
      <c r="H50" s="254">
        <f t="shared" ref="H50:K50" ca="1" si="1">H12</f>
        <v>4300</v>
      </c>
      <c r="I50" s="255">
        <f t="shared" ca="1" si="1"/>
        <v>0.14000000000000001</v>
      </c>
      <c r="J50" s="255" t="str">
        <f t="shared" ca="1" si="1"/>
        <v/>
      </c>
      <c r="K50" s="256">
        <f t="shared" ca="1" si="1"/>
        <v>739600</v>
      </c>
      <c r="L50" s="238"/>
    </row>
    <row r="51" spans="1:12" s="10" customFormat="1" ht="14.1" customHeight="1" x14ac:dyDescent="0.25">
      <c r="A51" s="247">
        <v>3</v>
      </c>
      <c r="B51" s="248" t="str">
        <f t="shared" ref="B51:E51" ca="1" si="2">B13</f>
        <v/>
      </c>
      <c r="C51" s="249" t="str">
        <f t="shared" ca="1" si="2"/>
        <v/>
      </c>
      <c r="D51" s="250" t="str">
        <f t="shared" ca="1" si="2"/>
        <v/>
      </c>
      <c r="E51" s="251" t="str">
        <f t="shared" ca="1" si="2"/>
        <v/>
      </c>
      <c r="F51" s="252"/>
      <c r="G51" s="253"/>
      <c r="H51" s="254" t="str">
        <f t="shared" ref="H51:K51" ca="1" si="3">H13</f>
        <v/>
      </c>
      <c r="I51" s="255" t="str">
        <f t="shared" ca="1" si="3"/>
        <v/>
      </c>
      <c r="J51" s="255" t="str">
        <f t="shared" ca="1" si="3"/>
        <v/>
      </c>
      <c r="K51" s="256" t="str">
        <f t="shared" ca="1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ca="1" si="4">B14</f>
        <v/>
      </c>
      <c r="C52" s="249" t="str">
        <f t="shared" ca="1" si="4"/>
        <v/>
      </c>
      <c r="D52" s="250" t="str">
        <f t="shared" ca="1" si="4"/>
        <v/>
      </c>
      <c r="E52" s="251" t="str">
        <f t="shared" ca="1" si="4"/>
        <v/>
      </c>
      <c r="F52" s="252"/>
      <c r="G52" s="253"/>
      <c r="H52" s="254" t="str">
        <f t="shared" ref="H52:K52" ca="1" si="5">H14</f>
        <v/>
      </c>
      <c r="I52" s="255" t="str">
        <f t="shared" ca="1" si="5"/>
        <v/>
      </c>
      <c r="J52" s="255" t="str">
        <f t="shared" ca="1" si="5"/>
        <v/>
      </c>
      <c r="K52" s="256" t="str">
        <f t="shared" ca="1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ca="1" si="6">B15</f>
        <v/>
      </c>
      <c r="C53" s="249" t="str">
        <f t="shared" ca="1" si="6"/>
        <v/>
      </c>
      <c r="D53" s="250" t="str">
        <f t="shared" ca="1" si="6"/>
        <v/>
      </c>
      <c r="E53" s="251" t="str">
        <f t="shared" ca="1" si="6"/>
        <v/>
      </c>
      <c r="F53" s="252"/>
      <c r="G53" s="253"/>
      <c r="H53" s="254" t="str">
        <f t="shared" ref="H53:K53" ca="1" si="7">H15</f>
        <v/>
      </c>
      <c r="I53" s="255" t="str">
        <f t="shared" ca="1" si="7"/>
        <v/>
      </c>
      <c r="J53" s="255" t="str">
        <f t="shared" ca="1" si="7"/>
        <v/>
      </c>
      <c r="K53" s="256" t="str">
        <f t="shared" ca="1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ca="1" si="8">B16</f>
        <v/>
      </c>
      <c r="C54" s="249" t="str">
        <f t="shared" ca="1" si="8"/>
        <v/>
      </c>
      <c r="D54" s="250" t="str">
        <f t="shared" ca="1" si="8"/>
        <v/>
      </c>
      <c r="E54" s="251" t="str">
        <f t="shared" ca="1" si="8"/>
        <v/>
      </c>
      <c r="F54" s="252"/>
      <c r="G54" s="253"/>
      <c r="H54" s="254" t="str">
        <f t="shared" ref="H54:K54" ca="1" si="9">H16</f>
        <v/>
      </c>
      <c r="I54" s="255" t="str">
        <f t="shared" ca="1" si="9"/>
        <v/>
      </c>
      <c r="J54" s="255" t="str">
        <f t="shared" ca="1" si="9"/>
        <v/>
      </c>
      <c r="K54" s="256" t="str">
        <f t="shared" ca="1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ca="1" si="10">B17</f>
        <v/>
      </c>
      <c r="C55" s="249" t="str">
        <f t="shared" ca="1" si="10"/>
        <v/>
      </c>
      <c r="D55" s="250" t="str">
        <f t="shared" ca="1" si="10"/>
        <v/>
      </c>
      <c r="E55" s="251" t="str">
        <f t="shared" ca="1" si="10"/>
        <v/>
      </c>
      <c r="F55" s="252"/>
      <c r="G55" s="253"/>
      <c r="H55" s="254" t="str">
        <f t="shared" ref="H55:K55" ca="1" si="11">H17</f>
        <v/>
      </c>
      <c r="I55" s="255" t="str">
        <f t="shared" ca="1" si="11"/>
        <v/>
      </c>
      <c r="J55" s="255" t="str">
        <f t="shared" ca="1" si="11"/>
        <v/>
      </c>
      <c r="K55" s="256" t="str">
        <f t="shared" ca="1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ca="1" si="12">B18</f>
        <v/>
      </c>
      <c r="C56" s="249" t="str">
        <f t="shared" ca="1" si="12"/>
        <v/>
      </c>
      <c r="D56" s="250" t="str">
        <f t="shared" ca="1" si="12"/>
        <v/>
      </c>
      <c r="E56" s="251" t="str">
        <f t="shared" ca="1" si="12"/>
        <v/>
      </c>
      <c r="F56" s="252"/>
      <c r="G56" s="253"/>
      <c r="H56" s="254" t="str">
        <f t="shared" ref="H56:K56" ca="1" si="13">H18</f>
        <v/>
      </c>
      <c r="I56" s="255" t="str">
        <f t="shared" ca="1" si="13"/>
        <v/>
      </c>
      <c r="J56" s="255" t="str">
        <f t="shared" ca="1" si="13"/>
        <v/>
      </c>
      <c r="K56" s="256" t="str">
        <f t="shared" ca="1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ca="1" si="14">B19</f>
        <v/>
      </c>
      <c r="C57" s="249" t="str">
        <f t="shared" ca="1" si="14"/>
        <v/>
      </c>
      <c r="D57" s="250" t="str">
        <f t="shared" ca="1" si="14"/>
        <v/>
      </c>
      <c r="E57" s="251" t="str">
        <f t="shared" ca="1" si="14"/>
        <v/>
      </c>
      <c r="F57" s="252"/>
      <c r="G57" s="253"/>
      <c r="H57" s="254" t="str">
        <f t="shared" ref="H57:K57" ca="1" si="15">H19</f>
        <v/>
      </c>
      <c r="I57" s="255" t="str">
        <f t="shared" ca="1" si="15"/>
        <v/>
      </c>
      <c r="J57" s="255" t="str">
        <f t="shared" ca="1" si="15"/>
        <v/>
      </c>
      <c r="K57" s="256" t="str">
        <f t="shared" ca="1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ca="1" si="16">B20</f>
        <v/>
      </c>
      <c r="C58" s="249" t="str">
        <f t="shared" ca="1" si="16"/>
        <v/>
      </c>
      <c r="D58" s="250" t="str">
        <f t="shared" ca="1" si="16"/>
        <v/>
      </c>
      <c r="E58" s="251" t="str">
        <f t="shared" ca="1" si="16"/>
        <v/>
      </c>
      <c r="F58" s="252"/>
      <c r="G58" s="253"/>
      <c r="H58" s="254" t="str">
        <f t="shared" ref="H58:K58" ca="1" si="17">H20</f>
        <v/>
      </c>
      <c r="I58" s="255" t="str">
        <f t="shared" ca="1" si="17"/>
        <v/>
      </c>
      <c r="J58" s="255" t="str">
        <f t="shared" ca="1" si="17"/>
        <v/>
      </c>
      <c r="K58" s="256" t="str">
        <f t="shared" ca="1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ca="1" si="18">B21</f>
        <v/>
      </c>
      <c r="C59" s="249" t="str">
        <f t="shared" ca="1" si="18"/>
        <v/>
      </c>
      <c r="D59" s="250" t="str">
        <f t="shared" ca="1" si="18"/>
        <v/>
      </c>
      <c r="E59" s="251" t="str">
        <f t="shared" ca="1" si="18"/>
        <v/>
      </c>
      <c r="F59" s="252"/>
      <c r="G59" s="253"/>
      <c r="H59" s="254" t="str">
        <f t="shared" ref="H59:K59" ca="1" si="19">H21</f>
        <v/>
      </c>
      <c r="I59" s="255" t="str">
        <f t="shared" ca="1" si="19"/>
        <v/>
      </c>
      <c r="J59" s="255" t="str">
        <f t="shared" ca="1" si="19"/>
        <v/>
      </c>
      <c r="K59" s="256" t="str">
        <f t="shared" ca="1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ca="1" si="20">B22</f>
        <v/>
      </c>
      <c r="C60" s="249" t="str">
        <f t="shared" ca="1" si="20"/>
        <v/>
      </c>
      <c r="D60" s="250" t="str">
        <f t="shared" ca="1" si="20"/>
        <v/>
      </c>
      <c r="E60" s="251" t="str">
        <f t="shared" ca="1" si="20"/>
        <v/>
      </c>
      <c r="F60" s="252"/>
      <c r="G60" s="253"/>
      <c r="H60" s="254" t="str">
        <f t="shared" ref="H60:K60" ca="1" si="21">H22</f>
        <v/>
      </c>
      <c r="I60" s="255" t="str">
        <f t="shared" ca="1" si="21"/>
        <v/>
      </c>
      <c r="J60" s="255" t="str">
        <f t="shared" ca="1" si="21"/>
        <v/>
      </c>
      <c r="K60" s="256" t="str">
        <f t="shared" ca="1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ca="1" si="22">B23</f>
        <v/>
      </c>
      <c r="C61" s="249" t="str">
        <f t="shared" ca="1" si="22"/>
        <v/>
      </c>
      <c r="D61" s="250" t="str">
        <f t="shared" ca="1" si="22"/>
        <v/>
      </c>
      <c r="E61" s="251" t="str">
        <f t="shared" ca="1" si="22"/>
        <v/>
      </c>
      <c r="F61" s="252"/>
      <c r="G61" s="253"/>
      <c r="H61" s="254" t="str">
        <f t="shared" ref="H61:K61" ca="1" si="23">H23</f>
        <v/>
      </c>
      <c r="I61" s="255" t="str">
        <f t="shared" ca="1" si="23"/>
        <v/>
      </c>
      <c r="J61" s="255" t="str">
        <f t="shared" ca="1" si="23"/>
        <v/>
      </c>
      <c r="K61" s="256" t="str">
        <f t="shared" ca="1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ca="1" si="24">B24</f>
        <v/>
      </c>
      <c r="C62" s="249" t="str">
        <f t="shared" ca="1" si="24"/>
        <v/>
      </c>
      <c r="D62" s="250" t="str">
        <f t="shared" ca="1" si="24"/>
        <v/>
      </c>
      <c r="E62" s="251" t="str">
        <f t="shared" ca="1" si="24"/>
        <v/>
      </c>
      <c r="F62" s="252"/>
      <c r="G62" s="253"/>
      <c r="H62" s="254" t="str">
        <f t="shared" ref="H62:K62" ca="1" si="25">H24</f>
        <v/>
      </c>
      <c r="I62" s="255" t="str">
        <f t="shared" ca="1" si="25"/>
        <v/>
      </c>
      <c r="J62" s="255" t="str">
        <f t="shared" ca="1" si="25"/>
        <v/>
      </c>
      <c r="K62" s="256" t="str">
        <f t="shared" ca="1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ca="1" si="26">B25</f>
        <v/>
      </c>
      <c r="C63" s="249" t="str">
        <f t="shared" ca="1" si="26"/>
        <v/>
      </c>
      <c r="D63" s="250" t="str">
        <f t="shared" ca="1" si="26"/>
        <v/>
      </c>
      <c r="E63" s="251" t="str">
        <f t="shared" ca="1" si="26"/>
        <v/>
      </c>
      <c r="F63" s="252"/>
      <c r="G63" s="253"/>
      <c r="H63" s="254" t="str">
        <f t="shared" ref="H63:K63" ca="1" si="27">H25</f>
        <v/>
      </c>
      <c r="I63" s="255" t="str">
        <f t="shared" ca="1" si="27"/>
        <v/>
      </c>
      <c r="J63" s="255" t="str">
        <f t="shared" ca="1" si="27"/>
        <v/>
      </c>
      <c r="K63" s="256" t="str">
        <f t="shared" ca="1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ca="1" si="28">B26</f>
        <v/>
      </c>
      <c r="C64" s="249" t="str">
        <f t="shared" ca="1" si="28"/>
        <v/>
      </c>
      <c r="D64" s="250" t="str">
        <f t="shared" ca="1" si="28"/>
        <v/>
      </c>
      <c r="E64" s="251" t="str">
        <f t="shared" ca="1" si="28"/>
        <v/>
      </c>
      <c r="F64" s="252"/>
      <c r="G64" s="253"/>
      <c r="H64" s="254" t="str">
        <f t="shared" ref="H64:K64" ca="1" si="29">H26</f>
        <v/>
      </c>
      <c r="I64" s="255" t="str">
        <f t="shared" ca="1" si="29"/>
        <v/>
      </c>
      <c r="J64" s="255" t="str">
        <f t="shared" ca="1" si="29"/>
        <v/>
      </c>
      <c r="K64" s="256" t="str">
        <f t="shared" ca="1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16"/>
      <c r="K66" s="316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4">
        <f ca="1">J29</f>
        <v>1513600</v>
      </c>
      <c r="K67" s="32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6"/>
      <c r="K68" s="32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16"/>
      <c r="K70" s="316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4">
        <f ca="1">J33</f>
        <v>149996.39639639639</v>
      </c>
      <c r="K71" s="32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16"/>
      <c r="K72" s="316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1513600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17" t="str">
        <f>J37</f>
        <v>NOVI / CONDRO</v>
      </c>
      <c r="K75" s="31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17">
        <v>0</v>
      </c>
      <c r="K76" s="31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23020039</v>
      </c>
      <c r="F79" s="110"/>
      <c r="G79" s="111" t="s">
        <v>16</v>
      </c>
      <c r="H79" s="319" t="str">
        <f>H41</f>
        <v>HARNOYO</v>
      </c>
      <c r="I79" s="319"/>
      <c r="J79" s="319"/>
      <c r="K79" s="32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23" t="s">
        <v>18</v>
      </c>
      <c r="G80" s="117"/>
      <c r="H80" s="321"/>
      <c r="I80" s="321"/>
      <c r="J80" s="321"/>
      <c r="K80" s="32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08">
        <f>D43</f>
        <v>44985</v>
      </c>
      <c r="E81" s="309"/>
      <c r="F81" s="323"/>
      <c r="G81" s="118"/>
      <c r="H81" s="310" t="str">
        <f>H43</f>
        <v>(BENDAN)</v>
      </c>
      <c r="I81" s="310"/>
      <c r="J81" s="310"/>
      <c r="K81" s="311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23"/>
      <c r="G82" s="118"/>
      <c r="H82" s="312" t="str">
        <f>H44</f>
        <v>PEKALONGAN</v>
      </c>
      <c r="I82" s="312"/>
      <c r="J82" s="312"/>
      <c r="K82" s="313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1170</v>
      </c>
      <c r="E83" s="109"/>
      <c r="F83" s="122"/>
      <c r="G83" s="123"/>
      <c r="H83" s="314"/>
      <c r="I83" s="314"/>
      <c r="J83" s="314"/>
      <c r="K83" s="315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ca="1">B49</f>
        <v>5</v>
      </c>
      <c r="C87" s="149" t="str">
        <f ca="1">C49</f>
        <v>GRS</v>
      </c>
      <c r="D87" s="150">
        <f ca="1">D49</f>
        <v>1</v>
      </c>
      <c r="E87" s="151" t="str">
        <f ca="1">E49</f>
        <v>BINDER CLIP KENKO NO. 260</v>
      </c>
      <c r="F87" s="152"/>
      <c r="G87" s="153"/>
      <c r="H87" s="154">
        <f ca="1">H49</f>
        <v>180000</v>
      </c>
      <c r="I87" s="155">
        <f ca="1">I49</f>
        <v>0.14000000000000001</v>
      </c>
      <c r="J87" s="155" t="str">
        <f ca="1">J49</f>
        <v/>
      </c>
      <c r="K87" s="156">
        <f ca="1">K49</f>
        <v>774000</v>
      </c>
      <c r="L87" s="138"/>
    </row>
    <row r="88" spans="1:12" s="10" customFormat="1" ht="14.1" customHeight="1" x14ac:dyDescent="0.25">
      <c r="A88" s="147">
        <v>2</v>
      </c>
      <c r="B88" s="148">
        <f t="shared" ref="B88:E88" ca="1" si="30">B50</f>
        <v>200</v>
      </c>
      <c r="C88" s="149" t="str">
        <f t="shared" ca="1" si="30"/>
        <v>PAK</v>
      </c>
      <c r="D88" s="150">
        <f t="shared" ca="1" si="30"/>
        <v>1</v>
      </c>
      <c r="E88" s="151" t="str">
        <f t="shared" ca="1" si="30"/>
        <v>PAPER JUMBO CLIP KENKO NO. 5</v>
      </c>
      <c r="F88" s="152"/>
      <c r="G88" s="153"/>
      <c r="H88" s="154">
        <f t="shared" ref="H88:K88" ca="1" si="31">H50</f>
        <v>4300</v>
      </c>
      <c r="I88" s="155">
        <f t="shared" ca="1" si="31"/>
        <v>0.14000000000000001</v>
      </c>
      <c r="J88" s="155" t="str">
        <f t="shared" ca="1" si="31"/>
        <v/>
      </c>
      <c r="K88" s="156">
        <f t="shared" ca="1" si="31"/>
        <v>739600</v>
      </c>
      <c r="L88" s="138"/>
    </row>
    <row r="89" spans="1:12" s="10" customFormat="1" ht="14.1" customHeight="1" x14ac:dyDescent="0.25">
      <c r="A89" s="147">
        <v>3</v>
      </c>
      <c r="B89" s="148" t="str">
        <f t="shared" ref="B89:E89" ca="1" si="32">B51</f>
        <v/>
      </c>
      <c r="C89" s="149" t="str">
        <f t="shared" ca="1" si="32"/>
        <v/>
      </c>
      <c r="D89" s="150" t="str">
        <f t="shared" ca="1" si="32"/>
        <v/>
      </c>
      <c r="E89" s="151" t="str">
        <f t="shared" ca="1" si="32"/>
        <v/>
      </c>
      <c r="F89" s="152"/>
      <c r="G89" s="153"/>
      <c r="H89" s="154" t="str">
        <f t="shared" ref="H89:K89" ca="1" si="33">H51</f>
        <v/>
      </c>
      <c r="I89" s="155" t="str">
        <f t="shared" ca="1" si="33"/>
        <v/>
      </c>
      <c r="J89" s="155" t="str">
        <f t="shared" ca="1" si="33"/>
        <v/>
      </c>
      <c r="K89" s="156" t="str">
        <f t="shared" ca="1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ca="1" si="34">B52</f>
        <v/>
      </c>
      <c r="C90" s="149" t="str">
        <f t="shared" ca="1" si="34"/>
        <v/>
      </c>
      <c r="D90" s="150" t="str">
        <f t="shared" ca="1" si="34"/>
        <v/>
      </c>
      <c r="E90" s="151" t="str">
        <f t="shared" ca="1" si="34"/>
        <v/>
      </c>
      <c r="F90" s="152"/>
      <c r="G90" s="153"/>
      <c r="H90" s="154" t="str">
        <f t="shared" ref="H90:K90" ca="1" si="35">H52</f>
        <v/>
      </c>
      <c r="I90" s="155" t="str">
        <f t="shared" ca="1" si="35"/>
        <v/>
      </c>
      <c r="J90" s="155" t="str">
        <f t="shared" ca="1" si="35"/>
        <v/>
      </c>
      <c r="K90" s="156" t="str">
        <f t="shared" ca="1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ca="1" si="36">B53</f>
        <v/>
      </c>
      <c r="C91" s="149" t="str">
        <f t="shared" ca="1" si="36"/>
        <v/>
      </c>
      <c r="D91" s="150" t="str">
        <f t="shared" ca="1" si="36"/>
        <v/>
      </c>
      <c r="E91" s="151" t="str">
        <f t="shared" ca="1" si="36"/>
        <v/>
      </c>
      <c r="F91" s="152"/>
      <c r="G91" s="153"/>
      <c r="H91" s="154" t="str">
        <f t="shared" ref="H91:K91" ca="1" si="37">H53</f>
        <v/>
      </c>
      <c r="I91" s="155" t="str">
        <f t="shared" ca="1" si="37"/>
        <v/>
      </c>
      <c r="J91" s="155" t="str">
        <f t="shared" ca="1" si="37"/>
        <v/>
      </c>
      <c r="K91" s="156" t="str">
        <f t="shared" ca="1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ca="1" si="38">B54</f>
        <v/>
      </c>
      <c r="C92" s="149" t="str">
        <f t="shared" ca="1" si="38"/>
        <v/>
      </c>
      <c r="D92" s="150" t="str">
        <f t="shared" ca="1" si="38"/>
        <v/>
      </c>
      <c r="E92" s="151" t="str">
        <f t="shared" ca="1" si="38"/>
        <v/>
      </c>
      <c r="F92" s="152"/>
      <c r="G92" s="153"/>
      <c r="H92" s="154" t="str">
        <f t="shared" ref="H92:K92" ca="1" si="39">H54</f>
        <v/>
      </c>
      <c r="I92" s="155" t="str">
        <f t="shared" ca="1" si="39"/>
        <v/>
      </c>
      <c r="J92" s="155" t="str">
        <f t="shared" ca="1" si="39"/>
        <v/>
      </c>
      <c r="K92" s="156" t="str">
        <f t="shared" ca="1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ca="1" si="40">B55</f>
        <v/>
      </c>
      <c r="C93" s="149" t="str">
        <f t="shared" ca="1" si="40"/>
        <v/>
      </c>
      <c r="D93" s="150" t="str">
        <f t="shared" ca="1" si="40"/>
        <v/>
      </c>
      <c r="E93" s="151" t="str">
        <f t="shared" ca="1" si="40"/>
        <v/>
      </c>
      <c r="F93" s="152"/>
      <c r="G93" s="153"/>
      <c r="H93" s="154" t="str">
        <f t="shared" ref="H93:K93" ca="1" si="41">H55</f>
        <v/>
      </c>
      <c r="I93" s="155" t="str">
        <f t="shared" ca="1" si="41"/>
        <v/>
      </c>
      <c r="J93" s="155" t="str">
        <f t="shared" ca="1" si="41"/>
        <v/>
      </c>
      <c r="K93" s="156" t="str">
        <f t="shared" ca="1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ca="1" si="42">B56</f>
        <v/>
      </c>
      <c r="C94" s="149" t="str">
        <f t="shared" ca="1" si="42"/>
        <v/>
      </c>
      <c r="D94" s="150" t="str">
        <f t="shared" ca="1" si="42"/>
        <v/>
      </c>
      <c r="E94" s="151" t="str">
        <f t="shared" ca="1" si="42"/>
        <v/>
      </c>
      <c r="F94" s="152"/>
      <c r="G94" s="153"/>
      <c r="H94" s="154" t="str">
        <f t="shared" ref="H94:K94" ca="1" si="43">H56</f>
        <v/>
      </c>
      <c r="I94" s="155" t="str">
        <f t="shared" ca="1" si="43"/>
        <v/>
      </c>
      <c r="J94" s="155" t="str">
        <f t="shared" ca="1" si="43"/>
        <v/>
      </c>
      <c r="K94" s="156" t="str">
        <f t="shared" ca="1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ca="1" si="44">B57</f>
        <v/>
      </c>
      <c r="C95" s="149" t="str">
        <f t="shared" ca="1" si="44"/>
        <v/>
      </c>
      <c r="D95" s="150" t="str">
        <f t="shared" ca="1" si="44"/>
        <v/>
      </c>
      <c r="E95" s="151" t="str">
        <f t="shared" ca="1" si="44"/>
        <v/>
      </c>
      <c r="F95" s="152"/>
      <c r="G95" s="153"/>
      <c r="H95" s="154" t="str">
        <f t="shared" ref="H95:K95" ca="1" si="45">H57</f>
        <v/>
      </c>
      <c r="I95" s="155" t="str">
        <f t="shared" ca="1" si="45"/>
        <v/>
      </c>
      <c r="J95" s="155" t="str">
        <f t="shared" ca="1" si="45"/>
        <v/>
      </c>
      <c r="K95" s="156" t="str">
        <f t="shared" ca="1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ca="1" si="46">B58</f>
        <v/>
      </c>
      <c r="C96" s="149" t="str">
        <f t="shared" ca="1" si="46"/>
        <v/>
      </c>
      <c r="D96" s="150" t="str">
        <f t="shared" ca="1" si="46"/>
        <v/>
      </c>
      <c r="E96" s="151" t="str">
        <f t="shared" ca="1" si="46"/>
        <v/>
      </c>
      <c r="F96" s="152"/>
      <c r="G96" s="153"/>
      <c r="H96" s="154" t="str">
        <f t="shared" ref="H96:K96" ca="1" si="47">H58</f>
        <v/>
      </c>
      <c r="I96" s="155" t="str">
        <f t="shared" ca="1" si="47"/>
        <v/>
      </c>
      <c r="J96" s="155" t="str">
        <f t="shared" ca="1" si="47"/>
        <v/>
      </c>
      <c r="K96" s="156" t="str">
        <f t="shared" ca="1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ca="1" si="48">B59</f>
        <v/>
      </c>
      <c r="C97" s="149" t="str">
        <f t="shared" ca="1" si="48"/>
        <v/>
      </c>
      <c r="D97" s="150" t="str">
        <f t="shared" ca="1" si="48"/>
        <v/>
      </c>
      <c r="E97" s="151" t="str">
        <f t="shared" ca="1" si="48"/>
        <v/>
      </c>
      <c r="F97" s="152"/>
      <c r="G97" s="153"/>
      <c r="H97" s="154" t="str">
        <f t="shared" ref="H97:K97" ca="1" si="49">H59</f>
        <v/>
      </c>
      <c r="I97" s="155" t="str">
        <f t="shared" ca="1" si="49"/>
        <v/>
      </c>
      <c r="J97" s="155" t="str">
        <f t="shared" ca="1" si="49"/>
        <v/>
      </c>
      <c r="K97" s="156" t="str">
        <f t="shared" ca="1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ca="1" si="50">B60</f>
        <v/>
      </c>
      <c r="C98" s="149" t="str">
        <f t="shared" ca="1" si="50"/>
        <v/>
      </c>
      <c r="D98" s="150" t="str">
        <f t="shared" ca="1" si="50"/>
        <v/>
      </c>
      <c r="E98" s="151" t="str">
        <f t="shared" ca="1" si="50"/>
        <v/>
      </c>
      <c r="F98" s="152"/>
      <c r="G98" s="153"/>
      <c r="H98" s="154" t="str">
        <f t="shared" ref="H98:K98" ca="1" si="51">H60</f>
        <v/>
      </c>
      <c r="I98" s="155" t="str">
        <f t="shared" ca="1" si="51"/>
        <v/>
      </c>
      <c r="J98" s="155" t="str">
        <f t="shared" ca="1" si="51"/>
        <v/>
      </c>
      <c r="K98" s="156" t="str">
        <f t="shared" ca="1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ca="1" si="52">B61</f>
        <v/>
      </c>
      <c r="C99" s="149" t="str">
        <f t="shared" ca="1" si="52"/>
        <v/>
      </c>
      <c r="D99" s="150" t="str">
        <f t="shared" ca="1" si="52"/>
        <v/>
      </c>
      <c r="E99" s="151" t="str">
        <f t="shared" ca="1" si="52"/>
        <v/>
      </c>
      <c r="F99" s="152"/>
      <c r="G99" s="153"/>
      <c r="H99" s="154" t="str">
        <f t="shared" ref="H99:K99" ca="1" si="53">H61</f>
        <v/>
      </c>
      <c r="I99" s="155" t="str">
        <f t="shared" ca="1" si="53"/>
        <v/>
      </c>
      <c r="J99" s="155" t="str">
        <f t="shared" ca="1" si="53"/>
        <v/>
      </c>
      <c r="K99" s="156" t="str">
        <f t="shared" ca="1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ca="1" si="54">B62</f>
        <v/>
      </c>
      <c r="C100" s="149" t="str">
        <f t="shared" ca="1" si="54"/>
        <v/>
      </c>
      <c r="D100" s="150" t="str">
        <f t="shared" ca="1" si="54"/>
        <v/>
      </c>
      <c r="E100" s="151" t="str">
        <f t="shared" ca="1" si="54"/>
        <v/>
      </c>
      <c r="F100" s="152"/>
      <c r="G100" s="153"/>
      <c r="H100" s="154" t="str">
        <f t="shared" ref="H100:K100" ca="1" si="55">H62</f>
        <v/>
      </c>
      <c r="I100" s="155" t="str">
        <f t="shared" ca="1" si="55"/>
        <v/>
      </c>
      <c r="J100" s="155" t="str">
        <f t="shared" ca="1" si="55"/>
        <v/>
      </c>
      <c r="K100" s="156" t="str">
        <f t="shared" ca="1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ca="1" si="56">B63</f>
        <v/>
      </c>
      <c r="C101" s="149" t="str">
        <f t="shared" ca="1" si="56"/>
        <v/>
      </c>
      <c r="D101" s="150" t="str">
        <f t="shared" ca="1" si="56"/>
        <v/>
      </c>
      <c r="E101" s="151" t="str">
        <f t="shared" ca="1" si="56"/>
        <v/>
      </c>
      <c r="F101" s="152"/>
      <c r="G101" s="153"/>
      <c r="H101" s="154" t="str">
        <f t="shared" ref="H101:K101" ca="1" si="57">H63</f>
        <v/>
      </c>
      <c r="I101" s="155" t="str">
        <f t="shared" ca="1" si="57"/>
        <v/>
      </c>
      <c r="J101" s="155" t="str">
        <f t="shared" ca="1" si="57"/>
        <v/>
      </c>
      <c r="K101" s="156" t="str">
        <f t="shared" ca="1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ca="1" si="58">B64</f>
        <v/>
      </c>
      <c r="C102" s="149" t="str">
        <f t="shared" ca="1" si="58"/>
        <v/>
      </c>
      <c r="D102" s="150" t="str">
        <f t="shared" ca="1" si="58"/>
        <v/>
      </c>
      <c r="E102" s="151" t="str">
        <f t="shared" ca="1" si="58"/>
        <v/>
      </c>
      <c r="F102" s="152"/>
      <c r="G102" s="153"/>
      <c r="H102" s="154" t="str">
        <f t="shared" ref="H102:K102" ca="1" si="59">H64</f>
        <v/>
      </c>
      <c r="I102" s="155" t="str">
        <f t="shared" ca="1" si="59"/>
        <v/>
      </c>
      <c r="J102" s="155" t="str">
        <f t="shared" ca="1" si="59"/>
        <v/>
      </c>
      <c r="K102" s="156" t="str">
        <f t="shared" ca="1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05"/>
      <c r="K104" s="305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06">
        <f ca="1">J67</f>
        <v>1513600</v>
      </c>
      <c r="K105" s="307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04"/>
      <c r="K106" s="304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05"/>
      <c r="K108" s="305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06">
        <f ca="1">J71</f>
        <v>149996.39639639639</v>
      </c>
      <c r="K109" s="307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05"/>
      <c r="K110" s="305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1513600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02" t="str">
        <f>J75</f>
        <v>NOVI / CONDRO</v>
      </c>
      <c r="K113" s="303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02">
        <v>0</v>
      </c>
      <c r="K114" s="303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G80" sqref="G80"/>
    </sheetView>
  </sheetViews>
  <sheetFormatPr defaultRowHeight="15" x14ac:dyDescent="0.25"/>
  <cols>
    <col min="1" max="1" width="65.14062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428</v>
      </c>
      <c r="B3" s="88"/>
      <c r="C3" s="88"/>
      <c r="E3" s="193">
        <f>MATCH(A3,Table1[H_A1],0)</f>
        <v>131</v>
      </c>
      <c r="F3" s="193">
        <f>MATCH(Table5[[#This Row],[NAMA]],[1]!db[NB PAJAK],0)</f>
        <v>199</v>
      </c>
      <c r="G3" t="str">
        <f>INDEX(Table1[Item Description],Table5[[#This Row],[//NOTA]])</f>
        <v>BINDER CLIP JOYKO 155</v>
      </c>
      <c r="H3">
        <f>SUMIF(Table1[H_A1],Sheet5!A3,Table1[Qty])</f>
        <v>20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67800</v>
      </c>
      <c r="L3" s="86">
        <f>IF(Table5[[#This Row],[a2]]="","",Table5[[#This Row],[QTY]]*12)</f>
        <v>240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2880</v>
      </c>
      <c r="O3" s="86" t="str">
        <f>IF(Table5[[#This Row],[b1]]="","","PCS")</f>
        <v>PCS</v>
      </c>
      <c r="P3" s="86"/>
    </row>
    <row r="4" spans="1:16" x14ac:dyDescent="0.25">
      <c r="A4" s="88" t="s">
        <v>429</v>
      </c>
      <c r="B4" s="88"/>
      <c r="C4" s="88"/>
      <c r="E4" s="194">
        <f>MATCH(A4,Table1[H_A1],0)</f>
        <v>132</v>
      </c>
      <c r="F4" s="194">
        <f>MATCH(Table5[[#This Row],[NAMA]],[1]!db[NB PAJAK],0)</f>
        <v>204</v>
      </c>
      <c r="G4" t="str">
        <f>INDEX(Table1[Item Description],Table5[[#This Row],[//NOTA]])</f>
        <v>BINDER CLIP JOYKO 280</v>
      </c>
      <c r="H4">
        <f>SUMIF(Table1[H_A1],Sheet5!A4,Table1[Qty])</f>
        <v>3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507600</v>
      </c>
      <c r="L4" s="86">
        <f>IF(Table5[[#This Row],[a2]]="","",Table5[[#This Row],[QTY]]*12)</f>
        <v>36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432</v>
      </c>
      <c r="O4" s="86" t="str">
        <f>IF(Table5[[#This Row],[b1]]="","","PCS")</f>
        <v>PCS</v>
      </c>
      <c r="P4" s="86"/>
    </row>
    <row r="5" spans="1:16" x14ac:dyDescent="0.25">
      <c r="A5" s="88" t="s">
        <v>236</v>
      </c>
      <c r="B5" s="88"/>
      <c r="C5" s="88"/>
      <c r="E5" s="194">
        <f>MATCH(A5,Table1[H_A1],0)</f>
        <v>44</v>
      </c>
      <c r="F5" s="194">
        <f>MATCH(Table5[[#This Row],[NAMA]],[1]!db[NB PAJAK],0)</f>
        <v>1061</v>
      </c>
      <c r="G5" t="str">
        <f>INDEX(Table1[Item Description],Table5[[#This Row],[//NOTA]])</f>
        <v>BINDER CLIP KENKO NO. 111</v>
      </c>
      <c r="H5">
        <f>SUMIF(Table1[H_A1],Sheet5!A5,Table1[Qty])</f>
        <v>30</v>
      </c>
      <c r="I5" t="str">
        <f>INDEX(Table1[Unit],Table5[[#This Row],[//NOTA]])</f>
        <v>GRS</v>
      </c>
      <c r="J5" s="195">
        <f>SUMIF(Table1[H_A1],Sheet5!A5,Table1[C])</f>
        <v>1</v>
      </c>
      <c r="K5" s="195">
        <f>INDEX(Table1[Unit Price],Table5[[#This Row],[//NOTA]])</f>
        <v>49200</v>
      </c>
      <c r="L5" s="86">
        <f>IF(Table5[[#This Row],[a2]]="","",Table5[[#This Row],[QTY]]*12)</f>
        <v>360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4320</v>
      </c>
      <c r="O5" s="86" t="str">
        <f>IF(Table5[[#This Row],[b1]]="","","PCS")</f>
        <v>PCS</v>
      </c>
      <c r="P5" s="86"/>
    </row>
    <row r="6" spans="1:16" x14ac:dyDescent="0.25">
      <c r="A6" s="88" t="s">
        <v>133</v>
      </c>
      <c r="B6" s="88"/>
      <c r="C6" s="88"/>
      <c r="E6" s="194">
        <f>MATCH(A6,Table1[H_A1],0)</f>
        <v>5</v>
      </c>
      <c r="F6" s="194">
        <f>MATCH(Table5[[#This Row],[NAMA]],[1]!db[NB PAJAK],0)</f>
        <v>1063</v>
      </c>
      <c r="G6" t="str">
        <f>INDEX(Table1[Item Description],Table5[[#This Row],[//NOTA]])</f>
        <v>BINDER CLIP KENKO NO. 200</v>
      </c>
      <c r="H6">
        <f>SUMIF(Table1[H_A1],Sheet5!A6,Table1[Qty])</f>
        <v>10</v>
      </c>
      <c r="I6" t="str">
        <f>INDEX(Table1[Unit],Table5[[#This Row],[//NOTA]])</f>
        <v>GRS</v>
      </c>
      <c r="J6" s="195">
        <f>SUMIF(Table1[H_A1],Sheet5!A6,Table1[C])</f>
        <v>1</v>
      </c>
      <c r="K6" s="195">
        <f>INDEX(Table1[Unit Price],Table5[[#This Row],[//NOTA]])</f>
        <v>120000</v>
      </c>
      <c r="L6" s="86">
        <f>IF(Table5[[#This Row],[a2]]="","",Table5[[#This Row],[QTY]]*12)</f>
        <v>120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1440</v>
      </c>
      <c r="O6" s="86" t="str">
        <f>IF(Table5[[#This Row],[b1]]="","","PCS")</f>
        <v>PCS</v>
      </c>
      <c r="P6" s="86"/>
    </row>
    <row r="7" spans="1:16" x14ac:dyDescent="0.25">
      <c r="A7" s="88" t="s">
        <v>134</v>
      </c>
      <c r="B7" s="88"/>
      <c r="C7" s="88"/>
      <c r="E7" s="194">
        <f>MATCH(A7,Table1[H_A1],0)</f>
        <v>4</v>
      </c>
      <c r="F7" s="194">
        <f>MATCH(Table5[[#This Row],[NAMA]],[1]!db[NB PAJAK],0)</f>
        <v>1064</v>
      </c>
      <c r="G7" t="str">
        <f>INDEX(Table1[Item Description],Table5[[#This Row],[//NOTA]])</f>
        <v>BINDER CLIP KENKO NO. 260</v>
      </c>
      <c r="H7">
        <f>SUMIF(Table1[H_A1],Sheet5!A7,Table1[Qty])</f>
        <v>25</v>
      </c>
      <c r="I7" t="str">
        <f>INDEX(Table1[Unit],Table5[[#This Row],[//NOTA]])</f>
        <v>GRS</v>
      </c>
      <c r="J7" s="195">
        <f>SUMIF(Table1[H_A1],Sheet5!A7,Table1[C])</f>
        <v>5</v>
      </c>
      <c r="K7" s="195">
        <f>INDEX(Table1[Unit Price],Table5[[#This Row],[//NOTA]])</f>
        <v>180000</v>
      </c>
      <c r="L7" s="86">
        <f>IF(Table5[[#This Row],[a2]]="","",Table5[[#This Row],[QTY]]*12)</f>
        <v>300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3600</v>
      </c>
      <c r="O7" s="86" t="str">
        <f>IF(Table5[[#This Row],[b1]]="","","PCS")</f>
        <v>PCS</v>
      </c>
      <c r="P7" s="86"/>
    </row>
    <row r="8" spans="1:16" x14ac:dyDescent="0.25">
      <c r="A8" s="88" t="s">
        <v>270</v>
      </c>
      <c r="B8" s="88"/>
      <c r="C8" s="88"/>
      <c r="E8" s="194">
        <f>MATCH(A8,Table1[H_A1],0)</f>
        <v>62</v>
      </c>
      <c r="F8" s="194" t="e">
        <f>MATCH(Table5[[#This Row],[NAMA]],[1]!db[NB PAJAK],0)</f>
        <v>#N/A</v>
      </c>
      <c r="G8" t="str">
        <f>INDEX(Table1[Item Description],Table5[[#This Row],[//NOTA]])</f>
        <v>BINDER NOTE JOYKO A5 (CAMPUS/CLASSIC) MIX</v>
      </c>
      <c r="H8">
        <f>SUMIF(Table1[H_A1],Sheet5!A8,Table1[Qty])</f>
        <v>288</v>
      </c>
      <c r="I8" t="str">
        <f>INDEX(Table1[Unit],Table5[[#This Row],[//NOTA]])</f>
        <v>PCS</v>
      </c>
      <c r="J8" s="195">
        <f>SUMIF(Table1[H_A1],Sheet5!A8,Table1[C])</f>
        <v>4</v>
      </c>
      <c r="K8" s="195">
        <f>INDEX(Table1[Unit Price],Table5[[#This Row],[//NOTA]])</f>
        <v>15800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386</v>
      </c>
      <c r="B9" s="88"/>
      <c r="C9" s="88"/>
      <c r="E9" s="194">
        <f>MATCH(A9,Table1[H_A1],0)</f>
        <v>113</v>
      </c>
      <c r="F9" s="194" t="e">
        <f>MATCH(Table5[[#This Row],[NAMA]],[1]!db[NB PAJAK],0)</f>
        <v>#N/A</v>
      </c>
      <c r="G9" t="str">
        <f>INDEX(Table1[Item Description],Table5[[#This Row],[//NOTA]])</f>
        <v>BINDER NOTE JOYKO A5 (CAMPUS/CLASSIC)</v>
      </c>
      <c r="H9">
        <f>SUMIF(Table1[H_A1],Sheet5!A9,Table1[Qty])</f>
        <v>72</v>
      </c>
      <c r="I9" t="str">
        <f>INDEX(Table1[Unit],Table5[[#This Row],[//NOTA]])</f>
        <v>PCS</v>
      </c>
      <c r="J9" s="195">
        <f>SUMIF(Table1[H_A1],Sheet5!A9,Table1[C])</f>
        <v>1</v>
      </c>
      <c r="K9" s="195">
        <f>INDEX(Table1[Unit Price],Table5[[#This Row],[//NOTA]])</f>
        <v>15800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352</v>
      </c>
      <c r="B10" s="88"/>
      <c r="C10" s="88"/>
      <c r="E10" s="194">
        <f>MATCH(A10,Table1[H_A1],0)</f>
        <v>93</v>
      </c>
      <c r="F10" s="194">
        <f>MATCH(Table5[[#This Row],[NAMA]],[1]!db[NB PAJAK],0)</f>
        <v>513</v>
      </c>
      <c r="G10" t="str">
        <f>INDEX(Table1[Item Description],Table5[[#This Row],[//NOTA]])</f>
        <v>CORRECTION FLUID JOYKO CF-S221</v>
      </c>
      <c r="H10">
        <f>SUMIF(Table1[H_A1],Sheet5!A10,Table1[Qty])</f>
        <v>120</v>
      </c>
      <c r="I10" t="str">
        <f>INDEX(Table1[Unit],Table5[[#This Row],[//NOTA]])</f>
        <v>BOX</v>
      </c>
      <c r="J10" s="195">
        <f>SUMIF(Table1[H_A1],Sheet5!A10,Table1[C])</f>
        <v>5</v>
      </c>
      <c r="K10" s="195">
        <f>INDEX(Table1[Unit Price],Table5[[#This Row],[//NOTA]])</f>
        <v>70800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353</v>
      </c>
      <c r="B11" s="88"/>
      <c r="C11" s="88"/>
      <c r="E11" s="194">
        <f>MATCH(A11,Table1[H_A1],0)</f>
        <v>94</v>
      </c>
      <c r="F11" s="194">
        <f>MATCH(Table5[[#This Row],[NAMA]],[1]!db[NB PAJAK],0)</f>
        <v>514</v>
      </c>
      <c r="G11" t="str">
        <f>INDEX(Table1[Item Description],Table5[[#This Row],[//NOTA]])</f>
        <v>CORRECTION FLUID JOYKO CF-S224</v>
      </c>
      <c r="H11">
        <f>SUMIF(Table1[H_A1],Sheet5!A11,Table1[Qty])</f>
        <v>120</v>
      </c>
      <c r="I11" t="str">
        <f>INDEX(Table1[Unit],Table5[[#This Row],[//NOTA]])</f>
        <v>BOX</v>
      </c>
      <c r="J11" s="195">
        <f>SUMIF(Table1[H_A1],Sheet5!A11,Table1[C])</f>
        <v>5</v>
      </c>
      <c r="K11" s="195">
        <f>INDEX(Table1[Unit Price],Table5[[#This Row],[//NOTA]])</f>
        <v>70800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354</v>
      </c>
      <c r="B12" s="88"/>
      <c r="C12" s="88"/>
      <c r="E12" s="194">
        <f>MATCH(A12,Table1[H_A1],0)</f>
        <v>92</v>
      </c>
      <c r="F12" s="194">
        <f>MATCH(Table5[[#This Row],[NAMA]],[1]!db[NB PAJAK],0)</f>
        <v>515</v>
      </c>
      <c r="G12" t="str">
        <f>INDEX(Table1[Item Description],Table5[[#This Row],[//NOTA]])</f>
        <v>CORRECTION FLUID JOYKO CF-S225</v>
      </c>
      <c r="H12">
        <f>SUMIF(Table1[H_A1],Sheet5!A12,Table1[Qty])</f>
        <v>72</v>
      </c>
      <c r="I12" t="str">
        <f>INDEX(Table1[Unit],Table5[[#This Row],[//NOTA]])</f>
        <v>LSN</v>
      </c>
      <c r="J12" s="195">
        <f>SUMIF(Table1[H_A1],Sheet5!A12,Table1[C])</f>
        <v>2</v>
      </c>
      <c r="K12" s="195">
        <f>INDEX(Table1[Unit Price],Table5[[#This Row],[//NOTA]])</f>
        <v>34200</v>
      </c>
      <c r="L12" s="86">
        <f>IF(Table5[[#This Row],[a2]]="","",Table5[[#This Row],[QTY]]*12)</f>
        <v>864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387</v>
      </c>
      <c r="B13" s="88"/>
      <c r="C13" s="88"/>
      <c r="E13" s="194">
        <f>MATCH(A13,Table1[H_A1],0)</f>
        <v>114</v>
      </c>
      <c r="F13" s="194">
        <f>MATCH(Table5[[#This Row],[NAMA]],[1]!db[NB PAJAK],0)</f>
        <v>516</v>
      </c>
      <c r="G13" t="str">
        <f>INDEX(Table1[Item Description],Table5[[#This Row],[//NOTA]])</f>
        <v>CORRECTION FLUID JOYKO JK-01</v>
      </c>
      <c r="H13">
        <f>SUMIF(Table1[H_A1],Sheet5!A13,Table1[Qty])</f>
        <v>336</v>
      </c>
      <c r="I13" t="str">
        <f>INDEX(Table1[Unit],Table5[[#This Row],[//NOTA]])</f>
        <v>LSN</v>
      </c>
      <c r="J13" s="195">
        <f>SUMIF(Table1[H_A1],Sheet5!A13,Table1[C])</f>
        <v>7</v>
      </c>
      <c r="K13" s="195">
        <f>INDEX(Table1[Unit Price],Table5[[#This Row],[//NOTA]])</f>
        <v>36000</v>
      </c>
      <c r="L13" s="86">
        <f>IF(Table5[[#This Row],[a2]]="","",Table5[[#This Row],[QTY]]*12)</f>
        <v>4032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271</v>
      </c>
      <c r="B14" s="88"/>
      <c r="C14" s="88"/>
      <c r="E14" s="194">
        <f>MATCH(A14,Table1[H_A1],0)</f>
        <v>65</v>
      </c>
      <c r="F14" s="194">
        <f>MATCH(Table5[[#This Row],[NAMA]],[1]!db[NB PAJAK],0)</f>
        <v>517</v>
      </c>
      <c r="G14" t="str">
        <f>INDEX(Table1[Item Description],Table5[[#This Row],[//NOTA]])</f>
        <v>CORRECTION FLUID JOYKO JK-101</v>
      </c>
      <c r="H14">
        <f>SUMIF(Table1[H_A1],Sheet5!A14,Table1[Qty])</f>
        <v>144</v>
      </c>
      <c r="I14" t="str">
        <f>INDEX(Table1[Unit],Table5[[#This Row],[//NOTA]])</f>
        <v>LSN</v>
      </c>
      <c r="J14" s="195">
        <f>SUMIF(Table1[H_A1],Sheet5!A14,Table1[C])</f>
        <v>3</v>
      </c>
      <c r="K14" s="195">
        <f>INDEX(Table1[Unit Price],Table5[[#This Row],[//NOTA]])</f>
        <v>36000</v>
      </c>
      <c r="L14" s="86">
        <f>IF(Table5[[#This Row],[a2]]="","",Table5[[#This Row],[QTY]]*12)</f>
        <v>1728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144</v>
      </c>
      <c r="B15" s="88"/>
      <c r="C15" s="88"/>
      <c r="E15" s="194">
        <f>MATCH(A15,Table1[H_A1],0)</f>
        <v>7</v>
      </c>
      <c r="F15" s="194">
        <f>MATCH(Table5[[#This Row],[NAMA]],[1]!db[NB PAJAK],0)</f>
        <v>1112</v>
      </c>
      <c r="G15" t="str">
        <f>INDEX(Table1[Item Description],Table5[[#This Row],[//NOTA]])</f>
        <v>CORRECTION FLUID KENKO KE-01</v>
      </c>
      <c r="H15">
        <f>SUMIF(Table1[H_A1],Sheet5!A15,Table1[Qty])</f>
        <v>360</v>
      </c>
      <c r="I15" t="str">
        <f>INDEX(Table1[Unit],Table5[[#This Row],[//NOTA]])</f>
        <v>LS</v>
      </c>
      <c r="J15" s="195">
        <f>SUMIF(Table1[H_A1],Sheet5!A15,Table1[C])</f>
        <v>0</v>
      </c>
      <c r="K15" s="195">
        <f>INDEX(Table1[Unit Price],Table5[[#This Row],[//NOTA]])</f>
        <v>54300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272</v>
      </c>
      <c r="B16" s="88"/>
      <c r="C16" s="88"/>
      <c r="E16" s="194">
        <f>MATCH(A16,Table1[H_A1],0)</f>
        <v>67</v>
      </c>
      <c r="F16" s="194">
        <f>MATCH(Table5[[#This Row],[NAMA]],[1]!db[NB PAJAK],0)</f>
        <v>1112</v>
      </c>
      <c r="G16" t="str">
        <f>INDEX(Table1[Item Description],Table5[[#This Row],[//NOTA]])</f>
        <v>CORRECTION FLUID KENKO KE-01</v>
      </c>
      <c r="H16">
        <f>SUMIF(Table1[H_A1],Sheet5!A16,Table1[Qty])</f>
        <v>180</v>
      </c>
      <c r="I16" t="str">
        <f>INDEX(Table1[Unit],Table5[[#This Row],[//NOTA]])</f>
        <v>LSN</v>
      </c>
      <c r="J16" s="195">
        <f>SUMIF(Table1[H_A1],Sheet5!A16,Table1[C])</f>
        <v>3</v>
      </c>
      <c r="K16" s="195">
        <f>INDEX(Table1[Unit Price],Table5[[#This Row],[//NOTA]])</f>
        <v>54300</v>
      </c>
      <c r="L16" s="86">
        <f>IF(Table5[[#This Row],[a2]]="","",Table5[[#This Row],[QTY]]*12)</f>
        <v>2160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293</v>
      </c>
      <c r="B17" s="88"/>
      <c r="C17" s="88"/>
      <c r="E17" s="194">
        <f>MATCH(A17,Table1[H_A1],0)</f>
        <v>75</v>
      </c>
      <c r="F17" s="194">
        <f>MATCH(Table5[[#This Row],[NAMA]],[1]!db[NB PAJAK],0)</f>
        <v>1113</v>
      </c>
      <c r="G17" t="str">
        <f>INDEX(Table1[Item Description],Table5[[#This Row],[//NOTA]])</f>
        <v>CORRECTION FLUID KENKO KE-107M</v>
      </c>
      <c r="H17">
        <f>SUMIF(Table1[H_A1],Sheet5!A17,Table1[Qty])</f>
        <v>108</v>
      </c>
      <c r="I17" t="str">
        <f>INDEX(Table1[Unit],Table5[[#This Row],[//NOTA]])</f>
        <v>LSN</v>
      </c>
      <c r="J17" s="195">
        <f>SUMIF(Table1[H_A1],Sheet5!A17,Table1[C])</f>
        <v>2</v>
      </c>
      <c r="K17" s="195">
        <f>INDEX(Table1[Unit Price],Table5[[#This Row],[//NOTA]])</f>
        <v>55800</v>
      </c>
      <c r="L17" s="86">
        <f>IF(Table5[[#This Row],[a2]]="","",Table5[[#This Row],[QTY]]*12)</f>
        <v>1296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273</v>
      </c>
      <c r="B18" s="88"/>
      <c r="C18" s="88"/>
      <c r="E18" s="194">
        <f>MATCH(A18,Table1[H_A1],0)</f>
        <v>66</v>
      </c>
      <c r="F18" s="194">
        <f>MATCH(Table5[[#This Row],[NAMA]],[1]!db[NB PAJAK],0)</f>
        <v>1114</v>
      </c>
      <c r="G18" t="str">
        <f>INDEX(Table1[Item Description],Table5[[#This Row],[//NOTA]])</f>
        <v>CORRECTION FLUID KENKO KE-108</v>
      </c>
      <c r="H18">
        <f>SUMIF(Table1[H_A1],Sheet5!A18,Table1[Qty])</f>
        <v>72</v>
      </c>
      <c r="I18" t="str">
        <f>INDEX(Table1[Unit],Table5[[#This Row],[//NOTA]])</f>
        <v>LSN</v>
      </c>
      <c r="J18" s="195">
        <f>SUMIF(Table1[H_A1],Sheet5!A18,Table1[C])</f>
        <v>1</v>
      </c>
      <c r="K18" s="195">
        <f>INDEX(Table1[Unit Price],Table5[[#This Row],[//NOTA]])</f>
        <v>47100</v>
      </c>
      <c r="L18" s="86">
        <f>IF(Table5[[#This Row],[a2]]="","",Table5[[#This Row],[QTY]]*12)</f>
        <v>864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294</v>
      </c>
      <c r="B19" s="88"/>
      <c r="C19" s="88"/>
      <c r="E19" s="194">
        <f>MATCH(A19,Table1[H_A1],0)</f>
        <v>74</v>
      </c>
      <c r="F19" s="194">
        <f>MATCH(Table5[[#This Row],[NAMA]],[1]!db[NB PAJAK],0)</f>
        <v>1115</v>
      </c>
      <c r="G19" t="str">
        <f>INDEX(Table1[Item Description],Table5[[#This Row],[//NOTA]])</f>
        <v>CORRECTION FLUID KENKO KE-301</v>
      </c>
      <c r="H19">
        <f>SUMIF(Table1[H_A1],Sheet5!A19,Table1[Qty])</f>
        <v>78</v>
      </c>
      <c r="I19" t="str">
        <f>INDEX(Table1[Unit],Table5[[#This Row],[//NOTA]])</f>
        <v>LSN</v>
      </c>
      <c r="J19" s="195">
        <f>SUMIF(Table1[H_A1],Sheet5!A19,Table1[C])</f>
        <v>1</v>
      </c>
      <c r="K19" s="195">
        <f>INDEX(Table1[Unit Price],Table5[[#This Row],[//NOTA]])</f>
        <v>53400</v>
      </c>
      <c r="L19" s="86">
        <f>IF(Table5[[#This Row],[a2]]="","",Table5[[#This Row],[QTY]]*12)</f>
        <v>936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274</v>
      </c>
      <c r="B20" s="88"/>
      <c r="C20" s="88"/>
      <c r="E20" s="194">
        <f>MATCH(A20,Table1[H_A1],0)</f>
        <v>61</v>
      </c>
      <c r="F20" s="194">
        <f>MATCH(Table5[[#This Row],[NAMA]],[1]!db[NB PAJAK],0)</f>
        <v>525</v>
      </c>
      <c r="G20" t="str">
        <f>INDEX(Table1[Item Description],Table5[[#This Row],[//NOTA]])</f>
        <v>CORRECTION TAPE JOYKO CT-522</v>
      </c>
      <c r="H20">
        <f>SUMIF(Table1[H_A1],Sheet5!A20,Table1[Qty])</f>
        <v>420</v>
      </c>
      <c r="I20" t="str">
        <f>INDEX(Table1[Unit],Table5[[#This Row],[//NOTA]])</f>
        <v>LSN</v>
      </c>
      <c r="J20" s="195">
        <f>SUMIF(Table1[H_A1],Sheet5!A20,Table1[C])</f>
        <v>7</v>
      </c>
      <c r="K20" s="195">
        <f>INDEX(Table1[Unit Price],Table5[[#This Row],[//NOTA]])</f>
        <v>57600</v>
      </c>
      <c r="L20" s="86">
        <f>IF(Table5[[#This Row],[a2]]="","",Table5[[#This Row],[QTY]]*12)</f>
        <v>5040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481</v>
      </c>
      <c r="B21" s="88"/>
      <c r="C21" s="88"/>
      <c r="E21" s="194">
        <f>MATCH(A21,Table1[H_A1],0)</f>
        <v>166</v>
      </c>
      <c r="F21" s="194">
        <f>MATCH(Table5[[#This Row],[NAMA]],[1]!db[NB PAJAK],0)</f>
        <v>529</v>
      </c>
      <c r="G21" t="str">
        <f>INDEX(Table1[Item Description],Table5[[#This Row],[//NOTA]])</f>
        <v>CORRECTION TAPE JOYKO CT-540</v>
      </c>
      <c r="H21">
        <f>SUMIF(Table1[H_A1],Sheet5!A21,Table1[Qty])</f>
        <v>20</v>
      </c>
      <c r="I21" t="str">
        <f>INDEX(Table1[Unit],Table5[[#This Row],[//NOTA]])</f>
        <v>LSN</v>
      </c>
      <c r="J21" s="195">
        <f>SUMIF(Table1[H_A1],Sheet5!A21,Table1[C])</f>
        <v>0</v>
      </c>
      <c r="K21" s="195">
        <f>INDEX(Table1[Unit Price],Table5[[#This Row],[//NOTA]])</f>
        <v>68400</v>
      </c>
      <c r="L21" s="86">
        <f>IF(Table5[[#This Row],[a2]]="","",Table5[[#This Row],[QTY]]*12)</f>
        <v>240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482</v>
      </c>
      <c r="B22" s="88"/>
      <c r="C22" s="88"/>
      <c r="E22" s="194">
        <f>MATCH(A22,Table1[H_A1],0)</f>
        <v>167</v>
      </c>
      <c r="F22" s="194">
        <f>MATCH(Table5[[#This Row],[NAMA]],[1]!db[NB PAJAK],0)</f>
        <v>530</v>
      </c>
      <c r="G22" t="str">
        <f>INDEX(Table1[Item Description],Table5[[#This Row],[//NOTA]])</f>
        <v>CORRECTION TAPE JOYKO CT-545</v>
      </c>
      <c r="H22">
        <f>SUMIF(Table1[H_A1],Sheet5!A22,Table1[Qty])</f>
        <v>20</v>
      </c>
      <c r="I22" t="str">
        <f>INDEX(Table1[Unit],Table5[[#This Row],[//NOTA]])</f>
        <v>LSN</v>
      </c>
      <c r="J22" s="195">
        <f>SUMIF(Table1[H_A1],Sheet5!A22,Table1[C])</f>
        <v>0</v>
      </c>
      <c r="K22" s="195">
        <f>INDEX(Table1[Unit Price],Table5[[#This Row],[//NOTA]])</f>
        <v>69600</v>
      </c>
      <c r="L22" s="86">
        <f>IF(Table5[[#This Row],[a2]]="","",Table5[[#This Row],[QTY]]*12)</f>
        <v>240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410</v>
      </c>
      <c r="B23" s="88"/>
      <c r="C23" s="88"/>
      <c r="E23" s="194">
        <f>MATCH(A23,Table1[H_A1],0)</f>
        <v>124</v>
      </c>
      <c r="F23" s="194">
        <f>MATCH(Table5[[#This Row],[NAMA]],[1]!db[NB PAJAK],0)</f>
        <v>1120</v>
      </c>
      <c r="G23" t="str">
        <f>INDEX(Table1[Item Description],Table5[[#This Row],[//NOTA]])</f>
        <v>CORRECTION TAPE KENKO CT-1505FC (15M X 5MM)</v>
      </c>
      <c r="H23">
        <f>SUMIF(Table1[H_A1],Sheet5!A23,Table1[Qty])</f>
        <v>38</v>
      </c>
      <c r="I23" t="str">
        <f>INDEX(Table1[Unit],Table5[[#This Row],[//NOTA]])</f>
        <v>LSN</v>
      </c>
      <c r="J23" s="195">
        <f>SUMIF(Table1[H_A1],Sheet5!A23,Table1[C])</f>
        <v>0</v>
      </c>
      <c r="K23" s="195">
        <f>INDEX(Table1[Unit Price],Table5[[#This Row],[//NOTA]])</f>
        <v>69600</v>
      </c>
      <c r="L23" s="86">
        <f>IF(Table5[[#This Row],[a2]]="","",Table5[[#This Row],[QTY]]*12)</f>
        <v>456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411</v>
      </c>
      <c r="B24" s="88"/>
      <c r="C24" s="88"/>
      <c r="E24" s="194">
        <f>MATCH(A24,Table1[H_A1],0)</f>
        <v>127</v>
      </c>
      <c r="F24" s="194">
        <f>MATCH(Table5[[#This Row],[NAMA]],[1]!db[NB PAJAK],0)</f>
        <v>1126</v>
      </c>
      <c r="G24" t="str">
        <f>INDEX(Table1[Item Description],Table5[[#This Row],[//NOTA]])</f>
        <v>CORRECTION TAPE KENKO CT-309 (12M x 5MM)</v>
      </c>
      <c r="H24">
        <f>SUMIF(Table1[H_A1],Sheet5!A24,Table1[Qty])</f>
        <v>15</v>
      </c>
      <c r="I24" t="str">
        <f>INDEX(Table1[Unit],Table5[[#This Row],[//NOTA]])</f>
        <v>LSN</v>
      </c>
      <c r="J24" s="195">
        <f>SUMIF(Table1[H_A1],Sheet5!A24,Table1[C])</f>
        <v>0</v>
      </c>
      <c r="K24" s="195">
        <f>INDEX(Table1[Unit Price],Table5[[#This Row],[//NOTA]])</f>
        <v>81600</v>
      </c>
      <c r="L24" s="86">
        <f>IF(Table5[[#This Row],[a2]]="","",Table5[[#This Row],[QTY]]*12)</f>
        <v>180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412</v>
      </c>
      <c r="B25" s="88"/>
      <c r="C25" s="88"/>
      <c r="E25" s="194">
        <f>MATCH(A25,Table1[H_A1],0)</f>
        <v>125</v>
      </c>
      <c r="F25" s="194">
        <f>MATCH(Table5[[#This Row],[NAMA]],[1]!db[NB PAJAK],0)</f>
        <v>1127</v>
      </c>
      <c r="G25" t="str">
        <f>INDEX(Table1[Item Description],Table5[[#This Row],[//NOTA]])</f>
        <v>CORRECTION TAPE KENKO CT-310SL (12M x 5MM)</v>
      </c>
      <c r="H25">
        <f>SUMIF(Table1[H_A1],Sheet5!A25,Table1[Qty])</f>
        <v>15</v>
      </c>
      <c r="I25" t="str">
        <f>INDEX(Table1[Unit],Table5[[#This Row],[//NOTA]])</f>
        <v>LSN</v>
      </c>
      <c r="J25" s="195">
        <f>SUMIF(Table1[H_A1],Sheet5!A25,Table1[C])</f>
        <v>0</v>
      </c>
      <c r="K25" s="195">
        <f>INDEX(Table1[Unit Price],Table5[[#This Row],[//NOTA]])</f>
        <v>84000</v>
      </c>
      <c r="L25" s="86">
        <f>IF(Table5[[#This Row],[a2]]="","",Table5[[#This Row],[QTY]]*12)</f>
        <v>180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483</v>
      </c>
      <c r="B26" s="88"/>
      <c r="C26" s="88"/>
      <c r="E26" s="194">
        <f>MATCH(A26,Table1[H_A1],0)</f>
        <v>169</v>
      </c>
      <c r="F26" s="194">
        <f>MATCH(Table5[[#This Row],[NAMA]],[1]!db[NB PAJAK],0)</f>
        <v>1131</v>
      </c>
      <c r="G26" t="str">
        <f>INDEX(Table1[Item Description],Table5[[#This Row],[//NOTA]])</f>
        <v>CORRECTION TAPE KENKO CT-809 (8M x 5MM)</v>
      </c>
      <c r="H26">
        <f>SUMIF(Table1[H_A1],Sheet5!A26,Table1[Qty])</f>
        <v>13</v>
      </c>
      <c r="I26" t="str">
        <f>INDEX(Table1[Unit],Table5[[#This Row],[//NOTA]])</f>
        <v>LSN</v>
      </c>
      <c r="J26" s="195">
        <f>SUMIF(Table1[H_A1],Sheet5!A26,Table1[C])</f>
        <v>0</v>
      </c>
      <c r="K26" s="195">
        <f>INDEX(Table1[Unit Price],Table5[[#This Row],[//NOTA]])</f>
        <v>54000</v>
      </c>
      <c r="L26" s="86">
        <f>IF(Table5[[#This Row],[a2]]="","",Table5[[#This Row],[QTY]]*12)</f>
        <v>156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413</v>
      </c>
      <c r="B27" s="88"/>
      <c r="C27" s="88"/>
      <c r="E27" s="194">
        <f>MATCH(A27,Table1[H_A1],0)</f>
        <v>126</v>
      </c>
      <c r="F27" s="194">
        <f>MATCH(Table5[[#This Row],[NAMA]],[1]!db[NB PAJAK],0)</f>
        <v>1138</v>
      </c>
      <c r="G27" t="str">
        <f>INDEX(Table1[Item Description],Table5[[#This Row],[//NOTA]])</f>
        <v>CORRECTION TAPE KENKO CT-905 (12M x 5MM)</v>
      </c>
      <c r="H27">
        <f>SUMIF(Table1[H_A1],Sheet5!A27,Table1[Qty])</f>
        <v>9</v>
      </c>
      <c r="I27" t="str">
        <f>INDEX(Table1[Unit],Table5[[#This Row],[//NOTA]])</f>
        <v>LSN</v>
      </c>
      <c r="J27" s="195">
        <f>SUMIF(Table1[H_A1],Sheet5!A27,Table1[C])</f>
        <v>0</v>
      </c>
      <c r="K27" s="195">
        <f>INDEX(Table1[Unit Price],Table5[[#This Row],[//NOTA]])</f>
        <v>62400</v>
      </c>
      <c r="L27" s="86">
        <f>IF(Table5[[#This Row],[a2]]="","",Table5[[#This Row],[QTY]]*12)</f>
        <v>108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444</v>
      </c>
      <c r="B28" s="88"/>
      <c r="C28" s="88"/>
      <c r="E28" s="194">
        <f>MATCH(A28,Table1[H_A1],0)</f>
        <v>146</v>
      </c>
      <c r="F28" s="194">
        <f>MATCH(Table5[[#This Row],[NAMA]],[1]!db[NB PAJAK],0)</f>
        <v>1140</v>
      </c>
      <c r="G28" t="str">
        <f>INDEX(Table1[Item Description],Table5[[#This Row],[//NOTA]])</f>
        <v>CORRECTION TAPE KENKO CT-909 (12M x 5MM)</v>
      </c>
      <c r="H28">
        <f>SUMIF(Table1[H_A1],Sheet5!A28,Table1[Qty])</f>
        <v>96</v>
      </c>
      <c r="I28" t="str">
        <f>INDEX(Table1[Unit],Table5[[#This Row],[//NOTA]])</f>
        <v>LSN</v>
      </c>
      <c r="J28" s="195">
        <f>SUMIF(Table1[H_A1],Sheet5!A28,Table1[C])</f>
        <v>2</v>
      </c>
      <c r="K28" s="195">
        <f>INDEX(Table1[Unit Price],Table5[[#This Row],[//NOTA]])</f>
        <v>60000</v>
      </c>
      <c r="L28" s="86">
        <f>IF(Table5[[#This Row],[a2]]="","",Table5[[#This Row],[QTY]]*12)</f>
        <v>1152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165</v>
      </c>
      <c r="B29" s="88"/>
      <c r="C29" s="88"/>
      <c r="E29" s="194">
        <f>MATCH(A29,Table1[H_A1],0)</f>
        <v>15</v>
      </c>
      <c r="F29" s="194">
        <f>MATCH(Table5[[#This Row],[NAMA]],[1]!db[NB PAJAK],0)</f>
        <v>1574</v>
      </c>
      <c r="G29" t="str">
        <f>INDEX(Table1[Item Description],Table5[[#This Row],[//NOTA]])</f>
        <v>CRAYON / OIL PASTEL JOYKO OP-12CR ROUND (MINI)</v>
      </c>
      <c r="H29">
        <f>SUMIF(Table1[H_A1],Sheet5!A29,Table1[Qty])</f>
        <v>288</v>
      </c>
      <c r="I29" t="str">
        <f>INDEX(Table1[Unit],Table5[[#This Row],[//NOTA]])</f>
        <v>PCS</v>
      </c>
      <c r="J29" s="195">
        <f>SUMIF(Table1[H_A1],Sheet5!A29,Table1[C])</f>
        <v>2</v>
      </c>
      <c r="K29" s="195">
        <f>INDEX(Table1[Unit Price],Table5[[#This Row],[//NOTA]])</f>
        <v>9000</v>
      </c>
      <c r="L29" s="86" t="str">
        <f>IF(Table5[[#This Row],[a2]]="","",Table5[[#This Row],[QTY]]*12)</f>
        <v/>
      </c>
      <c r="M29" s="86" t="str">
        <f>IF(Table5[[#This Row],[UNIT]]="grs","LSN",IF(Table5[[#This Row],[UNIT]]="LSN","PCS",""))</f>
        <v/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468</v>
      </c>
      <c r="B30" s="88"/>
      <c r="C30" s="88"/>
      <c r="E30" s="194">
        <f>MATCH(A30,Table1[H_A1],0)</f>
        <v>160</v>
      </c>
      <c r="F30" s="194">
        <f>MATCH(Table5[[#This Row],[NAMA]],[1]!db[NB PAJAK],0)</f>
        <v>1576</v>
      </c>
      <c r="G30" t="str">
        <f>INDEX(Table1[Item Description],Table5[[#This Row],[//NOTA]])</f>
        <v>CRAYON / OIL PASTEL JOYKO OP-18S PP CASE SEA WORLD</v>
      </c>
      <c r="H30">
        <f>SUMIF(Table1[H_A1],Sheet5!A30,Table1[Qty])</f>
        <v>1</v>
      </c>
      <c r="I30" t="str">
        <f>INDEX(Table1[Unit],Table5[[#This Row],[//NOTA]])</f>
        <v>LSN</v>
      </c>
      <c r="J30" s="195">
        <f>SUMIF(Table1[H_A1],Sheet5!A30,Table1[C])</f>
        <v>0</v>
      </c>
      <c r="K30" s="195">
        <f>INDEX(Table1[Unit Price],Table5[[#This Row],[//NOTA]])</f>
        <v>276000</v>
      </c>
      <c r="L30" s="86">
        <f>IF(Table5[[#This Row],[a2]]="","",Table5[[#This Row],[QTY]]*12)</f>
        <v>12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440</v>
      </c>
      <c r="B31" s="88"/>
      <c r="C31" s="88"/>
      <c r="E31" s="194">
        <f>MATCH(A31,Table1[H_A1],0)</f>
        <v>144</v>
      </c>
      <c r="F31" s="194">
        <f>MATCH(Table5[[#This Row],[NAMA]],[1]!db[NB PAJAK],0)</f>
        <v>1578</v>
      </c>
      <c r="G31" t="str">
        <f>INDEX(Table1[Item Description],Table5[[#This Row],[//NOTA]])</f>
        <v>CRAYON / OIL PASTEL JOYKO OP-36S PP CASE SEA WORLD</v>
      </c>
      <c r="H31">
        <f>SUMIF(Table1[H_A1],Sheet5!A31,Table1[Qty])</f>
        <v>72</v>
      </c>
      <c r="I31" t="str">
        <f>INDEX(Table1[Unit],Table5[[#This Row],[//NOTA]])</f>
        <v>PCS</v>
      </c>
      <c r="J31" s="195">
        <f>SUMIF(Table1[H_A1],Sheet5!A31,Table1[C])</f>
        <v>2</v>
      </c>
      <c r="K31" s="195">
        <f>INDEX(Table1[Unit Price],Table5[[#This Row],[//NOTA]])</f>
        <v>41500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492</v>
      </c>
      <c r="B32" s="88"/>
      <c r="C32" s="88"/>
      <c r="E32" s="194">
        <f>MATCH(A32,Table1[H_A1],0)</f>
        <v>180</v>
      </c>
      <c r="F32" s="194">
        <f>MATCH(Table5[[#This Row],[NAMA]],[1]!db[NB PAJAK],0)</f>
        <v>1580</v>
      </c>
      <c r="G32" t="str">
        <f>INDEX(Table1[Item Description],Table5[[#This Row],[//NOTA]])</f>
        <v>CRAYON / OIL PASTEL JOYKO OP-55S PP CASE SEA WORLD</v>
      </c>
      <c r="H32">
        <f>SUMIF(Table1[H_A1],Sheet5!A32,Table1[Qty])</f>
        <v>24</v>
      </c>
      <c r="I32" t="str">
        <f>INDEX(Table1[Unit],Table5[[#This Row],[//NOTA]])</f>
        <v>PCS</v>
      </c>
      <c r="J32" s="195">
        <f>SUMIF(Table1[H_A1],Sheet5!A32,Table1[C])</f>
        <v>1</v>
      </c>
      <c r="K32" s="195">
        <f>INDEX(Table1[Unit Price],Table5[[#This Row],[//NOTA]])</f>
        <v>66900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319</v>
      </c>
      <c r="B33" s="88"/>
      <c r="C33" s="88"/>
      <c r="E33" s="194">
        <f>MATCH(A33,Table1[H_A1],0)</f>
        <v>87</v>
      </c>
      <c r="F33" s="194">
        <f>MATCH(Table5[[#This Row],[NAMA]],[1]!db[NB PAJAK],0)</f>
        <v>1044</v>
      </c>
      <c r="G33" t="str">
        <f>INDEX(Table1[Item Description],Table5[[#This Row],[//NOTA]])</f>
        <v>CRAYON / OIL PASTEL KENKO 12W GARDEN</v>
      </c>
      <c r="H33">
        <f>SUMIF(Table1[H_A1],Sheet5!A33,Table1[Qty])</f>
        <v>12</v>
      </c>
      <c r="I33" t="str">
        <f>INDEX(Table1[Unit],Table5[[#This Row],[//NOTA]])</f>
        <v>LSN</v>
      </c>
      <c r="J33" s="195">
        <f>SUMIF(Table1[H_A1],Sheet5!A33,Table1[C])</f>
        <v>1</v>
      </c>
      <c r="K33" s="195">
        <f>INDEX(Table1[Unit Price],Table5[[#This Row],[//NOTA]])</f>
        <v>144000</v>
      </c>
      <c r="L33" s="86">
        <f>IF(Table5[[#This Row],[a2]]="","",Table5[[#This Row],[QTY]]*12)</f>
        <v>144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323</v>
      </c>
      <c r="B34" s="88"/>
      <c r="C34" s="88"/>
      <c r="E34" s="194">
        <f>MATCH(A34,Table1[H_A1],0)</f>
        <v>88</v>
      </c>
      <c r="F34" s="194">
        <f>MATCH(Table5[[#This Row],[NAMA]],[1]!db[NB PAJAK],0)</f>
        <v>1051</v>
      </c>
      <c r="G34" t="str">
        <f>INDEX(Table1[Item Description],Table5[[#This Row],[//NOTA]])</f>
        <v>CRAYON / OIL PASTEL KENKO 18W GARDEN</v>
      </c>
      <c r="H34">
        <f>SUMIF(Table1[H_A1],Sheet5!A34,Table1[Qty])</f>
        <v>6</v>
      </c>
      <c r="I34" t="str">
        <f>INDEX(Table1[Unit],Table5[[#This Row],[//NOTA]])</f>
        <v>LSN</v>
      </c>
      <c r="J34" s="195">
        <f>SUMIF(Table1[H_A1],Sheet5!A34,Table1[C])</f>
        <v>1</v>
      </c>
      <c r="K34" s="195">
        <f>INDEX(Table1[Unit Price],Table5[[#This Row],[//NOTA]])</f>
        <v>258000</v>
      </c>
      <c r="L34" s="86">
        <f>IF(Table5[[#This Row],[a2]]="","",Table5[[#This Row],[QTY]]*12)</f>
        <v>72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166</v>
      </c>
      <c r="B35" s="88"/>
      <c r="C35" s="88"/>
      <c r="E35" s="194">
        <f>MATCH(A35,Table1[H_A1],0)</f>
        <v>14</v>
      </c>
      <c r="F35" s="194">
        <f>MATCH(Table5[[#This Row],[NAMA]],[1]!db[NB PAJAK],0)</f>
        <v>556</v>
      </c>
      <c r="G35" t="str">
        <f>INDEX(Table1[Item Description],Table5[[#This Row],[//NOTA]])</f>
        <v>CRAYON / OIL PASTEL PUTAR JOYKO TWCR-12MINI (PENDEK)</v>
      </c>
      <c r="H35">
        <f>SUMIF(Table1[H_A1],Sheet5!A35,Table1[Qty])</f>
        <v>288</v>
      </c>
      <c r="I35" t="str">
        <f>INDEX(Table1[Unit],Table5[[#This Row],[//NOTA]])</f>
        <v>PCS</v>
      </c>
      <c r="J35" s="195">
        <f>SUMIF(Table1[H_A1],Sheet5!A35,Table1[C])</f>
        <v>2</v>
      </c>
      <c r="K35" s="195">
        <f>INDEX(Table1[Unit Price],Table5[[#This Row],[//NOTA]])</f>
        <v>18600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469</v>
      </c>
      <c r="B36" s="88"/>
      <c r="C36" s="88"/>
      <c r="E36" s="194">
        <f>MATCH(A36,Table1[H_A1],0)</f>
        <v>158</v>
      </c>
      <c r="F36" s="194" t="e">
        <f>MATCH(Table5[[#This Row],[NAMA]],[1]!db[NB PAJAK],0)</f>
        <v>#N/A</v>
      </c>
      <c r="G36" t="str">
        <f>INDEX(Table1[Item Description],Table5[[#This Row],[//NOTA]])</f>
        <v>CRAYON / OIL PASTEL PUTAR JOYKO TWCR-24MINI (PENDEK)</v>
      </c>
      <c r="H36">
        <f>SUMIF(Table1[H_A1],Sheet5!A36,Table1[Qty])</f>
        <v>1</v>
      </c>
      <c r="I36" t="str">
        <f>INDEX(Table1[Unit],Table5[[#This Row],[//NOTA]])</f>
        <v>LSN</v>
      </c>
      <c r="J36" s="195">
        <f>SUMIF(Table1[H_A1],Sheet5!A36,Table1[C])</f>
        <v>0</v>
      </c>
      <c r="K36" s="195">
        <f>INDEX(Table1[Unit Price],Table5[[#This Row],[//NOTA]])</f>
        <v>446400</v>
      </c>
      <c r="L36" s="86">
        <f>IF(Table5[[#This Row],[a2]]="","",Table5[[#This Row],[QTY]]*12)</f>
        <v>12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305</v>
      </c>
      <c r="B37" s="88"/>
      <c r="C37" s="88"/>
      <c r="E37" s="194">
        <f>MATCH(A37,Table1[H_A1],0)</f>
        <v>79</v>
      </c>
      <c r="F37" s="194">
        <f>MATCH(Table5[[#This Row],[NAMA]],[1]!db[NB PAJAK],0)</f>
        <v>1146</v>
      </c>
      <c r="G37" t="str">
        <f>INDEX(Table1[Item Description],Table5[[#This Row],[//NOTA]])</f>
        <v>CUTTER 18 MM KENKO L-500 (BESAR)</v>
      </c>
      <c r="H37">
        <f>SUMIF(Table1[H_A1],Sheet5!A37,Table1[Qty])</f>
        <v>20</v>
      </c>
      <c r="I37" t="str">
        <f>INDEX(Table1[Unit],Table5[[#This Row],[//NOTA]])</f>
        <v>LSN</v>
      </c>
      <c r="J37" s="195">
        <f>SUMIF(Table1[H_A1],Sheet5!A37,Table1[C])</f>
        <v>1</v>
      </c>
      <c r="K37" s="195">
        <f>INDEX(Table1[Unit Price],Table5[[#This Row],[//NOTA]])</f>
        <v>147600</v>
      </c>
      <c r="L37" s="86">
        <f>IF(Table5[[#This Row],[a2]]="","",Table5[[#This Row],[QTY]]*12)</f>
        <v>240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501</v>
      </c>
      <c r="B38" s="88"/>
      <c r="C38" s="88"/>
      <c r="E38" s="194">
        <f>MATCH(A38,Table1[H_A1],0)</f>
        <v>187</v>
      </c>
      <c r="F38" s="194">
        <f>MATCH(Table5[[#This Row],[NAMA]],[1]!db[NB PAJAK],0)</f>
        <v>1144</v>
      </c>
      <c r="G38" t="str">
        <f>INDEX(Table1[Item Description],Table5[[#This Row],[//NOTA]])</f>
        <v>CUTTER 9 MM KENKO K-200 (KECIL)</v>
      </c>
      <c r="H38">
        <f>SUMIF(Table1[H_A1],Sheet5!A38,Table1[Qty])</f>
        <v>15</v>
      </c>
      <c r="I38" t="str">
        <f>INDEX(Table1[Unit],Table5[[#This Row],[//NOTA]])</f>
        <v>LSN</v>
      </c>
      <c r="J38" s="195">
        <f>SUMIF(Table1[H_A1],Sheet5!A38,Table1[C])</f>
        <v>0</v>
      </c>
      <c r="K38" s="195">
        <f>INDEX(Table1[Unit Price],Table5[[#This Row],[//NOTA]])</f>
        <v>52200</v>
      </c>
      <c r="L38" s="86">
        <f>IF(Table5[[#This Row],[a2]]="","",Table5[[#This Row],[QTY]]*12)</f>
        <v>180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213</v>
      </c>
      <c r="B39" s="88"/>
      <c r="C39" s="88"/>
      <c r="E39" s="194">
        <f>MATCH(A39,Table1[H_A1],0)</f>
        <v>34</v>
      </c>
      <c r="F39" s="194">
        <f>MATCH(Table5[[#This Row],[NAMA]],[1]!db[NB PAJAK],0)</f>
        <v>1147</v>
      </c>
      <c r="G39" t="str">
        <f>INDEX(Table1[Item Description],Table5[[#This Row],[//NOTA]])</f>
        <v>DATE STAMP KENKO D-3 (Cap Tanggal 5 Mm)</v>
      </c>
      <c r="H39">
        <f>SUMIF(Table1[H_A1],Sheet5!A39,Table1[Qty])</f>
        <v>1</v>
      </c>
      <c r="I39" t="str">
        <f>INDEX(Table1[Unit],Table5[[#This Row],[//NOTA]])</f>
        <v>LSN</v>
      </c>
      <c r="J39" s="195">
        <f>SUMIF(Table1[H_A1],Sheet5!A39,Table1[C])</f>
        <v>0</v>
      </c>
      <c r="K39" s="195">
        <f>INDEX(Table1[Unit Price],Table5[[#This Row],[//NOTA]])</f>
        <v>77400</v>
      </c>
      <c r="L39" s="86">
        <f>IF(Table5[[#This Row],[a2]]="","",Table5[[#This Row],[QTY]]*12)</f>
        <v>12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167</v>
      </c>
      <c r="B40" s="88"/>
      <c r="C40" s="88"/>
      <c r="E40" s="194">
        <f>MATCH(A40,Table1[H_A1],0)</f>
        <v>18</v>
      </c>
      <c r="F40" s="194">
        <f>MATCH(Table5[[#This Row],[NAMA]],[1]!db[NB PAJAK],0)</f>
        <v>1148</v>
      </c>
      <c r="G40" t="str">
        <f>INDEX(Table1[Item Description],Table5[[#This Row],[//NOTA]])</f>
        <v>DATE STAMP KENKO D-4 (Cap Tanggal 4 Mm)</v>
      </c>
      <c r="H40">
        <f>SUMIF(Table1[H_A1],Sheet5!A40,Table1[Qty])</f>
        <v>11</v>
      </c>
      <c r="I40" t="str">
        <f>INDEX(Table1[Unit],Table5[[#This Row],[//NOTA]])</f>
        <v>LSN</v>
      </c>
      <c r="J40" s="195">
        <f>SUMIF(Table1[H_A1],Sheet5!A40,Table1[C])</f>
        <v>0</v>
      </c>
      <c r="K40" s="195">
        <f>INDEX(Table1[Unit Price],Table5[[#This Row],[//NOTA]])</f>
        <v>74400</v>
      </c>
      <c r="L40" s="86">
        <f>IF(Table5[[#This Row],[a2]]="","",Table5[[#This Row],[QTY]]*12)</f>
        <v>132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214</v>
      </c>
      <c r="B41" s="88"/>
      <c r="C41" s="88"/>
      <c r="E41" s="194">
        <f>MATCH(A41,Table1[H_A1],0)</f>
        <v>37</v>
      </c>
      <c r="F41" s="194">
        <f>MATCH(Table5[[#This Row],[NAMA]],[1]!db[NB PAJAK],0)</f>
        <v>1149</v>
      </c>
      <c r="G41" t="str">
        <f>INDEX(Table1[Item Description],Table5[[#This Row],[//NOTA]])</f>
        <v>DESK SET KENKO K-8312 ORGANIZER</v>
      </c>
      <c r="H41">
        <f>SUMIF(Table1[H_A1],Sheet5!A41,Table1[Qty])</f>
        <v>16</v>
      </c>
      <c r="I41" t="str">
        <f>INDEX(Table1[Unit],Table5[[#This Row],[//NOTA]])</f>
        <v>PCS</v>
      </c>
      <c r="J41" s="195">
        <f>SUMIF(Table1[H_A1],Sheet5!A41,Table1[C])</f>
        <v>0</v>
      </c>
      <c r="K41" s="195">
        <f>INDEX(Table1[Unit Price],Table5[[#This Row],[//NOTA]])</f>
        <v>29000</v>
      </c>
      <c r="L41" s="86" t="str">
        <f>IF(Table5[[#This Row],[a2]]="","",Table5[[#This Row],[QTY]]*12)</f>
        <v/>
      </c>
      <c r="M41" s="86" t="str">
        <f>IF(Table5[[#This Row],[UNIT]]="grs","LSN",IF(Table5[[#This Row],[UNIT]]="LSN","PCS",""))</f>
        <v/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215</v>
      </c>
      <c r="B42" s="88"/>
      <c r="C42" s="88"/>
      <c r="E42" s="194">
        <f>MATCH(A42,Table1[H_A1],0)</f>
        <v>30</v>
      </c>
      <c r="F42" s="194">
        <f>MATCH(Table5[[#This Row],[NAMA]],[1]!db[NB PAJAK],0)</f>
        <v>1290</v>
      </c>
      <c r="G42" t="str">
        <f>INDEX(Table1[Item Description],Table5[[#This Row],[//NOTA]])</f>
        <v>GARISAN BESI (STAINLESS STEEL) KENKO 100 CM / 1 M</v>
      </c>
      <c r="H42">
        <f>SUMIF(Table1[H_A1],Sheet5!A42,Table1[Qty])</f>
        <v>5</v>
      </c>
      <c r="I42" t="str">
        <f>INDEX(Table1[Unit],Table5[[#This Row],[//NOTA]])</f>
        <v>LSN</v>
      </c>
      <c r="J42" s="195">
        <f>SUMIF(Table1[H_A1],Sheet5!A42,Table1[C])</f>
        <v>0</v>
      </c>
      <c r="K42" s="195">
        <f>INDEX(Table1[Unit Price],Table5[[#This Row],[//NOTA]])</f>
        <v>522000</v>
      </c>
      <c r="L42" s="86">
        <f>IF(Table5[[#This Row],[a2]]="","",Table5[[#This Row],[QTY]]*12)</f>
        <v>60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309</v>
      </c>
      <c r="B43" s="88"/>
      <c r="C43" s="88"/>
      <c r="E43" s="194">
        <f>MATCH(A43,Table1[H_A1],0)</f>
        <v>83</v>
      </c>
      <c r="F43" s="194">
        <f>MATCH(Table5[[#This Row],[NAMA]],[1]!db[NB PAJAK],0)</f>
        <v>1165</v>
      </c>
      <c r="G43" t="str">
        <f>INDEX(Table1[Item Description],Table5[[#This Row],[//NOTA]])</f>
        <v>GEL PEN KENKO HI-TECH-H 0.28 MM BIRU</v>
      </c>
      <c r="H43">
        <f>SUMIF(Table1[H_A1],Sheet5!A43,Table1[Qty])</f>
        <v>144</v>
      </c>
      <c r="I43" t="str">
        <f>INDEX(Table1[Unit],Table5[[#This Row],[//NOTA]])</f>
        <v>LSN</v>
      </c>
      <c r="J43" s="195">
        <f>SUMIF(Table1[H_A1],Sheet5!A43,Table1[C])</f>
        <v>1</v>
      </c>
      <c r="K43" s="195">
        <f>INDEX(Table1[Unit Price],Table5[[#This Row],[//NOTA]])</f>
        <v>39000</v>
      </c>
      <c r="L43" s="86">
        <f>IF(Table5[[#This Row],[a2]]="","",Table5[[#This Row],[QTY]]*12)</f>
        <v>1728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470</v>
      </c>
      <c r="B44" s="88"/>
      <c r="C44" s="88"/>
      <c r="E44" s="194">
        <f>MATCH(A44,Table1[H_A1],0)</f>
        <v>155</v>
      </c>
      <c r="F44" s="194" t="e">
        <f>MATCH(Table5[[#This Row],[NAMA]],[1]!db[NB PAJAK],0)</f>
        <v>#N/A</v>
      </c>
      <c r="G44" t="str">
        <f>INDEX(Table1[Item Description],Table5[[#This Row],[//NOTA]])</f>
        <v>GEL PEN KENKO HI-TECH-H 0.28 MM FUN COLOR</v>
      </c>
      <c r="H44">
        <f>SUMIF(Table1[H_A1],Sheet5!A44,Table1[Qty])</f>
        <v>2</v>
      </c>
      <c r="I44" t="str">
        <f>INDEX(Table1[Unit],Table5[[#This Row],[//NOTA]])</f>
        <v>LSN</v>
      </c>
      <c r="J44" s="195">
        <f>SUMIF(Table1[H_A1],Sheet5!A44,Table1[C])</f>
        <v>0</v>
      </c>
      <c r="K44" s="195">
        <f>INDEX(Table1[Unit Price],Table5[[#This Row],[//NOTA]])</f>
        <v>39000</v>
      </c>
      <c r="L44" s="86">
        <f>IF(Table5[[#This Row],[a2]]="","",Table5[[#This Row],[QTY]]*12)</f>
        <v>24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192</v>
      </c>
      <c r="B45" s="88"/>
      <c r="C45" s="88"/>
      <c r="E45" s="194">
        <f>MATCH(A45,Table1[H_A1],0)</f>
        <v>27</v>
      </c>
      <c r="F45" s="194">
        <f>MATCH(Table5[[#This Row],[NAMA]],[1]!db[NB PAJAK],0)</f>
        <v>1164</v>
      </c>
      <c r="G45" t="str">
        <f>INDEX(Table1[Item Description],Table5[[#This Row],[//NOTA]])</f>
        <v>GEL PEN KENKO HI-TECH-H 0.28 MM HITAM</v>
      </c>
      <c r="H45">
        <f>SUMIF(Table1[H_A1],Sheet5!A45,Table1[Qty])</f>
        <v>1728</v>
      </c>
      <c r="I45" t="str">
        <f>INDEX(Table1[Unit],Table5[[#This Row],[//NOTA]])</f>
        <v>LSN</v>
      </c>
      <c r="J45" s="195">
        <f>SUMIF(Table1[H_A1],Sheet5!A45,Table1[C])</f>
        <v>12</v>
      </c>
      <c r="K45" s="195">
        <f>INDEX(Table1[Unit Price],Table5[[#This Row],[//NOTA]])</f>
        <v>39000</v>
      </c>
      <c r="L45" s="86">
        <f>IF(Table5[[#This Row],[a2]]="","",Table5[[#This Row],[QTY]]*12)</f>
        <v>20736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430</v>
      </c>
      <c r="B46" s="88"/>
      <c r="C46" s="88"/>
      <c r="E46" s="194">
        <f>MATCH(A46,Table1[H_A1],0)</f>
        <v>129</v>
      </c>
      <c r="F46" s="194">
        <f>MATCH(Table5[[#This Row],[NAMA]],[1]!db[NB PAJAK],0)</f>
        <v>1163</v>
      </c>
      <c r="G46" t="str">
        <f>INDEX(Table1[Item Description],Table5[[#This Row],[//NOTA]])</f>
        <v>GEL PEN KENKO HI-TECH-H 0.28 MM</v>
      </c>
      <c r="H46">
        <f>SUMIF(Table1[H_A1],Sheet5!A46,Table1[Qty])</f>
        <v>12</v>
      </c>
      <c r="I46" t="str">
        <f>INDEX(Table1[Unit],Table5[[#This Row],[//NOTA]])</f>
        <v>LSN</v>
      </c>
      <c r="J46" s="195">
        <f>SUMIF(Table1[H_A1],Sheet5!A46,Table1[C])</f>
        <v>0</v>
      </c>
      <c r="K46" s="195">
        <f>INDEX(Table1[Unit Price],Table5[[#This Row],[//NOTA]])</f>
        <v>39000</v>
      </c>
      <c r="L46" s="86">
        <f>IF(Table5[[#This Row],[a2]]="","",Table5[[#This Row],[QTY]]*12)</f>
        <v>144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237</v>
      </c>
      <c r="B47" s="88"/>
      <c r="C47" s="88"/>
      <c r="E47" s="194">
        <f>MATCH(A47,Table1[H_A1],0)</f>
        <v>43</v>
      </c>
      <c r="F47" s="194">
        <f>MATCH(Table5[[#This Row],[NAMA]],[1]!db[NB PAJAK],0)</f>
        <v>1176</v>
      </c>
      <c r="G47" t="str">
        <f>INDEX(Table1[Item Description],Table5[[#This Row],[//NOTA]])</f>
        <v>GEL PEN KENKO K-1 HITAM</v>
      </c>
      <c r="H47">
        <f>SUMIF(Table1[H_A1],Sheet5!A47,Table1[Qty])</f>
        <v>11</v>
      </c>
      <c r="I47" t="str">
        <f>INDEX(Table1[Unit],Table5[[#This Row],[//NOTA]])</f>
        <v>LSN</v>
      </c>
      <c r="J47" s="195">
        <f>SUMIF(Table1[H_A1],Sheet5!A47,Table1[C])</f>
        <v>0</v>
      </c>
      <c r="K47" s="195">
        <f>INDEX(Table1[Unit Price],Table5[[#This Row],[//NOTA]])</f>
        <v>39600</v>
      </c>
      <c r="L47" s="86">
        <f>IF(Table5[[#This Row],[a2]]="","",Table5[[#This Row],[QTY]]*12)</f>
        <v>132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431</v>
      </c>
      <c r="B48" s="88"/>
      <c r="C48" s="88"/>
      <c r="E48" s="194">
        <f>MATCH(A48,Table1[H_A1],0)</f>
        <v>130</v>
      </c>
      <c r="F48" s="194">
        <f>MATCH(Table5[[#This Row],[NAMA]],[1]!db[NB PAJAK],0)</f>
        <v>1175</v>
      </c>
      <c r="G48" t="str">
        <f>INDEX(Table1[Item Description],Table5[[#This Row],[//NOTA]])</f>
        <v>GEL PEN KENKO K-1</v>
      </c>
      <c r="H48">
        <f>SUMIF(Table1[H_A1],Sheet5!A48,Table1[Qty])</f>
        <v>16</v>
      </c>
      <c r="I48" t="str">
        <f>INDEX(Table1[Unit],Table5[[#This Row],[//NOTA]])</f>
        <v>LSN</v>
      </c>
      <c r="J48" s="195">
        <f>SUMIF(Table1[H_A1],Sheet5!A48,Table1[C])</f>
        <v>0</v>
      </c>
      <c r="K48" s="195">
        <f>INDEX(Table1[Unit Price],Table5[[#This Row],[//NOTA]])</f>
        <v>39600</v>
      </c>
      <c r="L48" s="86">
        <f>IF(Table5[[#This Row],[a2]]="","",Table5[[#This Row],[QTY]]*12)</f>
        <v>192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388</v>
      </c>
      <c r="B49" s="88"/>
      <c r="C49" s="88"/>
      <c r="E49" s="194">
        <f>MATCH(A49,Table1[H_A1],0)</f>
        <v>116</v>
      </c>
      <c r="F49" s="194">
        <f>MATCH(Table5[[#This Row],[NAMA]],[1]!db[NB PAJAK],0)</f>
        <v>743</v>
      </c>
      <c r="G49" t="str">
        <f>INDEX(Table1[Item Description],Table5[[#This Row],[//NOTA]])</f>
        <v>GEL PEN SET JOYKO GPC-309S DIAMOND ART</v>
      </c>
      <c r="H49">
        <f>SUMIF(Table1[H_A1],Sheet5!A49,Table1[Qty])</f>
        <v>576</v>
      </c>
      <c r="I49" t="str">
        <f>INDEX(Table1[Unit],Table5[[#This Row],[//NOTA]])</f>
        <v>PCS</v>
      </c>
      <c r="J49" s="195">
        <f>SUMIF(Table1[H_A1],Sheet5!A49,Table1[C])</f>
        <v>3</v>
      </c>
      <c r="K49" s="195">
        <f>INDEX(Table1[Unit Price],Table5[[#This Row],[//NOTA]])</f>
        <v>16800</v>
      </c>
      <c r="L49" s="86" t="str">
        <f>IF(Table5[[#This Row],[a2]]="","",Table5[[#This Row],[QTY]]*12)</f>
        <v/>
      </c>
      <c r="M49" s="86" t="str">
        <f>IF(Table5[[#This Row],[UNIT]]="grs","LSN",IF(Table5[[#This Row],[UNIT]]="LSN","PCS",""))</f>
        <v/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126</v>
      </c>
      <c r="B50" s="88"/>
      <c r="C50" s="88"/>
      <c r="E50" s="194">
        <f>MATCH(A50,Table1[H_A1],0)</f>
        <v>1</v>
      </c>
      <c r="F50" s="194">
        <f>MATCH(Table5[[#This Row],[NAMA]],[1]!db[NB PAJAK],0)</f>
        <v>1949</v>
      </c>
      <c r="G50" t="str">
        <f>INDEX(Table1[Item Description],Table5[[#This Row],[//NOTA]])</f>
        <v>GUNTING JOYKO SC-828 SG</v>
      </c>
      <c r="H50">
        <f>SUMIF(Table1[H_A1],Sheet5!A50,Table1[Qty])</f>
        <v>144</v>
      </c>
      <c r="I50" t="str">
        <f>INDEX(Table1[Unit],Table5[[#This Row],[//NOTA]])</f>
        <v>LSN</v>
      </c>
      <c r="J50" s="195">
        <f>SUMIF(Table1[H_A1],Sheet5!A50,Table1[C])</f>
        <v>1</v>
      </c>
      <c r="K50" s="195">
        <f>INDEX(Table1[Unit Price],Table5[[#This Row],[//NOTA]])</f>
        <v>6100</v>
      </c>
      <c r="L50" s="86">
        <f>IF(Table5[[#This Row],[a2]]="","",Table5[[#This Row],[QTY]]*12)</f>
        <v>1728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168</v>
      </c>
      <c r="B51" s="88"/>
      <c r="C51" s="88"/>
      <c r="E51" s="194">
        <f>MATCH(A51,Table1[H_A1],0)</f>
        <v>2</v>
      </c>
      <c r="F51" s="194">
        <f>MATCH(Table5[[#This Row],[NAMA]],[1]!db[NB PAJAK],0)</f>
        <v>1951</v>
      </c>
      <c r="G51" t="str">
        <f>INDEX(Table1[Item Description],Table5[[#This Row],[//NOTA]])</f>
        <v>GUNTING JOYKO SC-838 SG</v>
      </c>
      <c r="H51">
        <f>SUMIF(Table1[H_A1],Sheet5!A51,Table1[Qty])</f>
        <v>144</v>
      </c>
      <c r="I51" t="str">
        <f>INDEX(Table1[Unit],Table5[[#This Row],[//NOTA]])</f>
        <v>LSN</v>
      </c>
      <c r="J51" s="195">
        <f>SUMIF(Table1[H_A1],Sheet5!A51,Table1[C])</f>
        <v>1</v>
      </c>
      <c r="K51" s="195">
        <f>INDEX(Table1[Unit Price],Table5[[#This Row],[//NOTA]])</f>
        <v>7700</v>
      </c>
      <c r="L51" s="86">
        <f>IF(Table5[[#This Row],[a2]]="","",Table5[[#This Row],[QTY]]*12)</f>
        <v>1728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432</v>
      </c>
      <c r="B52" s="88"/>
      <c r="C52" s="88"/>
      <c r="E52" s="194">
        <f>MATCH(A52,Table1[H_A1],0)</f>
        <v>139</v>
      </c>
      <c r="F52" s="194">
        <f>MATCH(Table5[[#This Row],[NAMA]],[1]!db[NB PAJAK],0)</f>
        <v>1280</v>
      </c>
      <c r="G52" t="str">
        <f>INDEX(Table1[Item Description],Table5[[#This Row],[//NOTA]])</f>
        <v>GUNTING KENKO SC-828</v>
      </c>
      <c r="H52">
        <f>SUMIF(Table1[H_A1],Sheet5!A52,Table1[Qty])</f>
        <v>4</v>
      </c>
      <c r="I52" t="str">
        <f>INDEX(Table1[Unit],Table5[[#This Row],[//NOTA]])</f>
        <v>LSN</v>
      </c>
      <c r="J52" s="195">
        <f>SUMIF(Table1[H_A1],Sheet5!A52,Table1[C])</f>
        <v>0</v>
      </c>
      <c r="K52" s="195">
        <f>INDEX(Table1[Unit Price],Table5[[#This Row],[//NOTA]])</f>
        <v>56400</v>
      </c>
      <c r="L52" s="86">
        <f>IF(Table5[[#This Row],[a2]]="","",Table5[[#This Row],[QTY]]*12)</f>
        <v>48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433</v>
      </c>
      <c r="B53" s="88"/>
      <c r="C53" s="88"/>
      <c r="E53" s="194">
        <f>MATCH(A53,Table1[H_A1],0)</f>
        <v>140</v>
      </c>
      <c r="F53" s="194">
        <f>MATCH(Table5[[#This Row],[NAMA]],[1]!db[NB PAJAK],0)</f>
        <v>1281</v>
      </c>
      <c r="G53" t="str">
        <f>INDEX(Table1[Item Description],Table5[[#This Row],[//NOTA]])</f>
        <v>GUNTING KENKO SC-838N</v>
      </c>
      <c r="H53">
        <f>SUMIF(Table1[H_A1],Sheet5!A53,Table1[Qty])</f>
        <v>6</v>
      </c>
      <c r="I53" t="str">
        <f>INDEX(Table1[Unit],Table5[[#This Row],[//NOTA]])</f>
        <v>LSN</v>
      </c>
      <c r="J53" s="195">
        <f>SUMIF(Table1[H_A1],Sheet5!A53,Table1[C])</f>
        <v>0</v>
      </c>
      <c r="K53" s="195">
        <f>INDEX(Table1[Unit Price],Table5[[#This Row],[//NOTA]])</f>
        <v>79800</v>
      </c>
      <c r="L53" s="86">
        <f>IF(Table5[[#This Row],[a2]]="","",Table5[[#This Row],[QTY]]*12)</f>
        <v>72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275</v>
      </c>
      <c r="B54" s="88"/>
      <c r="C54" s="88"/>
      <c r="E54" s="194">
        <f>MATCH(A54,Table1[H_A1],0)</f>
        <v>59</v>
      </c>
      <c r="F54" s="194">
        <f>MATCH(Table5[[#This Row],[NAMA]],[1]!db[NB PAJAK],0)</f>
        <v>2182</v>
      </c>
      <c r="G54" t="str">
        <f>INDEX(Table1[Item Description],Table5[[#This Row],[//NOTA]])</f>
        <v>HIGHLIGHTER / STABILLO JOYKO HL-MIX (5 WARNA)</v>
      </c>
      <c r="H54">
        <f>SUMIF(Table1[H_A1],Sheet5!A54,Table1[Qty])</f>
        <v>720</v>
      </c>
      <c r="I54" t="str">
        <f>INDEX(Table1[Unit],Table5[[#This Row],[//NOTA]])</f>
        <v>PCS</v>
      </c>
      <c r="J54" s="195">
        <f>SUMIF(Table1[H_A1],Sheet5!A54,Table1[C])</f>
        <v>1</v>
      </c>
      <c r="K54" s="195">
        <f>INDEX(Table1[Unit Price],Table5[[#This Row],[//NOTA]])</f>
        <v>3700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238</v>
      </c>
      <c r="B55" s="88"/>
      <c r="C55" s="88"/>
      <c r="E55" s="194">
        <f>MATCH(A55,Table1[H_A1],0)</f>
        <v>41</v>
      </c>
      <c r="F55" s="194">
        <f>MATCH(Table5[[#This Row],[NAMA]],[1]!db[NB PAJAK],0)</f>
        <v>1143</v>
      </c>
      <c r="G55" t="str">
        <f>INDEX(Table1[Item Description],Table5[[#This Row],[//NOTA]])</f>
        <v>ISI CUTTER 18 MM KENKO L-150 (BESAR)</v>
      </c>
      <c r="H55">
        <f>SUMIF(Table1[H_A1],Sheet5!A55,Table1[Qty])</f>
        <v>10</v>
      </c>
      <c r="I55" t="str">
        <f>INDEX(Table1[Unit],Table5[[#This Row],[//NOTA]])</f>
        <v>LSN</v>
      </c>
      <c r="J55" s="195">
        <f>SUMIF(Table1[H_A1],Sheet5!A55,Table1[C])</f>
        <v>0</v>
      </c>
      <c r="K55" s="195">
        <f>INDEX(Table1[Unit Price],Table5[[#This Row],[//NOTA]])</f>
        <v>64800</v>
      </c>
      <c r="L55" s="86">
        <f>IF(Table5[[#This Row],[a2]]="","",Table5[[#This Row],[QTY]]*12)</f>
        <v>120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399</v>
      </c>
      <c r="B56" s="88"/>
      <c r="C56" s="88"/>
      <c r="E56" s="194">
        <f>MATCH(A56,Table1[H_A1],0)</f>
        <v>120</v>
      </c>
      <c r="F56" s="194">
        <f>MATCH(Table5[[#This Row],[NAMA]],[1]!db[NB PAJAK],0)</f>
        <v>1142</v>
      </c>
      <c r="G56" t="str">
        <f>INDEX(Table1[Item Description],Table5[[#This Row],[//NOTA]])</f>
        <v>ISI CUTTER 9 MM KENKO A-100 (KECIL)</v>
      </c>
      <c r="H56">
        <f>SUMIF(Table1[H_A1],Sheet5!A56,Table1[Qty])</f>
        <v>120</v>
      </c>
      <c r="I56" t="str">
        <f>INDEX(Table1[Unit],Table5[[#This Row],[//NOTA]])</f>
        <v>LSN</v>
      </c>
      <c r="J56" s="195">
        <f>SUMIF(Table1[H_A1],Sheet5!A56,Table1[C])</f>
        <v>1</v>
      </c>
      <c r="K56" s="195">
        <f>INDEX(Table1[Unit Price],Table5[[#This Row],[//NOTA]])</f>
        <v>32400</v>
      </c>
      <c r="L56" s="86">
        <f>IF(Table5[[#This Row],[a2]]="","",Table5[[#This Row],[QTY]]*12)</f>
        <v>1440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277</v>
      </c>
      <c r="B57" s="88"/>
      <c r="C57" s="88"/>
      <c r="E57" s="194">
        <f>MATCH(A57,Table1[H_A1],0)</f>
        <v>60</v>
      </c>
      <c r="F57" s="194">
        <f>MATCH(Table5[[#This Row],[NAMA]],[1]!db[NB PAJAK],0)</f>
        <v>1778</v>
      </c>
      <c r="G57" t="str">
        <f>INDEX(Table1[Item Description],Table5[[#This Row],[//NOTA]])</f>
        <v>ISI PENSIL 2B 0.5 MM JOYKO PL-05</v>
      </c>
      <c r="H57">
        <f>SUMIF(Table1[H_A1],Sheet5!A57,Table1[Qty])</f>
        <v>60</v>
      </c>
      <c r="I57" t="str">
        <f>INDEX(Table1[Unit],Table5[[#This Row],[//NOTA]])</f>
        <v>GRS</v>
      </c>
      <c r="J57" s="195">
        <f>SUMIF(Table1[H_A1],Sheet5!A57,Table1[C])</f>
        <v>5</v>
      </c>
      <c r="K57" s="195">
        <f>INDEX(Table1[Unit Price],Table5[[#This Row],[//NOTA]])</f>
        <v>176400</v>
      </c>
      <c r="L57" s="86">
        <f>IF(Table5[[#This Row],[a2]]="","",Table5[[#This Row],[QTY]]*12)</f>
        <v>720</v>
      </c>
      <c r="M57" s="86" t="str">
        <f>IF(Table5[[#This Row],[UNIT]]="grs","LSN",IF(Table5[[#This Row],[UNIT]]="LSN","PCS",""))</f>
        <v>LSN</v>
      </c>
      <c r="N57" s="86">
        <f>IF(Table5[[#This Row],[a2]]="LSN",Table5[[#This Row],[a1]]*12,"")</f>
        <v>8640</v>
      </c>
      <c r="O57" s="86" t="str">
        <f>IF(Table5[[#This Row],[b1]]="","","PCS")</f>
        <v>PCS</v>
      </c>
      <c r="P57" s="86"/>
    </row>
    <row r="58" spans="1:16" x14ac:dyDescent="0.25">
      <c r="A58" s="88" t="s">
        <v>389</v>
      </c>
      <c r="B58" s="88"/>
      <c r="C58" s="88"/>
      <c r="E58" s="194">
        <f>MATCH(A58,Table1[H_A1],0)</f>
        <v>110</v>
      </c>
      <c r="F58" s="194">
        <f>MATCH(Table5[[#This Row],[NAMA]],[1]!db[NB PAJAK],0)</f>
        <v>1779</v>
      </c>
      <c r="G58" t="str">
        <f>INDEX(Table1[Item Description],Table5[[#This Row],[//NOTA]])</f>
        <v>ISI PENSIL 2B 2.0 MM JOYKO PL-10</v>
      </c>
      <c r="H58">
        <f>SUMIF(Table1[H_A1],Sheet5!A58,Table1[Qty])</f>
        <v>288</v>
      </c>
      <c r="I58" t="str">
        <f>INDEX(Table1[Unit],Table5[[#This Row],[//NOTA]])</f>
        <v>LSN</v>
      </c>
      <c r="J58" s="195">
        <f>SUMIF(Table1[H_A1],Sheet5!A58,Table1[C])</f>
        <v>2</v>
      </c>
      <c r="K58" s="195">
        <f>INDEX(Table1[Unit Price],Table5[[#This Row],[//NOTA]])</f>
        <v>19800</v>
      </c>
      <c r="L58" s="86">
        <f>IF(Table5[[#This Row],[a2]]="","",Table5[[#This Row],[QTY]]*12)</f>
        <v>3456</v>
      </c>
      <c r="M58" s="86" t="str">
        <f>IF(Table5[[#This Row],[UNIT]]="grs","LSN",IF(Table5[[#This Row],[UNIT]]="LSN","PCS",""))</f>
        <v>PCS</v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390</v>
      </c>
      <c r="B59" s="88"/>
      <c r="C59" s="88"/>
      <c r="E59" s="194">
        <f>MATCH(A59,Table1[H_A1],0)</f>
        <v>111</v>
      </c>
      <c r="F59" s="194">
        <f>MATCH(Table5[[#This Row],[NAMA]],[1]!db[NB PAJAK],0)</f>
        <v>1780</v>
      </c>
      <c r="G59" t="str">
        <f>INDEX(Table1[Item Description],Table5[[#This Row],[//NOTA]])</f>
        <v>ISI PENSIL 2B 2.0 MM JOYKO PL-11</v>
      </c>
      <c r="H59">
        <f>SUMIF(Table1[H_A1],Sheet5!A59,Table1[Qty])</f>
        <v>144</v>
      </c>
      <c r="I59" t="str">
        <f>INDEX(Table1[Unit],Table5[[#This Row],[//NOTA]])</f>
        <v>LSN</v>
      </c>
      <c r="J59" s="195">
        <f>SUMIF(Table1[H_A1],Sheet5!A59,Table1[C])</f>
        <v>2</v>
      </c>
      <c r="K59" s="195">
        <f>INDEX(Table1[Unit Price],Table5[[#This Row],[//NOTA]])</f>
        <v>37200</v>
      </c>
      <c r="L59" s="86">
        <f>IF(Table5[[#This Row],[a2]]="","",Table5[[#This Row],[QTY]]*12)</f>
        <v>1728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145</v>
      </c>
      <c r="B60" s="88"/>
      <c r="C60" s="88"/>
      <c r="E60" s="194">
        <f>MATCH(A60,Table1[H_A1],0)</f>
        <v>11</v>
      </c>
      <c r="F60" s="194">
        <f>MATCH(Table5[[#This Row],[NAMA]],[1]!db[NB PAJAK],0)</f>
        <v>1314</v>
      </c>
      <c r="G60" t="str">
        <f>INDEX(Table1[Item Description],Table5[[#This Row],[//NOTA]])</f>
        <v>ISI STAPLER (STAPLES) KENKO 1210 PREMIUM (23/10)</v>
      </c>
      <c r="H60">
        <f>SUMIF(Table1[H_A1],Sheet5!A60,Table1[Qty])</f>
        <v>600</v>
      </c>
      <c r="I60" t="str">
        <f>INDEX(Table1[Unit],Table5[[#This Row],[//NOTA]])</f>
        <v>BOX</v>
      </c>
      <c r="J60" s="195">
        <f>SUMIF(Table1[H_A1],Sheet5!A60,Table1[C])</f>
        <v>0</v>
      </c>
      <c r="K60" s="195">
        <f>INDEX(Table1[Unit Price],Table5[[#This Row],[//NOTA]])</f>
        <v>4200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183</v>
      </c>
      <c r="B61" s="88"/>
      <c r="C61" s="88"/>
      <c r="E61" s="194">
        <f>MATCH(A61,Table1[H_A1],0)</f>
        <v>22</v>
      </c>
      <c r="F61" s="194">
        <f>MATCH(Table5[[#This Row],[NAMA]],[1]!db[NB PAJAK],0)</f>
        <v>1497</v>
      </c>
      <c r="G61" t="str">
        <f>INDEX(Table1[Item Description],Table5[[#This Row],[//NOTA]])</f>
        <v>JANGKA (MATH SET) JOYKO MS-25</v>
      </c>
      <c r="H61">
        <f>SUMIF(Table1[H_A1],Sheet5!A61,Table1[Qty])</f>
        <v>48</v>
      </c>
      <c r="I61" t="str">
        <f>INDEX(Table1[Unit],Table5[[#This Row],[//NOTA]])</f>
        <v>LSN</v>
      </c>
      <c r="J61" s="195">
        <f>SUMIF(Table1[H_A1],Sheet5!A61,Table1[C])</f>
        <v>2</v>
      </c>
      <c r="K61" s="195">
        <f>INDEX(Table1[Unit Price],Table5[[#This Row],[//NOTA]])</f>
        <v>88200</v>
      </c>
      <c r="L61" s="86">
        <f>IF(Table5[[#This Row],[a2]]="","",Table5[[#This Row],[QTY]]*12)</f>
        <v>576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355</v>
      </c>
      <c r="B62" s="88"/>
      <c r="C62" s="88"/>
      <c r="E62" s="194">
        <f>MATCH(A62,Table1[H_A1],0)</f>
        <v>104</v>
      </c>
      <c r="F62" s="194">
        <f>MATCH(Table5[[#This Row],[NAMA]],[1]!db[NB PAJAK],0)</f>
        <v>1499</v>
      </c>
      <c r="G62" t="str">
        <f>INDEX(Table1[Item Description],Table5[[#This Row],[//NOTA]])</f>
        <v>JANGKA (MATH SET) JOYKO MS-402</v>
      </c>
      <c r="H62">
        <f>SUMIF(Table1[H_A1],Sheet5!A62,Table1[Qty])</f>
        <v>288</v>
      </c>
      <c r="I62" t="str">
        <f>INDEX(Table1[Unit],Table5[[#This Row],[//NOTA]])</f>
        <v>PCS</v>
      </c>
      <c r="J62" s="195">
        <f>SUMIF(Table1[H_A1],Sheet5!A62,Table1[C])</f>
        <v>1</v>
      </c>
      <c r="K62" s="195">
        <f>INDEX(Table1[Unit Price],Table5[[#This Row],[//NOTA]])</f>
        <v>12000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169</v>
      </c>
      <c r="B63" s="88"/>
      <c r="C63" s="88"/>
      <c r="E63" s="194">
        <f>MATCH(A63,Table1[H_A1],0)</f>
        <v>19</v>
      </c>
      <c r="F63" s="194">
        <f>MATCH(Table5[[#This Row],[NAMA]],[1]!db[NB PAJAK],0)</f>
        <v>1501</v>
      </c>
      <c r="G63" t="str">
        <f>INDEX(Table1[Item Description],Table5[[#This Row],[//NOTA]])</f>
        <v>JANGKA (MATH SET) JOYKO MS-55</v>
      </c>
      <c r="H63">
        <f>SUMIF(Table1[H_A1],Sheet5!A63,Table1[Qty])</f>
        <v>92</v>
      </c>
      <c r="I63" t="str">
        <f>INDEX(Table1[Unit],Table5[[#This Row],[//NOTA]])</f>
        <v>LSN</v>
      </c>
      <c r="J63" s="195">
        <f>SUMIF(Table1[H_A1],Sheet5!A63,Table1[C])</f>
        <v>3</v>
      </c>
      <c r="K63" s="195">
        <f>INDEX(Table1[Unit Price],Table5[[#This Row],[//NOTA]])</f>
        <v>88200</v>
      </c>
      <c r="L63" s="86">
        <f>IF(Table5[[#This Row],[a2]]="","",Table5[[#This Row],[QTY]]*12)</f>
        <v>1104</v>
      </c>
      <c r="M63" s="86" t="str">
        <f>IF(Table5[[#This Row],[UNIT]]="grs","LSN",IF(Table5[[#This Row],[UNIT]]="LSN","PCS",""))</f>
        <v>PCS</v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391</v>
      </c>
      <c r="B64" s="88"/>
      <c r="C64" s="88"/>
      <c r="E64" s="194">
        <f>MATCH(A64,Table1[H_A1],0)</f>
        <v>106</v>
      </c>
      <c r="F64" s="194">
        <f>MATCH(Table5[[#This Row],[NAMA]],[1]!db[NB PAJAK],0)</f>
        <v>1502</v>
      </c>
      <c r="G64" t="str">
        <f>INDEX(Table1[Item Description],Table5[[#This Row],[//NOTA]])</f>
        <v>JANGKA (MATH SET) JOYKO MS-75</v>
      </c>
      <c r="H64">
        <f>SUMIF(Table1[H_A1],Sheet5!A64,Table1[Qty])</f>
        <v>24</v>
      </c>
      <c r="I64" t="str">
        <f>INDEX(Table1[Unit],Table5[[#This Row],[//NOTA]])</f>
        <v>LSN</v>
      </c>
      <c r="J64" s="195">
        <f>SUMIF(Table1[H_A1],Sheet5!A64,Table1[C])</f>
        <v>1</v>
      </c>
      <c r="K64" s="195">
        <f>INDEX(Table1[Unit Price],Table5[[#This Row],[//NOTA]])</f>
        <v>89400</v>
      </c>
      <c r="L64" s="86">
        <f>IF(Table5[[#This Row],[a2]]="","",Table5[[#This Row],[QTY]]*12)</f>
        <v>288</v>
      </c>
      <c r="M64" s="86" t="str">
        <f>IF(Table5[[#This Row],[UNIT]]="grs","LSN",IF(Table5[[#This Row],[UNIT]]="LSN","PCS",""))</f>
        <v>PCS</v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493</v>
      </c>
      <c r="B65" s="88"/>
      <c r="C65" s="88"/>
      <c r="E65" s="194">
        <f>MATCH(A65,Table1[H_A1],0)</f>
        <v>179</v>
      </c>
      <c r="F65" s="194">
        <f>MATCH(Table5[[#This Row],[NAMA]],[1]!db[NB PAJAK],0)</f>
        <v>1016</v>
      </c>
      <c r="G65" t="str">
        <f>INDEX(Table1[Item Description],Table5[[#This Row],[//NOTA]])</f>
        <v>KARTU STOCK FOLIO PUTIH</v>
      </c>
      <c r="H65">
        <f>SUMIF(Table1[H_A1],Sheet5!A65,Table1[Qty])</f>
        <v>5</v>
      </c>
      <c r="I65" t="str">
        <f>INDEX(Table1[Unit],Table5[[#This Row],[//NOTA]])</f>
        <v>PAK</v>
      </c>
      <c r="J65" s="195">
        <f>SUMIF(Table1[H_A1],Sheet5!A65,Table1[C])</f>
        <v>0</v>
      </c>
      <c r="K65" s="195">
        <f>INDEX(Table1[Unit Price],Table5[[#This Row],[//NOTA]])</f>
        <v>37500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502</v>
      </c>
      <c r="B66" s="88"/>
      <c r="C66" s="88"/>
      <c r="E66" s="194">
        <f>MATCH(A66,Table1[H_A1],0)</f>
        <v>182</v>
      </c>
      <c r="F66" s="194">
        <f>MATCH(Table5[[#This Row],[NAMA]],[1]!db[NB PAJAK],0)</f>
        <v>1017</v>
      </c>
      <c r="G66" t="str">
        <f>INDEX(Table1[Item Description],Table5[[#This Row],[//NOTA]])</f>
        <v>KARTU STOCK KWARTO PUTIH</v>
      </c>
      <c r="H66">
        <f>SUMIF(Table1[H_A1],Sheet5!A66,Table1[Qty])</f>
        <v>10</v>
      </c>
      <c r="I66" t="str">
        <f>INDEX(Table1[Unit],Table5[[#This Row],[//NOTA]])</f>
        <v>PAK</v>
      </c>
      <c r="J66" s="195">
        <f>SUMIF(Table1[H_A1],Sheet5!A66,Table1[C])</f>
        <v>0</v>
      </c>
      <c r="K66" s="195">
        <f>INDEX(Table1[Unit Price],Table5[[#This Row],[//NOTA]])</f>
        <v>18500</v>
      </c>
      <c r="L66" s="86" t="str">
        <f>IF(Table5[[#This Row],[a2]]="","",Table5[[#This Row],[QTY]]*12)</f>
        <v/>
      </c>
      <c r="M66" s="86" t="str">
        <f>IF(Table5[[#This Row],[UNIT]]="grs","LSN",IF(Table5[[#This Row],[UNIT]]="LSN","PCS",""))</f>
        <v/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364</v>
      </c>
      <c r="B67" s="88"/>
      <c r="C67" s="88"/>
      <c r="E67" s="194">
        <f>MATCH(A67,Table1[H_A1],0)</f>
        <v>91</v>
      </c>
      <c r="F67" s="194">
        <f>MATCH(Table5[[#This Row],[NAMA]],[1]!db[NB PAJAK],0)</f>
        <v>307</v>
      </c>
      <c r="G67" t="str">
        <f>INDEX(Table1[Item Description],Table5[[#This Row],[//NOTA]])</f>
        <v>KUAS SET JOYKO BR-1</v>
      </c>
      <c r="H67">
        <f>SUMIF(Table1[H_A1],Sheet5!A67,Table1[Qty])</f>
        <v>480</v>
      </c>
      <c r="I67" t="str">
        <f>INDEX(Table1[Unit],Table5[[#This Row],[//NOTA]])</f>
        <v>SET</v>
      </c>
      <c r="J67" s="195">
        <f>SUMIF(Table1[H_A1],Sheet5!A67,Table1[C])</f>
        <v>2</v>
      </c>
      <c r="K67" s="195">
        <f>INDEX(Table1[Unit Price],Table5[[#This Row],[//NOTA]])</f>
        <v>8800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170</v>
      </c>
      <c r="B68" s="88"/>
      <c r="C68" s="88"/>
      <c r="E68" s="194">
        <f>MATCH(A68,Table1[H_A1],0)</f>
        <v>13</v>
      </c>
      <c r="F68" s="194">
        <f>MATCH(Table5[[#This Row],[NAMA]],[1]!db[NB PAJAK],0)</f>
        <v>1361</v>
      </c>
      <c r="G68" t="str">
        <f>INDEX(Table1[Item Description],Table5[[#This Row],[//NOTA]])</f>
        <v>LABEL HARGA JOYKO LB-2RL (1 LINE PUTIH)</v>
      </c>
      <c r="H68">
        <f>SUMIF(Table1[H_A1],Sheet5!A68,Table1[Qty])</f>
        <v>2000</v>
      </c>
      <c r="I68" t="str">
        <f>INDEX(Table1[Unit],Table5[[#This Row],[//NOTA]])</f>
        <v>PCS</v>
      </c>
      <c r="J68" s="195">
        <f>SUMIF(Table1[H_A1],Sheet5!A68,Table1[C])</f>
        <v>2</v>
      </c>
      <c r="K68" s="195">
        <f>INDEX(Table1[Unit Price],Table5[[#This Row],[//NOTA]])</f>
        <v>2050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276</v>
      </c>
      <c r="B69" s="88"/>
      <c r="C69" s="88"/>
      <c r="E69" s="194">
        <f>MATCH(A69,Table1[H_A1],0)</f>
        <v>64</v>
      </c>
      <c r="F69" s="194">
        <f>MATCH(Table5[[#This Row],[NAMA]],[1]!db[NB PAJAK],0)</f>
        <v>1361</v>
      </c>
      <c r="G69" t="str">
        <f>INDEX(Table1[Item Description],Table5[[#This Row],[//NOTA]])</f>
        <v>LABEL HARGA JOYKO LB-2RL (1 LINE PUTIH)</v>
      </c>
      <c r="H69">
        <f>SUMIF(Table1[H_A1],Sheet5!A69,Table1[Qty])</f>
        <v>100</v>
      </c>
      <c r="I69" t="str">
        <f>INDEX(Table1[Unit],Table5[[#This Row],[//NOTA]])</f>
        <v>SLOP</v>
      </c>
      <c r="J69" s="195">
        <f>SUMIF(Table1[H_A1],Sheet5!A69,Table1[C])</f>
        <v>1</v>
      </c>
      <c r="K69" s="195">
        <f>INDEX(Table1[Unit Price],Table5[[#This Row],[//NOTA]])</f>
        <v>20500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254</v>
      </c>
      <c r="B70" s="88"/>
      <c r="C70" s="88"/>
      <c r="E70" s="194">
        <f>MATCH(A70,Table1[H_A1],0)</f>
        <v>56</v>
      </c>
      <c r="F70" s="194">
        <f>MATCH(Table5[[#This Row],[NAMA]],[1]!db[NB PAJAK],0)</f>
        <v>1224</v>
      </c>
      <c r="G70" t="str">
        <f>INDEX(Table1[Item Description],Table5[[#This Row],[//NOTA]])</f>
        <v>LEM CAIR 35 ML KENKO LG-35</v>
      </c>
      <c r="H70">
        <f>SUMIF(Table1[H_A1],Sheet5!A70,Table1[Qty])</f>
        <v>40</v>
      </c>
      <c r="I70" t="str">
        <f>INDEX(Table1[Unit],Table5[[#This Row],[//NOTA]])</f>
        <v>LSN</v>
      </c>
      <c r="J70" s="195">
        <f>SUMIF(Table1[H_A1],Sheet5!A70,Table1[C])</f>
        <v>1</v>
      </c>
      <c r="K70" s="195">
        <f>INDEX(Table1[Unit Price],Table5[[#This Row],[//NOTA]])</f>
        <v>19800</v>
      </c>
      <c r="L70" s="86">
        <f>IF(Table5[[#This Row],[a2]]="","",Table5[[#This Row],[QTY]]*12)</f>
        <v>480</v>
      </c>
      <c r="M70" s="86" t="str">
        <f>IF(Table5[[#This Row],[UNIT]]="grs","LSN",IF(Table5[[#This Row],[UNIT]]="LSN","PCS",""))</f>
        <v>PCS</v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392</v>
      </c>
      <c r="B71" s="88"/>
      <c r="C71" s="88"/>
      <c r="E71" s="194">
        <f>MATCH(A71,Table1[H_A1],0)</f>
        <v>107</v>
      </c>
      <c r="F71" s="194">
        <f>MATCH(Table5[[#This Row],[NAMA]],[1]!db[NB PAJAK],0)</f>
        <v>937</v>
      </c>
      <c r="G71" t="str">
        <f>INDEX(Table1[Item Description],Table5[[#This Row],[//NOTA]])</f>
        <v>LEM STICK JOYKO 15 GR GS-104 TG (ANIMAL KINGDOM) isi 24 pc</v>
      </c>
      <c r="H71">
        <f>SUMIF(Table1[H_A1],Sheet5!A71,Table1[Qty])</f>
        <v>4320</v>
      </c>
      <c r="I71" t="str">
        <f>INDEX(Table1[Unit],Table5[[#This Row],[//NOTA]])</f>
        <v>PCS</v>
      </c>
      <c r="J71" s="195">
        <f>SUMIF(Table1[H_A1],Sheet5!A71,Table1[C])</f>
        <v>5</v>
      </c>
      <c r="K71" s="195">
        <f>INDEX(Table1[Unit Price],Table5[[#This Row],[//NOTA]])</f>
        <v>2450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393</v>
      </c>
      <c r="B72" s="88"/>
      <c r="C72" s="88"/>
      <c r="E72" s="194">
        <f>MATCH(A72,Table1[H_A1],0)</f>
        <v>108</v>
      </c>
      <c r="F72" s="194">
        <f>MATCH(Table5[[#This Row],[NAMA]],[1]!db[NB PAJAK],0)</f>
        <v>933</v>
      </c>
      <c r="G72" t="str">
        <f>INDEX(Table1[Item Description],Table5[[#This Row],[//NOTA]])</f>
        <v>LEM STICK JOYKO 8 GR GS-09 isi 12 pc</v>
      </c>
      <c r="H72">
        <f>SUMIF(Table1[H_A1],Sheet5!A72,Table1[Qty])</f>
        <v>768</v>
      </c>
      <c r="I72" t="str">
        <f>INDEX(Table1[Unit],Table5[[#This Row],[//NOTA]])</f>
        <v>PCS</v>
      </c>
      <c r="J72" s="195">
        <f>SUMIF(Table1[H_A1],Sheet5!A72,Table1[C])</f>
        <v>1</v>
      </c>
      <c r="K72" s="195">
        <f>INDEX(Table1[Unit Price],Table5[[#This Row],[//NOTA]])</f>
        <v>2100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295</v>
      </c>
      <c r="B73" s="88"/>
      <c r="C73" s="88"/>
      <c r="E73" s="194">
        <f>MATCH(A73,Table1[H_A1],0)</f>
        <v>73</v>
      </c>
      <c r="F73" s="194">
        <f>MATCH(Table5[[#This Row],[NAMA]],[1]!db[NB PAJAK],0)</f>
        <v>1200</v>
      </c>
      <c r="G73" t="str">
        <f>INDEX(Table1[Item Description],Table5[[#This Row],[//NOTA]])</f>
        <v>LEM STICK KENKO 15 GR (TANGGUNG) isi 20 pc</v>
      </c>
      <c r="H73">
        <f>SUMIF(Table1[H_A1],Sheet5!A73,Table1[Qty])</f>
        <v>39</v>
      </c>
      <c r="I73" t="str">
        <f>INDEX(Table1[Unit],Table5[[#This Row],[//NOTA]])</f>
        <v>BOX</v>
      </c>
      <c r="J73" s="195">
        <f>SUMIF(Table1[H_A1],Sheet5!A73,Table1[C])</f>
        <v>1</v>
      </c>
      <c r="K73" s="195">
        <f>INDEX(Table1[Unit Price],Table5[[#This Row],[//NOTA]])</f>
        <v>72000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296</v>
      </c>
      <c r="B74" s="88"/>
      <c r="C74" s="88"/>
      <c r="E74" s="194">
        <f>MATCH(A74,Table1[H_A1],0)</f>
        <v>72</v>
      </c>
      <c r="F74" s="194">
        <f>MATCH(Table5[[#This Row],[NAMA]],[1]!db[NB PAJAK],0)</f>
        <v>1202</v>
      </c>
      <c r="G74" t="str">
        <f>INDEX(Table1[Item Description],Table5[[#This Row],[//NOTA]])</f>
        <v>LEM STICK KENKO 8 GR (KECIL) isi 30 pc</v>
      </c>
      <c r="H74">
        <f>SUMIF(Table1[H_A1],Sheet5!A74,Table1[Qty])</f>
        <v>52</v>
      </c>
      <c r="I74" t="str">
        <f>INDEX(Table1[Unit],Table5[[#This Row],[//NOTA]])</f>
        <v>BOX</v>
      </c>
      <c r="J74" s="195">
        <f>SUMIF(Table1[H_A1],Sheet5!A74,Table1[C])</f>
        <v>1</v>
      </c>
      <c r="K74" s="195">
        <f>INDEX(Table1[Unit Price],Table5[[#This Row],[//NOTA]])</f>
        <v>66000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471</v>
      </c>
      <c r="B75" s="88"/>
      <c r="C75" s="88"/>
      <c r="E75" s="194">
        <f>MATCH(A75,Table1[H_A1],0)</f>
        <v>159</v>
      </c>
      <c r="F75" s="194">
        <f>MATCH(Table5[[#This Row],[NAMA]],[1]!db[NB PAJAK],0)</f>
        <v>2184</v>
      </c>
      <c r="G75" t="str">
        <f>INDEX(Table1[Item Description],Table5[[#This Row],[//NOTA]])</f>
        <v>LOOSE LEAF JOYART B5-2670 (50S)</v>
      </c>
      <c r="H75">
        <f>SUMIF(Table1[H_A1],Sheet5!A75,Table1[Qty])</f>
        <v>25</v>
      </c>
      <c r="I75" t="str">
        <f>INDEX(Table1[Unit],Table5[[#This Row],[//NOTA]])</f>
        <v>PAK</v>
      </c>
      <c r="J75" s="195">
        <f>SUMIF(Table1[H_A1],Sheet5!A75,Table1[C])</f>
        <v>0</v>
      </c>
      <c r="K75" s="195">
        <f>INDEX(Table1[Unit Price],Table5[[#This Row],[//NOTA]])</f>
        <v>5700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394</v>
      </c>
      <c r="B76" s="88"/>
      <c r="C76" s="88"/>
      <c r="E76" s="194">
        <f>MATCH(A76,Table1[H_A1],0)</f>
        <v>115</v>
      </c>
      <c r="F76" s="194">
        <f>MATCH(Table5[[#This Row],[NAMA]],[1]!db[NB PAJAK],0)</f>
        <v>1367</v>
      </c>
      <c r="G76" t="str">
        <f>INDEX(Table1[Item Description],Table5[[#This Row],[//NOTA]])</f>
        <v>MESIN LABEL HARGA JOYKO MX-5500M (8 DIGITS, 1 LINE)</v>
      </c>
      <c r="H76">
        <f>SUMIF(Table1[H_A1],Sheet5!A76,Table1[Qty])</f>
        <v>40</v>
      </c>
      <c r="I76" t="str">
        <f>INDEX(Table1[Unit],Table5[[#This Row],[//NOTA]])</f>
        <v>PCS</v>
      </c>
      <c r="J76" s="195">
        <f>SUMIF(Table1[H_A1],Sheet5!A76,Table1[C])</f>
        <v>2</v>
      </c>
      <c r="K76" s="195">
        <f>INDEX(Table1[Unit Price],Table5[[#This Row],[//NOTA]])</f>
        <v>40500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171</v>
      </c>
      <c r="B77" s="88"/>
      <c r="C77" s="88"/>
      <c r="E77" s="194">
        <f>MATCH(A77,Table1[H_A1],0)</f>
        <v>17</v>
      </c>
      <c r="F77" s="194">
        <f>MATCH(Table5[[#This Row],[NAMA]],[1]!db[NB PAJAK],0)</f>
        <v>1268</v>
      </c>
      <c r="G77" t="str">
        <f>INDEX(Table1[Item Description],Table5[[#This Row],[//NOTA]])</f>
        <v>MESIN LABEL HARGA KENKO MX-5500 (8 DIGITS, 1 LINE)</v>
      </c>
      <c r="H77">
        <f>SUMIF(Table1[H_A1],Sheet5!A77,Table1[Qty])</f>
        <v>15</v>
      </c>
      <c r="I77" t="str">
        <f>INDEX(Table1[Unit],Table5[[#This Row],[//NOTA]])</f>
        <v>PCS</v>
      </c>
      <c r="J77" s="195">
        <f>SUMIF(Table1[H_A1],Sheet5!A77,Table1[C])</f>
        <v>0</v>
      </c>
      <c r="K77" s="195">
        <f>INDEX(Table1[Unit Price],Table5[[#This Row],[//NOTA]])</f>
        <v>45000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198</v>
      </c>
      <c r="B78" s="88"/>
      <c r="C78" s="88"/>
      <c r="E78" s="194">
        <f>MATCH(A78,Table1[H_A1],0)</f>
        <v>28</v>
      </c>
      <c r="F78" s="194">
        <f>MATCH(Table5[[#This Row],[NAMA]],[1]!db[NB PAJAK],0)</f>
        <v>1643</v>
      </c>
      <c r="G78" t="str">
        <f>INDEX(Table1[Item Description],Table5[[#This Row],[//NOTA]])</f>
        <v>PAPER CLIP WARNA JOYKO C-3100</v>
      </c>
      <c r="H78">
        <f>SUMIF(Table1[H_A1],Sheet5!A78,Table1[Qty])</f>
        <v>24</v>
      </c>
      <c r="I78" t="str">
        <f>INDEX(Table1[Unit],Table5[[#This Row],[//NOTA]])</f>
        <v>LSN</v>
      </c>
      <c r="J78" s="195">
        <f>SUMIF(Table1[H_A1],Sheet5!A78,Table1[C])</f>
        <v>1</v>
      </c>
      <c r="K78" s="195">
        <f>INDEX(Table1[Unit Price],Table5[[#This Row],[//NOTA]])</f>
        <v>37200</v>
      </c>
      <c r="L78" s="86">
        <f>IF(Table5[[#This Row],[a2]]="","",Table5[[#This Row],[QTY]]*12)</f>
        <v>288</v>
      </c>
      <c r="M78" s="86" t="str">
        <f>IF(Table5[[#This Row],[UNIT]]="grs","LSN",IF(Table5[[#This Row],[UNIT]]="LSN","PCS",""))</f>
        <v>PCS</v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472</v>
      </c>
      <c r="B79" s="88"/>
      <c r="C79" s="88"/>
      <c r="E79" s="194">
        <f>MATCH(A79,Table1[H_A1],0)</f>
        <v>162</v>
      </c>
      <c r="F79" s="194">
        <f>MATCH(Table5[[#This Row],[NAMA]],[1]!db[NB PAJAK],0)</f>
        <v>1100</v>
      </c>
      <c r="G79" t="str">
        <f>INDEX(Table1[Item Description],Table5[[#This Row],[//NOTA]])</f>
        <v>PAPER CLIP WARNA KENKO 3100</v>
      </c>
      <c r="H79">
        <f>SUMIF(Table1[H_A1],Sheet5!A79,Table1[Qty])</f>
        <v>1</v>
      </c>
      <c r="I79" t="str">
        <f>INDEX(Table1[Unit],Table5[[#This Row],[//NOTA]])</f>
        <v>LSN</v>
      </c>
      <c r="J79" s="195">
        <f>SUMIF(Table1[H_A1],Sheet5!A79,Table1[C])</f>
        <v>0</v>
      </c>
      <c r="K79" s="195">
        <f>INDEX(Table1[Unit Price],Table5[[#This Row],[//NOTA]])</f>
        <v>41400</v>
      </c>
      <c r="L79" s="86">
        <f>IF(Table5[[#This Row],[a2]]="","",Table5[[#This Row],[QTY]]*12)</f>
        <v>12</v>
      </c>
      <c r="M79" s="86" t="str">
        <f>IF(Table5[[#This Row],[UNIT]]="grs","LSN",IF(Table5[[#This Row],[UNIT]]="LSN","PCS",""))</f>
        <v>PCS</v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505</v>
      </c>
      <c r="B80" s="88"/>
      <c r="C80" s="88"/>
      <c r="E80" s="194">
        <f>MATCH(A80,Table1[H_A1],0)</f>
        <v>191</v>
      </c>
      <c r="F80" s="194">
        <f>MATCH(Table5[[#This Row],[NAMA]],[1]!db[NB PAJAK],0)</f>
        <v>1222</v>
      </c>
      <c r="G80" t="str">
        <f>INDEX(Table1[Item Description],Table5[[#This Row],[//NOTA]])</f>
        <v>PAPER JUMBO CLIP KENKO NO. 5</v>
      </c>
      <c r="H80">
        <f>SUMIF(Table1[H_A1],Sheet5!A80,Table1[Qty])</f>
        <v>200</v>
      </c>
      <c r="I80" t="str">
        <f>INDEX(Table1[Unit],Table5[[#This Row],[//NOTA]])</f>
        <v>PAK</v>
      </c>
      <c r="J80" s="195">
        <f>SUMIF(Table1[H_A1],Sheet5!A80,Table1[C])</f>
        <v>1</v>
      </c>
      <c r="K80" s="195">
        <f>INDEX(Table1[Unit Price],Table5[[#This Row],[//NOTA]])</f>
        <v>4300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320</v>
      </c>
      <c r="B81" s="88"/>
      <c r="C81" s="88"/>
      <c r="E81" s="194">
        <f>MATCH(A81,Table1[H_A1],0)</f>
        <v>89</v>
      </c>
      <c r="F81" s="194">
        <f>MATCH(Table5[[#This Row],[NAMA]],[1]!db[NB PAJAK],0)</f>
        <v>1222</v>
      </c>
      <c r="G81" t="str">
        <f>INDEX(Table1[Item Description],Table5[[#This Row],[//NOTA]])</f>
        <v>PAPER JUMBO CLIP KENKO NO. 5</v>
      </c>
      <c r="H81">
        <f>SUMIF(Table1[H_A1],Sheet5!A81,Table1[Qty])</f>
        <v>20</v>
      </c>
      <c r="I81" t="str">
        <f>INDEX(Table1[Unit],Table5[[#This Row],[//NOTA]])</f>
        <v>PAK</v>
      </c>
      <c r="J81" s="195">
        <f>SUMIF(Table1[H_A1],Sheet5!A81,Table1[C])</f>
        <v>1</v>
      </c>
      <c r="K81" s="195">
        <f>INDEX(Table1[Unit Price],Table5[[#This Row],[//NOTA]])</f>
        <v>43000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297</v>
      </c>
      <c r="B82" s="88"/>
      <c r="C82" s="88"/>
      <c r="E82" s="194">
        <f>MATCH(A82,Table1[H_A1],0)</f>
        <v>71</v>
      </c>
      <c r="F82" s="194">
        <f>MATCH(Table5[[#This Row],[NAMA]],[1]!db[NB PAJAK],0)</f>
        <v>1222</v>
      </c>
      <c r="G82" t="str">
        <f>INDEX(Table1[Item Description],Table5[[#This Row],[//NOTA]])</f>
        <v>PAPER JUMBO CLIP KENKO NO. 5</v>
      </c>
      <c r="H82">
        <f>SUMIF(Table1[H_A1],Sheet5!A82,Table1[Qty])</f>
        <v>400</v>
      </c>
      <c r="I82" t="str">
        <f>INDEX(Table1[Unit],Table5[[#This Row],[//NOTA]])</f>
        <v>PCS</v>
      </c>
      <c r="J82" s="195">
        <f>SUMIF(Table1[H_A1],Sheet5!A82,Table1[C])</f>
        <v>2</v>
      </c>
      <c r="K82" s="195">
        <f>INDEX(Table1[Unit Price],Table5[[#This Row],[//NOTA]])</f>
        <v>4300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486</v>
      </c>
      <c r="B83" s="88"/>
      <c r="C83" s="88"/>
      <c r="E83" s="194">
        <f>MATCH(A83,Table1[H_A1],0)</f>
        <v>175</v>
      </c>
      <c r="F83" s="194">
        <f>MATCH(Table5[[#This Row],[NAMA]],[1]!db[NB PAJAK],0)</f>
        <v>1325</v>
      </c>
      <c r="G83" t="str">
        <f>INDEX(Table1[Item Description],Table5[[#This Row],[//NOTA]])</f>
        <v>PAPER TRIGONAL CLIP KENKO NO. 1</v>
      </c>
      <c r="H83">
        <f>SUMIF(Table1[H_A1],Sheet5!A83,Table1[Qty])</f>
        <v>500</v>
      </c>
      <c r="I83" t="str">
        <f>INDEX(Table1[Unit],Table5[[#This Row],[//NOTA]])</f>
        <v>PAK</v>
      </c>
      <c r="J83" s="195">
        <f>SUMIF(Table1[H_A1],Sheet5!A83,Table1[C])</f>
        <v>1</v>
      </c>
      <c r="K83" s="195">
        <f>INDEX(Table1[Unit Price],Table5[[#This Row],[//NOTA]])</f>
        <v>1700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298</v>
      </c>
      <c r="B84" s="88"/>
      <c r="C84" s="88"/>
      <c r="E84" s="194">
        <f>MATCH(A84,Table1[H_A1],0)</f>
        <v>69</v>
      </c>
      <c r="F84" s="194">
        <f>MATCH(Table5[[#This Row],[NAMA]],[1]!db[NB PAJAK],0)</f>
        <v>1325</v>
      </c>
      <c r="G84" t="str">
        <f>INDEX(Table1[Item Description],Table5[[#This Row],[//NOTA]])</f>
        <v>PAPER TRIGONAL CLIP KENKO NO. 1</v>
      </c>
      <c r="H84">
        <f>SUMIF(Table1[H_A1],Sheet5!A84,Table1[Qty])</f>
        <v>1000</v>
      </c>
      <c r="I84" t="str">
        <f>INDEX(Table1[Unit],Table5[[#This Row],[//NOTA]])</f>
        <v>PCS</v>
      </c>
      <c r="J84" s="195">
        <f>SUMIF(Table1[H_A1],Sheet5!A84,Table1[C])</f>
        <v>2</v>
      </c>
      <c r="K84" s="195">
        <f>INDEX(Table1[Unit Price],Table5[[#This Row],[//NOTA]])</f>
        <v>1700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299</v>
      </c>
      <c r="B85" s="88"/>
      <c r="C85" s="88"/>
      <c r="E85" s="194">
        <f>MATCH(A85,Table1[H_A1],0)</f>
        <v>70</v>
      </c>
      <c r="F85" s="194">
        <f>MATCH(Table5[[#This Row],[NAMA]],[1]!db[NB PAJAK],0)</f>
        <v>1324</v>
      </c>
      <c r="G85" t="str">
        <f>INDEX(Table1[Item Description],Table5[[#This Row],[//NOTA]])</f>
        <v>PAPER TRIGONAL CLIP KENKO NO. 3</v>
      </c>
      <c r="H85">
        <f>SUMIF(Table1[H_A1],Sheet5!A85,Table1[Qty])</f>
        <v>1000</v>
      </c>
      <c r="I85" t="str">
        <f>INDEX(Table1[Unit],Table5[[#This Row],[//NOTA]])</f>
        <v>PCS</v>
      </c>
      <c r="J85" s="195">
        <f>SUMIF(Table1[H_A1],Sheet5!A85,Table1[C])</f>
        <v>2</v>
      </c>
      <c r="K85" s="195">
        <f>INDEX(Table1[Unit Price],Table5[[#This Row],[//NOTA]])</f>
        <v>1600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356</v>
      </c>
      <c r="B86" s="88"/>
      <c r="C86" s="88"/>
      <c r="E86" s="194">
        <f>MATCH(A86,Table1[H_A1],0)</f>
        <v>96</v>
      </c>
      <c r="F86" s="194" t="e">
        <f>MATCH(Table5[[#This Row],[NAMA]],[1]!db[NB PAJAK],0)</f>
        <v>#N/A</v>
      </c>
      <c r="G86" t="str">
        <f>INDEX(Table1[Item Description],Table5[[#This Row],[//NOTA]])</f>
        <v>PENCIL CASE JOYKO PC-0719 FANCY MIX</v>
      </c>
      <c r="H86">
        <f>SUMIF(Table1[H_A1],Sheet5!A86,Table1[Qty])</f>
        <v>864</v>
      </c>
      <c r="I86" t="str">
        <f>INDEX(Table1[Unit],Table5[[#This Row],[//NOTA]])</f>
        <v>PCS</v>
      </c>
      <c r="J86" s="195">
        <f>SUMIF(Table1[H_A1],Sheet5!A86,Table1[C])</f>
        <v>3</v>
      </c>
      <c r="K86" s="195">
        <f>INDEX(Table1[Unit Price],Table5[[#This Row],[//NOTA]])</f>
        <v>4800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357</v>
      </c>
      <c r="B87" s="88"/>
      <c r="C87" s="88"/>
      <c r="E87" s="194">
        <f>MATCH(A87,Table1[H_A1],0)</f>
        <v>97</v>
      </c>
      <c r="F87" s="194" t="e">
        <f>MATCH(Table5[[#This Row],[NAMA]],[1]!db[NB PAJAK],0)</f>
        <v>#N/A</v>
      </c>
      <c r="G87" t="str">
        <f>INDEX(Table1[Item Description],Table5[[#This Row],[//NOTA]])</f>
        <v>PENCIL CASE JOYKO PC-0719 PASTEL POLOS MIX</v>
      </c>
      <c r="H87">
        <f>SUMIF(Table1[H_A1],Sheet5!A87,Table1[Qty])</f>
        <v>576</v>
      </c>
      <c r="I87" t="str">
        <f>INDEX(Table1[Unit],Table5[[#This Row],[//NOTA]])</f>
        <v>PCS</v>
      </c>
      <c r="J87" s="195">
        <f>SUMIF(Table1[H_A1],Sheet5!A87,Table1[C])</f>
        <v>2</v>
      </c>
      <c r="K87" s="195">
        <f>INDEX(Table1[Unit Price],Table5[[#This Row],[//NOTA]])</f>
        <v>4800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358</v>
      </c>
      <c r="B88" s="88"/>
      <c r="C88" s="88"/>
      <c r="E88" s="194">
        <f>MATCH(A88,Table1[H_A1],0)</f>
        <v>95</v>
      </c>
      <c r="F88" s="194">
        <f>MATCH(Table5[[#This Row],[NAMA]],[1]!db[NB PAJAK],0)</f>
        <v>1783</v>
      </c>
      <c r="G88" t="str">
        <f>INDEX(Table1[Item Description],Table5[[#This Row],[//NOTA]])</f>
        <v>PENSIL JOYKO 2B P-88</v>
      </c>
      <c r="H88">
        <f>SUMIF(Table1[H_A1],Sheet5!A88,Table1[Qty])</f>
        <v>300</v>
      </c>
      <c r="I88" t="str">
        <f>INDEX(Table1[Unit],Table5[[#This Row],[//NOTA]])</f>
        <v>GRS</v>
      </c>
      <c r="J88" s="195">
        <f>SUMIF(Table1[H_A1],Sheet5!A88,Table1[C])</f>
        <v>10</v>
      </c>
      <c r="K88" s="195">
        <f>INDEX(Table1[Unit Price],Table5[[#This Row],[//NOTA]])</f>
        <v>104400</v>
      </c>
      <c r="L88" s="86">
        <f>IF(Table5[[#This Row],[a2]]="","",Table5[[#This Row],[QTY]]*12)</f>
        <v>3600</v>
      </c>
      <c r="M88" s="86" t="str">
        <f>IF(Table5[[#This Row],[UNIT]]="grs","LSN",IF(Table5[[#This Row],[UNIT]]="LSN","PCS",""))</f>
        <v>LSN</v>
      </c>
      <c r="N88" s="86">
        <f>IF(Table5[[#This Row],[a2]]="LSN",Table5[[#This Row],[a1]]*12,"")</f>
        <v>43200</v>
      </c>
      <c r="O88" s="86" t="str">
        <f>IF(Table5[[#This Row],[b1]]="","","PCS")</f>
        <v>PCS</v>
      </c>
      <c r="P88" s="86"/>
    </row>
    <row r="89" spans="1:16" x14ac:dyDescent="0.25">
      <c r="A89" s="88" t="s">
        <v>434</v>
      </c>
      <c r="B89" s="88"/>
      <c r="C89" s="88"/>
      <c r="E89" s="194">
        <f>MATCH(A89,Table1[H_A1],0)</f>
        <v>135</v>
      </c>
      <c r="F89" s="194">
        <f>MATCH(Table5[[#This Row],[NAMA]],[1]!db[NB PAJAK],0)</f>
        <v>1248</v>
      </c>
      <c r="G89" t="str">
        <f>INDEX(Table1[Item Description],Table5[[#This Row],[//NOTA]])</f>
        <v>PENSIL KENKO 2B-6019 ANTIBACTERIAL</v>
      </c>
      <c r="H89">
        <f>SUMIF(Table1[H_A1],Sheet5!A89,Table1[Qty])</f>
        <v>2</v>
      </c>
      <c r="I89" t="str">
        <f>INDEX(Table1[Unit],Table5[[#This Row],[//NOTA]])</f>
        <v>GRS</v>
      </c>
      <c r="J89" s="195">
        <f>SUMIF(Table1[H_A1],Sheet5!A89,Table1[C])</f>
        <v>0</v>
      </c>
      <c r="K89" s="195">
        <f>INDEX(Table1[Unit Price],Table5[[#This Row],[//NOTA]])</f>
        <v>102000</v>
      </c>
      <c r="L89" s="86">
        <f>IF(Table5[[#This Row],[a2]]="","",Table5[[#This Row],[QTY]]*12)</f>
        <v>24</v>
      </c>
      <c r="M89" s="86" t="str">
        <f>IF(Table5[[#This Row],[UNIT]]="grs","LSN",IF(Table5[[#This Row],[UNIT]]="LSN","PCS",""))</f>
        <v>LSN</v>
      </c>
      <c r="N89" s="86">
        <f>IF(Table5[[#This Row],[a2]]="LSN",Table5[[#This Row],[a1]]*12,"")</f>
        <v>288</v>
      </c>
      <c r="O89" s="86" t="str">
        <f>IF(Table5[[#This Row],[b1]]="","","PCS")</f>
        <v>PCS</v>
      </c>
      <c r="P89" s="86"/>
    </row>
    <row r="90" spans="1:16" x14ac:dyDescent="0.25">
      <c r="A90" s="88" t="s">
        <v>359</v>
      </c>
      <c r="B90" s="88"/>
      <c r="C90" s="88"/>
      <c r="E90" s="194">
        <f>MATCH(A90,Table1[H_A1],0)</f>
        <v>98</v>
      </c>
      <c r="F90" s="194">
        <f>MATCH(Table5[[#This Row],[NAMA]],[1]!db[NB PAJAK],0)</f>
        <v>485</v>
      </c>
      <c r="G90" t="str">
        <f>INDEX(Table1[Item Description],Table5[[#This Row],[//NOTA]])</f>
        <v>PENSIL WARNA JOYKO CP-100 (12W PANJANG)</v>
      </c>
      <c r="H90">
        <f>SUMIF(Table1[H_A1],Sheet5!A90,Table1[Qty])</f>
        <v>720</v>
      </c>
      <c r="I90" t="str">
        <f>INDEX(Table1[Unit],Table5[[#This Row],[//NOTA]])</f>
        <v>PCS</v>
      </c>
      <c r="J90" s="195">
        <f>SUMIF(Table1[H_A1],Sheet5!A90,Table1[C])</f>
        <v>5</v>
      </c>
      <c r="K90" s="195">
        <f>INDEX(Table1[Unit Price],Table5[[#This Row],[//NOTA]])</f>
        <v>9600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249</v>
      </c>
      <c r="B91" s="88"/>
      <c r="C91" s="88"/>
      <c r="E91" s="194">
        <f>MATCH(A91,Table1[H_A1],0)</f>
        <v>52</v>
      </c>
      <c r="F91" s="194">
        <f>MATCH(Table5[[#This Row],[NAMA]],[1]!db[NB PAJAK],0)</f>
        <v>491</v>
      </c>
      <c r="G91" t="str">
        <f>INDEX(Table1[Item Description],Table5[[#This Row],[//NOTA]])</f>
        <v>PENSIL WARNA JOYKO CP-12PB (PANJANG)</v>
      </c>
      <c r="H91">
        <f>SUMIF(Table1[H_A1],Sheet5!A91,Table1[Qty])</f>
        <v>1584</v>
      </c>
      <c r="I91" t="str">
        <f>INDEX(Table1[Unit],Table5[[#This Row],[//NOTA]])</f>
        <v>PCS</v>
      </c>
      <c r="J91" s="195">
        <f>SUMIF(Table1[H_A1],Sheet5!A91,Table1[C])</f>
        <v>11</v>
      </c>
      <c r="K91" s="195">
        <f>INDEX(Table1[Unit Price],Table5[[#This Row],[//NOTA]])</f>
        <v>10600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360</v>
      </c>
      <c r="B92" s="88"/>
      <c r="C92" s="88"/>
      <c r="E92" s="194">
        <f>MATCH(A92,Table1[H_A1],0)</f>
        <v>101</v>
      </c>
      <c r="F92" s="194">
        <f>MATCH(Table5[[#This Row],[NAMA]],[1]!db[NB PAJAK],0)</f>
        <v>493</v>
      </c>
      <c r="G92" t="str">
        <f>INDEX(Table1[Item Description],Table5[[#This Row],[//NOTA]])</f>
        <v>PENSIL WARNA JOYKO CP-24PB (PANJANG)</v>
      </c>
      <c r="H92">
        <f>SUMIF(Table1[H_A1],Sheet5!A92,Table1[Qty])</f>
        <v>360</v>
      </c>
      <c r="I92" t="str">
        <f>INDEX(Table1[Unit],Table5[[#This Row],[//NOTA]])</f>
        <v>PCS</v>
      </c>
      <c r="J92" s="195">
        <f>SUMIF(Table1[H_A1],Sheet5!A92,Table1[C])</f>
        <v>5</v>
      </c>
      <c r="K92" s="195">
        <f>INDEX(Table1[Unit Price],Table5[[#This Row],[//NOTA]])</f>
        <v>21200</v>
      </c>
      <c r="L92" s="86" t="str">
        <f>IF(Table5[[#This Row],[a2]]="","",Table5[[#This Row],[QTY]]*12)</f>
        <v/>
      </c>
      <c r="M92" s="86" t="str">
        <f>IF(Table5[[#This Row],[UNIT]]="grs","LSN",IF(Table5[[#This Row],[UNIT]]="LSN","PCS",""))</f>
        <v/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361</v>
      </c>
      <c r="B93" s="88"/>
      <c r="C93" s="88"/>
      <c r="E93" s="194">
        <f>MATCH(A93,Table1[H_A1],0)</f>
        <v>99</v>
      </c>
      <c r="F93" s="194">
        <f>MATCH(Table5[[#This Row],[NAMA]],[1]!db[NB PAJAK],0)</f>
        <v>496</v>
      </c>
      <c r="G93" t="str">
        <f>INDEX(Table1[Item Description],Table5[[#This Row],[//NOTA]])</f>
        <v>PENSIL WARNA JOYKO CP-S12 MINI (PENDEK)</v>
      </c>
      <c r="H93">
        <f>SUMIF(Table1[H_A1],Sheet5!A93,Table1[Qty])</f>
        <v>576</v>
      </c>
      <c r="I93" t="str">
        <f>INDEX(Table1[Unit],Table5[[#This Row],[//NOTA]])</f>
        <v>PCS</v>
      </c>
      <c r="J93" s="195">
        <f>SUMIF(Table1[H_A1],Sheet5!A93,Table1[C])</f>
        <v>2</v>
      </c>
      <c r="K93" s="195">
        <f>INDEX(Table1[Unit Price],Table5[[#This Row],[//NOTA]])</f>
        <v>6700</v>
      </c>
      <c r="L93" s="86" t="str">
        <f>IF(Table5[[#This Row],[a2]]="","",Table5[[#This Row],[QTY]]*12)</f>
        <v/>
      </c>
      <c r="M93" s="86" t="str">
        <f>IF(Table5[[#This Row],[UNIT]]="grs","LSN",IF(Table5[[#This Row],[UNIT]]="LSN","PCS",""))</f>
        <v/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172</v>
      </c>
      <c r="B94" s="88"/>
      <c r="C94" s="88"/>
      <c r="E94" s="194">
        <f>MATCH(A94,Table1[H_A1],0)</f>
        <v>16</v>
      </c>
      <c r="F94" s="194">
        <f>MATCH(Table5[[#This Row],[NAMA]],[1]!db[NB PAJAK],0)</f>
        <v>1045</v>
      </c>
      <c r="G94" t="str">
        <f>INDEX(Table1[Item Description],Table5[[#This Row],[//NOTA]])</f>
        <v>PENSIL WARNA KENKO CP-12F CLASSIC (PANJANG)</v>
      </c>
      <c r="H94">
        <f>SUMIF(Table1[H_A1],Sheet5!A94,Table1[Qty])</f>
        <v>50</v>
      </c>
      <c r="I94" t="str">
        <f>INDEX(Table1[Unit],Table5[[#This Row],[//NOTA]])</f>
        <v>LSN</v>
      </c>
      <c r="J94" s="195">
        <f>SUMIF(Table1[H_A1],Sheet5!A94,Table1[C])</f>
        <v>2</v>
      </c>
      <c r="K94" s="195">
        <f>INDEX(Table1[Unit Price],Table5[[#This Row],[//NOTA]])</f>
        <v>124200</v>
      </c>
      <c r="L94" s="86">
        <f>IF(Table5[[#This Row],[a2]]="","",Table5[[#This Row],[QTY]]*12)</f>
        <v>600</v>
      </c>
      <c r="M94" s="86" t="str">
        <f>IF(Table5[[#This Row],[UNIT]]="grs","LSN",IF(Table5[[#This Row],[UNIT]]="LSN","PCS",""))</f>
        <v>PCS</v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452</v>
      </c>
      <c r="B95" s="88"/>
      <c r="C95" s="88"/>
      <c r="E95" s="194">
        <f>MATCH(A95,Table1[H_A1],0)</f>
        <v>150</v>
      </c>
      <c r="F95" s="194">
        <f>MATCH(Table5[[#This Row],[NAMA]],[1]!db[NB PAJAK],0)</f>
        <v>1102</v>
      </c>
      <c r="G95" t="str">
        <f>INDEX(Table1[Item Description],Table5[[#This Row],[//NOTA]])</f>
        <v>PENSIL WARNA KENKO CP-12HALF CLASSIC (PENDEK)</v>
      </c>
      <c r="H95">
        <f>SUMIF(Table1[H_A1],Sheet5!A95,Table1[Qty])</f>
        <v>10</v>
      </c>
      <c r="I95" t="str">
        <f>INDEX(Table1[Unit],Table5[[#This Row],[//NOTA]])</f>
        <v>LSN</v>
      </c>
      <c r="J95" s="195">
        <f>SUMIF(Table1[H_A1],Sheet5!A95,Table1[C])</f>
        <v>0</v>
      </c>
      <c r="K95" s="195">
        <f>INDEX(Table1[Unit Price],Table5[[#This Row],[//NOTA]])</f>
        <v>79200</v>
      </c>
      <c r="L95" s="86">
        <f>IF(Table5[[#This Row],[a2]]="","",Table5[[#This Row],[QTY]]*12)</f>
        <v>120</v>
      </c>
      <c r="M95" s="86" t="str">
        <f>IF(Table5[[#This Row],[UNIT]]="grs","LSN",IF(Table5[[#This Row],[UNIT]]="LSN","PCS",""))</f>
        <v>PCS</v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216</v>
      </c>
      <c r="B96" s="88"/>
      <c r="C96" s="88"/>
      <c r="E96" s="194">
        <f>MATCH(A96,Table1[H_A1],0)</f>
        <v>36</v>
      </c>
      <c r="F96" s="194">
        <f>MATCH(Table5[[#This Row],[NAMA]],[1]!db[NB PAJAK],0)</f>
        <v>1102</v>
      </c>
      <c r="G96" t="str">
        <f>INDEX(Table1[Item Description],Table5[[#This Row],[//NOTA]])</f>
        <v>PENSIL WARNA KENKO CP-12HALF CLASSIC (PENDEK)</v>
      </c>
      <c r="H96">
        <f>SUMIF(Table1[H_A1],Sheet5!A96,Table1[Qty])</f>
        <v>48</v>
      </c>
      <c r="I96" t="str">
        <f>INDEX(Table1[Unit],Table5[[#This Row],[//NOTA]])</f>
        <v>SET</v>
      </c>
      <c r="J96" s="195">
        <f>SUMIF(Table1[H_A1],Sheet5!A96,Table1[C])</f>
        <v>0</v>
      </c>
      <c r="K96" s="195">
        <f>INDEX(Table1[Unit Price],Table5[[#This Row],[//NOTA]])</f>
        <v>6600</v>
      </c>
      <c r="L96" s="86" t="str">
        <f>IF(Table5[[#This Row],[a2]]="","",Table5[[#This Row],[QTY]]*12)</f>
        <v/>
      </c>
      <c r="M96" s="86" t="str">
        <f>IF(Table5[[#This Row],[UNIT]]="grs","LSN",IF(Table5[[#This Row],[UNIT]]="LSN","PCS",""))</f>
        <v/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239</v>
      </c>
      <c r="B97" s="88"/>
      <c r="C97" s="88"/>
      <c r="E97" s="194">
        <f>MATCH(A97,Table1[H_A1],0)</f>
        <v>39</v>
      </c>
      <c r="F97" s="194">
        <f>MATCH(Table5[[#This Row],[NAMA]],[1]!db[NB PAJAK],0)</f>
        <v>1914</v>
      </c>
      <c r="G97" s="86" t="str">
        <f>INDEX(Table1[Item Description],Table5[[#This Row],[//NOTA]])</f>
        <v>PUNCH JOYKO 30</v>
      </c>
      <c r="H97">
        <f>SUMIF(Table1[H_A1],Sheet5!A97,Table1[Qty])</f>
        <v>2</v>
      </c>
      <c r="I97" t="str">
        <f>INDEX(Table1[Unit],Table5[[#This Row],[//NOTA]])</f>
        <v>LSN</v>
      </c>
      <c r="J97" s="195">
        <f>SUMIF(Table1[H_A1],Sheet5!A97,Table1[C])</f>
        <v>0</v>
      </c>
      <c r="K97" s="195">
        <f>INDEX(Table1[Unit Price],Table5[[#This Row],[//NOTA]])</f>
        <v>139200</v>
      </c>
      <c r="L97" s="86">
        <f>IF(Table5[[#This Row],[a2]]="","",Table5[[#This Row],[QTY]]*12)</f>
        <v>24</v>
      </c>
      <c r="M97" s="86" t="str">
        <f>IF(Table5[[#This Row],[UNIT]]="grs","LSN",IF(Table5[[#This Row],[UNIT]]="LSN","PCS",""))</f>
        <v>PCS</v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240</v>
      </c>
      <c r="E98" s="194">
        <f>MATCH(A98,Table1[H_A1],0)</f>
        <v>40</v>
      </c>
      <c r="F98" s="194">
        <f>MATCH(Table5[[#This Row],[NAMA]],[1]!db[NB PAJAK],0)</f>
        <v>1275</v>
      </c>
      <c r="G98" s="86" t="str">
        <f>INDEX(Table1[Item Description],Table5[[#This Row],[//NOTA]])</f>
        <v>PUNCH KENKO NO. 85</v>
      </c>
      <c r="H98">
        <f>SUMIF(Table1[H_A1],Sheet5!A98,Table1[Qty])</f>
        <v>24</v>
      </c>
      <c r="I98" t="str">
        <f>INDEX(Table1[Unit],Table5[[#This Row],[//NOTA]])</f>
        <v>PCS</v>
      </c>
      <c r="J98" s="195">
        <f>SUMIF(Table1[H_A1],Sheet5!A98,Table1[C])</f>
        <v>0</v>
      </c>
      <c r="K98" s="195">
        <f>INDEX(Table1[Unit Price],Table5[[#This Row],[//NOTA]])</f>
        <v>48500</v>
      </c>
      <c r="L98" s="86" t="str">
        <f>IF(Table5[[#This Row],[a2]]="","",Table5[[#This Row],[QTY]]*12)</f>
        <v/>
      </c>
      <c r="M98" s="86" t="str">
        <f>IF(Table5[[#This Row],[UNIT]]="grs","LSN",IF(Table5[[#This Row],[UNIT]]="LSN","PCS",""))</f>
        <v/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221</v>
      </c>
      <c r="E99" s="194">
        <f>MATCH(A99,Table1[H_A1],0)</f>
        <v>31</v>
      </c>
      <c r="F99" s="194">
        <f>MATCH(Table5[[#This Row],[NAMA]],[1]!db[NB PAJAK],0)</f>
        <v>1279</v>
      </c>
      <c r="G99" s="86" t="str">
        <f>INDEX(Table1[Item Description],Table5[[#This Row],[//NOTA]])</f>
        <v>PUSH PIN KENKO PN-30 TRANSPARAN</v>
      </c>
      <c r="H99">
        <f>SUMIF(Table1[H_A1],Sheet5!A99,Table1[Qty])</f>
        <v>1</v>
      </c>
      <c r="I99" t="str">
        <f>INDEX(Table1[Unit],Table5[[#This Row],[//NOTA]])</f>
        <v>LSN</v>
      </c>
      <c r="J99" s="195">
        <f>SUMIF(Table1[H_A1],Sheet5!A99,Table1[C])</f>
        <v>0</v>
      </c>
      <c r="K99" s="195">
        <f>INDEX(Table1[Unit Price],Table5[[#This Row],[//NOTA]])</f>
        <v>33000</v>
      </c>
      <c r="L99" s="86">
        <f>IF(Table5[[#This Row],[a2]]="","",Table5[[#This Row],[QTY]]*12)</f>
        <v>12</v>
      </c>
      <c r="M99" s="86" t="str">
        <f>IF(Table5[[#This Row],[UNIT]]="grs","LSN",IF(Table5[[#This Row],[UNIT]]="LSN","PCS",""))</f>
        <v>PCS</v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241</v>
      </c>
      <c r="E100" s="194">
        <f>MATCH(A100,Table1[H_A1],0)</f>
        <v>42</v>
      </c>
      <c r="F100" s="194" t="e">
        <f>MATCH(Table5[[#This Row],[NAMA]],[1]!db[NB PAJAK],0)</f>
        <v>#N/A</v>
      </c>
      <c r="G100" s="86" t="str">
        <f>INDEX(Table1[Item Description],Table5[[#This Row],[//NOTA]])</f>
        <v>Stabillo Highlighter JK HL MIX BIRU/ HIJAU</v>
      </c>
      <c r="H100">
        <f>SUMIF(Table1[H_A1],Sheet5!A100,Table1[Qty])</f>
        <v>100</v>
      </c>
      <c r="I100" t="str">
        <f>INDEX(Table1[Unit],Table5[[#This Row],[//NOTA]])</f>
        <v>PCS</v>
      </c>
      <c r="J100" s="195">
        <f>SUMIF(Table1[H_A1],Sheet5!A100,Table1[C])</f>
        <v>0</v>
      </c>
      <c r="K100" s="195">
        <f>INDEX(Table1[Unit Price],Table5[[#This Row],[//NOTA]])</f>
        <v>3700</v>
      </c>
      <c r="L100" s="86" t="str">
        <f>IF(Table5[[#This Row],[a2]]="","",Table5[[#This Row],[QTY]]*12)</f>
        <v/>
      </c>
      <c r="M100" s="86" t="str">
        <f>IF(Table5[[#This Row],[UNIT]]="grs","LSN",IF(Table5[[#This Row],[UNIT]]="LSN","PCS",""))</f>
        <v/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362</v>
      </c>
      <c r="E101" s="194">
        <f>MATCH(A101,Table1[H_A1],0)</f>
        <v>102</v>
      </c>
      <c r="F101" s="194">
        <f>MATCH(Table5[[#This Row],[NAMA]],[1]!db[NB PAJAK],0)</f>
        <v>2007</v>
      </c>
      <c r="G101" s="86" t="str">
        <f>INDEX(Table1[Item Description],Table5[[#This Row],[//NOTA]])</f>
        <v>STAMP PAD JOYKO NO. 0</v>
      </c>
      <c r="H101">
        <f>SUMIF(Table1[H_A1],Sheet5!A101,Table1[Qty])</f>
        <v>216</v>
      </c>
      <c r="I101" t="str">
        <f>INDEX(Table1[Unit],Table5[[#This Row],[//NOTA]])</f>
        <v>PCS</v>
      </c>
      <c r="J101" s="195">
        <f>SUMIF(Table1[H_A1],Sheet5!A101,Table1[C])</f>
        <v>1</v>
      </c>
      <c r="K101" s="195">
        <f>INDEX(Table1[Unit Price],Table5[[#This Row],[//NOTA]])</f>
        <v>4900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363</v>
      </c>
      <c r="E102" s="194">
        <f>MATCH(A102,Table1[H_A1],0)</f>
        <v>103</v>
      </c>
      <c r="F102" s="194">
        <f>MATCH(Table5[[#This Row],[NAMA]],[1]!db[NB PAJAK],0)</f>
        <v>2009</v>
      </c>
      <c r="G102" s="86" t="str">
        <f>INDEX(Table1[Item Description],Table5[[#This Row],[//NOTA]])</f>
        <v>STAMP PAD JOYKO NO. 1</v>
      </c>
      <c r="H102" s="86">
        <f>SUMIF(Table1[H_A1],Sheet5!A102,Table1[Qty])</f>
        <v>216</v>
      </c>
      <c r="I102" s="86" t="str">
        <f>INDEX(Table1[Unit],Table5[[#This Row],[//NOTA]])</f>
        <v>PCS</v>
      </c>
      <c r="J102" s="195">
        <f>SUMIF(Table1[H_A1],Sheet5!A102,Table1[C])</f>
        <v>1</v>
      </c>
      <c r="K102" s="195">
        <f>INDEX(Table1[Unit Price],Table5[[#This Row],[//NOTA]])</f>
        <v>5800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217</v>
      </c>
      <c r="E103" s="194">
        <f>MATCH(A103,Table1[H_A1],0)</f>
        <v>32</v>
      </c>
      <c r="F103" s="194">
        <f>MATCH(Table5[[#This Row],[NAMA]],[1]!db[NB PAJAK],0)</f>
        <v>1299</v>
      </c>
      <c r="G103" s="86" t="str">
        <f>INDEX(Table1[Item Description],Table5[[#This Row],[//NOTA]])</f>
        <v>STAMP PAD KENKO NO. 0</v>
      </c>
      <c r="H103" s="86">
        <f>SUMIF(Table1[H_A1],Sheet5!A103,Table1[Qty])</f>
        <v>12</v>
      </c>
      <c r="I103" s="86" t="str">
        <f>INDEX(Table1[Unit],Table5[[#This Row],[//NOTA]])</f>
        <v>LSN</v>
      </c>
      <c r="J103" s="195">
        <f>SUMIF(Table1[H_A1],Sheet5!A103,Table1[C])</f>
        <v>0</v>
      </c>
      <c r="K103" s="195">
        <f>INDEX(Table1[Unit Price],Table5[[#This Row],[//NOTA]])</f>
        <v>59400</v>
      </c>
      <c r="L103" s="86">
        <f>IF(Table5[[#This Row],[a2]]="","",Table5[[#This Row],[QTY]]*12)</f>
        <v>144</v>
      </c>
      <c r="M103" s="86" t="str">
        <f>IF(Table5[[#This Row],[UNIT]]="grs","LSN",IF(Table5[[#This Row],[UNIT]]="LSN","PCS",""))</f>
        <v>PCS</v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218</v>
      </c>
      <c r="E104" s="194">
        <f>MATCH(A104,Table1[H_A1],0)</f>
        <v>33</v>
      </c>
      <c r="F104" s="194">
        <f>MATCH(Table5[[#This Row],[NAMA]],[1]!db[NB PAJAK],0)</f>
        <v>1297</v>
      </c>
      <c r="G104" s="86" t="str">
        <f>INDEX(Table1[Item Description],Table5[[#This Row],[//NOTA]])</f>
        <v>STAMP PLATE NUMBER KENKO N-38 (Cap Nomer)</v>
      </c>
      <c r="H104" s="86">
        <f>SUMIF(Table1[H_A1],Sheet5!A104,Table1[Qty])</f>
        <v>8</v>
      </c>
      <c r="I104" s="86" t="str">
        <f>INDEX(Table1[Unit],Table5[[#This Row],[//NOTA]])</f>
        <v>LSN</v>
      </c>
      <c r="J104" s="195">
        <f>SUMIF(Table1[H_A1],Sheet5!A104,Table1[C])</f>
        <v>0</v>
      </c>
      <c r="K104" s="195">
        <f>INDEX(Table1[Unit Price],Table5[[#This Row],[//NOTA]])</f>
        <v>84000</v>
      </c>
      <c r="L104" s="86">
        <f>IF(Table5[[#This Row],[a2]]="","",Table5[[#This Row],[QTY]]*12)</f>
        <v>96</v>
      </c>
      <c r="M104" s="86" t="str">
        <f>IF(Table5[[#This Row],[UNIT]]="grs","LSN",IF(Table5[[#This Row],[UNIT]]="LSN","PCS",""))</f>
        <v>PCS</v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453</v>
      </c>
      <c r="E105" s="194">
        <f>MATCH(A105,Table1[H_A1],0)</f>
        <v>148</v>
      </c>
      <c r="F105" s="194">
        <f>MATCH(Table5[[#This Row],[NAMA]],[1]!db[NB PAJAK],0)</f>
        <v>1301</v>
      </c>
      <c r="G105" s="86" t="str">
        <f>INDEX(Table1[Item Description],Table5[[#This Row],[//NOTA]])</f>
        <v>STAND PEN SPIRAL KENKO STP-100SG</v>
      </c>
      <c r="H105" s="86">
        <f>SUMIF(Table1[H_A1],Sheet5!A105,Table1[Qty])</f>
        <v>4</v>
      </c>
      <c r="I105" s="86" t="str">
        <f>INDEX(Table1[Unit],Table5[[#This Row],[//NOTA]])</f>
        <v>LSN</v>
      </c>
      <c r="J105" s="195">
        <f>SUMIF(Table1[H_A1],Sheet5!A105,Table1[C])</f>
        <v>0</v>
      </c>
      <c r="K105" s="195">
        <f>INDEX(Table1[Unit Price],Table5[[#This Row],[//NOTA]])</f>
        <v>54000</v>
      </c>
      <c r="L105" s="86">
        <f>IF(Table5[[#This Row],[a2]]="","",Table5[[#This Row],[QTY]]*12)</f>
        <v>48</v>
      </c>
      <c r="M105" s="86" t="str">
        <f>IF(Table5[[#This Row],[UNIT]]="grs","LSN",IF(Table5[[#This Row],[UNIT]]="LSN","PCS",""))</f>
        <v>PCS</v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454</v>
      </c>
      <c r="E106" s="194">
        <f>MATCH(A106,Table1[H_A1],0)</f>
        <v>149</v>
      </c>
      <c r="F106" s="194">
        <f>MATCH(Table5[[#This Row],[NAMA]],[1]!db[NB PAJAK],0)</f>
        <v>1302</v>
      </c>
      <c r="G106" s="86" t="str">
        <f>INDEX(Table1[Item Description],Table5[[#This Row],[//NOTA]])</f>
        <v>STAND PEN SPIRAL KENKO STP-300SG</v>
      </c>
      <c r="H106" s="86">
        <f>SUMIF(Table1[H_A1],Sheet5!A106,Table1[Qty])</f>
        <v>5</v>
      </c>
      <c r="I106" s="86" t="str">
        <f>INDEX(Table1[Unit],Table5[[#This Row],[//NOTA]])</f>
        <v>LSN</v>
      </c>
      <c r="J106" s="195">
        <f>SUMIF(Table1[H_A1],Sheet5!A106,Table1[C])</f>
        <v>0</v>
      </c>
      <c r="K106" s="195">
        <f>INDEX(Table1[Unit Price],Table5[[#This Row],[//NOTA]])</f>
        <v>49200</v>
      </c>
      <c r="L106" s="86">
        <f>IF(Table5[[#This Row],[a2]]="","",Table5[[#This Row],[QTY]]*12)</f>
        <v>60</v>
      </c>
      <c r="M106" s="86" t="str">
        <f>IF(Table5[[#This Row],[UNIT]]="grs","LSN",IF(Table5[[#This Row],[UNIT]]="LSN","PCS",""))</f>
        <v>PCS</v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395</v>
      </c>
      <c r="E107" s="194">
        <f>MATCH(A107,Table1[H_A1],0)</f>
        <v>112</v>
      </c>
      <c r="F107" s="194">
        <f>MATCH(Table5[[#This Row],[NAMA]],[1]!db[NB PAJAK],0)</f>
        <v>956</v>
      </c>
      <c r="G107" s="86" t="str">
        <f>INDEX(Table1[Item Description],Table5[[#This Row],[//NOTA]])</f>
        <v>STAPLER GUNTACKER JOYKO GT-701</v>
      </c>
      <c r="H107" s="86">
        <f>SUMIF(Table1[H_A1],Sheet5!A107,Table1[Qty])</f>
        <v>24</v>
      </c>
      <c r="I107" s="86" t="str">
        <f>INDEX(Table1[Unit],Table5[[#This Row],[//NOTA]])</f>
        <v>PCS</v>
      </c>
      <c r="J107" s="195">
        <f>SUMIF(Table1[H_A1],Sheet5!A107,Table1[C])</f>
        <v>1</v>
      </c>
      <c r="K107" s="195">
        <f>INDEX(Table1[Unit Price],Table5[[#This Row],[//NOTA]])</f>
        <v>97000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503</v>
      </c>
      <c r="E108" s="194">
        <f>MATCH(A108,Table1[H_A1],0)</f>
        <v>183</v>
      </c>
      <c r="F108" s="194">
        <f>MATCH(Table5[[#This Row],[NAMA]],[1]!db[NB PAJAK],0)</f>
        <v>2013</v>
      </c>
      <c r="G108" s="86" t="str">
        <f>INDEX(Table1[Item Description],Table5[[#This Row],[//NOTA]])</f>
        <v>STAPLER JOYKO HD-10</v>
      </c>
      <c r="H108" s="86">
        <f>SUMIF(Table1[H_A1],Sheet5!A108,Table1[Qty])</f>
        <v>9</v>
      </c>
      <c r="I108" s="86" t="str">
        <f>INDEX(Table1[Unit],Table5[[#This Row],[//NOTA]])</f>
        <v>LSN</v>
      </c>
      <c r="J108" s="195">
        <f>SUMIF(Table1[H_A1],Sheet5!A108,Table1[C])</f>
        <v>0</v>
      </c>
      <c r="K108" s="195">
        <f>INDEX(Table1[Unit Price],Table5[[#This Row],[//NOTA]])</f>
        <v>85200</v>
      </c>
      <c r="L108" s="86">
        <f>IF(Table5[[#This Row],[a2]]="","",Table5[[#This Row],[QTY]]*12)</f>
        <v>108</v>
      </c>
      <c r="M108" s="86" t="str">
        <f>IF(Table5[[#This Row],[UNIT]]="grs","LSN",IF(Table5[[#This Row],[UNIT]]="LSN","PCS",""))</f>
        <v>PCS</v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146</v>
      </c>
      <c r="E109" s="194">
        <f>MATCH(A109,Table1[H_A1],0)</f>
        <v>10</v>
      </c>
      <c r="F109" s="194">
        <f>MATCH(Table5[[#This Row],[NAMA]],[1]!db[NB PAJAK],0)</f>
        <v>1305</v>
      </c>
      <c r="G109" s="86" t="str">
        <f>INDEX(Table1[Item Description],Table5[[#This Row],[//NOTA]])</f>
        <v>STAPLER KENKO HD-10D</v>
      </c>
      <c r="H109" s="86">
        <f>SUMIF(Table1[H_A1],Sheet5!A109,Table1[Qty])</f>
        <v>40</v>
      </c>
      <c r="I109" s="86" t="str">
        <f>INDEX(Table1[Unit],Table5[[#This Row],[//NOTA]])</f>
        <v>LS</v>
      </c>
      <c r="J109" s="195">
        <f>SUMIF(Table1[H_A1],Sheet5!A109,Table1[C])</f>
        <v>0</v>
      </c>
      <c r="K109" s="195">
        <f>INDEX(Table1[Unit Price],Table5[[#This Row],[//NOTA]])</f>
        <v>117600</v>
      </c>
      <c r="L109" s="86" t="str">
        <f>IF(Table5[[#This Row],[a2]]="","",Table5[[#This Row],[QTY]]*12)</f>
        <v/>
      </c>
      <c r="M109" s="86" t="str">
        <f>IF(Table5[[#This Row],[UNIT]]="grs","LSN",IF(Table5[[#This Row],[UNIT]]="LSN","PCS",""))</f>
        <v/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147</v>
      </c>
      <c r="E110" s="194">
        <f>MATCH(A110,Table1[H_A1],0)</f>
        <v>9</v>
      </c>
      <c r="F110" s="194">
        <f>MATCH(Table5[[#This Row],[NAMA]],[1]!db[NB PAJAK],0)</f>
        <v>1304</v>
      </c>
      <c r="G110" s="86" t="str">
        <f>INDEX(Table1[Item Description],Table5[[#This Row],[//NOTA]])</f>
        <v>STAPLER KENKO HD-10</v>
      </c>
      <c r="H110" s="86">
        <f>SUMIF(Table1[H_A1],Sheet5!A110,Table1[Qty])</f>
        <v>60</v>
      </c>
      <c r="I110" s="86" t="str">
        <f>INDEX(Table1[Unit],Table5[[#This Row],[//NOTA]])</f>
        <v>LS</v>
      </c>
      <c r="J110" s="195">
        <f>SUMIF(Table1[H_A1],Sheet5!A110,Table1[C])</f>
        <v>0</v>
      </c>
      <c r="K110" s="195">
        <f>INDEX(Table1[Unit Price],Table5[[#This Row],[//NOTA]])</f>
        <v>93000</v>
      </c>
      <c r="L110" s="86" t="str">
        <f>IF(Table5[[#This Row],[a2]]="","",Table5[[#This Row],[QTY]]*12)</f>
        <v/>
      </c>
      <c r="M110" s="86" t="str">
        <f>IF(Table5[[#This Row],[UNIT]]="grs","LSN",IF(Table5[[#This Row],[UNIT]]="LSN","PCS",""))</f>
        <v/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300</v>
      </c>
      <c r="E111" s="194">
        <f>MATCH(A111,Table1[H_A1],0)</f>
        <v>76</v>
      </c>
      <c r="F111" s="194">
        <f>MATCH(Table5[[#This Row],[NAMA]],[1]!db[NB PAJAK],0)</f>
        <v>1304</v>
      </c>
      <c r="G111" s="86" t="str">
        <f>INDEX(Table1[Item Description],Table5[[#This Row],[//NOTA]])</f>
        <v>STAPLER KENKO HD-10</v>
      </c>
      <c r="H111" s="86">
        <f>SUMIF(Table1[H_A1],Sheet5!A111,Table1[Qty])</f>
        <v>44</v>
      </c>
      <c r="I111" s="86" t="str">
        <f>INDEX(Table1[Unit],Table5[[#This Row],[//NOTA]])</f>
        <v>LSN</v>
      </c>
      <c r="J111" s="195">
        <f>SUMIF(Table1[H_A1],Sheet5!A111,Table1[C])</f>
        <v>2</v>
      </c>
      <c r="K111" s="195">
        <f>INDEX(Table1[Unit Price],Table5[[#This Row],[//NOTA]])</f>
        <v>93000</v>
      </c>
      <c r="L111" s="86">
        <f>IF(Table5[[#This Row],[a2]]="","",Table5[[#This Row],[QTY]]*12)</f>
        <v>528</v>
      </c>
      <c r="M111" s="86" t="str">
        <f>IF(Table5[[#This Row],[UNIT]]="grs","LSN",IF(Table5[[#This Row],[UNIT]]="LSN","PCS",""))</f>
        <v>PCS</v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455</v>
      </c>
      <c r="E112" s="194">
        <f>MATCH(A112,Table1[H_A1],0)</f>
        <v>152</v>
      </c>
      <c r="F112" s="194" t="e">
        <f>MATCH(Table5[[#This Row],[NAMA]],[1]!db[NB PAJAK],0)</f>
        <v>#N/A</v>
      </c>
      <c r="G112" s="86" t="str">
        <f>INDEX(Table1[Item Description],Table5[[#This Row],[//NOTA]])</f>
        <v>STAPLER KENKO HD-10MP</v>
      </c>
      <c r="H112" s="86">
        <f>SUMIF(Table1[H_A1],Sheet5!A112,Table1[Qty])</f>
        <v>12</v>
      </c>
      <c r="I112" s="86" t="str">
        <f>INDEX(Table1[Unit],Table5[[#This Row],[//NOTA]])</f>
        <v>LSN</v>
      </c>
      <c r="J112" s="195">
        <f>SUMIF(Table1[H_A1],Sheet5!A112,Table1[C])</f>
        <v>0</v>
      </c>
      <c r="K112" s="195">
        <f>INDEX(Table1[Unit Price],Table5[[#This Row],[//NOTA]])</f>
        <v>67200</v>
      </c>
      <c r="L112" s="86">
        <f>IF(Table5[[#This Row],[a2]]="","",Table5[[#This Row],[QTY]]*12)</f>
        <v>144</v>
      </c>
      <c r="M112" s="86" t="str">
        <f>IF(Table5[[#This Row],[UNIT]]="grs","LSN",IF(Table5[[#This Row],[UNIT]]="LSN","PCS",""))</f>
        <v>PCS</v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148</v>
      </c>
      <c r="E113" s="194">
        <f>MATCH(A113,Table1[H_A1],0)</f>
        <v>8</v>
      </c>
      <c r="F113" s="194">
        <f>MATCH(Table5[[#This Row],[NAMA]],[1]!db[NB PAJAK],0)</f>
        <v>1310</v>
      </c>
      <c r="G113" s="86" t="str">
        <f>INDEX(Table1[Item Description],Table5[[#This Row],[//NOTA]])</f>
        <v>STAPLER KENKO HD-50</v>
      </c>
      <c r="H113" s="86">
        <f>SUMIF(Table1[H_A1],Sheet5!A113,Table1[Qty])</f>
        <v>10</v>
      </c>
      <c r="I113" s="86" t="str">
        <f>INDEX(Table1[Unit],Table5[[#This Row],[//NOTA]])</f>
        <v>LS</v>
      </c>
      <c r="J113" s="195">
        <f>SUMIF(Table1[H_A1],Sheet5!A113,Table1[C])</f>
        <v>0</v>
      </c>
      <c r="K113" s="195">
        <f>INDEX(Table1[Unit Price],Table5[[#This Row],[//NOTA]])</f>
        <v>228000</v>
      </c>
      <c r="L113" s="86" t="str">
        <f>IF(Table5[[#This Row],[a2]]="","",Table5[[#This Row],[QTY]]*12)</f>
        <v/>
      </c>
      <c r="M113" s="86" t="str">
        <f>IF(Table5[[#This Row],[UNIT]]="grs","LSN",IF(Table5[[#This Row],[UNIT]]="LSN","PCS",""))</f>
        <v/>
      </c>
      <c r="N113" s="86" t="str">
        <f>IF(Table5[[#This Row],[a2]]="LSN",Table5[[#This Row],[a1]]*12,"")</f>
        <v/>
      </c>
      <c r="O113" s="86" t="str">
        <f>IF(Table5[[#This Row],[b1]]="","","PCS")</f>
        <v/>
      </c>
      <c r="P113" s="86"/>
    </row>
    <row r="114" spans="1:16" x14ac:dyDescent="0.25">
      <c r="A114" s="88" t="s">
        <v>301</v>
      </c>
      <c r="E114" s="194">
        <f>MATCH(A114,Table1[H_A1],0)</f>
        <v>77</v>
      </c>
      <c r="F114" s="194">
        <f>MATCH(Table5[[#This Row],[NAMA]],[1]!db[NB PAJAK],0)</f>
        <v>1310</v>
      </c>
      <c r="G114" s="86" t="str">
        <f>INDEX(Table1[Item Description],Table5[[#This Row],[//NOTA]])</f>
        <v>STAPLER KENKO HD-50</v>
      </c>
      <c r="H114" s="86">
        <f>SUMIF(Table1[H_A1],Sheet5!A114,Table1[Qty])</f>
        <v>20</v>
      </c>
      <c r="I114" s="86" t="str">
        <f>INDEX(Table1[Unit],Table5[[#This Row],[//NOTA]])</f>
        <v>LSN</v>
      </c>
      <c r="J114" s="195">
        <f>SUMIF(Table1[H_A1],Sheet5!A114,Table1[C])</f>
        <v>2</v>
      </c>
      <c r="K114" s="195">
        <f>INDEX(Table1[Unit Price],Table5[[#This Row],[//NOTA]])</f>
        <v>228000</v>
      </c>
      <c r="L114" s="86">
        <f>IF(Table5[[#This Row],[a2]]="","",Table5[[#This Row],[QTY]]*12)</f>
        <v>240</v>
      </c>
      <c r="M114" s="86" t="str">
        <f>IF(Table5[[#This Row],[UNIT]]="grs","LSN",IF(Table5[[#This Row],[UNIT]]="LSN","PCS",""))</f>
        <v>PCS</v>
      </c>
      <c r="N114" s="86" t="str">
        <f>IF(Table5[[#This Row],[a2]]="LSN",Table5[[#This Row],[a1]]*12,"")</f>
        <v/>
      </c>
      <c r="O114" s="86" t="str">
        <f>IF(Table5[[#This Row],[b1]]="","","PCS")</f>
        <v/>
      </c>
      <c r="P114" s="86"/>
    </row>
    <row r="115" spans="1:16" x14ac:dyDescent="0.25">
      <c r="A115" s="88" t="s">
        <v>193</v>
      </c>
      <c r="E115" s="194">
        <f>MATCH(A115,Table1[H_A1],0)</f>
        <v>26</v>
      </c>
      <c r="F115" s="194">
        <f>MATCH(Table5[[#This Row],[NAMA]],[1]!db[NB PAJAK],0)</f>
        <v>1410</v>
      </c>
      <c r="G115" s="86" t="str">
        <f>INDEX(Table1[Item Description],Table5[[#This Row],[//NOTA]])</f>
        <v>STAPLER LONG REACH JOYKO HD-35LA</v>
      </c>
      <c r="H115" s="86">
        <f>SUMIF(Table1[H_A1],Sheet5!A115,Table1[Qty])</f>
        <v>36</v>
      </c>
      <c r="I115" s="86" t="str">
        <f>INDEX(Table1[Unit],Table5[[#This Row],[//NOTA]])</f>
        <v>PCS</v>
      </c>
      <c r="J115" s="195">
        <f>SUMIF(Table1[H_A1],Sheet5!A115,Table1[C])</f>
        <v>1</v>
      </c>
      <c r="K115" s="195">
        <f>INDEX(Table1[Unit Price],Table5[[#This Row],[//NOTA]])</f>
        <v>58000</v>
      </c>
      <c r="L115" s="86" t="str">
        <f>IF(Table5[[#This Row],[a2]]="","",Table5[[#This Row],[QTY]]*12)</f>
        <v/>
      </c>
      <c r="M115" s="86" t="str">
        <f>IF(Table5[[#This Row],[UNIT]]="grs","LSN",IF(Table5[[#This Row],[UNIT]]="LSN","PCS",""))</f>
        <v/>
      </c>
      <c r="N115" s="86" t="str">
        <f>IF(Table5[[#This Row],[a2]]="LSN",Table5[[#This Row],[a1]]*12,"")</f>
        <v/>
      </c>
      <c r="O115" s="86" t="str">
        <f>IF(Table5[[#This Row],[b1]]="","","PCS")</f>
        <v/>
      </c>
      <c r="P115" s="86"/>
    </row>
    <row r="116" spans="1:16" x14ac:dyDescent="0.25">
      <c r="A116" s="88" t="s">
        <v>473</v>
      </c>
      <c r="E116" s="194">
        <f>MATCH(A116,Table1[H_A1],0)</f>
        <v>163</v>
      </c>
      <c r="F116" s="194">
        <f>MATCH(Table5[[#This Row],[NAMA]],[1]!db[NB PAJAK],0)</f>
        <v>1156</v>
      </c>
      <c r="G116" s="86" t="str">
        <f>INDEX(Table1[Item Description],Table5[[#This Row],[//NOTA]])</f>
        <v>STIP / PENGHAPUS KENKO ERB-40SQ HITAM</v>
      </c>
      <c r="H116" s="86">
        <f>SUMIF(Table1[H_A1],Sheet5!A116,Table1[Qty])</f>
        <v>3</v>
      </c>
      <c r="I116" s="86" t="str">
        <f>INDEX(Table1[Unit],Table5[[#This Row],[//NOTA]])</f>
        <v>PAK</v>
      </c>
      <c r="J116" s="195">
        <f>SUMIF(Table1[H_A1],Sheet5!A116,Table1[C])</f>
        <v>0</v>
      </c>
      <c r="K116" s="195">
        <f>INDEX(Table1[Unit Price],Table5[[#This Row],[//NOTA]])</f>
        <v>27500</v>
      </c>
      <c r="L116" s="86" t="str">
        <f>IF(Table5[[#This Row],[a2]]="","",Table5[[#This Row],[QTY]]*12)</f>
        <v/>
      </c>
      <c r="M116" s="86" t="str">
        <f>IF(Table5[[#This Row],[UNIT]]="grs","LSN",IF(Table5[[#This Row],[UNIT]]="LSN","PCS",""))</f>
        <v/>
      </c>
      <c r="N116" s="86" t="str">
        <f>IF(Table5[[#This Row],[a2]]="LSN",Table5[[#This Row],[a1]]*12,"")</f>
        <v/>
      </c>
      <c r="O116" s="86" t="str">
        <f>IF(Table5[[#This Row],[b1]]="","","PCS")</f>
        <v/>
      </c>
      <c r="P116" s="86"/>
    </row>
    <row r="117" spans="1:16" x14ac:dyDescent="0.25">
      <c r="A117" s="88" t="s">
        <v>194</v>
      </c>
      <c r="E117" s="194">
        <f>MATCH(A117,Table1[H_A1],0)</f>
        <v>25</v>
      </c>
      <c r="F117" s="194">
        <f>MATCH(Table5[[#This Row],[NAMA]],[1]!db[NB PAJAK],0)</f>
        <v>2054</v>
      </c>
      <c r="G117" s="86" t="str">
        <f>INDEX(Table1[Item Description],Table5[[#This Row],[//NOTA]])</f>
        <v>TAPE CUTTER JOYKO TD-102</v>
      </c>
      <c r="H117" s="86">
        <f>SUMIF(Table1[H_A1],Sheet5!A117,Table1[Qty])</f>
        <v>48</v>
      </c>
      <c r="I117" s="86" t="str">
        <f>INDEX(Table1[Unit],Table5[[#This Row],[//NOTA]])</f>
        <v>LSN</v>
      </c>
      <c r="J117" s="195">
        <f>SUMIF(Table1[H_A1],Sheet5!A117,Table1[C])</f>
        <v>2</v>
      </c>
      <c r="K117" s="195">
        <f>INDEX(Table1[Unit Price],Table5[[#This Row],[//NOTA]])</f>
        <v>11100</v>
      </c>
      <c r="L117" s="86">
        <f>IF(Table5[[#This Row],[a2]]="","",Table5[[#This Row],[QTY]]*12)</f>
        <v>576</v>
      </c>
      <c r="M117" s="86" t="str">
        <f>IF(Table5[[#This Row],[UNIT]]="grs","LSN",IF(Table5[[#This Row],[UNIT]]="LSN","PCS",""))</f>
        <v>PCS</v>
      </c>
      <c r="N117" s="86" t="str">
        <f>IF(Table5[[#This Row],[a2]]="LSN",Table5[[#This Row],[a1]]*12,"")</f>
        <v/>
      </c>
      <c r="O117" s="86" t="str">
        <f>IF(Table5[[#This Row],[b1]]="","","PCS")</f>
        <v/>
      </c>
      <c r="P117" s="86"/>
    </row>
    <row r="118" spans="1:16" x14ac:dyDescent="0.25">
      <c r="A118" s="88" t="s">
        <v>314</v>
      </c>
      <c r="E118" s="194">
        <f>MATCH(A118,Table1[H_A1],0)</f>
        <v>85</v>
      </c>
      <c r="F118" s="194">
        <f>MATCH(Table5[[#This Row],[NAMA]],[1]!db[NB PAJAK],0)</f>
        <v>1907</v>
      </c>
      <c r="G118" s="86" t="str">
        <f>INDEX(Table1[Item Description],Table5[[#This Row],[//NOTA]])</f>
        <v>TAPE DISPENSER POLAR BEAR MN-305 @12pc</v>
      </c>
      <c r="H118" s="86">
        <f>SUMIF(Table1[H_A1],Sheet5!A118,Table1[Qty])</f>
        <v>5</v>
      </c>
      <c r="I118" s="86" t="str">
        <f>INDEX(Table1[Unit],Table5[[#This Row],[//NOTA]])</f>
        <v>BOX</v>
      </c>
      <c r="J118" s="195">
        <f>SUMIF(Table1[H_A1],Sheet5!A118,Table1[C])</f>
        <v>0</v>
      </c>
      <c r="K118" s="195">
        <f>INDEX(Table1[Unit Price],Table5[[#This Row],[//NOTA]])</f>
        <v>100000</v>
      </c>
      <c r="L118" s="86" t="str">
        <f>IF(Table5[[#This Row],[a2]]="","",Table5[[#This Row],[QTY]]*12)</f>
        <v/>
      </c>
      <c r="M118" s="86" t="str">
        <f>IF(Table5[[#This Row],[UNIT]]="grs","LSN",IF(Table5[[#This Row],[UNIT]]="LSN","PCS",""))</f>
        <v/>
      </c>
      <c r="N118" s="86" t="str">
        <f>IF(Table5[[#This Row],[a2]]="LSN",Table5[[#This Row],[a1]]*12,"")</f>
        <v/>
      </c>
      <c r="O118" s="86" t="str">
        <f>IF(Table5[[#This Row],[b1]]="","","PCS")</f>
        <v/>
      </c>
      <c r="P118" s="86"/>
    </row>
    <row r="119" spans="1:16" x14ac:dyDescent="0.25">
      <c r="A119" s="88" t="s">
        <v>55</v>
      </c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1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1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1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1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1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1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1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1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1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B12" sqref="B12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2023-03-07T06:51:22Z</dcterms:modified>
</cp:coreProperties>
</file>