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2" i="1" l="1"/>
  <c r="R942" i="1" s="1"/>
  <c r="S942" i="1" s="1"/>
  <c r="P883" i="1"/>
  <c r="J883" i="1"/>
  <c r="R883" i="1" s="1"/>
  <c r="S883" i="1" s="1"/>
  <c r="P871" i="1"/>
  <c r="R871" i="1" s="1"/>
  <c r="S871" i="1" s="1"/>
  <c r="P840" i="1" l="1"/>
  <c r="R840" i="1" s="1"/>
  <c r="S840" i="1" s="1"/>
  <c r="P85" i="1"/>
  <c r="R85" i="1" s="1"/>
  <c r="S85" i="1" s="1"/>
  <c r="P529" i="1"/>
  <c r="R529" i="1" s="1"/>
  <c r="S529" i="1" s="1"/>
  <c r="C648" i="1"/>
  <c r="J184" i="1" l="1"/>
  <c r="H184" i="1"/>
  <c r="P184" i="1" s="1"/>
  <c r="R184" i="1" s="1"/>
  <c r="S184" i="1" s="1"/>
  <c r="P667" i="1" l="1"/>
  <c r="R667" i="1" s="1"/>
  <c r="S667" i="1" s="1"/>
  <c r="P853" i="1" l="1"/>
  <c r="P974" i="1"/>
  <c r="R974" i="1" s="1"/>
  <c r="S974" i="1" s="1"/>
  <c r="P761" i="1"/>
  <c r="J761" i="1"/>
  <c r="P433" i="1"/>
  <c r="R433" i="1" s="1"/>
  <c r="S433" i="1" s="1"/>
  <c r="R761" i="1" l="1"/>
  <c r="S761" i="1" s="1"/>
  <c r="P370" i="1"/>
  <c r="R370" i="1" s="1"/>
  <c r="S370" i="1" s="1"/>
  <c r="P586" i="1"/>
  <c r="R586" i="1" s="1"/>
  <c r="S586" i="1" s="1"/>
  <c r="P582" i="1"/>
  <c r="J582" i="1"/>
  <c r="P584" i="1"/>
  <c r="R584" i="1" s="1"/>
  <c r="S584" i="1" s="1"/>
  <c r="R582" i="1" l="1"/>
  <c r="S582" i="1" s="1"/>
  <c r="P41" i="1" l="1"/>
  <c r="R41" i="1"/>
  <c r="S41" i="1" s="1"/>
  <c r="C899" i="1" l="1"/>
  <c r="C816" i="1"/>
  <c r="P658" i="1"/>
  <c r="R658" i="1" s="1"/>
  <c r="S658" i="1" s="1"/>
  <c r="C649" i="1"/>
  <c r="C607" i="1"/>
  <c r="J581" i="1"/>
  <c r="P581" i="1"/>
  <c r="P564" i="1"/>
  <c r="R564" i="1" s="1"/>
  <c r="S564" i="1" s="1"/>
  <c r="R581" i="1" l="1"/>
  <c r="S581" i="1" s="1"/>
  <c r="P425" i="1"/>
  <c r="R425" i="1" s="1"/>
  <c r="S425" i="1" s="1"/>
  <c r="P406" i="1"/>
  <c r="R406" i="1" s="1"/>
  <c r="S406" i="1" s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9" i="1"/>
  <c r="R399" i="1" s="1"/>
  <c r="S399" i="1" s="1"/>
  <c r="P398" i="1"/>
  <c r="R398" i="1" s="1"/>
  <c r="S398" i="1" s="1"/>
  <c r="P397" i="1"/>
  <c r="R397" i="1" s="1"/>
  <c r="S397" i="1" s="1"/>
  <c r="P396" i="1"/>
  <c r="R396" i="1" s="1"/>
  <c r="S396" i="1" s="1"/>
  <c r="P395" i="1"/>
  <c r="R395" i="1" s="1"/>
  <c r="S395" i="1" s="1"/>
  <c r="P394" i="1"/>
  <c r="R394" i="1" s="1"/>
  <c r="S394" i="1" s="1"/>
  <c r="C239" i="1"/>
  <c r="J196" i="1"/>
  <c r="P196" i="1"/>
  <c r="P181" i="1"/>
  <c r="J181" i="1"/>
  <c r="P179" i="1"/>
  <c r="J179" i="1"/>
  <c r="P178" i="1"/>
  <c r="J178" i="1"/>
  <c r="P175" i="1"/>
  <c r="R175" i="1" s="1"/>
  <c r="S175" i="1" s="1"/>
  <c r="P143" i="1"/>
  <c r="R143" i="1" s="1"/>
  <c r="S143" i="1" s="1"/>
  <c r="P88" i="1"/>
  <c r="R88" i="1" s="1"/>
  <c r="S88" i="1" s="1"/>
  <c r="P80" i="1"/>
  <c r="R80" i="1" s="1"/>
  <c r="S80" i="1" s="1"/>
  <c r="P76" i="1"/>
  <c r="R76" i="1" s="1"/>
  <c r="S76" i="1" s="1"/>
  <c r="P74" i="1"/>
  <c r="R74" i="1" s="1"/>
  <c r="S74" i="1" s="1"/>
  <c r="P72" i="1"/>
  <c r="R72" i="1" s="1"/>
  <c r="S72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78" i="1" l="1"/>
  <c r="S178" i="1" s="1"/>
  <c r="R181" i="1"/>
  <c r="S181" i="1" s="1"/>
  <c r="R32" i="1"/>
  <c r="S32" i="1" s="1"/>
  <c r="R196" i="1"/>
  <c r="S196" i="1" s="1"/>
  <c r="R179" i="1"/>
  <c r="S179" i="1" s="1"/>
  <c r="R31" i="1"/>
  <c r="S31" i="1" s="1"/>
  <c r="R33" i="1"/>
  <c r="S33" i="1" s="1"/>
  <c r="P30" i="1"/>
  <c r="R30" i="1" s="1"/>
  <c r="S30" i="1" s="1"/>
  <c r="P649" i="1"/>
  <c r="R649" i="1" s="1"/>
  <c r="S649" i="1" s="1"/>
  <c r="P870" i="1" l="1"/>
  <c r="R870" i="1" s="1"/>
  <c r="S870" i="1" s="1"/>
  <c r="P518" i="1"/>
  <c r="R518" i="1" s="1"/>
  <c r="S518" i="1" s="1"/>
  <c r="P517" i="1"/>
  <c r="R517" i="1" s="1"/>
  <c r="S517" i="1" s="1"/>
  <c r="P334" i="1"/>
  <c r="R334" i="1" s="1"/>
  <c r="S334" i="1" s="1"/>
  <c r="P297" i="1"/>
  <c r="R297" i="1" s="1"/>
  <c r="S297" i="1" s="1"/>
  <c r="P532" i="1"/>
  <c r="R532" i="1" s="1"/>
  <c r="S532" i="1" s="1"/>
  <c r="P25" i="1"/>
  <c r="R25" i="1" s="1"/>
  <c r="S25" i="1" s="1"/>
  <c r="P1012" i="1" l="1"/>
  <c r="R1012" i="1" s="1"/>
  <c r="S1012" i="1" s="1"/>
  <c r="P788" i="1"/>
  <c r="R788" i="1" s="1"/>
  <c r="S788" i="1" s="1"/>
  <c r="P451" i="1"/>
  <c r="R451" i="1" s="1"/>
  <c r="S451" i="1" s="1"/>
  <c r="P833" i="1"/>
  <c r="R833" i="1" s="1"/>
  <c r="S833" i="1" s="1"/>
  <c r="P991" i="1" l="1"/>
  <c r="R991" i="1" s="1"/>
  <c r="S991" i="1" s="1"/>
  <c r="P789" i="1" l="1"/>
  <c r="R789" i="1" s="1"/>
  <c r="S789" i="1" s="1"/>
  <c r="P990" i="1" l="1"/>
  <c r="R990" i="1" s="1"/>
  <c r="S990" i="1" s="1"/>
  <c r="P735" i="1"/>
  <c r="R735" i="1" s="1"/>
  <c r="S735" i="1" s="1"/>
  <c r="P97" i="1"/>
  <c r="R97" i="1" s="1"/>
  <c r="S97" i="1" s="1"/>
  <c r="P98" i="1"/>
  <c r="R98" i="1" s="1"/>
  <c r="S98" i="1" s="1"/>
  <c r="P753" i="1" l="1"/>
  <c r="R753" i="1" s="1"/>
  <c r="S753" i="1" s="1"/>
  <c r="P776" i="1"/>
  <c r="R776" i="1" s="1"/>
  <c r="S776" i="1" s="1"/>
  <c r="P717" i="1"/>
  <c r="R717" i="1" s="1"/>
  <c r="S717" i="1" s="1"/>
  <c r="P444" i="1"/>
  <c r="R444" i="1" s="1"/>
  <c r="S444" i="1" s="1"/>
  <c r="P327" i="1"/>
  <c r="R327" i="1" s="1"/>
  <c r="S327" i="1" s="1"/>
  <c r="P241" i="1"/>
  <c r="R241" i="1" s="1"/>
  <c r="S241" i="1" s="1"/>
  <c r="P119" i="1" l="1"/>
  <c r="R119" i="1" s="1"/>
  <c r="S119" i="1" s="1"/>
  <c r="P89" i="1"/>
  <c r="R89" i="1" s="1"/>
  <c r="S89" i="1" s="1"/>
  <c r="P81" i="1"/>
  <c r="R81" i="1" s="1"/>
  <c r="S81" i="1" s="1"/>
  <c r="P77" i="1"/>
  <c r="R77" i="1" s="1"/>
  <c r="S77" i="1" s="1"/>
  <c r="C274" i="1" l="1"/>
  <c r="P274" i="1" s="1"/>
  <c r="R274" i="1" s="1"/>
  <c r="S274" i="1" s="1"/>
  <c r="R853" i="1" l="1"/>
  <c r="S853" i="1" s="1"/>
  <c r="P563" i="1" l="1"/>
  <c r="R563" i="1" s="1"/>
  <c r="S563" i="1" s="1"/>
  <c r="P205" i="1" l="1"/>
  <c r="R205" i="1" s="1"/>
  <c r="S205" i="1" s="1"/>
  <c r="P206" i="1"/>
  <c r="R206" i="1" s="1"/>
  <c r="S206" i="1" s="1"/>
  <c r="P609" i="1" l="1"/>
  <c r="R609" i="1" s="1"/>
  <c r="S609" i="1" s="1"/>
  <c r="P610" i="1"/>
  <c r="R610" i="1" s="1"/>
  <c r="S610" i="1" s="1"/>
  <c r="P611" i="1"/>
  <c r="R611" i="1" s="1"/>
  <c r="S611" i="1" s="1"/>
  <c r="P608" i="1"/>
  <c r="R608" i="1" s="1"/>
  <c r="S608" i="1" s="1"/>
  <c r="P760" i="1" l="1"/>
  <c r="J760" i="1"/>
  <c r="P679" i="1"/>
  <c r="R679" i="1" s="1"/>
  <c r="S679" i="1" s="1"/>
  <c r="J734" i="1"/>
  <c r="P734" i="1"/>
  <c r="P733" i="1"/>
  <c r="R733" i="1" s="1"/>
  <c r="S733" i="1" s="1"/>
  <c r="P841" i="1"/>
  <c r="R841" i="1" s="1"/>
  <c r="S841" i="1" s="1"/>
  <c r="P342" i="1"/>
  <c r="R342" i="1" s="1"/>
  <c r="S342" i="1" s="1"/>
  <c r="P341" i="1"/>
  <c r="R341" i="1" s="1"/>
  <c r="S341" i="1" s="1"/>
  <c r="P340" i="1"/>
  <c r="R340" i="1" s="1"/>
  <c r="S340" i="1" s="1"/>
  <c r="J173" i="1"/>
  <c r="P173" i="1"/>
  <c r="P172" i="1"/>
  <c r="R172" i="1" s="1"/>
  <c r="S172" i="1" s="1"/>
  <c r="P87" i="1"/>
  <c r="R87" i="1" s="1"/>
  <c r="S87" i="1" s="1"/>
  <c r="P78" i="1"/>
  <c r="R78" i="1" s="1"/>
  <c r="S78" i="1" s="1"/>
  <c r="P75" i="1"/>
  <c r="R75" i="1" s="1"/>
  <c r="S75" i="1" s="1"/>
  <c r="P73" i="1"/>
  <c r="R73" i="1" s="1"/>
  <c r="S73" i="1" s="1"/>
  <c r="P61" i="1"/>
  <c r="R61" i="1" s="1"/>
  <c r="S61" i="1" s="1"/>
  <c r="P37" i="1"/>
  <c r="R37" i="1" s="1"/>
  <c r="S37" i="1" s="1"/>
  <c r="P535" i="1"/>
  <c r="R535" i="1" s="1"/>
  <c r="S535" i="1" s="1"/>
  <c r="P224" i="1"/>
  <c r="R224" i="1" s="1"/>
  <c r="S224" i="1" s="1"/>
  <c r="P225" i="1"/>
  <c r="R225" i="1" s="1"/>
  <c r="S225" i="1" s="1"/>
  <c r="J183" i="1"/>
  <c r="P183" i="1"/>
  <c r="P84" i="1"/>
  <c r="R84" i="1" s="1"/>
  <c r="S84" i="1" s="1"/>
  <c r="P83" i="1"/>
  <c r="R83" i="1" s="1"/>
  <c r="S83" i="1" s="1"/>
  <c r="P63" i="1"/>
  <c r="R63" i="1" s="1"/>
  <c r="S63" i="1" s="1"/>
  <c r="R734" i="1" l="1"/>
  <c r="S734" i="1" s="1"/>
  <c r="R760" i="1"/>
  <c r="S760" i="1" s="1"/>
  <c r="R173" i="1"/>
  <c r="S173" i="1" s="1"/>
  <c r="R183" i="1"/>
  <c r="S183" i="1" s="1"/>
  <c r="P500" i="1"/>
  <c r="J975" i="1"/>
  <c r="J973" i="1"/>
  <c r="P973" i="1"/>
  <c r="P1020" i="1"/>
  <c r="R1020" i="1" s="1"/>
  <c r="S1020" i="1" s="1"/>
  <c r="P1017" i="1"/>
  <c r="R1017" i="1" s="1"/>
  <c r="S1017" i="1" s="1"/>
  <c r="P1014" i="1"/>
  <c r="R1014" i="1" s="1"/>
  <c r="S1014" i="1" s="1"/>
  <c r="P1010" i="1"/>
  <c r="J1010" i="1"/>
  <c r="P1009" i="1"/>
  <c r="J1009" i="1"/>
  <c r="P1008" i="1"/>
  <c r="J1008" i="1"/>
  <c r="P1007" i="1"/>
  <c r="J1007" i="1"/>
  <c r="P1006" i="1"/>
  <c r="R1006" i="1" s="1"/>
  <c r="S1006" i="1" s="1"/>
  <c r="P1005" i="1"/>
  <c r="J1005" i="1"/>
  <c r="P1004" i="1"/>
  <c r="J1004" i="1"/>
  <c r="P1003" i="1"/>
  <c r="J1003" i="1"/>
  <c r="P1002" i="1"/>
  <c r="J1002" i="1"/>
  <c r="P1000" i="1"/>
  <c r="R1000" i="1" s="1"/>
  <c r="S1000" i="1" s="1"/>
  <c r="P999" i="1"/>
  <c r="R999" i="1" s="1"/>
  <c r="S999" i="1" s="1"/>
  <c r="P998" i="1"/>
  <c r="R998" i="1" s="1"/>
  <c r="S998" i="1" s="1"/>
  <c r="P997" i="1"/>
  <c r="R997" i="1" s="1"/>
  <c r="S997" i="1" s="1"/>
  <c r="P996" i="1"/>
  <c r="R996" i="1" s="1"/>
  <c r="S996" i="1" s="1"/>
  <c r="P995" i="1"/>
  <c r="R995" i="1" s="1"/>
  <c r="S995" i="1" s="1"/>
  <c r="P994" i="1"/>
  <c r="R994" i="1" s="1"/>
  <c r="S994" i="1" s="1"/>
  <c r="P993" i="1"/>
  <c r="R993" i="1" s="1"/>
  <c r="S993" i="1" s="1"/>
  <c r="P992" i="1"/>
  <c r="R992" i="1" s="1"/>
  <c r="S992" i="1" s="1"/>
  <c r="P989" i="1"/>
  <c r="R989" i="1" s="1"/>
  <c r="S989" i="1" s="1"/>
  <c r="P986" i="1"/>
  <c r="J986" i="1"/>
  <c r="P985" i="1"/>
  <c r="J985" i="1"/>
  <c r="P984" i="1"/>
  <c r="J984" i="1"/>
  <c r="P983" i="1"/>
  <c r="J983" i="1"/>
  <c r="P982" i="1"/>
  <c r="J982" i="1"/>
  <c r="P980" i="1"/>
  <c r="R980" i="1" s="1"/>
  <c r="S980" i="1" s="1"/>
  <c r="S979" i="1"/>
  <c r="P977" i="1"/>
  <c r="J977" i="1"/>
  <c r="P976" i="1"/>
  <c r="J976" i="1"/>
  <c r="P975" i="1"/>
  <c r="P970" i="1"/>
  <c r="R970" i="1" s="1"/>
  <c r="S970" i="1" s="1"/>
  <c r="S969" i="1"/>
  <c r="P967" i="1"/>
  <c r="R967" i="1" s="1"/>
  <c r="S967" i="1" s="1"/>
  <c r="P966" i="1"/>
  <c r="R966" i="1" s="1"/>
  <c r="S966" i="1" s="1"/>
  <c r="P965" i="1"/>
  <c r="J965" i="1"/>
  <c r="P964" i="1"/>
  <c r="J964" i="1"/>
  <c r="P962" i="1"/>
  <c r="R962" i="1" s="1"/>
  <c r="S962" i="1" s="1"/>
  <c r="P961" i="1"/>
  <c r="R961" i="1" s="1"/>
  <c r="S961" i="1" s="1"/>
  <c r="P959" i="1"/>
  <c r="R959" i="1" s="1"/>
  <c r="S959" i="1" s="1"/>
  <c r="P958" i="1"/>
  <c r="R958" i="1" s="1"/>
  <c r="S958" i="1" s="1"/>
  <c r="P957" i="1"/>
  <c r="R957" i="1" s="1"/>
  <c r="S957" i="1" s="1"/>
  <c r="P953" i="1"/>
  <c r="J953" i="1"/>
  <c r="P950" i="1"/>
  <c r="J950" i="1"/>
  <c r="P949" i="1"/>
  <c r="J949" i="1"/>
  <c r="P948" i="1"/>
  <c r="R948" i="1" s="1"/>
  <c r="S948" i="1" s="1"/>
  <c r="P947" i="1"/>
  <c r="R947" i="1" s="1"/>
  <c r="S947" i="1" s="1"/>
  <c r="J946" i="1"/>
  <c r="P946" i="1"/>
  <c r="J945" i="1"/>
  <c r="P945" i="1"/>
  <c r="P943" i="1"/>
  <c r="R943" i="1" s="1"/>
  <c r="S943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P930" i="1"/>
  <c r="R930" i="1" s="1"/>
  <c r="S930" i="1" s="1"/>
  <c r="P927" i="1"/>
  <c r="R927" i="1" s="1"/>
  <c r="S927" i="1" s="1"/>
  <c r="P924" i="1"/>
  <c r="R924" i="1" s="1"/>
  <c r="S924" i="1" s="1"/>
  <c r="P923" i="1"/>
  <c r="R923" i="1" s="1"/>
  <c r="S923" i="1" s="1"/>
  <c r="P922" i="1"/>
  <c r="R922" i="1" s="1"/>
  <c r="S922" i="1" s="1"/>
  <c r="P920" i="1"/>
  <c r="J920" i="1"/>
  <c r="P919" i="1"/>
  <c r="J919" i="1"/>
  <c r="P918" i="1"/>
  <c r="J918" i="1"/>
  <c r="P916" i="1"/>
  <c r="R916" i="1" s="1"/>
  <c r="S916" i="1" s="1"/>
  <c r="P914" i="1"/>
  <c r="R914" i="1" s="1"/>
  <c r="S914" i="1" s="1"/>
  <c r="P913" i="1"/>
  <c r="R913" i="1" s="1"/>
  <c r="S913" i="1" s="1"/>
  <c r="P910" i="1"/>
  <c r="R910" i="1" s="1"/>
  <c r="S910" i="1" s="1"/>
  <c r="P908" i="1"/>
  <c r="R908" i="1" s="1"/>
  <c r="S908" i="1" s="1"/>
  <c r="P907" i="1"/>
  <c r="R907" i="1" s="1"/>
  <c r="S907" i="1" s="1"/>
  <c r="P906" i="1"/>
  <c r="R906" i="1" s="1"/>
  <c r="S906" i="1" s="1"/>
  <c r="P905" i="1"/>
  <c r="R905" i="1" s="1"/>
  <c r="S905" i="1" s="1"/>
  <c r="P904" i="1"/>
  <c r="R904" i="1" s="1"/>
  <c r="S904" i="1" s="1"/>
  <c r="P902" i="1"/>
  <c r="J902" i="1"/>
  <c r="P901" i="1"/>
  <c r="J901" i="1"/>
  <c r="J900" i="1"/>
  <c r="P900" i="1"/>
  <c r="P899" i="1"/>
  <c r="J899" i="1"/>
  <c r="P898" i="1"/>
  <c r="R898" i="1" s="1"/>
  <c r="S898" i="1" s="1"/>
  <c r="P897" i="1"/>
  <c r="J897" i="1"/>
  <c r="P896" i="1"/>
  <c r="J896" i="1"/>
  <c r="J895" i="1"/>
  <c r="P895" i="1"/>
  <c r="P894" i="1"/>
  <c r="J894" i="1"/>
  <c r="P893" i="1"/>
  <c r="J893" i="1"/>
  <c r="P892" i="1"/>
  <c r="R892" i="1" s="1"/>
  <c r="S892" i="1" s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1" i="1"/>
  <c r="R881" i="1" s="1"/>
  <c r="S881" i="1" s="1"/>
  <c r="P880" i="1"/>
  <c r="R880" i="1" s="1"/>
  <c r="S880" i="1" s="1"/>
  <c r="P879" i="1"/>
  <c r="R879" i="1" s="1"/>
  <c r="S879" i="1" s="1"/>
  <c r="P878" i="1"/>
  <c r="R878" i="1" s="1"/>
  <c r="S878" i="1" s="1"/>
  <c r="P877" i="1"/>
  <c r="R877" i="1" s="1"/>
  <c r="S877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872" i="1"/>
  <c r="J872" i="1"/>
  <c r="P869" i="1"/>
  <c r="R869" i="1" s="1"/>
  <c r="S869" i="1" s="1"/>
  <c r="P868" i="1"/>
  <c r="R868" i="1" s="1"/>
  <c r="S868" i="1" s="1"/>
  <c r="P867" i="1"/>
  <c r="R867" i="1" s="1"/>
  <c r="S867" i="1" s="1"/>
  <c r="P864" i="1"/>
  <c r="J864" i="1"/>
  <c r="P862" i="1"/>
  <c r="R862" i="1" s="1"/>
  <c r="S862" i="1" s="1"/>
  <c r="P861" i="1"/>
  <c r="R861" i="1" s="1"/>
  <c r="S861" i="1" s="1"/>
  <c r="P857" i="1"/>
  <c r="J857" i="1"/>
  <c r="P856" i="1"/>
  <c r="J856" i="1"/>
  <c r="P854" i="1"/>
  <c r="R854" i="1" s="1"/>
  <c r="S854" i="1" s="1"/>
  <c r="P852" i="1"/>
  <c r="J852" i="1"/>
  <c r="P851" i="1"/>
  <c r="J851" i="1"/>
  <c r="P848" i="1"/>
  <c r="J848" i="1"/>
  <c r="P847" i="1"/>
  <c r="J847" i="1"/>
  <c r="P846" i="1"/>
  <c r="R846" i="1" s="1"/>
  <c r="S846" i="1" s="1"/>
  <c r="P845" i="1"/>
  <c r="R845" i="1" s="1"/>
  <c r="S845" i="1" s="1"/>
  <c r="P844" i="1"/>
  <c r="J844" i="1"/>
  <c r="P843" i="1"/>
  <c r="J843" i="1"/>
  <c r="P839" i="1"/>
  <c r="R839" i="1" s="1"/>
  <c r="S839" i="1" s="1"/>
  <c r="P835" i="1"/>
  <c r="R835" i="1" s="1"/>
  <c r="S835" i="1" s="1"/>
  <c r="P832" i="1"/>
  <c r="R832" i="1" s="1"/>
  <c r="S832" i="1" s="1"/>
  <c r="P830" i="1"/>
  <c r="R830" i="1" s="1"/>
  <c r="S830" i="1" s="1"/>
  <c r="P828" i="1"/>
  <c r="R828" i="1" s="1"/>
  <c r="S828" i="1" s="1"/>
  <c r="P827" i="1"/>
  <c r="J827" i="1"/>
  <c r="P826" i="1"/>
  <c r="J826" i="1"/>
  <c r="P824" i="1"/>
  <c r="R824" i="1" s="1"/>
  <c r="S824" i="1" s="1"/>
  <c r="P823" i="1"/>
  <c r="R823" i="1" s="1"/>
  <c r="S823" i="1" s="1"/>
  <c r="P819" i="1"/>
  <c r="J819" i="1"/>
  <c r="P818" i="1"/>
  <c r="J818" i="1"/>
  <c r="P817" i="1"/>
  <c r="J817" i="1"/>
  <c r="P816" i="1"/>
  <c r="J816" i="1"/>
  <c r="P815" i="1"/>
  <c r="J815" i="1"/>
  <c r="P814" i="1"/>
  <c r="J814" i="1"/>
  <c r="P813" i="1"/>
  <c r="J813" i="1"/>
  <c r="J812" i="1"/>
  <c r="P812" i="1"/>
  <c r="P811" i="1"/>
  <c r="J811" i="1"/>
  <c r="P809" i="1"/>
  <c r="R809" i="1" s="1"/>
  <c r="S809" i="1" s="1"/>
  <c r="P808" i="1"/>
  <c r="R808" i="1" s="1"/>
  <c r="S808" i="1" s="1"/>
  <c r="P807" i="1"/>
  <c r="R807" i="1" s="1"/>
  <c r="S807" i="1" s="1"/>
  <c r="P806" i="1"/>
  <c r="R806" i="1" s="1"/>
  <c r="S806" i="1" s="1"/>
  <c r="P805" i="1"/>
  <c r="R805" i="1" s="1"/>
  <c r="S805" i="1" s="1"/>
  <c r="P804" i="1"/>
  <c r="R804" i="1" s="1"/>
  <c r="S804" i="1" s="1"/>
  <c r="P801" i="1"/>
  <c r="J801" i="1"/>
  <c r="P799" i="1"/>
  <c r="R799" i="1" s="1"/>
  <c r="S799" i="1" s="1"/>
  <c r="P795" i="1"/>
  <c r="R795" i="1" s="1"/>
  <c r="S795" i="1" s="1"/>
  <c r="P794" i="1"/>
  <c r="R794" i="1" s="1"/>
  <c r="S794" i="1" s="1"/>
  <c r="P793" i="1"/>
  <c r="R793" i="1" s="1"/>
  <c r="S793" i="1" s="1"/>
  <c r="P792" i="1"/>
  <c r="R792" i="1" s="1"/>
  <c r="S792" i="1" s="1"/>
  <c r="P791" i="1"/>
  <c r="R791" i="1" s="1"/>
  <c r="S791" i="1" s="1"/>
  <c r="P787" i="1"/>
  <c r="R787" i="1" s="1"/>
  <c r="S787" i="1" s="1"/>
  <c r="P786" i="1"/>
  <c r="R786" i="1" s="1"/>
  <c r="S786" i="1" s="1"/>
  <c r="P785" i="1"/>
  <c r="R785" i="1" s="1"/>
  <c r="S785" i="1" s="1"/>
  <c r="P784" i="1"/>
  <c r="R784" i="1" s="1"/>
  <c r="S784" i="1" s="1"/>
  <c r="P783" i="1"/>
  <c r="R783" i="1" s="1"/>
  <c r="S783" i="1" s="1"/>
  <c r="P782" i="1"/>
  <c r="R782" i="1" s="1"/>
  <c r="S782" i="1" s="1"/>
  <c r="P780" i="1"/>
  <c r="J780" i="1"/>
  <c r="P778" i="1"/>
  <c r="R778" i="1" s="1"/>
  <c r="S778" i="1" s="1"/>
  <c r="P777" i="1"/>
  <c r="R777" i="1" s="1"/>
  <c r="S777" i="1" s="1"/>
  <c r="P775" i="1"/>
  <c r="R775" i="1" s="1"/>
  <c r="S775" i="1" s="1"/>
  <c r="P772" i="1"/>
  <c r="R772" i="1" s="1"/>
  <c r="S772" i="1" s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J763" i="1"/>
  <c r="P763" i="1"/>
  <c r="J762" i="1"/>
  <c r="P762" i="1"/>
  <c r="P758" i="1"/>
  <c r="R758" i="1" s="1"/>
  <c r="S758" i="1" s="1"/>
  <c r="P757" i="1"/>
  <c r="R757" i="1" s="1"/>
  <c r="S757" i="1" s="1"/>
  <c r="P756" i="1"/>
  <c r="R756" i="1" s="1"/>
  <c r="S756" i="1" s="1"/>
  <c r="P755" i="1"/>
  <c r="R755" i="1" s="1"/>
  <c r="S755" i="1" s="1"/>
  <c r="P754" i="1"/>
  <c r="R754" i="1" s="1"/>
  <c r="S754" i="1" s="1"/>
  <c r="P752" i="1"/>
  <c r="R752" i="1" s="1"/>
  <c r="S752" i="1" s="1"/>
  <c r="P751" i="1"/>
  <c r="R751" i="1" s="1"/>
  <c r="S751" i="1" s="1"/>
  <c r="P750" i="1"/>
  <c r="R750" i="1" s="1"/>
  <c r="S750" i="1" s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5" i="1"/>
  <c r="R745" i="1" s="1"/>
  <c r="S745" i="1" s="1"/>
  <c r="H742" i="1"/>
  <c r="P742" i="1" s="1"/>
  <c r="R742" i="1" s="1"/>
  <c r="S742" i="1" s="1"/>
  <c r="P740" i="1"/>
  <c r="J740" i="1"/>
  <c r="P739" i="1"/>
  <c r="R739" i="1" s="1"/>
  <c r="S739" i="1" s="1"/>
  <c r="P738" i="1"/>
  <c r="J738" i="1"/>
  <c r="P736" i="1"/>
  <c r="R736" i="1" s="1"/>
  <c r="S736" i="1" s="1"/>
  <c r="P732" i="1"/>
  <c r="R732" i="1" s="1"/>
  <c r="S732" i="1" s="1"/>
  <c r="P731" i="1"/>
  <c r="R731" i="1" s="1"/>
  <c r="S731" i="1" s="1"/>
  <c r="P728" i="1"/>
  <c r="R728" i="1" s="1"/>
  <c r="S728" i="1" s="1"/>
  <c r="P727" i="1"/>
  <c r="R727" i="1" s="1"/>
  <c r="S727" i="1" s="1"/>
  <c r="P726" i="1"/>
  <c r="R726" i="1" s="1"/>
  <c r="S726" i="1" s="1"/>
  <c r="P724" i="1"/>
  <c r="J724" i="1"/>
  <c r="P723" i="1"/>
  <c r="J723" i="1"/>
  <c r="P722" i="1"/>
  <c r="R722" i="1" s="1"/>
  <c r="S722" i="1" s="1"/>
  <c r="P721" i="1"/>
  <c r="J721" i="1"/>
  <c r="P720" i="1"/>
  <c r="J720" i="1"/>
  <c r="P718" i="1"/>
  <c r="R718" i="1" s="1"/>
  <c r="S718" i="1" s="1"/>
  <c r="P716" i="1"/>
  <c r="R716" i="1" s="1"/>
  <c r="S716" i="1" s="1"/>
  <c r="P715" i="1"/>
  <c r="R715" i="1" s="1"/>
  <c r="S715" i="1" s="1"/>
  <c r="P714" i="1"/>
  <c r="R714" i="1" s="1"/>
  <c r="S714" i="1" s="1"/>
  <c r="P713" i="1"/>
  <c r="R713" i="1" s="1"/>
  <c r="S713" i="1" s="1"/>
  <c r="P712" i="1"/>
  <c r="R712" i="1" s="1"/>
  <c r="S712" i="1" s="1"/>
  <c r="P709" i="1"/>
  <c r="R709" i="1" s="1"/>
  <c r="S709" i="1" s="1"/>
  <c r="P708" i="1"/>
  <c r="R708" i="1" s="1"/>
  <c r="S708" i="1" s="1"/>
  <c r="P705" i="1"/>
  <c r="R705" i="1" s="1"/>
  <c r="S705" i="1" s="1"/>
  <c r="P704" i="1"/>
  <c r="R704" i="1" s="1"/>
  <c r="S704" i="1" s="1"/>
  <c r="P703" i="1"/>
  <c r="R703" i="1" s="1"/>
  <c r="S703" i="1" s="1"/>
  <c r="P702" i="1"/>
  <c r="R702" i="1" s="1"/>
  <c r="S702" i="1" s="1"/>
  <c r="P701" i="1"/>
  <c r="R701" i="1" s="1"/>
  <c r="S701" i="1" s="1"/>
  <c r="P698" i="1"/>
  <c r="R698" i="1" s="1"/>
  <c r="S698" i="1" s="1"/>
  <c r="P696" i="1"/>
  <c r="J696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J688" i="1"/>
  <c r="P688" i="1"/>
  <c r="P687" i="1"/>
  <c r="J687" i="1"/>
  <c r="P686" i="1"/>
  <c r="R686" i="1" s="1"/>
  <c r="S686" i="1" s="1"/>
  <c r="P685" i="1"/>
  <c r="J685" i="1"/>
  <c r="P684" i="1"/>
  <c r="J684" i="1"/>
  <c r="J683" i="1"/>
  <c r="P683" i="1"/>
  <c r="J682" i="1"/>
  <c r="P682" i="1"/>
  <c r="P681" i="1"/>
  <c r="J681" i="1"/>
  <c r="P680" i="1"/>
  <c r="J680" i="1"/>
  <c r="P678" i="1"/>
  <c r="J678" i="1"/>
  <c r="P676" i="1"/>
  <c r="R676" i="1" s="1"/>
  <c r="S676" i="1" s="1"/>
  <c r="P675" i="1"/>
  <c r="R675" i="1" s="1"/>
  <c r="S675" i="1" s="1"/>
  <c r="P674" i="1"/>
  <c r="R674" i="1" s="1"/>
  <c r="S674" i="1" s="1"/>
  <c r="P673" i="1"/>
  <c r="R673" i="1" s="1"/>
  <c r="S673" i="1" s="1"/>
  <c r="P672" i="1"/>
  <c r="R672" i="1" s="1"/>
  <c r="S672" i="1" s="1"/>
  <c r="P671" i="1"/>
  <c r="R671" i="1" s="1"/>
  <c r="S671" i="1" s="1"/>
  <c r="P665" i="1"/>
  <c r="R665" i="1" s="1"/>
  <c r="S665" i="1" s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57" i="1"/>
  <c r="R657" i="1" s="1"/>
  <c r="S657" i="1" s="1"/>
  <c r="P655" i="1"/>
  <c r="J655" i="1"/>
  <c r="P652" i="1"/>
  <c r="J652" i="1"/>
  <c r="P651" i="1"/>
  <c r="J651" i="1"/>
  <c r="P648" i="1"/>
  <c r="R648" i="1" s="1"/>
  <c r="S648" i="1" s="1"/>
  <c r="P645" i="1"/>
  <c r="R645" i="1" s="1"/>
  <c r="S645" i="1" s="1"/>
  <c r="P643" i="1"/>
  <c r="J643" i="1"/>
  <c r="P642" i="1"/>
  <c r="J642" i="1"/>
  <c r="P640" i="1"/>
  <c r="R640" i="1" s="1"/>
  <c r="S640" i="1" s="1"/>
  <c r="P638" i="1"/>
  <c r="R638" i="1" s="1"/>
  <c r="S638" i="1" s="1"/>
  <c r="P637" i="1"/>
  <c r="J637" i="1"/>
  <c r="P634" i="1"/>
  <c r="J634" i="1"/>
  <c r="P633" i="1"/>
  <c r="J633" i="1"/>
  <c r="P632" i="1"/>
  <c r="J632" i="1"/>
  <c r="P630" i="1"/>
  <c r="R630" i="1" s="1"/>
  <c r="S630" i="1" s="1"/>
  <c r="P627" i="1"/>
  <c r="J627" i="1"/>
  <c r="P626" i="1"/>
  <c r="J626" i="1"/>
  <c r="P624" i="1"/>
  <c r="R624" i="1" s="1"/>
  <c r="S624" i="1" s="1"/>
  <c r="P623" i="1"/>
  <c r="R623" i="1" s="1"/>
  <c r="S623" i="1" s="1"/>
  <c r="P622" i="1"/>
  <c r="R622" i="1" s="1"/>
  <c r="S622" i="1" s="1"/>
  <c r="P621" i="1"/>
  <c r="R621" i="1" s="1"/>
  <c r="S621" i="1" s="1"/>
  <c r="P620" i="1"/>
  <c r="R620" i="1" s="1"/>
  <c r="S620" i="1" s="1"/>
  <c r="P619" i="1"/>
  <c r="R619" i="1" s="1"/>
  <c r="S619" i="1" s="1"/>
  <c r="P616" i="1"/>
  <c r="R616" i="1" s="1"/>
  <c r="S616" i="1" s="1"/>
  <c r="P615" i="1"/>
  <c r="R615" i="1" s="1"/>
  <c r="S615" i="1" s="1"/>
  <c r="P613" i="1"/>
  <c r="R613" i="1" s="1"/>
  <c r="S613" i="1" s="1"/>
  <c r="P607" i="1"/>
  <c r="R607" i="1" s="1"/>
  <c r="S607" i="1" s="1"/>
  <c r="P606" i="1"/>
  <c r="J606" i="1"/>
  <c r="P605" i="1"/>
  <c r="R605" i="1" s="1"/>
  <c r="S605" i="1" s="1"/>
  <c r="P604" i="1"/>
  <c r="R604" i="1" s="1"/>
  <c r="S604" i="1" s="1"/>
  <c r="P603" i="1"/>
  <c r="R603" i="1" s="1"/>
  <c r="S603" i="1" s="1"/>
  <c r="P601" i="1"/>
  <c r="J601" i="1"/>
  <c r="P600" i="1"/>
  <c r="J600" i="1"/>
  <c r="P599" i="1"/>
  <c r="J599" i="1"/>
  <c r="P598" i="1"/>
  <c r="J598" i="1"/>
  <c r="J597" i="1"/>
  <c r="P597" i="1"/>
  <c r="P596" i="1"/>
  <c r="J596" i="1"/>
  <c r="P595" i="1"/>
  <c r="J595" i="1"/>
  <c r="P594" i="1"/>
  <c r="J594" i="1"/>
  <c r="P593" i="1"/>
  <c r="R593" i="1" s="1"/>
  <c r="S593" i="1" s="1"/>
  <c r="P592" i="1"/>
  <c r="J592" i="1"/>
  <c r="J591" i="1"/>
  <c r="P591" i="1"/>
  <c r="P590" i="1"/>
  <c r="J590" i="1"/>
  <c r="P589" i="1"/>
  <c r="J589" i="1"/>
  <c r="P588" i="1"/>
  <c r="J588" i="1"/>
  <c r="P587" i="1"/>
  <c r="J587" i="1"/>
  <c r="P585" i="1"/>
  <c r="J585" i="1"/>
  <c r="P583" i="1"/>
  <c r="J583" i="1"/>
  <c r="P580" i="1"/>
  <c r="J580" i="1"/>
  <c r="P579" i="1"/>
  <c r="J579" i="1"/>
  <c r="P578" i="1"/>
  <c r="J578" i="1"/>
  <c r="P577" i="1"/>
  <c r="J577" i="1"/>
  <c r="P576" i="1"/>
  <c r="R576" i="1" s="1"/>
  <c r="S576" i="1" s="1"/>
  <c r="P575" i="1"/>
  <c r="J575" i="1"/>
  <c r="P574" i="1"/>
  <c r="J574" i="1"/>
  <c r="P573" i="1"/>
  <c r="R573" i="1" s="1"/>
  <c r="S573" i="1" s="1"/>
  <c r="P571" i="1"/>
  <c r="R571" i="1" s="1"/>
  <c r="S571" i="1" s="1"/>
  <c r="P570" i="1"/>
  <c r="R570" i="1" s="1"/>
  <c r="S570" i="1" s="1"/>
  <c r="P569" i="1"/>
  <c r="R569" i="1" s="1"/>
  <c r="S569" i="1" s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2" i="1"/>
  <c r="R562" i="1" s="1"/>
  <c r="S562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7" i="1"/>
  <c r="R557" i="1" s="1"/>
  <c r="S557" i="1" s="1"/>
  <c r="P556" i="1"/>
  <c r="R556" i="1" s="1"/>
  <c r="S556" i="1" s="1"/>
  <c r="P555" i="1"/>
  <c r="R555" i="1" s="1"/>
  <c r="S555" i="1" s="1"/>
  <c r="P553" i="1"/>
  <c r="R553" i="1" s="1"/>
  <c r="S553" i="1" s="1"/>
  <c r="P552" i="1"/>
  <c r="R552" i="1" s="1"/>
  <c r="S552" i="1" s="1"/>
  <c r="P550" i="1"/>
  <c r="R550" i="1" s="1"/>
  <c r="S550" i="1" s="1"/>
  <c r="P549" i="1"/>
  <c r="R549" i="1" s="1"/>
  <c r="S549" i="1" s="1"/>
  <c r="P548" i="1"/>
  <c r="R548" i="1" s="1"/>
  <c r="S548" i="1" s="1"/>
  <c r="P547" i="1"/>
  <c r="R547" i="1" s="1"/>
  <c r="S547" i="1" s="1"/>
  <c r="P544" i="1"/>
  <c r="J544" i="1"/>
  <c r="P543" i="1"/>
  <c r="J543" i="1"/>
  <c r="P542" i="1"/>
  <c r="R542" i="1" s="1"/>
  <c r="S542" i="1" s="1"/>
  <c r="P541" i="1"/>
  <c r="R541" i="1" s="1"/>
  <c r="S541" i="1" s="1"/>
  <c r="P540" i="1"/>
  <c r="R540" i="1" s="1"/>
  <c r="S540" i="1" s="1"/>
  <c r="P539" i="1"/>
  <c r="J539" i="1"/>
  <c r="P538" i="1"/>
  <c r="R538" i="1" s="1"/>
  <c r="S538" i="1" s="1"/>
  <c r="P536" i="1"/>
  <c r="R536" i="1" s="1"/>
  <c r="S536" i="1" s="1"/>
  <c r="P534" i="1"/>
  <c r="R534" i="1" s="1"/>
  <c r="S534" i="1" s="1"/>
  <c r="P533" i="1"/>
  <c r="R533" i="1" s="1"/>
  <c r="S533" i="1" s="1"/>
  <c r="P531" i="1"/>
  <c r="R531" i="1" s="1"/>
  <c r="S531" i="1" s="1"/>
  <c r="P530" i="1"/>
  <c r="R530" i="1" s="1"/>
  <c r="S530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1" i="1"/>
  <c r="J521" i="1"/>
  <c r="P520" i="1"/>
  <c r="J520" i="1"/>
  <c r="P514" i="1"/>
  <c r="R514" i="1" s="1"/>
  <c r="S514" i="1" s="1"/>
  <c r="P513" i="1"/>
  <c r="R513" i="1" s="1"/>
  <c r="S513" i="1" s="1"/>
  <c r="J510" i="1"/>
  <c r="P510" i="1"/>
  <c r="J509" i="1"/>
  <c r="P509" i="1"/>
  <c r="P508" i="1"/>
  <c r="J508" i="1"/>
  <c r="P506" i="1"/>
  <c r="R506" i="1" s="1"/>
  <c r="S506" i="1" s="1"/>
  <c r="P505" i="1"/>
  <c r="R505" i="1" s="1"/>
  <c r="S505" i="1" s="1"/>
  <c r="P502" i="1"/>
  <c r="R502" i="1" s="1"/>
  <c r="S502" i="1" s="1"/>
  <c r="J501" i="1"/>
  <c r="P501" i="1"/>
  <c r="J500" i="1"/>
  <c r="J499" i="1"/>
  <c r="P499" i="1"/>
  <c r="P497" i="1"/>
  <c r="R497" i="1" s="1"/>
  <c r="S497" i="1" s="1"/>
  <c r="P496" i="1"/>
  <c r="R496" i="1" s="1"/>
  <c r="S496" i="1" s="1"/>
  <c r="P495" i="1"/>
  <c r="R495" i="1" s="1"/>
  <c r="S495" i="1" s="1"/>
  <c r="P494" i="1"/>
  <c r="R494" i="1" s="1"/>
  <c r="S494" i="1" s="1"/>
  <c r="P493" i="1"/>
  <c r="R493" i="1" s="1"/>
  <c r="S493" i="1" s="1"/>
  <c r="P489" i="1"/>
  <c r="R489" i="1" s="1"/>
  <c r="S489" i="1" s="1"/>
  <c r="J486" i="1"/>
  <c r="P486" i="1"/>
  <c r="P485" i="1"/>
  <c r="J485" i="1"/>
  <c r="P484" i="1"/>
  <c r="J484" i="1"/>
  <c r="P483" i="1"/>
  <c r="J483" i="1"/>
  <c r="P481" i="1"/>
  <c r="R481" i="1" s="1"/>
  <c r="S481" i="1" s="1"/>
  <c r="P480" i="1"/>
  <c r="R480" i="1" s="1"/>
  <c r="S480" i="1" s="1"/>
  <c r="P479" i="1"/>
  <c r="R479" i="1" s="1"/>
  <c r="S479" i="1" s="1"/>
  <c r="P478" i="1"/>
  <c r="R478" i="1" s="1"/>
  <c r="S478" i="1" s="1"/>
  <c r="P477" i="1"/>
  <c r="R477" i="1" s="1"/>
  <c r="S477" i="1" s="1"/>
  <c r="P476" i="1"/>
  <c r="R476" i="1" s="1"/>
  <c r="S476" i="1" s="1"/>
  <c r="P473" i="1"/>
  <c r="R473" i="1" s="1"/>
  <c r="S473" i="1" s="1"/>
  <c r="P470" i="1"/>
  <c r="R470" i="1" s="1"/>
  <c r="S470" i="1" s="1"/>
  <c r="P468" i="1"/>
  <c r="R468" i="1" s="1"/>
  <c r="S468" i="1" s="1"/>
  <c r="J465" i="1"/>
  <c r="P465" i="1"/>
  <c r="J464" i="1"/>
  <c r="P464" i="1"/>
  <c r="P463" i="1"/>
  <c r="J463" i="1"/>
  <c r="P461" i="1"/>
  <c r="J461" i="1"/>
  <c r="J460" i="1"/>
  <c r="P460" i="1"/>
  <c r="P459" i="1"/>
  <c r="J459" i="1"/>
  <c r="P458" i="1"/>
  <c r="J458" i="1"/>
  <c r="P457" i="1"/>
  <c r="J457" i="1"/>
  <c r="P456" i="1"/>
  <c r="J456" i="1"/>
  <c r="J455" i="1"/>
  <c r="P455" i="1"/>
  <c r="P454" i="1"/>
  <c r="J454" i="1"/>
  <c r="S453" i="1"/>
  <c r="P449" i="1"/>
  <c r="J449" i="1"/>
  <c r="P448" i="1"/>
  <c r="J448" i="1"/>
  <c r="J447" i="1"/>
  <c r="P447" i="1"/>
  <c r="P445" i="1"/>
  <c r="J445" i="1"/>
  <c r="P443" i="1"/>
  <c r="J443" i="1"/>
  <c r="P442" i="1"/>
  <c r="J442" i="1"/>
  <c r="P441" i="1"/>
  <c r="J441" i="1"/>
  <c r="P440" i="1"/>
  <c r="J440" i="1"/>
  <c r="P436" i="1"/>
  <c r="J436" i="1"/>
  <c r="P434" i="1"/>
  <c r="R434" i="1" s="1"/>
  <c r="S434" i="1" s="1"/>
  <c r="P432" i="1"/>
  <c r="R432" i="1" s="1"/>
  <c r="S432" i="1" s="1"/>
  <c r="P429" i="1"/>
  <c r="J429" i="1"/>
  <c r="P428" i="1"/>
  <c r="J428" i="1"/>
  <c r="P427" i="1"/>
  <c r="J427" i="1"/>
  <c r="P421" i="1"/>
  <c r="J421" i="1"/>
  <c r="P420" i="1"/>
  <c r="J420" i="1"/>
  <c r="P418" i="1"/>
  <c r="R418" i="1" s="1"/>
  <c r="S418" i="1" s="1"/>
  <c r="P417" i="1"/>
  <c r="R417" i="1" s="1"/>
  <c r="S417" i="1" s="1"/>
  <c r="P416" i="1"/>
  <c r="R416" i="1" s="1"/>
  <c r="S416" i="1" s="1"/>
  <c r="P415" i="1"/>
  <c r="R415" i="1" s="1"/>
  <c r="S415" i="1" s="1"/>
  <c r="P414" i="1"/>
  <c r="R414" i="1" s="1"/>
  <c r="S414" i="1" s="1"/>
  <c r="P413" i="1"/>
  <c r="R413" i="1" s="1"/>
  <c r="S413" i="1" s="1"/>
  <c r="P412" i="1"/>
  <c r="R412" i="1" s="1"/>
  <c r="S412" i="1" s="1"/>
  <c r="P411" i="1"/>
  <c r="R411" i="1" s="1"/>
  <c r="S411" i="1" s="1"/>
  <c r="P410" i="1"/>
  <c r="R410" i="1" s="1"/>
  <c r="S410" i="1" s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S387" i="1" s="1"/>
  <c r="P384" i="1"/>
  <c r="R384" i="1" s="1"/>
  <c r="S384" i="1" s="1"/>
  <c r="P383" i="1"/>
  <c r="R383" i="1" s="1"/>
  <c r="S383" i="1" s="1"/>
  <c r="P381" i="1"/>
  <c r="R381" i="1" s="1"/>
  <c r="S381" i="1" s="1"/>
  <c r="P380" i="1"/>
  <c r="R380" i="1" s="1"/>
  <c r="S380" i="1" s="1"/>
  <c r="P379" i="1"/>
  <c r="R379" i="1" s="1"/>
  <c r="S379" i="1" s="1"/>
  <c r="P376" i="1"/>
  <c r="R376" i="1" s="1"/>
  <c r="S376" i="1" s="1"/>
  <c r="P374" i="1"/>
  <c r="J374" i="1"/>
  <c r="P369" i="1"/>
  <c r="J369" i="1"/>
  <c r="P368" i="1"/>
  <c r="J368" i="1"/>
  <c r="P365" i="1"/>
  <c r="J365" i="1"/>
  <c r="P364" i="1"/>
  <c r="J364" i="1"/>
  <c r="P363" i="1"/>
  <c r="J363" i="1"/>
  <c r="P362" i="1"/>
  <c r="J362" i="1"/>
  <c r="P360" i="1"/>
  <c r="R360" i="1" s="1"/>
  <c r="S360" i="1" s="1"/>
  <c r="P359" i="1"/>
  <c r="R359" i="1" s="1"/>
  <c r="S359" i="1" s="1"/>
  <c r="P358" i="1"/>
  <c r="R358" i="1" s="1"/>
  <c r="S358" i="1" s="1"/>
  <c r="P357" i="1"/>
  <c r="R357" i="1" s="1"/>
  <c r="S357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P351" i="1"/>
  <c r="R351" i="1" s="1"/>
  <c r="S351" i="1" s="1"/>
  <c r="P348" i="1"/>
  <c r="J348" i="1"/>
  <c r="P347" i="1"/>
  <c r="J347" i="1"/>
  <c r="P344" i="1"/>
  <c r="J344" i="1"/>
  <c r="P343" i="1"/>
  <c r="J343" i="1"/>
  <c r="P338" i="1"/>
  <c r="R338" i="1" s="1"/>
  <c r="S338" i="1" s="1"/>
  <c r="P337" i="1"/>
  <c r="R337" i="1" s="1"/>
  <c r="S337" i="1" s="1"/>
  <c r="P336" i="1"/>
  <c r="R336" i="1" s="1"/>
  <c r="S336" i="1" s="1"/>
  <c r="P335" i="1"/>
  <c r="R335" i="1" s="1"/>
  <c r="S335" i="1" s="1"/>
  <c r="P333" i="1"/>
  <c r="R333" i="1" s="1"/>
  <c r="S333" i="1" s="1"/>
  <c r="P332" i="1"/>
  <c r="R332" i="1" s="1"/>
  <c r="S332" i="1" s="1"/>
  <c r="P331" i="1"/>
  <c r="R331" i="1" s="1"/>
  <c r="S331" i="1" s="1"/>
  <c r="P330" i="1"/>
  <c r="R330" i="1" s="1"/>
  <c r="S330" i="1" s="1"/>
  <c r="P329" i="1"/>
  <c r="R329" i="1" s="1"/>
  <c r="S329" i="1" s="1"/>
  <c r="P328" i="1"/>
  <c r="R328" i="1" s="1"/>
  <c r="S328" i="1" s="1"/>
  <c r="P326" i="1"/>
  <c r="J326" i="1"/>
  <c r="P323" i="1"/>
  <c r="J323" i="1"/>
  <c r="P320" i="1"/>
  <c r="J320" i="1"/>
  <c r="P319" i="1"/>
  <c r="J319" i="1"/>
  <c r="P318" i="1"/>
  <c r="J318" i="1"/>
  <c r="P317" i="1"/>
  <c r="J317" i="1"/>
  <c r="P316" i="1"/>
  <c r="J316" i="1"/>
  <c r="P315" i="1"/>
  <c r="J315" i="1"/>
  <c r="P314" i="1"/>
  <c r="J314" i="1"/>
  <c r="P310" i="1"/>
  <c r="R310" i="1" s="1"/>
  <c r="S310" i="1" s="1"/>
  <c r="P307" i="1"/>
  <c r="R307" i="1" s="1"/>
  <c r="S307" i="1" s="1"/>
  <c r="P304" i="1"/>
  <c r="R304" i="1" s="1"/>
  <c r="S304" i="1" s="1"/>
  <c r="P300" i="1"/>
  <c r="J300" i="1"/>
  <c r="P299" i="1"/>
  <c r="J299" i="1"/>
  <c r="P296" i="1"/>
  <c r="R296" i="1" s="1"/>
  <c r="S296" i="1" s="1"/>
  <c r="P295" i="1"/>
  <c r="R295" i="1" s="1"/>
  <c r="S295" i="1" s="1"/>
  <c r="P294" i="1"/>
  <c r="R294" i="1" s="1"/>
  <c r="S294" i="1" s="1"/>
  <c r="P291" i="1"/>
  <c r="R291" i="1" s="1"/>
  <c r="S291" i="1" s="1"/>
  <c r="P288" i="1"/>
  <c r="J288" i="1"/>
  <c r="P287" i="1"/>
  <c r="J287" i="1"/>
  <c r="P286" i="1"/>
  <c r="J286" i="1"/>
  <c r="P284" i="1"/>
  <c r="R284" i="1" s="1"/>
  <c r="S284" i="1" s="1"/>
  <c r="P283" i="1"/>
  <c r="R283" i="1" s="1"/>
  <c r="S283" i="1" s="1"/>
  <c r="P282" i="1"/>
  <c r="R282" i="1" s="1"/>
  <c r="S282" i="1" s="1"/>
  <c r="P281" i="1"/>
  <c r="R281" i="1" s="1"/>
  <c r="S281" i="1" s="1"/>
  <c r="P278" i="1"/>
  <c r="J278" i="1"/>
  <c r="P277" i="1"/>
  <c r="J277" i="1"/>
  <c r="P275" i="1"/>
  <c r="R275" i="1" s="1"/>
  <c r="S275" i="1" s="1"/>
  <c r="P273" i="1"/>
  <c r="R273" i="1" s="1"/>
  <c r="S273" i="1" s="1"/>
  <c r="P270" i="1"/>
  <c r="J270" i="1"/>
  <c r="P269" i="1"/>
  <c r="R269" i="1" s="1"/>
  <c r="S269" i="1" s="1"/>
  <c r="P267" i="1"/>
  <c r="R267" i="1" s="1"/>
  <c r="S267" i="1" s="1"/>
  <c r="J265" i="1"/>
  <c r="P265" i="1"/>
  <c r="J264" i="1"/>
  <c r="J263" i="1"/>
  <c r="P263" i="1"/>
  <c r="P261" i="1"/>
  <c r="R261" i="1" s="1"/>
  <c r="S261" i="1" s="1"/>
  <c r="J260" i="1"/>
  <c r="H260" i="1"/>
  <c r="P260" i="1" s="1"/>
  <c r="P259" i="1"/>
  <c r="R259" i="1" s="1"/>
  <c r="S259" i="1" s="1"/>
  <c r="P258" i="1"/>
  <c r="R258" i="1" s="1"/>
  <c r="S258" i="1" s="1"/>
  <c r="P257" i="1"/>
  <c r="R257" i="1" s="1"/>
  <c r="S257" i="1" s="1"/>
  <c r="P256" i="1"/>
  <c r="R256" i="1" s="1"/>
  <c r="S256" i="1" s="1"/>
  <c r="P252" i="1"/>
  <c r="R252" i="1" s="1"/>
  <c r="S252" i="1" s="1"/>
  <c r="P251" i="1"/>
  <c r="R251" i="1" s="1"/>
  <c r="S251" i="1" s="1"/>
  <c r="P249" i="1"/>
  <c r="R249" i="1" s="1"/>
  <c r="S249" i="1" s="1"/>
  <c r="P246" i="1"/>
  <c r="R246" i="1" s="1"/>
  <c r="S246" i="1" s="1"/>
  <c r="P245" i="1"/>
  <c r="J245" i="1"/>
  <c r="P244" i="1"/>
  <c r="R244" i="1" s="1"/>
  <c r="S244" i="1" s="1"/>
  <c r="P243" i="1"/>
  <c r="J243" i="1"/>
  <c r="P240" i="1"/>
  <c r="R240" i="1" s="1"/>
  <c r="S240" i="1" s="1"/>
  <c r="P239" i="1"/>
  <c r="R239" i="1" s="1"/>
  <c r="S239" i="1" s="1"/>
  <c r="P237" i="1"/>
  <c r="R237" i="1" s="1"/>
  <c r="S237" i="1" s="1"/>
  <c r="P234" i="1"/>
  <c r="J234" i="1"/>
  <c r="P233" i="1"/>
  <c r="J233" i="1"/>
  <c r="J232" i="1"/>
  <c r="P232" i="1"/>
  <c r="J231" i="1"/>
  <c r="P231" i="1"/>
  <c r="P230" i="1"/>
  <c r="J230" i="1"/>
  <c r="P229" i="1"/>
  <c r="J229" i="1"/>
  <c r="P228" i="1"/>
  <c r="R228" i="1" s="1"/>
  <c r="S228" i="1" s="1"/>
  <c r="P227" i="1"/>
  <c r="R227" i="1" s="1"/>
  <c r="S227" i="1" s="1"/>
  <c r="P223" i="1"/>
  <c r="J223" i="1"/>
  <c r="P222" i="1"/>
  <c r="J222" i="1"/>
  <c r="P220" i="1"/>
  <c r="R220" i="1" s="1"/>
  <c r="S220" i="1" s="1"/>
  <c r="P219" i="1"/>
  <c r="R219" i="1" s="1"/>
  <c r="S219" i="1" s="1"/>
  <c r="P218" i="1"/>
  <c r="R218" i="1" s="1"/>
  <c r="S218" i="1" s="1"/>
  <c r="P217" i="1"/>
  <c r="R217" i="1" s="1"/>
  <c r="S217" i="1" s="1"/>
  <c r="P216" i="1"/>
  <c r="R216" i="1" s="1"/>
  <c r="S216" i="1" s="1"/>
  <c r="P215" i="1"/>
  <c r="R215" i="1" s="1"/>
  <c r="S215" i="1" s="1"/>
  <c r="P214" i="1"/>
  <c r="R214" i="1" s="1"/>
  <c r="S214" i="1" s="1"/>
  <c r="P213" i="1"/>
  <c r="R213" i="1" s="1"/>
  <c r="S213" i="1" s="1"/>
  <c r="P212" i="1"/>
  <c r="R212" i="1" s="1"/>
  <c r="S212" i="1" s="1"/>
  <c r="P211" i="1"/>
  <c r="R211" i="1" s="1"/>
  <c r="S211" i="1" s="1"/>
  <c r="J208" i="1"/>
  <c r="P208" i="1"/>
  <c r="P207" i="1"/>
  <c r="J207" i="1"/>
  <c r="P204" i="1"/>
  <c r="J204" i="1"/>
  <c r="P203" i="1"/>
  <c r="J203" i="1"/>
  <c r="P202" i="1"/>
  <c r="J202" i="1"/>
  <c r="P201" i="1"/>
  <c r="J201" i="1"/>
  <c r="J200" i="1"/>
  <c r="P200" i="1"/>
  <c r="P199" i="1"/>
  <c r="J199" i="1"/>
  <c r="P198" i="1"/>
  <c r="J198" i="1"/>
  <c r="P197" i="1"/>
  <c r="J197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J186" i="1"/>
  <c r="H186" i="1"/>
  <c r="P186" i="1" s="1"/>
  <c r="J185" i="1"/>
  <c r="H185" i="1"/>
  <c r="P185" i="1" s="1"/>
  <c r="P182" i="1"/>
  <c r="J182" i="1"/>
  <c r="P180" i="1"/>
  <c r="J180" i="1"/>
  <c r="P177" i="1"/>
  <c r="J177" i="1"/>
  <c r="P176" i="1"/>
  <c r="J176" i="1"/>
  <c r="J174" i="1"/>
  <c r="P174" i="1"/>
  <c r="P171" i="1"/>
  <c r="J171" i="1"/>
  <c r="J170" i="1"/>
  <c r="P170" i="1"/>
  <c r="P169" i="1"/>
  <c r="J169" i="1"/>
  <c r="P166" i="1"/>
  <c r="J166" i="1"/>
  <c r="J165" i="1"/>
  <c r="P165" i="1"/>
  <c r="P164" i="1"/>
  <c r="J164" i="1"/>
  <c r="P163" i="1"/>
  <c r="J163" i="1"/>
  <c r="J162" i="1"/>
  <c r="P162" i="1"/>
  <c r="J161" i="1"/>
  <c r="P160" i="1"/>
  <c r="J160" i="1"/>
  <c r="P159" i="1"/>
  <c r="J159" i="1"/>
  <c r="P157" i="1"/>
  <c r="R157" i="1" s="1"/>
  <c r="S157" i="1" s="1"/>
  <c r="P156" i="1"/>
  <c r="R156" i="1" s="1"/>
  <c r="S156" i="1" s="1"/>
  <c r="P155" i="1"/>
  <c r="J155" i="1"/>
  <c r="P154" i="1"/>
  <c r="R154" i="1" s="1"/>
  <c r="S154" i="1" s="1"/>
  <c r="P153" i="1"/>
  <c r="J153" i="1"/>
  <c r="P152" i="1"/>
  <c r="J152" i="1"/>
  <c r="P151" i="1"/>
  <c r="R151" i="1" s="1"/>
  <c r="S151" i="1" s="1"/>
  <c r="P150" i="1"/>
  <c r="R150" i="1" s="1"/>
  <c r="S150" i="1" s="1"/>
  <c r="P149" i="1"/>
  <c r="R149" i="1" s="1"/>
  <c r="S149" i="1" s="1"/>
  <c r="P148" i="1"/>
  <c r="R148" i="1" s="1"/>
  <c r="S148" i="1" s="1"/>
  <c r="P147" i="1"/>
  <c r="R147" i="1" s="1"/>
  <c r="S147" i="1" s="1"/>
  <c r="P146" i="1"/>
  <c r="R146" i="1" s="1"/>
  <c r="S146" i="1" s="1"/>
  <c r="P145" i="1"/>
  <c r="R145" i="1" s="1"/>
  <c r="S145" i="1" s="1"/>
  <c r="P144" i="1"/>
  <c r="R144" i="1" s="1"/>
  <c r="S144" i="1" s="1"/>
  <c r="P142" i="1"/>
  <c r="R142" i="1" s="1"/>
  <c r="S142" i="1" s="1"/>
  <c r="P138" i="1"/>
  <c r="J138" i="1"/>
  <c r="J137" i="1"/>
  <c r="P137" i="1"/>
  <c r="P136" i="1"/>
  <c r="J136" i="1"/>
  <c r="P135" i="1"/>
  <c r="J135" i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7" i="1"/>
  <c r="J127" i="1"/>
  <c r="J126" i="1"/>
  <c r="P125" i="1"/>
  <c r="J125" i="1"/>
  <c r="J124" i="1"/>
  <c r="P124" i="1"/>
  <c r="J123" i="1"/>
  <c r="J122" i="1"/>
  <c r="P122" i="1"/>
  <c r="J121" i="1"/>
  <c r="P118" i="1"/>
  <c r="J118" i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3" i="1"/>
  <c r="R113" i="1" s="1"/>
  <c r="S113" i="1" s="1"/>
  <c r="P112" i="1"/>
  <c r="R112" i="1" s="1"/>
  <c r="S112" i="1" s="1"/>
  <c r="P111" i="1"/>
  <c r="R111" i="1" s="1"/>
  <c r="S111" i="1" s="1"/>
  <c r="P110" i="1"/>
  <c r="R110" i="1" s="1"/>
  <c r="S110" i="1" s="1"/>
  <c r="P109" i="1"/>
  <c r="R109" i="1" s="1"/>
  <c r="S109" i="1" s="1"/>
  <c r="P108" i="1"/>
  <c r="R108" i="1" s="1"/>
  <c r="S108" i="1" s="1"/>
  <c r="P107" i="1"/>
  <c r="R107" i="1" s="1"/>
  <c r="S107" i="1" s="1"/>
  <c r="P106" i="1"/>
  <c r="R106" i="1" s="1"/>
  <c r="S106" i="1" s="1"/>
  <c r="P105" i="1"/>
  <c r="R105" i="1" s="1"/>
  <c r="S105" i="1" s="1"/>
  <c r="P104" i="1"/>
  <c r="R104" i="1" s="1"/>
  <c r="S104" i="1" s="1"/>
  <c r="P100" i="1"/>
  <c r="R100" i="1" s="1"/>
  <c r="S100" i="1" s="1"/>
  <c r="P99" i="1"/>
  <c r="R99" i="1" s="1"/>
  <c r="S99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6" i="1"/>
  <c r="R86" i="1" s="1"/>
  <c r="S86" i="1" s="1"/>
  <c r="P82" i="1"/>
  <c r="R82" i="1" s="1"/>
  <c r="S82" i="1" s="1"/>
  <c r="P79" i="1"/>
  <c r="R79" i="1" s="1"/>
  <c r="S79" i="1" s="1"/>
  <c r="P71" i="1"/>
  <c r="R71" i="1" s="1"/>
  <c r="S71" i="1" s="1"/>
  <c r="P70" i="1"/>
  <c r="R70" i="1" s="1"/>
  <c r="S70" i="1" s="1"/>
  <c r="P69" i="1"/>
  <c r="R69" i="1" s="1"/>
  <c r="S69" i="1" s="1"/>
  <c r="P68" i="1"/>
  <c r="R68" i="1" s="1"/>
  <c r="S68" i="1" s="1"/>
  <c r="P67" i="1"/>
  <c r="R67" i="1" s="1"/>
  <c r="S67" i="1" s="1"/>
  <c r="P66" i="1"/>
  <c r="R66" i="1" s="1"/>
  <c r="S66" i="1" s="1"/>
  <c r="P65" i="1"/>
  <c r="R65" i="1" s="1"/>
  <c r="S65" i="1" s="1"/>
  <c r="P64" i="1"/>
  <c r="R64" i="1" s="1"/>
  <c r="S64" i="1" s="1"/>
  <c r="P62" i="1"/>
  <c r="R62" i="1" s="1"/>
  <c r="S62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P44" i="1"/>
  <c r="J44" i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18" i="1" l="1"/>
  <c r="S118" i="1" s="1"/>
  <c r="R973" i="1"/>
  <c r="S973" i="1" s="1"/>
  <c r="R500" i="1"/>
  <c r="S500" i="1" s="1"/>
  <c r="R1002" i="1"/>
  <c r="S1002" i="1" s="1"/>
  <c r="R1004" i="1"/>
  <c r="S1004" i="1" s="1"/>
  <c r="R976" i="1"/>
  <c r="S976" i="1" s="1"/>
  <c r="R983" i="1"/>
  <c r="S983" i="1" s="1"/>
  <c r="R985" i="1"/>
  <c r="S985" i="1" s="1"/>
  <c r="R1008" i="1"/>
  <c r="S1008" i="1" s="1"/>
  <c r="R1010" i="1"/>
  <c r="S1010" i="1" s="1"/>
  <c r="R965" i="1"/>
  <c r="S965" i="1" s="1"/>
  <c r="R902" i="1"/>
  <c r="S902" i="1" s="1"/>
  <c r="R950" i="1"/>
  <c r="S950" i="1" s="1"/>
  <c r="R826" i="1"/>
  <c r="S826" i="1" s="1"/>
  <c r="R847" i="1"/>
  <c r="S847" i="1" s="1"/>
  <c r="R851" i="1"/>
  <c r="S851" i="1" s="1"/>
  <c r="R521" i="1"/>
  <c r="S521" i="1" s="1"/>
  <c r="R543" i="1"/>
  <c r="S543" i="1" s="1"/>
  <c r="R626" i="1"/>
  <c r="S626" i="1" s="1"/>
  <c r="R724" i="1"/>
  <c r="S724" i="1" s="1"/>
  <c r="R762" i="1"/>
  <c r="S762" i="1" s="1"/>
  <c r="R455" i="1"/>
  <c r="S455" i="1" s="1"/>
  <c r="R464" i="1"/>
  <c r="S464" i="1" s="1"/>
  <c r="R501" i="1"/>
  <c r="S501" i="1" s="1"/>
  <c r="R508" i="1"/>
  <c r="S508" i="1" s="1"/>
  <c r="R520" i="1"/>
  <c r="S520" i="1" s="1"/>
  <c r="R544" i="1"/>
  <c r="S544" i="1" s="1"/>
  <c r="R827" i="1"/>
  <c r="S827" i="1" s="1"/>
  <c r="R848" i="1"/>
  <c r="S848" i="1" s="1"/>
  <c r="R574" i="1"/>
  <c r="S574" i="1" s="1"/>
  <c r="R767" i="1"/>
  <c r="S767" i="1" s="1"/>
  <c r="R182" i="1"/>
  <c r="S182" i="1" s="1"/>
  <c r="R265" i="1"/>
  <c r="S265" i="1" s="1"/>
  <c r="R589" i="1"/>
  <c r="S589" i="1" s="1"/>
  <c r="R362" i="1"/>
  <c r="S362" i="1" s="1"/>
  <c r="R363" i="1"/>
  <c r="S363" i="1" s="1"/>
  <c r="R365" i="1"/>
  <c r="S365" i="1" s="1"/>
  <c r="R369" i="1"/>
  <c r="S369" i="1" s="1"/>
  <c r="R590" i="1"/>
  <c r="S590" i="1" s="1"/>
  <c r="R260" i="1"/>
  <c r="S260" i="1" s="1"/>
  <c r="R299" i="1"/>
  <c r="S299" i="1" s="1"/>
  <c r="R685" i="1"/>
  <c r="S685" i="1" s="1"/>
  <c r="R124" i="1"/>
  <c r="S124" i="1" s="1"/>
  <c r="R200" i="1"/>
  <c r="S200" i="1" s="1"/>
  <c r="R203" i="1"/>
  <c r="S203" i="1" s="1"/>
  <c r="R207" i="1"/>
  <c r="S207" i="1" s="1"/>
  <c r="R314" i="1"/>
  <c r="S314" i="1" s="1"/>
  <c r="R441" i="1"/>
  <c r="S441" i="1" s="1"/>
  <c r="R443" i="1"/>
  <c r="S443" i="1" s="1"/>
  <c r="R180" i="1"/>
  <c r="S180" i="1" s="1"/>
  <c r="R364" i="1"/>
  <c r="S364" i="1" s="1"/>
  <c r="R368" i="1"/>
  <c r="S368" i="1" s="1"/>
  <c r="R374" i="1"/>
  <c r="S374" i="1" s="1"/>
  <c r="R637" i="1"/>
  <c r="S637" i="1" s="1"/>
  <c r="R642" i="1"/>
  <c r="S642" i="1" s="1"/>
  <c r="R652" i="1"/>
  <c r="S652" i="1" s="1"/>
  <c r="R682" i="1"/>
  <c r="S682" i="1" s="1"/>
  <c r="R688" i="1"/>
  <c r="S688" i="1" s="1"/>
  <c r="R723" i="1"/>
  <c r="S723" i="1" s="1"/>
  <c r="R135" i="1"/>
  <c r="S135" i="1" s="1"/>
  <c r="R127" i="1"/>
  <c r="S127" i="1" s="1"/>
  <c r="R136" i="1"/>
  <c r="S136" i="1" s="1"/>
  <c r="R177" i="1"/>
  <c r="S177" i="1" s="1"/>
  <c r="R186" i="1"/>
  <c r="S186" i="1" s="1"/>
  <c r="R208" i="1"/>
  <c r="S208" i="1" s="1"/>
  <c r="R316" i="1"/>
  <c r="S316" i="1" s="1"/>
  <c r="R440" i="1"/>
  <c r="S440" i="1" s="1"/>
  <c r="R442" i="1"/>
  <c r="S442" i="1" s="1"/>
  <c r="R445" i="1"/>
  <c r="S445" i="1" s="1"/>
  <c r="R460" i="1"/>
  <c r="S460" i="1" s="1"/>
  <c r="R465" i="1"/>
  <c r="S465" i="1" s="1"/>
  <c r="R683" i="1"/>
  <c r="S683" i="1" s="1"/>
  <c r="R896" i="1"/>
  <c r="S896" i="1" s="1"/>
  <c r="R13" i="1"/>
  <c r="S13" i="1" s="1"/>
  <c r="R164" i="1"/>
  <c r="S164" i="1" s="1"/>
  <c r="R166" i="1"/>
  <c r="S166" i="1" s="1"/>
  <c r="R188" i="1"/>
  <c r="S188" i="1" s="1"/>
  <c r="R190" i="1"/>
  <c r="S190" i="1" s="1"/>
  <c r="R499" i="1"/>
  <c r="S499" i="1" s="1"/>
  <c r="R634" i="1"/>
  <c r="S634" i="1" s="1"/>
  <c r="R651" i="1"/>
  <c r="S651" i="1" s="1"/>
  <c r="R655" i="1"/>
  <c r="S655" i="1" s="1"/>
  <c r="R690" i="1"/>
  <c r="S690" i="1" s="1"/>
  <c r="R694" i="1"/>
  <c r="S694" i="1" s="1"/>
  <c r="R766" i="1"/>
  <c r="S766" i="1" s="1"/>
  <c r="R768" i="1"/>
  <c r="S768" i="1" s="1"/>
  <c r="R770" i="1"/>
  <c r="S770" i="1" s="1"/>
  <c r="R801" i="1"/>
  <c r="S801" i="1" s="1"/>
  <c r="R813" i="1"/>
  <c r="S813" i="1" s="1"/>
  <c r="R816" i="1"/>
  <c r="S816" i="1" s="1"/>
  <c r="R857" i="1"/>
  <c r="S857" i="1" s="1"/>
  <c r="R864" i="1"/>
  <c r="S864" i="1" s="1"/>
  <c r="R964" i="1"/>
  <c r="S964" i="1" s="1"/>
  <c r="R975" i="1"/>
  <c r="S975" i="1" s="1"/>
  <c r="R977" i="1"/>
  <c r="S977" i="1" s="1"/>
  <c r="R982" i="1"/>
  <c r="S982" i="1" s="1"/>
  <c r="R984" i="1"/>
  <c r="S984" i="1" s="1"/>
  <c r="R986" i="1"/>
  <c r="S986" i="1" s="1"/>
  <c r="R575" i="1"/>
  <c r="S575" i="1" s="1"/>
  <c r="R627" i="1"/>
  <c r="S627" i="1" s="1"/>
  <c r="R633" i="1"/>
  <c r="S633" i="1" s="1"/>
  <c r="R763" i="1"/>
  <c r="S763" i="1" s="1"/>
  <c r="R899" i="1"/>
  <c r="S899" i="1" s="1"/>
  <c r="R901" i="1"/>
  <c r="S901" i="1" s="1"/>
  <c r="R949" i="1"/>
  <c r="S949" i="1" s="1"/>
  <c r="R163" i="1"/>
  <c r="S163" i="1" s="1"/>
  <c r="R169" i="1"/>
  <c r="S169" i="1" s="1"/>
  <c r="R185" i="1"/>
  <c r="S185" i="1" s="1"/>
  <c r="R189" i="1"/>
  <c r="S189" i="1" s="1"/>
  <c r="R191" i="1"/>
  <c r="S191" i="1" s="1"/>
  <c r="R232" i="1"/>
  <c r="S232" i="1" s="1"/>
  <c r="R243" i="1"/>
  <c r="S243" i="1" s="1"/>
  <c r="R436" i="1"/>
  <c r="S436" i="1" s="1"/>
  <c r="R597" i="1"/>
  <c r="S597" i="1" s="1"/>
  <c r="R691" i="1"/>
  <c r="S691" i="1" s="1"/>
  <c r="R769" i="1"/>
  <c r="S769" i="1" s="1"/>
  <c r="R771" i="1"/>
  <c r="S771" i="1" s="1"/>
  <c r="R814" i="1"/>
  <c r="S814" i="1" s="1"/>
  <c r="R817" i="1"/>
  <c r="S817" i="1" s="1"/>
  <c r="R856" i="1"/>
  <c r="S856" i="1" s="1"/>
  <c r="R15" i="1"/>
  <c r="S15" i="1" s="1"/>
  <c r="R42" i="1"/>
  <c r="S42" i="1" s="1"/>
  <c r="R125" i="1"/>
  <c r="S125" i="1" s="1"/>
  <c r="R137" i="1"/>
  <c r="S137" i="1" s="1"/>
  <c r="R153" i="1"/>
  <c r="S153" i="1" s="1"/>
  <c r="R159" i="1"/>
  <c r="S159" i="1" s="1"/>
  <c r="R162" i="1"/>
  <c r="S162" i="1" s="1"/>
  <c r="R170" i="1"/>
  <c r="S170" i="1" s="1"/>
  <c r="R174" i="1"/>
  <c r="S174" i="1" s="1"/>
  <c r="R176" i="1"/>
  <c r="S176" i="1" s="1"/>
  <c r="R192" i="1"/>
  <c r="S192" i="1" s="1"/>
  <c r="R195" i="1"/>
  <c r="S195" i="1" s="1"/>
  <c r="R198" i="1"/>
  <c r="S198" i="1" s="1"/>
  <c r="R230" i="1"/>
  <c r="S230" i="1" s="1"/>
  <c r="R234" i="1"/>
  <c r="S234" i="1" s="1"/>
  <c r="R263" i="1"/>
  <c r="S263" i="1" s="1"/>
  <c r="R286" i="1"/>
  <c r="S286" i="1" s="1"/>
  <c r="R288" i="1"/>
  <c r="S288" i="1" s="1"/>
  <c r="R317" i="1"/>
  <c r="S317" i="1" s="1"/>
  <c r="R320" i="1"/>
  <c r="S320" i="1" s="1"/>
  <c r="R326" i="1"/>
  <c r="S326" i="1" s="1"/>
  <c r="R343" i="1"/>
  <c r="S343" i="1" s="1"/>
  <c r="R347" i="1"/>
  <c r="S347" i="1" s="1"/>
  <c r="R447" i="1"/>
  <c r="S447" i="1" s="1"/>
  <c r="R449" i="1"/>
  <c r="S449" i="1" s="1"/>
  <c r="R454" i="1"/>
  <c r="S454" i="1" s="1"/>
  <c r="R463" i="1"/>
  <c r="S463" i="1" s="1"/>
  <c r="R484" i="1"/>
  <c r="S484" i="1" s="1"/>
  <c r="R510" i="1"/>
  <c r="S510" i="1" s="1"/>
  <c r="R579" i="1"/>
  <c r="S579" i="1" s="1"/>
  <c r="R583" i="1"/>
  <c r="S583" i="1" s="1"/>
  <c r="R587" i="1"/>
  <c r="S587" i="1" s="1"/>
  <c r="R591" i="1"/>
  <c r="S591" i="1" s="1"/>
  <c r="R595" i="1"/>
  <c r="S595" i="1" s="1"/>
  <c r="R599" i="1"/>
  <c r="S599" i="1" s="1"/>
  <c r="R601" i="1"/>
  <c r="S601" i="1" s="1"/>
  <c r="R680" i="1"/>
  <c r="S680" i="1" s="1"/>
  <c r="R695" i="1"/>
  <c r="S695" i="1" s="1"/>
  <c r="R720" i="1"/>
  <c r="S720" i="1" s="1"/>
  <c r="R765" i="1"/>
  <c r="S765" i="1" s="1"/>
  <c r="R812" i="1"/>
  <c r="S812" i="1" s="1"/>
  <c r="R818" i="1"/>
  <c r="S818" i="1" s="1"/>
  <c r="R872" i="1"/>
  <c r="S872" i="1" s="1"/>
  <c r="R886" i="1"/>
  <c r="S886" i="1" s="1"/>
  <c r="R888" i="1"/>
  <c r="S888" i="1" s="1"/>
  <c r="R890" i="1"/>
  <c r="S890" i="1" s="1"/>
  <c r="R895" i="1"/>
  <c r="S895" i="1" s="1"/>
  <c r="R900" i="1"/>
  <c r="S900" i="1" s="1"/>
  <c r="R918" i="1"/>
  <c r="S918" i="1" s="1"/>
  <c r="R920" i="1"/>
  <c r="S920" i="1" s="1"/>
  <c r="R953" i="1"/>
  <c r="S953" i="1" s="1"/>
  <c r="R1007" i="1"/>
  <c r="S1007" i="1" s="1"/>
  <c r="R1009" i="1"/>
  <c r="S1009" i="1" s="1"/>
  <c r="R1003" i="1"/>
  <c r="S1003" i="1" s="1"/>
  <c r="R1005" i="1"/>
  <c r="S1005" i="1" s="1"/>
  <c r="R43" i="1"/>
  <c r="S43" i="1" s="1"/>
  <c r="R44" i="1"/>
  <c r="S44" i="1" s="1"/>
  <c r="R122" i="1"/>
  <c r="S122" i="1" s="1"/>
  <c r="R152" i="1"/>
  <c r="S152" i="1" s="1"/>
  <c r="R160" i="1"/>
  <c r="S160" i="1" s="1"/>
  <c r="R165" i="1"/>
  <c r="S165" i="1" s="1"/>
  <c r="R193" i="1"/>
  <c r="S193" i="1" s="1"/>
  <c r="R194" i="1"/>
  <c r="S194" i="1" s="1"/>
  <c r="R197" i="1"/>
  <c r="S197" i="1" s="1"/>
  <c r="R199" i="1"/>
  <c r="S199" i="1" s="1"/>
  <c r="R229" i="1"/>
  <c r="S229" i="1" s="1"/>
  <c r="R233" i="1"/>
  <c r="S233" i="1" s="1"/>
  <c r="R287" i="1"/>
  <c r="S287" i="1" s="1"/>
  <c r="R323" i="1"/>
  <c r="S323" i="1" s="1"/>
  <c r="R344" i="1"/>
  <c r="S344" i="1" s="1"/>
  <c r="R348" i="1"/>
  <c r="S348" i="1" s="1"/>
  <c r="R420" i="1"/>
  <c r="S420" i="1" s="1"/>
  <c r="R421" i="1"/>
  <c r="S421" i="1" s="1"/>
  <c r="R461" i="1"/>
  <c r="S461" i="1" s="1"/>
  <c r="R483" i="1"/>
  <c r="S483" i="1" s="1"/>
  <c r="R485" i="1"/>
  <c r="S485" i="1" s="1"/>
  <c r="R580" i="1"/>
  <c r="S580" i="1" s="1"/>
  <c r="R588" i="1"/>
  <c r="S588" i="1" s="1"/>
  <c r="R594" i="1"/>
  <c r="S594" i="1" s="1"/>
  <c r="R596" i="1"/>
  <c r="S596" i="1" s="1"/>
  <c r="R598" i="1"/>
  <c r="S598" i="1" s="1"/>
  <c r="R632" i="1"/>
  <c r="S632" i="1" s="1"/>
  <c r="R681" i="1"/>
  <c r="S681" i="1" s="1"/>
  <c r="R687" i="1"/>
  <c r="S687" i="1" s="1"/>
  <c r="R689" i="1"/>
  <c r="S689" i="1" s="1"/>
  <c r="R764" i="1"/>
  <c r="S764" i="1" s="1"/>
  <c r="R819" i="1"/>
  <c r="S819" i="1" s="1"/>
  <c r="R884" i="1"/>
  <c r="S884" i="1" s="1"/>
  <c r="R885" i="1"/>
  <c r="S885" i="1" s="1"/>
  <c r="R889" i="1"/>
  <c r="S889" i="1" s="1"/>
  <c r="R891" i="1"/>
  <c r="S891" i="1" s="1"/>
  <c r="R897" i="1"/>
  <c r="S897" i="1" s="1"/>
  <c r="R919" i="1"/>
  <c r="S919" i="1" s="1"/>
  <c r="R946" i="1"/>
  <c r="S946" i="1" s="1"/>
  <c r="R780" i="1"/>
  <c r="S780" i="1" s="1"/>
  <c r="R138" i="1"/>
  <c r="S138" i="1" s="1"/>
  <c r="R456" i="1"/>
  <c r="S456" i="1" s="1"/>
  <c r="R458" i="1"/>
  <c r="S458" i="1" s="1"/>
  <c r="R592" i="1"/>
  <c r="S592" i="1" s="1"/>
  <c r="R222" i="1"/>
  <c r="S222" i="1" s="1"/>
  <c r="R843" i="1"/>
  <c r="S843" i="1" s="1"/>
  <c r="R894" i="1"/>
  <c r="S894" i="1" s="1"/>
  <c r="R315" i="1"/>
  <c r="S315" i="1" s="1"/>
  <c r="R448" i="1"/>
  <c r="S448" i="1" s="1"/>
  <c r="R29" i="1"/>
  <c r="S29" i="1" s="1"/>
  <c r="R155" i="1"/>
  <c r="S155" i="1" s="1"/>
  <c r="R171" i="1"/>
  <c r="S171" i="1" s="1"/>
  <c r="R318" i="1"/>
  <c r="S318" i="1" s="1"/>
  <c r="R457" i="1"/>
  <c r="S457" i="1" s="1"/>
  <c r="R459" i="1"/>
  <c r="S459" i="1" s="1"/>
  <c r="R201" i="1"/>
  <c r="S201" i="1" s="1"/>
  <c r="R202" i="1"/>
  <c r="S202" i="1" s="1"/>
  <c r="R204" i="1"/>
  <c r="S204" i="1" s="1"/>
  <c r="R223" i="1"/>
  <c r="S223" i="1" s="1"/>
  <c r="R245" i="1"/>
  <c r="S245" i="1" s="1"/>
  <c r="R300" i="1"/>
  <c r="S300" i="1" s="1"/>
  <c r="R427" i="1"/>
  <c r="S427" i="1" s="1"/>
  <c r="R429" i="1"/>
  <c r="S429" i="1" s="1"/>
  <c r="R678" i="1"/>
  <c r="S678" i="1" s="1"/>
  <c r="R692" i="1"/>
  <c r="S692" i="1" s="1"/>
  <c r="R811" i="1"/>
  <c r="S811" i="1" s="1"/>
  <c r="R740" i="1"/>
  <c r="S740" i="1" s="1"/>
  <c r="R844" i="1"/>
  <c r="S844" i="1" s="1"/>
  <c r="R893" i="1"/>
  <c r="S893" i="1" s="1"/>
  <c r="R270" i="1"/>
  <c r="S270" i="1" s="1"/>
  <c r="R428" i="1"/>
  <c r="S428" i="1" s="1"/>
  <c r="R539" i="1"/>
  <c r="S539" i="1" s="1"/>
  <c r="R600" i="1"/>
  <c r="S600" i="1" s="1"/>
  <c r="R684" i="1"/>
  <c r="S684" i="1" s="1"/>
  <c r="R693" i="1"/>
  <c r="S693" i="1" s="1"/>
  <c r="R696" i="1"/>
  <c r="S696" i="1" s="1"/>
  <c r="R721" i="1"/>
  <c r="S721" i="1" s="1"/>
  <c r="R852" i="1"/>
  <c r="S852" i="1" s="1"/>
  <c r="P161" i="1"/>
  <c r="R161" i="1" s="1"/>
  <c r="S161" i="1" s="1"/>
  <c r="R231" i="1"/>
  <c r="S231" i="1" s="1"/>
  <c r="P121" i="1"/>
  <c r="R121" i="1" s="1"/>
  <c r="S121" i="1" s="1"/>
  <c r="P264" i="1"/>
  <c r="R264" i="1" s="1"/>
  <c r="S264" i="1" s="1"/>
  <c r="R40" i="1"/>
  <c r="S40" i="1" s="1"/>
  <c r="P123" i="1"/>
  <c r="R123" i="1" s="1"/>
  <c r="S123" i="1" s="1"/>
  <c r="P126" i="1"/>
  <c r="R126" i="1" s="1"/>
  <c r="S126" i="1" s="1"/>
  <c r="R277" i="1"/>
  <c r="S277" i="1" s="1"/>
  <c r="R319" i="1"/>
  <c r="S319" i="1" s="1"/>
  <c r="P424" i="1"/>
  <c r="R424" i="1" s="1"/>
  <c r="S424" i="1" s="1"/>
  <c r="R509" i="1"/>
  <c r="S509" i="1" s="1"/>
  <c r="R278" i="1"/>
  <c r="S278" i="1" s="1"/>
  <c r="R486" i="1"/>
  <c r="S486" i="1" s="1"/>
  <c r="R578" i="1"/>
  <c r="S578" i="1" s="1"/>
  <c r="R577" i="1"/>
  <c r="S577" i="1" s="1"/>
  <c r="P670" i="1"/>
  <c r="R670" i="1" s="1"/>
  <c r="S670" i="1" s="1"/>
  <c r="R738" i="1"/>
  <c r="S738" i="1" s="1"/>
  <c r="R815" i="1"/>
  <c r="S815" i="1" s="1"/>
  <c r="R585" i="1"/>
  <c r="S585" i="1" s="1"/>
  <c r="R606" i="1"/>
  <c r="S606" i="1" s="1"/>
  <c r="R643" i="1"/>
  <c r="S643" i="1" s="1"/>
  <c r="R945" i="1"/>
  <c r="S945" i="1" s="1"/>
  <c r="R887" i="1"/>
  <c r="S887" i="1" s="1"/>
  <c r="P937" i="1"/>
  <c r="R937" i="1" s="1"/>
  <c r="S937" i="1" s="1"/>
  <c r="S1023" i="1" l="1"/>
  <c r="R1023" i="1"/>
</calcChain>
</file>

<file path=xl/sharedStrings.xml><?xml version="1.0" encoding="utf-8"?>
<sst xmlns="http://schemas.openxmlformats.org/spreadsheetml/2006/main" count="6238" uniqueCount="882">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</sst>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79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0" fontId="19" fillId="3" borderId="0" xfId="0" applyFont="1" applyFill="1"/>
    <xf numFmtId="3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19" fillId="3" borderId="0" xfId="0" applyNumberFormat="1" applyFont="1" applyFill="1" applyAlignment="1"/>
    <xf numFmtId="0" fontId="19" fillId="3" borderId="0" xfId="0" applyFont="1" applyFill="1" applyAlignment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0" fontId="19" fillId="4" borderId="0" xfId="0" applyFont="1" applyFill="1" applyBorder="1"/>
    <xf numFmtId="0" fontId="19" fillId="4" borderId="0" xfId="0" applyFont="1" applyFill="1"/>
    <xf numFmtId="3" fontId="19" fillId="4" borderId="0" xfId="0" applyNumberFormat="1" applyFont="1" applyFill="1"/>
    <xf numFmtId="0" fontId="19" fillId="4" borderId="0" xfId="0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3" fontId="19" fillId="4" borderId="0" xfId="0" applyNumberFormat="1" applyFont="1" applyFill="1" applyAlignment="1"/>
    <xf numFmtId="0" fontId="19" fillId="4" borderId="0" xfId="0" applyFont="1" applyFill="1" applyAlignment="1"/>
    <xf numFmtId="4" fontId="19" fillId="4" borderId="0" xfId="0" applyNumberFormat="1" applyFont="1" applyFill="1"/>
    <xf numFmtId="10" fontId="19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0" fontId="3" fillId="3" borderId="0" xfId="2" applyFont="1" applyFill="1" applyBorder="1"/>
    <xf numFmtId="1" fontId="3" fillId="3" borderId="0" xfId="0" applyNumberFormat="1" applyFont="1" applyFill="1" applyAlignment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3" fillId="5" borderId="0" xfId="0" applyFont="1" applyFill="1" applyBorder="1"/>
    <xf numFmtId="0" fontId="10" fillId="5" borderId="0" xfId="0" applyFont="1" applyFill="1" applyBorder="1"/>
    <xf numFmtId="0" fontId="19" fillId="5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zoomScaleNormal="100" workbookViewId="0">
      <pane xSplit="1" ySplit="3" topLeftCell="B876" activePane="bottomRight" state="frozen"/>
      <selection pane="topRight" activeCell="B1" sqref="B1"/>
      <selection pane="bottomLeft" activeCell="A4" sqref="A4"/>
      <selection pane="bottomRight" activeCell="A883" sqref="A883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806</v>
      </c>
    </row>
    <row r="2" spans="1:19" s="10" customFormat="1">
      <c r="A2" s="167" t="s">
        <v>0</v>
      </c>
      <c r="B2" s="168" t="s">
        <v>1</v>
      </c>
      <c r="C2" s="169" t="s">
        <v>2</v>
      </c>
      <c r="D2" s="169"/>
      <c r="E2" s="170" t="s">
        <v>649</v>
      </c>
      <c r="F2" s="171" t="s">
        <v>3</v>
      </c>
      <c r="G2" s="171"/>
      <c r="H2" s="171"/>
      <c r="I2" s="171"/>
      <c r="J2" s="177" t="s">
        <v>4</v>
      </c>
      <c r="K2" s="178"/>
      <c r="L2" s="178"/>
      <c r="M2" s="168"/>
      <c r="N2" s="172" t="s">
        <v>5</v>
      </c>
      <c r="O2" s="173"/>
      <c r="P2" s="169" t="s">
        <v>6</v>
      </c>
      <c r="Q2" s="169"/>
      <c r="R2" s="176" t="s">
        <v>7</v>
      </c>
      <c r="S2" s="176" t="s">
        <v>8</v>
      </c>
    </row>
    <row r="3" spans="1:19" s="10" customFormat="1">
      <c r="A3" s="167"/>
      <c r="B3" s="168"/>
      <c r="C3" s="169"/>
      <c r="D3" s="169"/>
      <c r="E3" s="170"/>
      <c r="F3" s="171" t="s">
        <v>9</v>
      </c>
      <c r="G3" s="171"/>
      <c r="H3" s="171" t="s">
        <v>10</v>
      </c>
      <c r="I3" s="171"/>
      <c r="J3" s="11" t="s">
        <v>11</v>
      </c>
      <c r="K3" s="12" t="s">
        <v>12</v>
      </c>
      <c r="L3" s="13" t="s">
        <v>13</v>
      </c>
      <c r="M3" s="13" t="s">
        <v>14</v>
      </c>
      <c r="N3" s="174"/>
      <c r="O3" s="175"/>
      <c r="P3" s="169"/>
      <c r="Q3" s="169"/>
      <c r="R3" s="176"/>
      <c r="S3" s="176"/>
    </row>
    <row r="4" spans="1:19" ht="15.75">
      <c r="A4" s="14" t="s">
        <v>15</v>
      </c>
    </row>
    <row r="5" spans="1:19">
      <c r="A5" s="15" t="s">
        <v>16</v>
      </c>
    </row>
    <row r="6" spans="1:19" s="80" customFormat="1">
      <c r="A6" s="79" t="s">
        <v>17</v>
      </c>
      <c r="B6" s="80" t="s">
        <v>18</v>
      </c>
      <c r="C6" s="81"/>
      <c r="D6" s="82" t="s">
        <v>19</v>
      </c>
      <c r="E6" s="83"/>
      <c r="F6" s="84">
        <v>1</v>
      </c>
      <c r="G6" s="85" t="s">
        <v>20</v>
      </c>
      <c r="H6" s="84">
        <v>60</v>
      </c>
      <c r="I6" s="85" t="s">
        <v>19</v>
      </c>
      <c r="J6" s="16">
        <v>45500</v>
      </c>
      <c r="K6" s="82" t="s">
        <v>19</v>
      </c>
      <c r="L6" s="86">
        <v>0.125</v>
      </c>
      <c r="M6" s="86">
        <v>0.05</v>
      </c>
      <c r="N6" s="84"/>
      <c r="O6" s="85" t="s">
        <v>19</v>
      </c>
      <c r="P6" s="81">
        <f>(C6+(E6*F6*H6))-N6</f>
        <v>0</v>
      </c>
      <c r="Q6" s="85" t="s">
        <v>19</v>
      </c>
      <c r="R6" s="16">
        <f>P6*(J6-(J6*L6)-((J6-(J6*L6))*M6))</f>
        <v>0</v>
      </c>
      <c r="S6" s="16">
        <f>R6/1.11</f>
        <v>0</v>
      </c>
    </row>
    <row r="7" spans="1:19" s="80" customFormat="1">
      <c r="A7" s="79" t="s">
        <v>733</v>
      </c>
      <c r="B7" s="80" t="s">
        <v>18</v>
      </c>
      <c r="C7" s="81"/>
      <c r="D7" s="82" t="s">
        <v>19</v>
      </c>
      <c r="E7" s="83"/>
      <c r="F7" s="84">
        <v>1</v>
      </c>
      <c r="G7" s="85" t="s">
        <v>20</v>
      </c>
      <c r="H7" s="84">
        <v>48</v>
      </c>
      <c r="I7" s="85" t="s">
        <v>19</v>
      </c>
      <c r="J7" s="16">
        <v>26000</v>
      </c>
      <c r="K7" s="82" t="s">
        <v>19</v>
      </c>
      <c r="L7" s="86">
        <v>0.125</v>
      </c>
      <c r="M7" s="86">
        <v>0.05</v>
      </c>
      <c r="N7" s="84"/>
      <c r="O7" s="85" t="s">
        <v>19</v>
      </c>
      <c r="P7" s="81">
        <f>(C7+(E7*F7*H7))-N7</f>
        <v>0</v>
      </c>
      <c r="Q7" s="85" t="s">
        <v>19</v>
      </c>
      <c r="R7" s="16">
        <f>P7*(J7-(J7*L7)-((J7-(J7*L7))*M7))</f>
        <v>0</v>
      </c>
      <c r="S7" s="16">
        <f t="shared" ref="S7:S110" si="0">R7/1.11</f>
        <v>0</v>
      </c>
    </row>
    <row r="8" spans="1:19" s="80" customFormat="1">
      <c r="A8" s="79" t="s">
        <v>21</v>
      </c>
      <c r="B8" s="80" t="s">
        <v>18</v>
      </c>
      <c r="C8" s="81"/>
      <c r="D8" s="82" t="s">
        <v>19</v>
      </c>
      <c r="E8" s="83"/>
      <c r="F8" s="84">
        <v>1</v>
      </c>
      <c r="G8" s="85" t="s">
        <v>20</v>
      </c>
      <c r="H8" s="84">
        <v>48</v>
      </c>
      <c r="I8" s="85" t="s">
        <v>19</v>
      </c>
      <c r="J8" s="16">
        <v>28000</v>
      </c>
      <c r="K8" s="82" t="s">
        <v>19</v>
      </c>
      <c r="L8" s="86">
        <v>0.125</v>
      </c>
      <c r="M8" s="86">
        <v>0.05</v>
      </c>
      <c r="N8" s="84"/>
      <c r="O8" s="85" t="s">
        <v>19</v>
      </c>
      <c r="P8" s="81">
        <f>(C8+(E8*F8*H8))-N8</f>
        <v>0</v>
      </c>
      <c r="Q8" s="85" t="s">
        <v>19</v>
      </c>
      <c r="R8" s="16">
        <f>P8*(J8-(J8*L8)-((J8-(J8*L8))*M8))</f>
        <v>0</v>
      </c>
      <c r="S8" s="16">
        <f t="shared" si="0"/>
        <v>0</v>
      </c>
    </row>
    <row r="9" spans="1:19" s="80" customFormat="1">
      <c r="A9" s="79" t="s">
        <v>22</v>
      </c>
      <c r="B9" s="80" t="s">
        <v>18</v>
      </c>
      <c r="C9" s="81"/>
      <c r="D9" s="82" t="s">
        <v>19</v>
      </c>
      <c r="E9" s="83"/>
      <c r="F9" s="84">
        <v>1</v>
      </c>
      <c r="G9" s="85" t="s">
        <v>20</v>
      </c>
      <c r="H9" s="84">
        <v>48</v>
      </c>
      <c r="I9" s="85" t="s">
        <v>19</v>
      </c>
      <c r="J9" s="16">
        <v>31700</v>
      </c>
      <c r="K9" s="82" t="s">
        <v>19</v>
      </c>
      <c r="L9" s="86">
        <v>0.125</v>
      </c>
      <c r="M9" s="86">
        <v>0.05</v>
      </c>
      <c r="N9" s="84"/>
      <c r="O9" s="85" t="s">
        <v>19</v>
      </c>
      <c r="P9" s="81">
        <f>(C9+(E9*F9*H9))-N9</f>
        <v>0</v>
      </c>
      <c r="Q9" s="85" t="s">
        <v>19</v>
      </c>
      <c r="R9" s="16">
        <f>P9*(J9-(J9*L9)-((J9-(J9*L9))*M9))</f>
        <v>0</v>
      </c>
      <c r="S9" s="16">
        <f t="shared" si="0"/>
        <v>0</v>
      </c>
    </row>
    <row r="10" spans="1:19" s="80" customFormat="1">
      <c r="A10" s="79" t="s">
        <v>23</v>
      </c>
      <c r="B10" s="80" t="s">
        <v>18</v>
      </c>
      <c r="C10" s="81"/>
      <c r="D10" s="82" t="s">
        <v>19</v>
      </c>
      <c r="E10" s="83"/>
      <c r="F10" s="84">
        <v>1</v>
      </c>
      <c r="G10" s="85" t="s">
        <v>20</v>
      </c>
      <c r="H10" s="84">
        <v>48</v>
      </c>
      <c r="I10" s="85" t="s">
        <v>19</v>
      </c>
      <c r="J10" s="16">
        <v>25000</v>
      </c>
      <c r="K10" s="82" t="s">
        <v>19</v>
      </c>
      <c r="L10" s="86">
        <v>0.125</v>
      </c>
      <c r="M10" s="86">
        <v>0.05</v>
      </c>
      <c r="N10" s="84"/>
      <c r="O10" s="85" t="s">
        <v>19</v>
      </c>
      <c r="P10" s="81">
        <f>(C10+(E10*F10*H10))-N10</f>
        <v>0</v>
      </c>
      <c r="Q10" s="85" t="s">
        <v>19</v>
      </c>
      <c r="R10" s="16">
        <f>P10*(J10-(J10*L10)-((J10-(J10*L10))*M10))</f>
        <v>0</v>
      </c>
      <c r="S10" s="16">
        <f t="shared" si="0"/>
        <v>0</v>
      </c>
    </row>
    <row r="12" spans="1:19" s="80" customFormat="1">
      <c r="A12" s="79" t="s">
        <v>24</v>
      </c>
      <c r="B12" s="80" t="s">
        <v>25</v>
      </c>
      <c r="C12" s="81"/>
      <c r="D12" s="82" t="s">
        <v>19</v>
      </c>
      <c r="E12" s="83"/>
      <c r="F12" s="84">
        <v>1</v>
      </c>
      <c r="G12" s="85" t="s">
        <v>20</v>
      </c>
      <c r="H12" s="84">
        <v>60</v>
      </c>
      <c r="I12" s="85" t="s">
        <v>19</v>
      </c>
      <c r="J12" s="16">
        <v>23800</v>
      </c>
      <c r="K12" s="82" t="s">
        <v>19</v>
      </c>
      <c r="L12" s="86"/>
      <c r="M12" s="86">
        <v>0.17</v>
      </c>
      <c r="N12" s="84"/>
      <c r="O12" s="85" t="s">
        <v>19</v>
      </c>
      <c r="P12" s="81">
        <f t="shared" ref="P12:P18" si="1">(C12+(E12*F12*H12))-N12</f>
        <v>0</v>
      </c>
      <c r="Q12" s="85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80" customFormat="1">
      <c r="A14" s="79" t="s">
        <v>27</v>
      </c>
      <c r="B14" s="80" t="s">
        <v>25</v>
      </c>
      <c r="C14" s="87"/>
      <c r="D14" s="82" t="s">
        <v>19</v>
      </c>
      <c r="E14" s="83"/>
      <c r="F14" s="84">
        <v>1</v>
      </c>
      <c r="G14" s="85" t="s">
        <v>20</v>
      </c>
      <c r="H14" s="84">
        <v>60</v>
      </c>
      <c r="I14" s="85" t="s">
        <v>19</v>
      </c>
      <c r="J14" s="16">
        <v>27500</v>
      </c>
      <c r="K14" s="82" t="s">
        <v>19</v>
      </c>
      <c r="L14" s="86"/>
      <c r="M14" s="86">
        <v>0.17</v>
      </c>
      <c r="N14" s="84"/>
      <c r="O14" s="85" t="s">
        <v>19</v>
      </c>
      <c r="P14" s="81">
        <f t="shared" si="1"/>
        <v>0</v>
      </c>
      <c r="Q14" s="85" t="s">
        <v>19</v>
      </c>
      <c r="R14" s="16">
        <f t="shared" si="2"/>
        <v>0</v>
      </c>
      <c r="S14" s="16">
        <f t="shared" si="0"/>
        <v>0</v>
      </c>
    </row>
    <row r="15" spans="1:19" s="80" customFormat="1">
      <c r="A15" s="79" t="s">
        <v>707</v>
      </c>
      <c r="B15" s="80" t="s">
        <v>25</v>
      </c>
      <c r="C15" s="87"/>
      <c r="D15" s="82" t="s">
        <v>19</v>
      </c>
      <c r="E15" s="83"/>
      <c r="F15" s="84">
        <v>1</v>
      </c>
      <c r="G15" s="85" t="s">
        <v>20</v>
      </c>
      <c r="H15" s="84">
        <v>36</v>
      </c>
      <c r="I15" s="85" t="s">
        <v>19</v>
      </c>
      <c r="J15" s="16">
        <f>2520000/36</f>
        <v>70000</v>
      </c>
      <c r="K15" s="82" t="s">
        <v>19</v>
      </c>
      <c r="L15" s="86"/>
      <c r="M15" s="86">
        <v>0.17</v>
      </c>
      <c r="N15" s="84"/>
      <c r="O15" s="85" t="s">
        <v>19</v>
      </c>
      <c r="P15" s="81">
        <f t="shared" si="1"/>
        <v>0</v>
      </c>
      <c r="Q15" s="85" t="s">
        <v>19</v>
      </c>
      <c r="R15" s="16">
        <f t="shared" si="2"/>
        <v>0</v>
      </c>
      <c r="S15" s="16">
        <f t="shared" si="0"/>
        <v>0</v>
      </c>
    </row>
    <row r="16" spans="1:19" s="80" customFormat="1">
      <c r="A16" s="79" t="s">
        <v>28</v>
      </c>
      <c r="B16" s="80" t="s">
        <v>25</v>
      </c>
      <c r="C16" s="87"/>
      <c r="D16" s="82" t="s">
        <v>19</v>
      </c>
      <c r="E16" s="83"/>
      <c r="F16" s="84">
        <v>1</v>
      </c>
      <c r="G16" s="85" t="s">
        <v>20</v>
      </c>
      <c r="H16" s="84">
        <v>36</v>
      </c>
      <c r="I16" s="85" t="s">
        <v>19</v>
      </c>
      <c r="J16" s="16">
        <v>50500</v>
      </c>
      <c r="K16" s="82" t="s">
        <v>19</v>
      </c>
      <c r="L16" s="86"/>
      <c r="M16" s="86">
        <v>0.17</v>
      </c>
      <c r="N16" s="84"/>
      <c r="O16" s="85" t="s">
        <v>19</v>
      </c>
      <c r="P16" s="81">
        <f t="shared" si="1"/>
        <v>0</v>
      </c>
      <c r="Q16" s="85" t="s">
        <v>19</v>
      </c>
      <c r="R16" s="16">
        <f t="shared" si="2"/>
        <v>0</v>
      </c>
      <c r="S16" s="16">
        <f t="shared" si="0"/>
        <v>0</v>
      </c>
    </row>
    <row r="17" spans="1:19" s="89" customFormat="1">
      <c r="A17" s="88" t="s">
        <v>29</v>
      </c>
      <c r="B17" s="89" t="s">
        <v>25</v>
      </c>
      <c r="C17" s="87"/>
      <c r="D17" s="90" t="s">
        <v>19</v>
      </c>
      <c r="E17" s="91"/>
      <c r="F17" s="92">
        <v>1</v>
      </c>
      <c r="G17" s="93" t="s">
        <v>20</v>
      </c>
      <c r="H17" s="92">
        <v>72</v>
      </c>
      <c r="I17" s="93" t="s">
        <v>19</v>
      </c>
      <c r="J17" s="94">
        <v>37000</v>
      </c>
      <c r="K17" s="90" t="s">
        <v>19</v>
      </c>
      <c r="L17" s="95"/>
      <c r="M17" s="95">
        <v>0.17</v>
      </c>
      <c r="N17" s="92"/>
      <c r="O17" s="93" t="s">
        <v>19</v>
      </c>
      <c r="P17" s="87">
        <f t="shared" si="1"/>
        <v>0</v>
      </c>
      <c r="Q17" s="93" t="s">
        <v>19</v>
      </c>
      <c r="R17" s="94">
        <f t="shared" si="2"/>
        <v>0</v>
      </c>
      <c r="S17" s="94">
        <f t="shared" si="0"/>
        <v>0</v>
      </c>
    </row>
    <row r="18" spans="1:19" s="80" customFormat="1">
      <c r="A18" s="79" t="s">
        <v>30</v>
      </c>
      <c r="B18" s="80" t="s">
        <v>25</v>
      </c>
      <c r="C18" s="87"/>
      <c r="D18" s="82" t="s">
        <v>19</v>
      </c>
      <c r="E18" s="83"/>
      <c r="F18" s="84">
        <v>1</v>
      </c>
      <c r="G18" s="85" t="s">
        <v>20</v>
      </c>
      <c r="H18" s="84">
        <v>72</v>
      </c>
      <c r="I18" s="85" t="s">
        <v>19</v>
      </c>
      <c r="J18" s="16">
        <v>30000</v>
      </c>
      <c r="K18" s="82" t="s">
        <v>19</v>
      </c>
      <c r="L18" s="86"/>
      <c r="M18" s="86">
        <v>0.17</v>
      </c>
      <c r="N18" s="84"/>
      <c r="O18" s="85" t="s">
        <v>19</v>
      </c>
      <c r="P18" s="81">
        <f t="shared" si="1"/>
        <v>0</v>
      </c>
      <c r="Q18" s="85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831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80" customFormat="1">
      <c r="A23" s="79" t="s">
        <v>845</v>
      </c>
      <c r="B23" s="80" t="s">
        <v>18</v>
      </c>
      <c r="C23" s="81"/>
      <c r="D23" s="82" t="s">
        <v>33</v>
      </c>
      <c r="E23" s="83"/>
      <c r="F23" s="84">
        <v>1</v>
      </c>
      <c r="G23" s="85" t="s">
        <v>20</v>
      </c>
      <c r="H23" s="84">
        <v>60</v>
      </c>
      <c r="I23" s="85" t="s">
        <v>33</v>
      </c>
      <c r="J23" s="16">
        <v>31200</v>
      </c>
      <c r="K23" s="82" t="s">
        <v>33</v>
      </c>
      <c r="L23" s="86">
        <v>0.125</v>
      </c>
      <c r="M23" s="86">
        <v>0.05</v>
      </c>
      <c r="N23" s="84"/>
      <c r="O23" s="85" t="s">
        <v>33</v>
      </c>
      <c r="P23" s="81">
        <f t="shared" si="3"/>
        <v>0</v>
      </c>
      <c r="Q23" s="85" t="s">
        <v>33</v>
      </c>
      <c r="R23" s="16">
        <f t="shared" si="4"/>
        <v>0</v>
      </c>
      <c r="S23" s="16">
        <f t="shared" si="0"/>
        <v>0</v>
      </c>
    </row>
    <row r="24" spans="1:19" s="80" customFormat="1">
      <c r="A24" s="79" t="s">
        <v>695</v>
      </c>
      <c r="B24" s="80" t="s">
        <v>18</v>
      </c>
      <c r="C24" s="81"/>
      <c r="D24" s="82" t="s">
        <v>33</v>
      </c>
      <c r="E24" s="83"/>
      <c r="F24" s="84">
        <v>1</v>
      </c>
      <c r="G24" s="85" t="s">
        <v>20</v>
      </c>
      <c r="H24" s="84">
        <v>50</v>
      </c>
      <c r="I24" s="85" t="s">
        <v>33</v>
      </c>
      <c r="J24" s="16">
        <v>66000</v>
      </c>
      <c r="K24" s="82" t="s">
        <v>33</v>
      </c>
      <c r="L24" s="86">
        <v>0.125</v>
      </c>
      <c r="M24" s="86">
        <v>0.05</v>
      </c>
      <c r="N24" s="84"/>
      <c r="O24" s="85" t="s">
        <v>33</v>
      </c>
      <c r="P24" s="81">
        <f t="shared" si="3"/>
        <v>0</v>
      </c>
      <c r="Q24" s="85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841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80" customFormat="1">
      <c r="A26" s="79" t="s">
        <v>34</v>
      </c>
      <c r="B26" s="80" t="s">
        <v>18</v>
      </c>
      <c r="C26" s="81"/>
      <c r="D26" s="82" t="s">
        <v>33</v>
      </c>
      <c r="E26" s="83"/>
      <c r="F26" s="84">
        <v>1</v>
      </c>
      <c r="G26" s="85" t="s">
        <v>20</v>
      </c>
      <c r="H26" s="84">
        <v>180</v>
      </c>
      <c r="I26" s="85" t="s">
        <v>33</v>
      </c>
      <c r="J26" s="16">
        <v>10200</v>
      </c>
      <c r="K26" s="82" t="s">
        <v>33</v>
      </c>
      <c r="L26" s="86">
        <v>0.125</v>
      </c>
      <c r="M26" s="86">
        <v>0.05</v>
      </c>
      <c r="N26" s="84"/>
      <c r="O26" s="85" t="s">
        <v>33</v>
      </c>
      <c r="P26" s="81">
        <f t="shared" si="3"/>
        <v>0</v>
      </c>
      <c r="Q26" s="85" t="s">
        <v>33</v>
      </c>
      <c r="R26" s="16">
        <f t="shared" si="4"/>
        <v>0</v>
      </c>
      <c r="S26" s="16">
        <f t="shared" si="0"/>
        <v>0</v>
      </c>
    </row>
    <row r="27" spans="1:19" s="80" customFormat="1">
      <c r="A27" s="79" t="s">
        <v>35</v>
      </c>
      <c r="B27" s="80" t="s">
        <v>18</v>
      </c>
      <c r="C27" s="81"/>
      <c r="D27" s="82" t="s">
        <v>33</v>
      </c>
      <c r="E27" s="83"/>
      <c r="F27" s="84">
        <v>1</v>
      </c>
      <c r="G27" s="85" t="s">
        <v>20</v>
      </c>
      <c r="H27" s="84">
        <v>32</v>
      </c>
      <c r="I27" s="85" t="s">
        <v>33</v>
      </c>
      <c r="J27" s="16">
        <v>64800</v>
      </c>
      <c r="K27" s="82" t="s">
        <v>33</v>
      </c>
      <c r="L27" s="86">
        <v>0.125</v>
      </c>
      <c r="M27" s="86">
        <v>0.05</v>
      </c>
      <c r="N27" s="84"/>
      <c r="O27" s="85" t="s">
        <v>33</v>
      </c>
      <c r="P27" s="81">
        <f t="shared" si="3"/>
        <v>0</v>
      </c>
      <c r="Q27" s="85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763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99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80" customFormat="1">
      <c r="A30" s="79" t="s">
        <v>752</v>
      </c>
      <c r="B30" s="80" t="s">
        <v>25</v>
      </c>
      <c r="C30" s="81"/>
      <c r="D30" s="82" t="s">
        <v>40</v>
      </c>
      <c r="E30" s="83"/>
      <c r="F30" s="84">
        <v>1</v>
      </c>
      <c r="G30" s="85" t="s">
        <v>20</v>
      </c>
      <c r="H30" s="84">
        <v>60</v>
      </c>
      <c r="I30" s="85" t="s">
        <v>40</v>
      </c>
      <c r="J30" s="16">
        <f>1080000/60</f>
        <v>18000</v>
      </c>
      <c r="K30" s="82" t="s">
        <v>40</v>
      </c>
      <c r="L30" s="86"/>
      <c r="M30" s="86">
        <v>0.17</v>
      </c>
      <c r="N30" s="84"/>
      <c r="O30" s="85" t="s">
        <v>33</v>
      </c>
      <c r="P30" s="81">
        <f>(C30+(E30*F30*H30))-N30</f>
        <v>0</v>
      </c>
      <c r="Q30" s="85" t="s">
        <v>40</v>
      </c>
      <c r="R30" s="16">
        <f>P30*(J30-(J30*L30)-((J30-(J30*L30))*M30))</f>
        <v>0</v>
      </c>
      <c r="S30" s="16">
        <f t="shared" si="8"/>
        <v>0</v>
      </c>
    </row>
    <row r="31" spans="1:19" s="80" customFormat="1">
      <c r="A31" s="79" t="s">
        <v>846</v>
      </c>
      <c r="B31" s="80" t="s">
        <v>25</v>
      </c>
      <c r="C31" s="81"/>
      <c r="D31" s="82" t="s">
        <v>40</v>
      </c>
      <c r="E31" s="83"/>
      <c r="F31" s="84">
        <v>1</v>
      </c>
      <c r="G31" s="85" t="s">
        <v>20</v>
      </c>
      <c r="H31" s="84">
        <v>120</v>
      </c>
      <c r="I31" s="85" t="s">
        <v>40</v>
      </c>
      <c r="J31" s="16">
        <f>1908000/120</f>
        <v>15900</v>
      </c>
      <c r="K31" s="82" t="s">
        <v>40</v>
      </c>
      <c r="L31" s="86"/>
      <c r="M31" s="86">
        <v>0.17</v>
      </c>
      <c r="N31" s="84"/>
      <c r="O31" s="85" t="s">
        <v>33</v>
      </c>
      <c r="P31" s="81">
        <f>(C31+(E31*F31*H31))-N31</f>
        <v>0</v>
      </c>
      <c r="Q31" s="85" t="s">
        <v>40</v>
      </c>
      <c r="R31" s="16">
        <f>P31*(J31-(J31*L31)-((J31-(J31*L31))*M31))</f>
        <v>0</v>
      </c>
      <c r="S31" s="16">
        <f t="shared" si="8"/>
        <v>0</v>
      </c>
    </row>
    <row r="32" spans="1:19" s="80" customFormat="1">
      <c r="A32" s="79" t="s">
        <v>847</v>
      </c>
      <c r="B32" s="80" t="s">
        <v>25</v>
      </c>
      <c r="C32" s="81"/>
      <c r="D32" s="82" t="s">
        <v>40</v>
      </c>
      <c r="E32" s="83"/>
      <c r="F32" s="84">
        <v>1</v>
      </c>
      <c r="G32" s="85" t="s">
        <v>20</v>
      </c>
      <c r="H32" s="84">
        <v>60</v>
      </c>
      <c r="I32" s="85" t="s">
        <v>40</v>
      </c>
      <c r="J32" s="16">
        <f>1728000/60</f>
        <v>28800</v>
      </c>
      <c r="K32" s="82" t="s">
        <v>40</v>
      </c>
      <c r="L32" s="86"/>
      <c r="M32" s="86">
        <v>0.17</v>
      </c>
      <c r="N32" s="84"/>
      <c r="O32" s="85" t="s">
        <v>33</v>
      </c>
      <c r="P32" s="81">
        <f>(C32+(E32*F32*H32))-N32</f>
        <v>0</v>
      </c>
      <c r="Q32" s="85" t="s">
        <v>40</v>
      </c>
      <c r="R32" s="16">
        <f>P32*(J32-(J32*L32)-((J32-(J32*L32))*M32))</f>
        <v>0</v>
      </c>
      <c r="S32" s="16">
        <f t="shared" si="8"/>
        <v>0</v>
      </c>
    </row>
    <row r="33" spans="1:19" s="80" customFormat="1">
      <c r="A33" s="79" t="s">
        <v>680</v>
      </c>
      <c r="B33" s="80" t="s">
        <v>25</v>
      </c>
      <c r="C33" s="81"/>
      <c r="D33" s="82" t="s">
        <v>33</v>
      </c>
      <c r="E33" s="83"/>
      <c r="F33" s="84">
        <v>1</v>
      </c>
      <c r="G33" s="85" t="s">
        <v>20</v>
      </c>
      <c r="H33" s="84">
        <v>32</v>
      </c>
      <c r="I33" s="85" t="s">
        <v>33</v>
      </c>
      <c r="J33" s="16">
        <f>1113600/32</f>
        <v>34800</v>
      </c>
      <c r="K33" s="82" t="s">
        <v>33</v>
      </c>
      <c r="L33" s="86"/>
      <c r="M33" s="86">
        <v>0.17</v>
      </c>
      <c r="N33" s="84"/>
      <c r="O33" s="85" t="s">
        <v>33</v>
      </c>
      <c r="P33" s="81">
        <f>(C33+(E33*F33*H33))-N33</f>
        <v>0</v>
      </c>
      <c r="Q33" s="85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812</v>
      </c>
      <c r="B37" s="19" t="s">
        <v>18</v>
      </c>
      <c r="C37" s="20"/>
      <c r="D37" s="21" t="s">
        <v>19</v>
      </c>
      <c r="E37" s="26">
        <v>1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60</v>
      </c>
      <c r="Q37" s="23" t="s">
        <v>19</v>
      </c>
      <c r="R37" s="24">
        <f>P37*(J37-(J37*L37)-((J37-(J37*L37))*M37))</f>
        <v>1037400</v>
      </c>
      <c r="S37" s="24">
        <f t="shared" ref="S37" si="9">R37/1.11</f>
        <v>934594.59459459456</v>
      </c>
    </row>
    <row r="38" spans="1:19" s="80" customFormat="1">
      <c r="A38" s="79" t="s">
        <v>38</v>
      </c>
      <c r="B38" s="80" t="s">
        <v>18</v>
      </c>
      <c r="C38" s="81"/>
      <c r="D38" s="82" t="s">
        <v>19</v>
      </c>
      <c r="E38" s="83"/>
      <c r="F38" s="84">
        <v>1</v>
      </c>
      <c r="G38" s="85" t="s">
        <v>20</v>
      </c>
      <c r="H38" s="84">
        <v>60</v>
      </c>
      <c r="I38" s="85" t="s">
        <v>19</v>
      </c>
      <c r="J38" s="16">
        <v>18500</v>
      </c>
      <c r="K38" s="82" t="s">
        <v>19</v>
      </c>
      <c r="L38" s="86">
        <v>0.125</v>
      </c>
      <c r="M38" s="86">
        <v>0.05</v>
      </c>
      <c r="N38" s="84"/>
      <c r="O38" s="85" t="s">
        <v>19</v>
      </c>
      <c r="P38" s="81">
        <f>(C38+(E38*F38*H38))-N38</f>
        <v>0</v>
      </c>
      <c r="Q38" s="85" t="s">
        <v>19</v>
      </c>
      <c r="R38" s="16">
        <f>P38*(J38-(J38*L38)-((J38-(J38*L38))*M38))</f>
        <v>0</v>
      </c>
      <c r="S38" s="16">
        <f t="shared" si="0"/>
        <v>0</v>
      </c>
    </row>
    <row r="40" spans="1:19" s="89" customFormat="1">
      <c r="A40" s="88" t="s">
        <v>39</v>
      </c>
      <c r="B40" s="89" t="s">
        <v>25</v>
      </c>
      <c r="C40" s="87"/>
      <c r="D40" s="90" t="s">
        <v>40</v>
      </c>
      <c r="E40" s="91"/>
      <c r="F40" s="92">
        <v>1</v>
      </c>
      <c r="G40" s="93" t="s">
        <v>20</v>
      </c>
      <c r="H40" s="92">
        <v>5</v>
      </c>
      <c r="I40" s="93" t="s">
        <v>40</v>
      </c>
      <c r="J40" s="94">
        <f>780000/5</f>
        <v>156000</v>
      </c>
      <c r="K40" s="90" t="s">
        <v>40</v>
      </c>
      <c r="L40" s="95"/>
      <c r="M40" s="95">
        <v>0.17</v>
      </c>
      <c r="N40" s="92"/>
      <c r="O40" s="97" t="s">
        <v>40</v>
      </c>
      <c r="P40" s="87">
        <f t="shared" ref="P40:P44" si="10">(C40+(E40*F40*H40))-N40</f>
        <v>0</v>
      </c>
      <c r="Q40" s="93" t="s">
        <v>40</v>
      </c>
      <c r="R40" s="94">
        <f t="shared" ref="R40:R44" si="11">P40*(J40-(J40*L40)-((J40-(J40*L40))*M40))</f>
        <v>0</v>
      </c>
      <c r="S40" s="94">
        <f t="shared" si="0"/>
        <v>0</v>
      </c>
    </row>
    <row r="41" spans="1:19" s="89" customFormat="1">
      <c r="A41" s="164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7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7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89" customFormat="1">
      <c r="A43" s="88" t="s">
        <v>42</v>
      </c>
      <c r="B43" s="89" t="s">
        <v>25</v>
      </c>
      <c r="C43" s="87"/>
      <c r="D43" s="90" t="s">
        <v>40</v>
      </c>
      <c r="E43" s="91"/>
      <c r="F43" s="92">
        <v>1</v>
      </c>
      <c r="G43" s="93" t="s">
        <v>20</v>
      </c>
      <c r="H43" s="92">
        <v>5</v>
      </c>
      <c r="I43" s="93" t="s">
        <v>40</v>
      </c>
      <c r="J43" s="94">
        <f>990000/5</f>
        <v>198000</v>
      </c>
      <c r="K43" s="90" t="s">
        <v>40</v>
      </c>
      <c r="L43" s="95"/>
      <c r="M43" s="95">
        <v>0.17</v>
      </c>
      <c r="N43" s="92"/>
      <c r="O43" s="97" t="s">
        <v>40</v>
      </c>
      <c r="P43" s="87">
        <f t="shared" si="10"/>
        <v>0</v>
      </c>
      <c r="Q43" s="93" t="s">
        <v>40</v>
      </c>
      <c r="R43" s="94">
        <f t="shared" si="11"/>
        <v>0</v>
      </c>
      <c r="S43" s="94">
        <f t="shared" si="0"/>
        <v>0</v>
      </c>
    </row>
    <row r="44" spans="1:19" s="89" customFormat="1">
      <c r="A44" s="88" t="s">
        <v>43</v>
      </c>
      <c r="B44" s="89" t="s">
        <v>25</v>
      </c>
      <c r="C44" s="87"/>
      <c r="D44" s="90" t="s">
        <v>40</v>
      </c>
      <c r="E44" s="91"/>
      <c r="F44" s="92">
        <v>1</v>
      </c>
      <c r="G44" s="93" t="s">
        <v>20</v>
      </c>
      <c r="H44" s="92">
        <v>5</v>
      </c>
      <c r="I44" s="93" t="s">
        <v>40</v>
      </c>
      <c r="J44" s="94">
        <f>975000/5</f>
        <v>195000</v>
      </c>
      <c r="K44" s="90" t="s">
        <v>40</v>
      </c>
      <c r="L44" s="95"/>
      <c r="M44" s="95">
        <v>0.17</v>
      </c>
      <c r="N44" s="92"/>
      <c r="O44" s="97" t="s">
        <v>40</v>
      </c>
      <c r="P44" s="87">
        <f t="shared" si="10"/>
        <v>0</v>
      </c>
      <c r="Q44" s="93" t="s">
        <v>40</v>
      </c>
      <c r="R44" s="94">
        <f t="shared" si="11"/>
        <v>0</v>
      </c>
      <c r="S44" s="94">
        <f t="shared" si="0"/>
        <v>0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7"/>
      <c r="P45" s="20"/>
      <c r="Q45" s="23"/>
      <c r="R45" s="24"/>
      <c r="S45" s="24"/>
    </row>
    <row r="46" spans="1:19" s="19" customFormat="1">
      <c r="A46" s="71" t="s">
        <v>698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96" customFormat="1">
      <c r="A47" s="98" t="s">
        <v>848</v>
      </c>
      <c r="B47" s="96" t="s">
        <v>701</v>
      </c>
      <c r="C47" s="99">
        <v>520</v>
      </c>
      <c r="D47" s="100" t="s">
        <v>19</v>
      </c>
      <c r="E47" s="101"/>
      <c r="F47" s="102">
        <v>1</v>
      </c>
      <c r="G47" s="103" t="s">
        <v>20</v>
      </c>
      <c r="H47" s="102">
        <v>100</v>
      </c>
      <c r="I47" s="103" t="s">
        <v>19</v>
      </c>
      <c r="J47" s="104">
        <v>6610</v>
      </c>
      <c r="K47" s="100" t="s">
        <v>19</v>
      </c>
      <c r="L47" s="105"/>
      <c r="M47" s="105"/>
      <c r="N47" s="102"/>
      <c r="O47" s="103" t="s">
        <v>19</v>
      </c>
      <c r="P47" s="99">
        <f>(C47+(E47*F47*H47))-N47</f>
        <v>520</v>
      </c>
      <c r="Q47" s="103" t="s">
        <v>19</v>
      </c>
      <c r="R47" s="104">
        <f>P47*(J47-(J47*L47)-((J47-(J47*L47))*M47))</f>
        <v>3437200</v>
      </c>
      <c r="S47" s="104">
        <f t="shared" ref="S47" si="15">R47/1.11</f>
        <v>3096576.5765765761</v>
      </c>
    </row>
    <row r="48" spans="1:19" s="19" customFormat="1">
      <c r="A48" s="18" t="s">
        <v>758</v>
      </c>
      <c r="B48" s="19" t="s">
        <v>701</v>
      </c>
      <c r="C48" s="20">
        <v>75</v>
      </c>
      <c r="D48" s="21" t="s">
        <v>19</v>
      </c>
      <c r="E48" s="26">
        <v>6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375</v>
      </c>
      <c r="Q48" s="23" t="s">
        <v>19</v>
      </c>
      <c r="R48" s="24">
        <f>P48*(J48-(J48*L48)-((J48-(J48*L48))*M48))</f>
        <v>4826250</v>
      </c>
      <c r="S48" s="24">
        <f t="shared" ref="S48:S50" si="16">R48/1.11</f>
        <v>4347972.9729729723</v>
      </c>
    </row>
    <row r="49" spans="1:19" s="89" customFormat="1">
      <c r="A49" s="88" t="s">
        <v>699</v>
      </c>
      <c r="B49" s="89" t="s">
        <v>701</v>
      </c>
      <c r="C49" s="87"/>
      <c r="D49" s="90" t="s">
        <v>19</v>
      </c>
      <c r="E49" s="91"/>
      <c r="F49" s="92">
        <v>1</v>
      </c>
      <c r="G49" s="93" t="s">
        <v>20</v>
      </c>
      <c r="H49" s="92">
        <v>50</v>
      </c>
      <c r="I49" s="93" t="s">
        <v>19</v>
      </c>
      <c r="J49" s="94">
        <v>12870</v>
      </c>
      <c r="K49" s="90" t="s">
        <v>19</v>
      </c>
      <c r="L49" s="95"/>
      <c r="M49" s="95"/>
      <c r="N49" s="92"/>
      <c r="O49" s="93" t="s">
        <v>19</v>
      </c>
      <c r="P49" s="87">
        <f>(C49+(E49*F49*H49))-N49</f>
        <v>0</v>
      </c>
      <c r="Q49" s="93" t="s">
        <v>19</v>
      </c>
      <c r="R49" s="94">
        <f>P49*(J49-(J49*L49)-((J49-(J49*L49))*M49))</f>
        <v>0</v>
      </c>
      <c r="S49" s="94">
        <f t="shared" si="16"/>
        <v>0</v>
      </c>
    </row>
    <row r="50" spans="1:19" s="19" customFormat="1">
      <c r="A50" s="18" t="s">
        <v>700</v>
      </c>
      <c r="B50" s="19" t="s">
        <v>701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16"/>
        <v>57972.972972972966</v>
      </c>
    </row>
    <row r="51" spans="1:19" s="106" customFormat="1">
      <c r="A51" s="98"/>
      <c r="C51" s="107"/>
      <c r="D51" s="108"/>
      <c r="E51" s="109"/>
      <c r="F51" s="110"/>
      <c r="G51" s="111"/>
      <c r="H51" s="110"/>
      <c r="I51" s="111"/>
      <c r="J51" s="112"/>
      <c r="K51" s="108"/>
      <c r="L51" s="113"/>
      <c r="M51" s="113"/>
      <c r="N51" s="110"/>
      <c r="O51" s="114"/>
      <c r="P51" s="107"/>
      <c r="Q51" s="111"/>
      <c r="R51" s="112"/>
      <c r="S51" s="112"/>
    </row>
    <row r="52" spans="1:19">
      <c r="A52" s="15" t="s">
        <v>849</v>
      </c>
      <c r="S52" s="16"/>
    </row>
    <row r="53" spans="1:19" s="96" customFormat="1">
      <c r="A53" s="98" t="s">
        <v>850</v>
      </c>
      <c r="B53" s="96" t="s">
        <v>701</v>
      </c>
      <c r="C53" s="99">
        <v>80</v>
      </c>
      <c r="D53" s="100" t="s">
        <v>99</v>
      </c>
      <c r="E53" s="101">
        <v>6</v>
      </c>
      <c r="F53" s="102">
        <v>1</v>
      </c>
      <c r="G53" s="103" t="s">
        <v>20</v>
      </c>
      <c r="H53" s="102">
        <v>20</v>
      </c>
      <c r="I53" s="103" t="s">
        <v>99</v>
      </c>
      <c r="J53" s="104">
        <v>14900</v>
      </c>
      <c r="K53" s="100" t="s">
        <v>99</v>
      </c>
      <c r="L53" s="105"/>
      <c r="M53" s="105"/>
      <c r="N53" s="102"/>
      <c r="O53" s="103" t="s">
        <v>99</v>
      </c>
      <c r="P53" s="99">
        <f>(C53+(E53*F53*H53))-N53</f>
        <v>200</v>
      </c>
      <c r="Q53" s="103" t="s">
        <v>99</v>
      </c>
      <c r="R53" s="104">
        <f>P53*(J53-(J53*L53)-((J53-(J53*L53))*M53))</f>
        <v>2980000</v>
      </c>
      <c r="S53" s="104">
        <f t="shared" ref="S53:S54" si="17">R53/1.11</f>
        <v>2684684.6846846845</v>
      </c>
    </row>
    <row r="54" spans="1:19" s="96" customFormat="1">
      <c r="A54" s="98" t="s">
        <v>851</v>
      </c>
      <c r="B54" s="96" t="s">
        <v>701</v>
      </c>
      <c r="C54" s="99">
        <v>20</v>
      </c>
      <c r="D54" s="100" t="s">
        <v>99</v>
      </c>
      <c r="E54" s="101"/>
      <c r="F54" s="102">
        <v>1</v>
      </c>
      <c r="G54" s="103" t="s">
        <v>20</v>
      </c>
      <c r="H54" s="102">
        <v>10</v>
      </c>
      <c r="I54" s="103" t="s">
        <v>99</v>
      </c>
      <c r="J54" s="104">
        <v>29900</v>
      </c>
      <c r="K54" s="100" t="s">
        <v>99</v>
      </c>
      <c r="L54" s="105"/>
      <c r="M54" s="105"/>
      <c r="N54" s="102"/>
      <c r="O54" s="103" t="s">
        <v>99</v>
      </c>
      <c r="P54" s="99">
        <f>(C54+(E54*F54*H54))-N54</f>
        <v>20</v>
      </c>
      <c r="Q54" s="103" t="s">
        <v>99</v>
      </c>
      <c r="R54" s="104">
        <f>P54*(J54-(J54*L54)-((J54-(J54*L54))*M54))</f>
        <v>598000</v>
      </c>
      <c r="S54" s="104">
        <f t="shared" si="17"/>
        <v>538738.7387387387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19" s="19" customFormat="1" ht="15.75">
      <c r="A56" s="44" t="s">
        <v>44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9" customFormat="1">
      <c r="A57" s="88" t="s">
        <v>45</v>
      </c>
      <c r="B57" s="89" t="s">
        <v>46</v>
      </c>
      <c r="C57" s="87"/>
      <c r="D57" s="90" t="s">
        <v>19</v>
      </c>
      <c r="E57" s="91"/>
      <c r="F57" s="92">
        <v>2</v>
      </c>
      <c r="G57" s="93" t="s">
        <v>33</v>
      </c>
      <c r="H57" s="92">
        <v>20</v>
      </c>
      <c r="I57" s="93" t="s">
        <v>19</v>
      </c>
      <c r="J57" s="94">
        <v>64000</v>
      </c>
      <c r="K57" s="90" t="s">
        <v>19</v>
      </c>
      <c r="L57" s="95">
        <v>0.125</v>
      </c>
      <c r="M57" s="95">
        <v>0.05</v>
      </c>
      <c r="N57" s="92"/>
      <c r="O57" s="93" t="s">
        <v>19</v>
      </c>
      <c r="P57" s="87">
        <f t="shared" ref="P57:P94" si="18">(C57+(E57*F57*H57))-N57</f>
        <v>0</v>
      </c>
      <c r="Q57" s="93" t="s">
        <v>19</v>
      </c>
      <c r="R57" s="94">
        <f t="shared" ref="R57:R94" si="19">P57*(J57-(J57*L57)-((J57-(J57*L57))*M57))</f>
        <v>0</v>
      </c>
      <c r="S57" s="94">
        <f t="shared" si="0"/>
        <v>0</v>
      </c>
    </row>
    <row r="58" spans="1:19" s="19" customFormat="1">
      <c r="A58" s="18" t="s">
        <v>47</v>
      </c>
      <c r="B58" s="19" t="s">
        <v>46</v>
      </c>
      <c r="C58" s="20">
        <v>35</v>
      </c>
      <c r="D58" s="21" t="s">
        <v>19</v>
      </c>
      <c r="E58" s="26">
        <v>1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8"/>
        <v>155</v>
      </c>
      <c r="Q58" s="23" t="s">
        <v>19</v>
      </c>
      <c r="R58" s="24">
        <f t="shared" si="19"/>
        <v>6055656.25</v>
      </c>
      <c r="S58" s="24">
        <f t="shared" si="0"/>
        <v>5455546.1711711707</v>
      </c>
    </row>
    <row r="59" spans="1:19" s="19" customFormat="1">
      <c r="A59" s="18" t="s">
        <v>48</v>
      </c>
      <c r="B59" s="19" t="s">
        <v>46</v>
      </c>
      <c r="C59" s="20"/>
      <c r="D59" s="21" t="s">
        <v>19</v>
      </c>
      <c r="E59" s="26">
        <v>4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8"/>
        <v>480</v>
      </c>
      <c r="Q59" s="23" t="s">
        <v>19</v>
      </c>
      <c r="R59" s="24">
        <f t="shared" si="19"/>
        <v>18753000</v>
      </c>
      <c r="S59" s="24">
        <f t="shared" si="0"/>
        <v>16894594.594594594</v>
      </c>
    </row>
    <row r="60" spans="1:19" s="89" customFormat="1">
      <c r="A60" s="88" t="s">
        <v>49</v>
      </c>
      <c r="B60" s="89" t="s">
        <v>46</v>
      </c>
      <c r="C60" s="87"/>
      <c r="D60" s="90" t="s">
        <v>19</v>
      </c>
      <c r="E60" s="91">
        <v>1</v>
      </c>
      <c r="F60" s="92">
        <v>6</v>
      </c>
      <c r="G60" s="93" t="s">
        <v>33</v>
      </c>
      <c r="H60" s="92">
        <v>20</v>
      </c>
      <c r="I60" s="93" t="s">
        <v>19</v>
      </c>
      <c r="J60" s="94">
        <v>49000</v>
      </c>
      <c r="K60" s="90" t="s">
        <v>19</v>
      </c>
      <c r="L60" s="95">
        <v>0.125</v>
      </c>
      <c r="M60" s="95">
        <v>0.05</v>
      </c>
      <c r="N60" s="92"/>
      <c r="O60" s="93" t="s">
        <v>19</v>
      </c>
      <c r="P60" s="87">
        <f t="shared" si="18"/>
        <v>120</v>
      </c>
      <c r="Q60" s="93" t="s">
        <v>19</v>
      </c>
      <c r="R60" s="94">
        <f t="shared" si="19"/>
        <v>4887750</v>
      </c>
      <c r="S60" s="94">
        <f t="shared" si="0"/>
        <v>4403378.3783783782</v>
      </c>
    </row>
    <row r="61" spans="1:19" s="19" customFormat="1">
      <c r="A61" s="18" t="s">
        <v>50</v>
      </c>
      <c r="B61" s="19" t="s">
        <v>46</v>
      </c>
      <c r="C61" s="20"/>
      <c r="D61" s="21" t="s">
        <v>19</v>
      </c>
      <c r="E61" s="26">
        <v>1</v>
      </c>
      <c r="F61" s="22">
        <v>4</v>
      </c>
      <c r="G61" s="23" t="s">
        <v>33</v>
      </c>
      <c r="H61" s="22">
        <v>20</v>
      </c>
      <c r="I61" s="23" t="s">
        <v>19</v>
      </c>
      <c r="J61" s="24">
        <v>56000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ref="P61" si="20">(C61+(E61*F61*H61))-N61</f>
        <v>80</v>
      </c>
      <c r="Q61" s="23" t="s">
        <v>19</v>
      </c>
      <c r="R61" s="24">
        <f t="shared" ref="R61" si="21">P61*(J61-(J61*L61)-((J61-(J61*L61))*M61))</f>
        <v>3724000</v>
      </c>
      <c r="S61" s="24">
        <f t="shared" ref="S61" si="22">R61/1.11</f>
        <v>3354954.9549549548</v>
      </c>
    </row>
    <row r="62" spans="1:19" s="19" customFormat="1">
      <c r="A62" s="18" t="s">
        <v>51</v>
      </c>
      <c r="B62" s="19" t="s">
        <v>46</v>
      </c>
      <c r="C62" s="20">
        <v>55</v>
      </c>
      <c r="D62" s="21" t="s">
        <v>19</v>
      </c>
      <c r="E62" s="26">
        <v>1</v>
      </c>
      <c r="F62" s="22">
        <v>6</v>
      </c>
      <c r="G62" s="23" t="s">
        <v>33</v>
      </c>
      <c r="H62" s="22">
        <v>20</v>
      </c>
      <c r="I62" s="23" t="s">
        <v>19</v>
      </c>
      <c r="J62" s="24">
        <v>47000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8"/>
        <v>175</v>
      </c>
      <c r="Q62" s="23" t="s">
        <v>19</v>
      </c>
      <c r="R62" s="24">
        <f t="shared" si="19"/>
        <v>6837031.25</v>
      </c>
      <c r="S62" s="24">
        <f t="shared" si="0"/>
        <v>6159487.6126126116</v>
      </c>
    </row>
    <row r="63" spans="1:19" s="19" customFormat="1">
      <c r="A63" s="18" t="s">
        <v>813</v>
      </c>
      <c r="B63" s="19" t="s">
        <v>46</v>
      </c>
      <c r="C63" s="20"/>
      <c r="D63" s="21" t="s">
        <v>19</v>
      </c>
      <c r="E63" s="26">
        <v>2</v>
      </c>
      <c r="F63" s="22">
        <v>4</v>
      </c>
      <c r="G63" s="23" t="s">
        <v>33</v>
      </c>
      <c r="H63" s="22">
        <v>20</v>
      </c>
      <c r="I63" s="23" t="s">
        <v>19</v>
      </c>
      <c r="J63" s="24">
        <v>60000</v>
      </c>
      <c r="K63" s="21" t="s">
        <v>19</v>
      </c>
      <c r="L63" s="25">
        <v>0.125</v>
      </c>
      <c r="M63" s="25">
        <v>0.1</v>
      </c>
      <c r="N63" s="22"/>
      <c r="O63" s="23" t="s">
        <v>19</v>
      </c>
      <c r="P63" s="20">
        <f t="shared" si="18"/>
        <v>160</v>
      </c>
      <c r="Q63" s="23" t="s">
        <v>19</v>
      </c>
      <c r="R63" s="24">
        <f t="shared" si="19"/>
        <v>7560000</v>
      </c>
      <c r="S63" s="24">
        <f t="shared" si="0"/>
        <v>6810810.81081081</v>
      </c>
    </row>
    <row r="64" spans="1:19" s="89" customFormat="1">
      <c r="A64" s="88" t="s">
        <v>52</v>
      </c>
      <c r="B64" s="89" t="s">
        <v>46</v>
      </c>
      <c r="C64" s="87"/>
      <c r="D64" s="90" t="s">
        <v>19</v>
      </c>
      <c r="E64" s="91"/>
      <c r="F64" s="92">
        <v>4</v>
      </c>
      <c r="G64" s="93" t="s">
        <v>33</v>
      </c>
      <c r="H64" s="92">
        <v>40</v>
      </c>
      <c r="I64" s="93" t="s">
        <v>19</v>
      </c>
      <c r="J64" s="94">
        <v>37000</v>
      </c>
      <c r="K64" s="90" t="s">
        <v>19</v>
      </c>
      <c r="L64" s="95">
        <v>0.125</v>
      </c>
      <c r="M64" s="95">
        <v>0.05</v>
      </c>
      <c r="N64" s="92"/>
      <c r="O64" s="93" t="s">
        <v>19</v>
      </c>
      <c r="P64" s="87">
        <f t="shared" si="18"/>
        <v>0</v>
      </c>
      <c r="Q64" s="93" t="s">
        <v>19</v>
      </c>
      <c r="R64" s="94">
        <f t="shared" si="19"/>
        <v>0</v>
      </c>
      <c r="S64" s="94">
        <f t="shared" si="0"/>
        <v>0</v>
      </c>
    </row>
    <row r="65" spans="1:19" s="89" customFormat="1">
      <c r="A65" s="88" t="s">
        <v>53</v>
      </c>
      <c r="B65" s="89" t="s">
        <v>46</v>
      </c>
      <c r="C65" s="87"/>
      <c r="D65" s="90" t="s">
        <v>19</v>
      </c>
      <c r="E65" s="91">
        <v>2</v>
      </c>
      <c r="F65" s="92">
        <v>4</v>
      </c>
      <c r="G65" s="93" t="s">
        <v>33</v>
      </c>
      <c r="H65" s="92">
        <v>20</v>
      </c>
      <c r="I65" s="93" t="s">
        <v>19</v>
      </c>
      <c r="J65" s="94">
        <v>50000</v>
      </c>
      <c r="K65" s="90" t="s">
        <v>19</v>
      </c>
      <c r="L65" s="95">
        <v>0.125</v>
      </c>
      <c r="M65" s="95">
        <v>0.05</v>
      </c>
      <c r="N65" s="92"/>
      <c r="O65" s="93" t="s">
        <v>19</v>
      </c>
      <c r="P65" s="87">
        <f t="shared" si="18"/>
        <v>160</v>
      </c>
      <c r="Q65" s="93" t="s">
        <v>19</v>
      </c>
      <c r="R65" s="94">
        <f t="shared" si="19"/>
        <v>6650000</v>
      </c>
      <c r="S65" s="94">
        <f t="shared" si="0"/>
        <v>5990990.9909909908</v>
      </c>
    </row>
    <row r="66" spans="1:19" s="89" customFormat="1">
      <c r="A66" s="88" t="s">
        <v>768</v>
      </c>
      <c r="B66" s="89" t="s">
        <v>46</v>
      </c>
      <c r="C66" s="87"/>
      <c r="D66" s="90" t="s">
        <v>19</v>
      </c>
      <c r="E66" s="91"/>
      <c r="F66" s="92">
        <v>4</v>
      </c>
      <c r="G66" s="93" t="s">
        <v>33</v>
      </c>
      <c r="H66" s="92">
        <v>20</v>
      </c>
      <c r="I66" s="93" t="s">
        <v>19</v>
      </c>
      <c r="J66" s="94">
        <v>50000</v>
      </c>
      <c r="K66" s="90" t="s">
        <v>19</v>
      </c>
      <c r="L66" s="95">
        <v>0.125</v>
      </c>
      <c r="M66" s="95">
        <v>0.05</v>
      </c>
      <c r="N66" s="92"/>
      <c r="O66" s="93" t="s">
        <v>19</v>
      </c>
      <c r="P66" s="87">
        <f t="shared" si="18"/>
        <v>0</v>
      </c>
      <c r="Q66" s="93" t="s">
        <v>19</v>
      </c>
      <c r="R66" s="94">
        <f t="shared" si="19"/>
        <v>0</v>
      </c>
      <c r="S66" s="94">
        <f t="shared" si="0"/>
        <v>0</v>
      </c>
    </row>
    <row r="67" spans="1:19" s="89" customFormat="1">
      <c r="A67" s="88" t="s">
        <v>54</v>
      </c>
      <c r="B67" s="89" t="s">
        <v>46</v>
      </c>
      <c r="C67" s="87"/>
      <c r="D67" s="90" t="s">
        <v>19</v>
      </c>
      <c r="E67" s="91"/>
      <c r="F67" s="92">
        <v>4</v>
      </c>
      <c r="G67" s="93" t="s">
        <v>33</v>
      </c>
      <c r="H67" s="92">
        <v>20</v>
      </c>
      <c r="I67" s="93" t="s">
        <v>19</v>
      </c>
      <c r="J67" s="94">
        <v>67000</v>
      </c>
      <c r="K67" s="90" t="s">
        <v>19</v>
      </c>
      <c r="L67" s="95">
        <v>0.125</v>
      </c>
      <c r="M67" s="95">
        <v>0.05</v>
      </c>
      <c r="N67" s="92"/>
      <c r="O67" s="93" t="s">
        <v>19</v>
      </c>
      <c r="P67" s="87">
        <f t="shared" si="18"/>
        <v>0</v>
      </c>
      <c r="Q67" s="93" t="s">
        <v>19</v>
      </c>
      <c r="R67" s="94">
        <f t="shared" si="19"/>
        <v>0</v>
      </c>
      <c r="S67" s="94">
        <f t="shared" si="0"/>
        <v>0</v>
      </c>
    </row>
    <row r="68" spans="1:19" s="89" customFormat="1">
      <c r="A68" s="88" t="s">
        <v>767</v>
      </c>
      <c r="B68" s="89" t="s">
        <v>46</v>
      </c>
      <c r="C68" s="87"/>
      <c r="D68" s="90" t="s">
        <v>19</v>
      </c>
      <c r="E68" s="91"/>
      <c r="F68" s="92">
        <v>6</v>
      </c>
      <c r="G68" s="93" t="s">
        <v>33</v>
      </c>
      <c r="H68" s="92">
        <v>10</v>
      </c>
      <c r="I68" s="93" t="s">
        <v>19</v>
      </c>
      <c r="J68" s="94">
        <v>77000</v>
      </c>
      <c r="K68" s="90" t="s">
        <v>19</v>
      </c>
      <c r="L68" s="95">
        <v>0.125</v>
      </c>
      <c r="M68" s="95">
        <v>0.05</v>
      </c>
      <c r="N68" s="92"/>
      <c r="O68" s="93" t="s">
        <v>19</v>
      </c>
      <c r="P68" s="87">
        <f t="shared" si="18"/>
        <v>0</v>
      </c>
      <c r="Q68" s="93" t="s">
        <v>19</v>
      </c>
      <c r="R68" s="94">
        <f t="shared" si="19"/>
        <v>0</v>
      </c>
      <c r="S68" s="94">
        <f t="shared" si="0"/>
        <v>0</v>
      </c>
    </row>
    <row r="69" spans="1:19" s="89" customFormat="1">
      <c r="A69" s="88" t="s">
        <v>55</v>
      </c>
      <c r="B69" s="89" t="s">
        <v>46</v>
      </c>
      <c r="C69" s="87"/>
      <c r="D69" s="90" t="s">
        <v>19</v>
      </c>
      <c r="E69" s="91"/>
      <c r="F69" s="92">
        <v>6</v>
      </c>
      <c r="G69" s="93" t="s">
        <v>33</v>
      </c>
      <c r="H69" s="92">
        <v>10</v>
      </c>
      <c r="I69" s="93" t="s">
        <v>19</v>
      </c>
      <c r="J69" s="94">
        <v>73000</v>
      </c>
      <c r="K69" s="90" t="s">
        <v>19</v>
      </c>
      <c r="L69" s="95">
        <v>0.125</v>
      </c>
      <c r="M69" s="95">
        <v>0.05</v>
      </c>
      <c r="N69" s="92"/>
      <c r="O69" s="93" t="s">
        <v>19</v>
      </c>
      <c r="P69" s="87">
        <f t="shared" si="18"/>
        <v>0</v>
      </c>
      <c r="Q69" s="93" t="s">
        <v>19</v>
      </c>
      <c r="R69" s="94">
        <f t="shared" si="19"/>
        <v>0</v>
      </c>
      <c r="S69" s="94">
        <f t="shared" si="0"/>
        <v>0</v>
      </c>
    </row>
    <row r="70" spans="1:19" s="89" customFormat="1">
      <c r="A70" s="88" t="s">
        <v>56</v>
      </c>
      <c r="B70" s="89" t="s">
        <v>46</v>
      </c>
      <c r="C70" s="87"/>
      <c r="D70" s="90" t="s">
        <v>19</v>
      </c>
      <c r="E70" s="91"/>
      <c r="F70" s="92">
        <v>8</v>
      </c>
      <c r="G70" s="93" t="s">
        <v>33</v>
      </c>
      <c r="H70" s="92">
        <v>10</v>
      </c>
      <c r="I70" s="93" t="s">
        <v>19</v>
      </c>
      <c r="J70" s="94">
        <v>56000</v>
      </c>
      <c r="K70" s="90" t="s">
        <v>19</v>
      </c>
      <c r="L70" s="95">
        <v>0.125</v>
      </c>
      <c r="M70" s="95">
        <v>0.05</v>
      </c>
      <c r="N70" s="92"/>
      <c r="O70" s="93" t="s">
        <v>19</v>
      </c>
      <c r="P70" s="87">
        <f t="shared" si="18"/>
        <v>0</v>
      </c>
      <c r="Q70" s="93" t="s">
        <v>19</v>
      </c>
      <c r="R70" s="94">
        <f t="shared" si="19"/>
        <v>0</v>
      </c>
      <c r="S70" s="94">
        <f t="shared" si="0"/>
        <v>0</v>
      </c>
    </row>
    <row r="71" spans="1:19" s="19" customFormat="1">
      <c r="A71" s="18" t="s">
        <v>57</v>
      </c>
      <c r="B71" s="19" t="s">
        <v>46</v>
      </c>
      <c r="C71" s="20">
        <v>112</v>
      </c>
      <c r="D71" s="21" t="s">
        <v>19</v>
      </c>
      <c r="E71" s="26">
        <v>1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25">
        <v>0.05</v>
      </c>
      <c r="N71" s="22"/>
      <c r="O71" s="23" t="s">
        <v>19</v>
      </c>
      <c r="P71" s="20">
        <f t="shared" si="18"/>
        <v>232</v>
      </c>
      <c r="Q71" s="23" t="s">
        <v>19</v>
      </c>
      <c r="R71" s="24">
        <f t="shared" si="19"/>
        <v>9063950</v>
      </c>
      <c r="S71" s="24">
        <f t="shared" si="0"/>
        <v>8165720.7207207195</v>
      </c>
    </row>
    <row r="72" spans="1:19" s="96" customFormat="1">
      <c r="A72" s="116" t="s">
        <v>58</v>
      </c>
      <c r="B72" s="117" t="s">
        <v>46</v>
      </c>
      <c r="C72" s="118">
        <v>82</v>
      </c>
      <c r="D72" s="119" t="s">
        <v>19</v>
      </c>
      <c r="E72" s="120">
        <v>1</v>
      </c>
      <c r="F72" s="121">
        <v>8</v>
      </c>
      <c r="G72" s="122" t="s">
        <v>33</v>
      </c>
      <c r="H72" s="121">
        <v>20</v>
      </c>
      <c r="I72" s="122" t="s">
        <v>19</v>
      </c>
      <c r="J72" s="123">
        <v>32000</v>
      </c>
      <c r="K72" s="119" t="s">
        <v>19</v>
      </c>
      <c r="L72" s="124">
        <v>0.125</v>
      </c>
      <c r="M72" s="124">
        <v>0.05</v>
      </c>
      <c r="N72" s="121"/>
      <c r="O72" s="122" t="s">
        <v>19</v>
      </c>
      <c r="P72" s="118">
        <f t="shared" si="18"/>
        <v>242</v>
      </c>
      <c r="Q72" s="122" t="s">
        <v>19</v>
      </c>
      <c r="R72" s="123">
        <f t="shared" si="19"/>
        <v>6437200</v>
      </c>
      <c r="S72" s="123">
        <f t="shared" si="0"/>
        <v>5799279.2792792786</v>
      </c>
    </row>
    <row r="73" spans="1:19" s="19" customFormat="1">
      <c r="A73" s="31" t="s">
        <v>58</v>
      </c>
      <c r="B73" s="32" t="s">
        <v>46</v>
      </c>
      <c r="C73" s="33"/>
      <c r="D73" s="34" t="s">
        <v>19</v>
      </c>
      <c r="E73" s="35">
        <v>1</v>
      </c>
      <c r="F73" s="36">
        <v>8</v>
      </c>
      <c r="G73" s="37" t="s">
        <v>33</v>
      </c>
      <c r="H73" s="36">
        <v>20</v>
      </c>
      <c r="I73" s="37" t="s">
        <v>19</v>
      </c>
      <c r="J73" s="38">
        <v>32000</v>
      </c>
      <c r="K73" s="34" t="s">
        <v>19</v>
      </c>
      <c r="L73" s="39">
        <v>0.125</v>
      </c>
      <c r="M73" s="39">
        <v>0.1</v>
      </c>
      <c r="N73" s="36"/>
      <c r="O73" s="37" t="s">
        <v>19</v>
      </c>
      <c r="P73" s="33">
        <f t="shared" ref="P73" si="23">(C73+(E73*F73*H73))-N73</f>
        <v>160</v>
      </c>
      <c r="Q73" s="37" t="s">
        <v>19</v>
      </c>
      <c r="R73" s="38">
        <f t="shared" ref="R73" si="24">P73*(J73-(J73*L73)-((J73-(J73*L73))*M73))</f>
        <v>4032000</v>
      </c>
      <c r="S73" s="38">
        <f t="shared" ref="S73" si="25">R73/1.11</f>
        <v>3632432.4324324322</v>
      </c>
    </row>
    <row r="74" spans="1:19" s="96" customFormat="1">
      <c r="A74" s="134" t="s">
        <v>59</v>
      </c>
      <c r="B74" s="135" t="s">
        <v>46</v>
      </c>
      <c r="C74" s="136">
        <v>3</v>
      </c>
      <c r="D74" s="137" t="s">
        <v>19</v>
      </c>
      <c r="E74" s="138">
        <v>1</v>
      </c>
      <c r="F74" s="139">
        <v>8</v>
      </c>
      <c r="G74" s="140" t="s">
        <v>33</v>
      </c>
      <c r="H74" s="139">
        <v>20</v>
      </c>
      <c r="I74" s="140" t="s">
        <v>19</v>
      </c>
      <c r="J74" s="141">
        <v>27500</v>
      </c>
      <c r="K74" s="137" t="s">
        <v>19</v>
      </c>
      <c r="L74" s="142">
        <v>0.125</v>
      </c>
      <c r="M74" s="142">
        <v>0.05</v>
      </c>
      <c r="N74" s="139"/>
      <c r="O74" s="140" t="s">
        <v>19</v>
      </c>
      <c r="P74" s="136">
        <f>(C74+(E74*F74*H74))-N74</f>
        <v>163</v>
      </c>
      <c r="Q74" s="140" t="s">
        <v>19</v>
      </c>
      <c r="R74" s="141">
        <f>P74*(J74-(J74*L74)-((J74-(J74*L74))*M74))</f>
        <v>3726078.125</v>
      </c>
      <c r="S74" s="141">
        <f>R74/1.11</f>
        <v>3356827.1396396393</v>
      </c>
    </row>
    <row r="75" spans="1:19" s="19" customFormat="1">
      <c r="A75" s="125" t="s">
        <v>59</v>
      </c>
      <c r="B75" s="126" t="s">
        <v>46</v>
      </c>
      <c r="C75" s="127"/>
      <c r="D75" s="128" t="s">
        <v>19</v>
      </c>
      <c r="E75" s="129">
        <v>1</v>
      </c>
      <c r="F75" s="130">
        <v>8</v>
      </c>
      <c r="G75" s="131" t="s">
        <v>33</v>
      </c>
      <c r="H75" s="130">
        <v>20</v>
      </c>
      <c r="I75" s="131" t="s">
        <v>19</v>
      </c>
      <c r="J75" s="132">
        <v>27500</v>
      </c>
      <c r="K75" s="128" t="s">
        <v>19</v>
      </c>
      <c r="L75" s="133">
        <v>0.125</v>
      </c>
      <c r="M75" s="133">
        <v>0.1</v>
      </c>
      <c r="N75" s="130"/>
      <c r="O75" s="131" t="s">
        <v>19</v>
      </c>
      <c r="P75" s="127">
        <f t="shared" ref="P75" si="26">(C75+(E75*F75*H75))-N75</f>
        <v>160</v>
      </c>
      <c r="Q75" s="131" t="s">
        <v>19</v>
      </c>
      <c r="R75" s="132">
        <f t="shared" ref="R75" si="27">P75*(J75-(J75*L75)-((J75-(J75*L75))*M75))</f>
        <v>3465000</v>
      </c>
      <c r="S75" s="132">
        <f t="shared" ref="S75" si="28">R75/1.11</f>
        <v>3121621.6216216213</v>
      </c>
    </row>
    <row r="76" spans="1:19" s="106" customFormat="1">
      <c r="A76" s="116" t="s">
        <v>60</v>
      </c>
      <c r="B76" s="117" t="s">
        <v>46</v>
      </c>
      <c r="C76" s="118">
        <v>9</v>
      </c>
      <c r="D76" s="119" t="s">
        <v>19</v>
      </c>
      <c r="E76" s="120"/>
      <c r="F76" s="121">
        <v>4</v>
      </c>
      <c r="G76" s="122" t="s">
        <v>33</v>
      </c>
      <c r="H76" s="121">
        <v>20</v>
      </c>
      <c r="I76" s="122" t="s">
        <v>19</v>
      </c>
      <c r="J76" s="123">
        <v>54000</v>
      </c>
      <c r="K76" s="119" t="s">
        <v>19</v>
      </c>
      <c r="L76" s="124">
        <v>0.125</v>
      </c>
      <c r="M76" s="124">
        <v>0.05</v>
      </c>
      <c r="N76" s="121"/>
      <c r="O76" s="122" t="s">
        <v>19</v>
      </c>
      <c r="P76" s="118">
        <f>(C76+(E76*F76*H76))-N76</f>
        <v>9</v>
      </c>
      <c r="Q76" s="122" t="s">
        <v>19</v>
      </c>
      <c r="R76" s="123">
        <f>P76*(J76-(J76*L76)-((J76-(J76*L76))*M76))</f>
        <v>403987.5</v>
      </c>
      <c r="S76" s="123">
        <f>R76/1.11</f>
        <v>363952.70270270266</v>
      </c>
    </row>
    <row r="77" spans="1:19" s="19" customFormat="1">
      <c r="A77" s="31" t="s">
        <v>60</v>
      </c>
      <c r="B77" s="32" t="s">
        <v>46</v>
      </c>
      <c r="C77" s="33"/>
      <c r="D77" s="34" t="s">
        <v>19</v>
      </c>
      <c r="E77" s="35">
        <v>1</v>
      </c>
      <c r="F77" s="36">
        <v>4</v>
      </c>
      <c r="G77" s="37" t="s">
        <v>33</v>
      </c>
      <c r="H77" s="36">
        <v>20</v>
      </c>
      <c r="I77" s="37" t="s">
        <v>19</v>
      </c>
      <c r="J77" s="38">
        <v>55000</v>
      </c>
      <c r="K77" s="34" t="s">
        <v>19</v>
      </c>
      <c r="L77" s="39">
        <v>0.125</v>
      </c>
      <c r="M77" s="39">
        <v>0.05</v>
      </c>
      <c r="N77" s="36"/>
      <c r="O77" s="37" t="s">
        <v>19</v>
      </c>
      <c r="P77" s="33">
        <f t="shared" ref="P77" si="29">(C77+(E77*F77*H77))-N77</f>
        <v>80</v>
      </c>
      <c r="Q77" s="37" t="s">
        <v>19</v>
      </c>
      <c r="R77" s="38">
        <f t="shared" ref="R77" si="30">P77*(J77-(J77*L77)-((J77-(J77*L77))*M77))</f>
        <v>3657500</v>
      </c>
      <c r="S77" s="38">
        <f t="shared" ref="S77" si="31">R77/1.11</f>
        <v>3295045.0450450447</v>
      </c>
    </row>
    <row r="78" spans="1:19" s="19" customFormat="1">
      <c r="A78" s="125" t="s">
        <v>61</v>
      </c>
      <c r="B78" s="126" t="s">
        <v>46</v>
      </c>
      <c r="C78" s="127"/>
      <c r="D78" s="128" t="s">
        <v>19</v>
      </c>
      <c r="E78" s="129">
        <v>2</v>
      </c>
      <c r="F78" s="130">
        <v>6</v>
      </c>
      <c r="G78" s="131" t="s">
        <v>33</v>
      </c>
      <c r="H78" s="130">
        <v>10</v>
      </c>
      <c r="I78" s="131" t="s">
        <v>19</v>
      </c>
      <c r="J78" s="132">
        <v>74000</v>
      </c>
      <c r="K78" s="128" t="s">
        <v>19</v>
      </c>
      <c r="L78" s="133">
        <v>0.125</v>
      </c>
      <c r="M78" s="133">
        <v>0.1</v>
      </c>
      <c r="N78" s="130"/>
      <c r="O78" s="131" t="s">
        <v>19</v>
      </c>
      <c r="P78" s="127">
        <f t="shared" ref="P78" si="32">(C78+(E78*F78*H78))-N78</f>
        <v>120</v>
      </c>
      <c r="Q78" s="131" t="s">
        <v>19</v>
      </c>
      <c r="R78" s="132">
        <f t="shared" ref="R78" si="33">P78*(J78-(J78*L78)-((J78-(J78*L78))*M78))</f>
        <v>6993000</v>
      </c>
      <c r="S78" s="132">
        <f t="shared" ref="S78" si="34">R78/1.11</f>
        <v>6299999.9999999991</v>
      </c>
    </row>
    <row r="79" spans="1:19" s="19" customFormat="1">
      <c r="A79" s="125" t="s">
        <v>61</v>
      </c>
      <c r="B79" s="126" t="s">
        <v>46</v>
      </c>
      <c r="C79" s="127">
        <v>20</v>
      </c>
      <c r="D79" s="128" t="s">
        <v>19</v>
      </c>
      <c r="E79" s="129">
        <v>1</v>
      </c>
      <c r="F79" s="130">
        <v>6</v>
      </c>
      <c r="G79" s="131" t="s">
        <v>33</v>
      </c>
      <c r="H79" s="130">
        <v>10</v>
      </c>
      <c r="I79" s="131" t="s">
        <v>19</v>
      </c>
      <c r="J79" s="132">
        <v>74000</v>
      </c>
      <c r="K79" s="128" t="s">
        <v>19</v>
      </c>
      <c r="L79" s="133">
        <v>0.125</v>
      </c>
      <c r="M79" s="133">
        <v>0.05</v>
      </c>
      <c r="N79" s="130"/>
      <c r="O79" s="131" t="s">
        <v>19</v>
      </c>
      <c r="P79" s="127">
        <f t="shared" si="18"/>
        <v>80</v>
      </c>
      <c r="Q79" s="131" t="s">
        <v>19</v>
      </c>
      <c r="R79" s="132">
        <f t="shared" si="19"/>
        <v>4921000</v>
      </c>
      <c r="S79" s="132">
        <f t="shared" si="0"/>
        <v>4433333.333333333</v>
      </c>
    </row>
    <row r="80" spans="1:19" s="106" customFormat="1">
      <c r="A80" s="116" t="s">
        <v>62</v>
      </c>
      <c r="B80" s="117" t="s">
        <v>46</v>
      </c>
      <c r="C80" s="118">
        <v>4</v>
      </c>
      <c r="D80" s="119" t="s">
        <v>19</v>
      </c>
      <c r="E80" s="120"/>
      <c r="F80" s="121">
        <v>6</v>
      </c>
      <c r="G80" s="122" t="s">
        <v>33</v>
      </c>
      <c r="H80" s="121">
        <v>20</v>
      </c>
      <c r="I80" s="122" t="s">
        <v>19</v>
      </c>
      <c r="J80" s="123">
        <v>52000</v>
      </c>
      <c r="K80" s="119" t="s">
        <v>19</v>
      </c>
      <c r="L80" s="124">
        <v>0.125</v>
      </c>
      <c r="M80" s="124">
        <v>0.1</v>
      </c>
      <c r="N80" s="121"/>
      <c r="O80" s="122" t="s">
        <v>19</v>
      </c>
      <c r="P80" s="118">
        <f>(C80+(E80*F80*H80))-N80</f>
        <v>4</v>
      </c>
      <c r="Q80" s="122" t="s">
        <v>19</v>
      </c>
      <c r="R80" s="123">
        <f>P80*(J80-(J80*L80)-((J80-(J80*L80))*M80))</f>
        <v>163800</v>
      </c>
      <c r="S80" s="123">
        <f>R80/1.11</f>
        <v>147567.56756756754</v>
      </c>
    </row>
    <row r="81" spans="1:19" s="19" customFormat="1">
      <c r="A81" s="31" t="s">
        <v>62</v>
      </c>
      <c r="B81" s="32" t="s">
        <v>46</v>
      </c>
      <c r="C81" s="33"/>
      <c r="D81" s="34" t="s">
        <v>19</v>
      </c>
      <c r="E81" s="35">
        <v>1</v>
      </c>
      <c r="F81" s="36">
        <v>6</v>
      </c>
      <c r="G81" s="37" t="s">
        <v>33</v>
      </c>
      <c r="H81" s="36">
        <v>20</v>
      </c>
      <c r="I81" s="37" t="s">
        <v>19</v>
      </c>
      <c r="J81" s="38">
        <v>52000</v>
      </c>
      <c r="K81" s="34" t="s">
        <v>19</v>
      </c>
      <c r="L81" s="39">
        <v>0.125</v>
      </c>
      <c r="M81" s="39">
        <v>0.05</v>
      </c>
      <c r="N81" s="36"/>
      <c r="O81" s="37" t="s">
        <v>19</v>
      </c>
      <c r="P81" s="33">
        <f t="shared" ref="P81" si="35">(C81+(E81*F81*H81))-N81</f>
        <v>120</v>
      </c>
      <c r="Q81" s="37" t="s">
        <v>19</v>
      </c>
      <c r="R81" s="38">
        <f t="shared" ref="R81" si="36">P81*(J81-(J81*L81)-((J81-(J81*L81))*M81))</f>
        <v>5187000</v>
      </c>
      <c r="S81" s="38">
        <f t="shared" ref="S81" si="37">R81/1.11</f>
        <v>4672972.9729729723</v>
      </c>
    </row>
    <row r="82" spans="1:19" s="19" customFormat="1">
      <c r="A82" s="18" t="s">
        <v>63</v>
      </c>
      <c r="B82" s="19" t="s">
        <v>46</v>
      </c>
      <c r="C82" s="20">
        <v>330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32500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18"/>
        <v>450</v>
      </c>
      <c r="Q82" s="23" t="s">
        <v>19</v>
      </c>
      <c r="R82" s="24">
        <f t="shared" si="19"/>
        <v>12157031.25</v>
      </c>
      <c r="S82" s="24">
        <f t="shared" si="0"/>
        <v>10952280.405405404</v>
      </c>
    </row>
    <row r="83" spans="1:19" s="19" customFormat="1">
      <c r="A83" s="18" t="s">
        <v>814</v>
      </c>
      <c r="B83" s="19" t="s">
        <v>46</v>
      </c>
      <c r="C83" s="20"/>
      <c r="D83" s="21" t="s">
        <v>19</v>
      </c>
      <c r="E83" s="26">
        <v>2</v>
      </c>
      <c r="F83" s="22">
        <v>8</v>
      </c>
      <c r="G83" s="23" t="s">
        <v>33</v>
      </c>
      <c r="H83" s="22">
        <v>10</v>
      </c>
      <c r="I83" s="23" t="s">
        <v>19</v>
      </c>
      <c r="J83" s="24">
        <v>62000</v>
      </c>
      <c r="K83" s="21" t="s">
        <v>19</v>
      </c>
      <c r="L83" s="25">
        <v>0.125</v>
      </c>
      <c r="M83" s="25">
        <v>0.1</v>
      </c>
      <c r="N83" s="22"/>
      <c r="O83" s="23" t="s">
        <v>19</v>
      </c>
      <c r="P83" s="20">
        <f t="shared" si="18"/>
        <v>160</v>
      </c>
      <c r="Q83" s="23" t="s">
        <v>19</v>
      </c>
      <c r="R83" s="24">
        <f t="shared" si="19"/>
        <v>7812000</v>
      </c>
      <c r="S83" s="24">
        <f t="shared" si="0"/>
        <v>7037837.8378378376</v>
      </c>
    </row>
    <row r="84" spans="1:19" s="19" customFormat="1">
      <c r="A84" s="18" t="s">
        <v>815</v>
      </c>
      <c r="B84" s="19" t="s">
        <v>46</v>
      </c>
      <c r="C84" s="20"/>
      <c r="D84" s="21" t="s">
        <v>19</v>
      </c>
      <c r="E84" s="26">
        <v>2</v>
      </c>
      <c r="F84" s="22">
        <v>6</v>
      </c>
      <c r="G84" s="23" t="s">
        <v>33</v>
      </c>
      <c r="H84" s="22">
        <v>10</v>
      </c>
      <c r="I84" s="23" t="s">
        <v>19</v>
      </c>
      <c r="J84" s="24">
        <v>88000</v>
      </c>
      <c r="K84" s="21" t="s">
        <v>19</v>
      </c>
      <c r="L84" s="25">
        <v>0.125</v>
      </c>
      <c r="M84" s="25">
        <v>0.1</v>
      </c>
      <c r="N84" s="22"/>
      <c r="O84" s="23" t="s">
        <v>19</v>
      </c>
      <c r="P84" s="20">
        <f t="shared" si="18"/>
        <v>120</v>
      </c>
      <c r="Q84" s="23" t="s">
        <v>19</v>
      </c>
      <c r="R84" s="24">
        <f t="shared" si="19"/>
        <v>8316000</v>
      </c>
      <c r="S84" s="24">
        <f t="shared" si="0"/>
        <v>7491891.8918918911</v>
      </c>
    </row>
    <row r="85" spans="1:19" s="106" customFormat="1">
      <c r="A85" s="166" t="s">
        <v>64</v>
      </c>
      <c r="B85" s="106" t="s">
        <v>46</v>
      </c>
      <c r="C85" s="107"/>
      <c r="D85" s="108" t="s">
        <v>19</v>
      </c>
      <c r="E85" s="109">
        <v>1</v>
      </c>
      <c r="F85" s="110">
        <v>6</v>
      </c>
      <c r="G85" s="111" t="s">
        <v>33</v>
      </c>
      <c r="H85" s="110">
        <v>10</v>
      </c>
      <c r="I85" s="111" t="s">
        <v>19</v>
      </c>
      <c r="J85" s="112">
        <v>75000</v>
      </c>
      <c r="K85" s="108" t="s">
        <v>19</v>
      </c>
      <c r="L85" s="113">
        <v>0.125</v>
      </c>
      <c r="M85" s="113">
        <v>0.05</v>
      </c>
      <c r="N85" s="110"/>
      <c r="O85" s="111" t="s">
        <v>19</v>
      </c>
      <c r="P85" s="107">
        <f t="shared" ref="P85" si="38">(C85+(E85*F85*H85))-N85</f>
        <v>60</v>
      </c>
      <c r="Q85" s="111" t="s">
        <v>19</v>
      </c>
      <c r="R85" s="112">
        <f t="shared" ref="R85" si="39">P85*(J85-(J85*L85)-((J85-(J85*L85))*M85))</f>
        <v>3740625</v>
      </c>
      <c r="S85" s="112">
        <f t="shared" ref="S85" si="40">R85/1.11</f>
        <v>3369932.4324324322</v>
      </c>
    </row>
    <row r="86" spans="1:19" s="89" customFormat="1">
      <c r="A86" s="88" t="s">
        <v>64</v>
      </c>
      <c r="B86" s="89" t="s">
        <v>46</v>
      </c>
      <c r="C86" s="87"/>
      <c r="D86" s="90" t="s">
        <v>19</v>
      </c>
      <c r="E86" s="91"/>
      <c r="F86" s="92">
        <v>6</v>
      </c>
      <c r="G86" s="93" t="s">
        <v>33</v>
      </c>
      <c r="H86" s="92">
        <v>10</v>
      </c>
      <c r="I86" s="93" t="s">
        <v>19</v>
      </c>
      <c r="J86" s="94">
        <v>65000</v>
      </c>
      <c r="K86" s="90" t="s">
        <v>19</v>
      </c>
      <c r="L86" s="95">
        <v>0.125</v>
      </c>
      <c r="M86" s="95">
        <v>0.05</v>
      </c>
      <c r="N86" s="92"/>
      <c r="O86" s="93" t="s">
        <v>19</v>
      </c>
      <c r="P86" s="87">
        <f t="shared" si="18"/>
        <v>0</v>
      </c>
      <c r="Q86" s="93" t="s">
        <v>19</v>
      </c>
      <c r="R86" s="94">
        <f t="shared" si="19"/>
        <v>0</v>
      </c>
      <c r="S86" s="94">
        <f t="shared" si="0"/>
        <v>0</v>
      </c>
    </row>
    <row r="87" spans="1:19" s="19" customFormat="1">
      <c r="A87" s="18" t="s">
        <v>65</v>
      </c>
      <c r="B87" s="19" t="s">
        <v>46</v>
      </c>
      <c r="C87" s="20"/>
      <c r="D87" s="21" t="s">
        <v>19</v>
      </c>
      <c r="E87" s="26">
        <v>1</v>
      </c>
      <c r="F87" s="22">
        <v>6</v>
      </c>
      <c r="G87" s="23" t="s">
        <v>33</v>
      </c>
      <c r="H87" s="22">
        <v>10</v>
      </c>
      <c r="I87" s="23" t="s">
        <v>19</v>
      </c>
      <c r="J87" s="24">
        <v>79000</v>
      </c>
      <c r="K87" s="21" t="s">
        <v>19</v>
      </c>
      <c r="L87" s="25">
        <v>0.125</v>
      </c>
      <c r="M87" s="25">
        <v>0.05</v>
      </c>
      <c r="N87" s="22"/>
      <c r="O87" s="23" t="s">
        <v>19</v>
      </c>
      <c r="P87" s="20">
        <f t="shared" ref="P87:P88" si="41">(C87+(E87*F87*H87))-N87</f>
        <v>60</v>
      </c>
      <c r="Q87" s="23" t="s">
        <v>19</v>
      </c>
      <c r="R87" s="24">
        <f t="shared" ref="R87:R88" si="42">P87*(J87-(J87*L87)-((J87-(J87*L87))*M87))</f>
        <v>3940125</v>
      </c>
      <c r="S87" s="24">
        <f t="shared" ref="S87:S88" si="43">R87/1.11</f>
        <v>3549662.1621621619</v>
      </c>
    </row>
    <row r="88" spans="1:19" s="106" customFormat="1">
      <c r="A88" s="116" t="s">
        <v>66</v>
      </c>
      <c r="B88" s="117" t="s">
        <v>46</v>
      </c>
      <c r="C88" s="118">
        <v>83</v>
      </c>
      <c r="D88" s="119" t="s">
        <v>19</v>
      </c>
      <c r="E88" s="120"/>
      <c r="F88" s="121">
        <v>6</v>
      </c>
      <c r="G88" s="122" t="s">
        <v>33</v>
      </c>
      <c r="H88" s="121">
        <v>10</v>
      </c>
      <c r="I88" s="122" t="s">
        <v>19</v>
      </c>
      <c r="J88" s="123">
        <v>75000</v>
      </c>
      <c r="K88" s="119" t="s">
        <v>19</v>
      </c>
      <c r="L88" s="124">
        <v>0.125</v>
      </c>
      <c r="M88" s="124">
        <v>0.05</v>
      </c>
      <c r="N88" s="121"/>
      <c r="O88" s="122" t="s">
        <v>19</v>
      </c>
      <c r="P88" s="118">
        <f t="shared" si="41"/>
        <v>83</v>
      </c>
      <c r="Q88" s="122" t="s">
        <v>19</v>
      </c>
      <c r="R88" s="123">
        <f t="shared" si="42"/>
        <v>5174531.25</v>
      </c>
      <c r="S88" s="123">
        <f t="shared" si="43"/>
        <v>4661739.8648648644</v>
      </c>
    </row>
    <row r="89" spans="1:19" s="19" customFormat="1">
      <c r="A89" s="31" t="s">
        <v>66</v>
      </c>
      <c r="B89" s="32" t="s">
        <v>46</v>
      </c>
      <c r="C89" s="33"/>
      <c r="D89" s="34" t="s">
        <v>19</v>
      </c>
      <c r="E89" s="35">
        <v>1</v>
      </c>
      <c r="F89" s="36">
        <v>6</v>
      </c>
      <c r="G89" s="37" t="s">
        <v>33</v>
      </c>
      <c r="H89" s="36">
        <v>10</v>
      </c>
      <c r="I89" s="37" t="s">
        <v>19</v>
      </c>
      <c r="J89" s="38">
        <v>82000</v>
      </c>
      <c r="K89" s="34" t="s">
        <v>19</v>
      </c>
      <c r="L89" s="39">
        <v>0.125</v>
      </c>
      <c r="M89" s="39">
        <v>0.05</v>
      </c>
      <c r="N89" s="36"/>
      <c r="O89" s="37" t="s">
        <v>19</v>
      </c>
      <c r="P89" s="33">
        <f t="shared" ref="P89" si="44">(C89+(E89*F89*H89))-N89</f>
        <v>60</v>
      </c>
      <c r="Q89" s="37" t="s">
        <v>19</v>
      </c>
      <c r="R89" s="38">
        <f t="shared" ref="R89" si="45">P89*(J89-(J89*L89)-((J89-(J89*L89))*M89))</f>
        <v>4089750</v>
      </c>
      <c r="S89" s="38">
        <f t="shared" ref="S89" si="46">R89/1.11</f>
        <v>3684459.4594594589</v>
      </c>
    </row>
    <row r="90" spans="1:19" s="19" customFormat="1">
      <c r="A90" s="18" t="s">
        <v>67</v>
      </c>
      <c r="B90" s="19" t="s">
        <v>46</v>
      </c>
      <c r="C90" s="20">
        <v>27</v>
      </c>
      <c r="D90" s="21" t="s">
        <v>19</v>
      </c>
      <c r="E90" s="26"/>
      <c r="F90" s="22">
        <v>6</v>
      </c>
      <c r="G90" s="23" t="s">
        <v>33</v>
      </c>
      <c r="H90" s="22">
        <v>10</v>
      </c>
      <c r="I90" s="23" t="s">
        <v>19</v>
      </c>
      <c r="J90" s="24">
        <v>54000</v>
      </c>
      <c r="K90" s="21" t="s">
        <v>19</v>
      </c>
      <c r="L90" s="25">
        <v>0.125</v>
      </c>
      <c r="M90" s="25">
        <v>0.05</v>
      </c>
      <c r="N90" s="22"/>
      <c r="O90" s="23" t="s">
        <v>19</v>
      </c>
      <c r="P90" s="20">
        <f t="shared" si="18"/>
        <v>27</v>
      </c>
      <c r="Q90" s="23" t="s">
        <v>19</v>
      </c>
      <c r="R90" s="24">
        <f t="shared" si="19"/>
        <v>1211962.5</v>
      </c>
      <c r="S90" s="24">
        <f t="shared" si="0"/>
        <v>1091858.1081081079</v>
      </c>
    </row>
    <row r="91" spans="1:19" s="19" customFormat="1">
      <c r="A91" s="18" t="s">
        <v>803</v>
      </c>
      <c r="B91" s="19" t="s">
        <v>46</v>
      </c>
      <c r="C91" s="20">
        <v>4</v>
      </c>
      <c r="D91" s="21" t="s">
        <v>19</v>
      </c>
      <c r="E91" s="26"/>
      <c r="F91" s="22">
        <v>6</v>
      </c>
      <c r="G91" s="23" t="s">
        <v>33</v>
      </c>
      <c r="H91" s="22">
        <v>10</v>
      </c>
      <c r="I91" s="23" t="s">
        <v>19</v>
      </c>
      <c r="J91" s="24">
        <v>56000</v>
      </c>
      <c r="K91" s="21" t="s">
        <v>19</v>
      </c>
      <c r="L91" s="25">
        <v>0.125</v>
      </c>
      <c r="M91" s="25">
        <v>0.05</v>
      </c>
      <c r="N91" s="22"/>
      <c r="O91" s="23" t="s">
        <v>19</v>
      </c>
      <c r="P91" s="20">
        <f t="shared" si="18"/>
        <v>4</v>
      </c>
      <c r="Q91" s="23" t="s">
        <v>19</v>
      </c>
      <c r="R91" s="24">
        <f t="shared" si="19"/>
        <v>186200</v>
      </c>
      <c r="S91" s="24">
        <f t="shared" si="0"/>
        <v>167747.74774774772</v>
      </c>
    </row>
    <row r="92" spans="1:19" s="19" customFormat="1">
      <c r="A92" s="18" t="s">
        <v>68</v>
      </c>
      <c r="B92" s="19" t="s">
        <v>46</v>
      </c>
      <c r="C92" s="20">
        <v>311</v>
      </c>
      <c r="D92" s="21" t="s">
        <v>19</v>
      </c>
      <c r="E92" s="26"/>
      <c r="F92" s="22">
        <v>6</v>
      </c>
      <c r="G92" s="23" t="s">
        <v>33</v>
      </c>
      <c r="H92" s="22">
        <v>20</v>
      </c>
      <c r="I92" s="23" t="s">
        <v>19</v>
      </c>
      <c r="J92" s="24">
        <v>40000</v>
      </c>
      <c r="K92" s="21" t="s">
        <v>19</v>
      </c>
      <c r="L92" s="25">
        <v>0.125</v>
      </c>
      <c r="M92" s="25">
        <v>0.05</v>
      </c>
      <c r="N92" s="22"/>
      <c r="O92" s="23" t="s">
        <v>19</v>
      </c>
      <c r="P92" s="20">
        <f t="shared" si="18"/>
        <v>311</v>
      </c>
      <c r="Q92" s="23" t="s">
        <v>19</v>
      </c>
      <c r="R92" s="24">
        <f t="shared" si="19"/>
        <v>10340750</v>
      </c>
      <c r="S92" s="24">
        <f t="shared" si="0"/>
        <v>9315990.9909909908</v>
      </c>
    </row>
    <row r="93" spans="1:19" s="19" customFormat="1">
      <c r="A93" s="18" t="s">
        <v>69</v>
      </c>
      <c r="B93" s="19" t="s">
        <v>46</v>
      </c>
      <c r="C93" s="20">
        <v>114</v>
      </c>
      <c r="D93" s="21" t="s">
        <v>19</v>
      </c>
      <c r="E93" s="26"/>
      <c r="F93" s="22">
        <v>6</v>
      </c>
      <c r="G93" s="23" t="s">
        <v>33</v>
      </c>
      <c r="H93" s="22">
        <v>10</v>
      </c>
      <c r="I93" s="23" t="s">
        <v>19</v>
      </c>
      <c r="J93" s="24">
        <v>66000</v>
      </c>
      <c r="K93" s="21" t="s">
        <v>19</v>
      </c>
      <c r="L93" s="25">
        <v>0.125</v>
      </c>
      <c r="M93" s="25">
        <v>0.1</v>
      </c>
      <c r="N93" s="22"/>
      <c r="O93" s="23" t="s">
        <v>19</v>
      </c>
      <c r="P93" s="20">
        <f t="shared" si="18"/>
        <v>114</v>
      </c>
      <c r="Q93" s="23" t="s">
        <v>19</v>
      </c>
      <c r="R93" s="24">
        <f t="shared" si="19"/>
        <v>5925150</v>
      </c>
      <c r="S93" s="24">
        <f t="shared" si="0"/>
        <v>5337972.9729729723</v>
      </c>
    </row>
    <row r="94" spans="1:19" s="19" customFormat="1">
      <c r="A94" s="18" t="s">
        <v>70</v>
      </c>
      <c r="B94" s="19" t="s">
        <v>46</v>
      </c>
      <c r="C94" s="20">
        <v>281</v>
      </c>
      <c r="D94" s="21" t="s">
        <v>19</v>
      </c>
      <c r="E94" s="26"/>
      <c r="F94" s="22">
        <v>4</v>
      </c>
      <c r="G94" s="23" t="s">
        <v>33</v>
      </c>
      <c r="H94" s="22">
        <v>40</v>
      </c>
      <c r="I94" s="23" t="s">
        <v>19</v>
      </c>
      <c r="J94" s="24">
        <v>27000</v>
      </c>
      <c r="K94" s="21" t="s">
        <v>19</v>
      </c>
      <c r="L94" s="25">
        <v>0.125</v>
      </c>
      <c r="M94" s="25">
        <v>0.05</v>
      </c>
      <c r="N94" s="22"/>
      <c r="O94" s="23" t="s">
        <v>19</v>
      </c>
      <c r="P94" s="20">
        <f t="shared" si="18"/>
        <v>281</v>
      </c>
      <c r="Q94" s="23" t="s">
        <v>19</v>
      </c>
      <c r="R94" s="24">
        <f t="shared" si="19"/>
        <v>6306693.75</v>
      </c>
      <c r="S94" s="24">
        <f t="shared" si="0"/>
        <v>5681706.0810810803</v>
      </c>
    </row>
    <row r="95" spans="1:19" s="19" customFormat="1">
      <c r="A95" s="18"/>
      <c r="C95" s="20"/>
      <c r="D95" s="21"/>
      <c r="E95" s="26"/>
      <c r="F95" s="22"/>
      <c r="G95" s="23"/>
      <c r="H95" s="22"/>
      <c r="I95" s="23"/>
      <c r="J95" s="24"/>
      <c r="K95" s="21"/>
      <c r="L95" s="25"/>
      <c r="M95" s="25"/>
      <c r="N95" s="22"/>
      <c r="O95" s="23"/>
      <c r="P95" s="20"/>
      <c r="Q95" s="23"/>
      <c r="R95" s="24"/>
      <c r="S95" s="24"/>
    </row>
    <row r="96" spans="1:19" s="19" customFormat="1" ht="15.75">
      <c r="A96" s="44" t="s">
        <v>71</v>
      </c>
      <c r="C96" s="20"/>
      <c r="D96" s="21"/>
      <c r="E96" s="26"/>
      <c r="F96" s="22"/>
      <c r="G96" s="23"/>
      <c r="H96" s="22"/>
      <c r="I96" s="23"/>
      <c r="J96" s="24"/>
      <c r="K96" s="21"/>
      <c r="L96" s="25"/>
      <c r="M96" s="25"/>
      <c r="N96" s="22"/>
      <c r="O96" s="23"/>
      <c r="P96" s="20"/>
      <c r="Q96" s="23"/>
      <c r="R96" s="24"/>
      <c r="S96" s="24"/>
    </row>
    <row r="97" spans="1:19" s="19" customFormat="1">
      <c r="A97" s="18" t="s">
        <v>832</v>
      </c>
      <c r="B97" s="19" t="s">
        <v>18</v>
      </c>
      <c r="C97" s="20"/>
      <c r="D97" s="21" t="s">
        <v>19</v>
      </c>
      <c r="E97" s="26">
        <v>1</v>
      </c>
      <c r="F97" s="22">
        <v>1</v>
      </c>
      <c r="G97" s="23" t="s">
        <v>20</v>
      </c>
      <c r="H97" s="22">
        <v>20</v>
      </c>
      <c r="I97" s="23" t="s">
        <v>19</v>
      </c>
      <c r="J97" s="24">
        <v>160000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ref="P97:P98" si="47">(C97+(E97*F97*H97))-N97</f>
        <v>20</v>
      </c>
      <c r="Q97" s="23" t="s">
        <v>19</v>
      </c>
      <c r="R97" s="24">
        <f t="shared" ref="R97:R98" si="48">P97*(J97-(J97*L97)-((J97-(J97*L97))*M97))</f>
        <v>2660000</v>
      </c>
      <c r="S97" s="24">
        <f t="shared" ref="S97:S98" si="49">R97/1.11</f>
        <v>2396396.3963963962</v>
      </c>
    </row>
    <row r="98" spans="1:19" s="19" customFormat="1">
      <c r="A98" s="18" t="s">
        <v>833</v>
      </c>
      <c r="B98" s="19" t="s">
        <v>18</v>
      </c>
      <c r="C98" s="20"/>
      <c r="D98" s="21" t="s">
        <v>19</v>
      </c>
      <c r="E98" s="26">
        <v>1</v>
      </c>
      <c r="F98" s="22">
        <v>1</v>
      </c>
      <c r="G98" s="23" t="s">
        <v>20</v>
      </c>
      <c r="H98" s="22">
        <v>16</v>
      </c>
      <c r="I98" s="23" t="s">
        <v>19</v>
      </c>
      <c r="J98" s="24">
        <v>187000</v>
      </c>
      <c r="K98" s="21" t="s">
        <v>19</v>
      </c>
      <c r="L98" s="25">
        <v>0.125</v>
      </c>
      <c r="M98" s="25">
        <v>0.05</v>
      </c>
      <c r="N98" s="22"/>
      <c r="O98" s="23" t="s">
        <v>19</v>
      </c>
      <c r="P98" s="20">
        <f t="shared" si="47"/>
        <v>16</v>
      </c>
      <c r="Q98" s="23" t="s">
        <v>19</v>
      </c>
      <c r="R98" s="24">
        <f t="shared" si="48"/>
        <v>2487100</v>
      </c>
      <c r="S98" s="24">
        <f t="shared" si="49"/>
        <v>2240630.6306306305</v>
      </c>
    </row>
    <row r="99" spans="1:19" s="89" customFormat="1">
      <c r="A99" s="88" t="s">
        <v>72</v>
      </c>
      <c r="B99" s="89" t="s">
        <v>18</v>
      </c>
      <c r="C99" s="87"/>
      <c r="D99" s="90" t="s">
        <v>19</v>
      </c>
      <c r="E99" s="91"/>
      <c r="F99" s="92">
        <v>1</v>
      </c>
      <c r="G99" s="93" t="s">
        <v>20</v>
      </c>
      <c r="H99" s="92">
        <v>6</v>
      </c>
      <c r="I99" s="93" t="s">
        <v>19</v>
      </c>
      <c r="J99" s="94">
        <v>390000</v>
      </c>
      <c r="K99" s="90" t="s">
        <v>19</v>
      </c>
      <c r="L99" s="95">
        <v>0.125</v>
      </c>
      <c r="M99" s="95">
        <v>0.05</v>
      </c>
      <c r="N99" s="92"/>
      <c r="O99" s="93" t="s">
        <v>19</v>
      </c>
      <c r="P99" s="87">
        <f>(C99+(E99*F99*H99))-N99</f>
        <v>0</v>
      </c>
      <c r="Q99" s="93" t="s">
        <v>19</v>
      </c>
      <c r="R99" s="94">
        <f>P99*(J99-(J99*L99)-((J99-(J99*L99))*M99))</f>
        <v>0</v>
      </c>
      <c r="S99" s="94">
        <f t="shared" si="0"/>
        <v>0</v>
      </c>
    </row>
    <row r="100" spans="1:19" s="89" customFormat="1">
      <c r="A100" s="88" t="s">
        <v>73</v>
      </c>
      <c r="B100" s="89" t="s">
        <v>18</v>
      </c>
      <c r="C100" s="87"/>
      <c r="D100" s="90" t="s">
        <v>19</v>
      </c>
      <c r="E100" s="91"/>
      <c r="F100" s="92">
        <v>1</v>
      </c>
      <c r="G100" s="93" t="s">
        <v>20</v>
      </c>
      <c r="H100" s="92">
        <v>6</v>
      </c>
      <c r="I100" s="93" t="s">
        <v>19</v>
      </c>
      <c r="J100" s="94">
        <v>500000</v>
      </c>
      <c r="K100" s="90" t="s">
        <v>19</v>
      </c>
      <c r="L100" s="95">
        <v>0.125</v>
      </c>
      <c r="M100" s="95">
        <v>0.05</v>
      </c>
      <c r="N100" s="92"/>
      <c r="O100" s="93" t="s">
        <v>19</v>
      </c>
      <c r="P100" s="87">
        <f>(C100+(E100*F100*H100))-N100</f>
        <v>0</v>
      </c>
      <c r="Q100" s="93" t="s">
        <v>19</v>
      </c>
      <c r="R100" s="94">
        <f>P100*(J100-(J100*L100)-((J100-(J100*L100))*M100))</f>
        <v>0</v>
      </c>
      <c r="S100" s="94">
        <f t="shared" si="0"/>
        <v>0</v>
      </c>
    </row>
    <row r="101" spans="1:19" s="19" customFormat="1">
      <c r="A101" s="18"/>
      <c r="C101" s="20"/>
      <c r="D101" s="21"/>
      <c r="E101" s="26"/>
      <c r="F101" s="22"/>
      <c r="G101" s="23"/>
      <c r="H101" s="22"/>
      <c r="I101" s="23"/>
      <c r="J101" s="24"/>
      <c r="K101" s="21"/>
      <c r="L101" s="25"/>
      <c r="M101" s="25"/>
      <c r="N101" s="22"/>
      <c r="O101" s="23"/>
      <c r="P101" s="20"/>
      <c r="Q101" s="23"/>
      <c r="R101" s="24"/>
      <c r="S101" s="24"/>
    </row>
    <row r="102" spans="1:19" s="19" customFormat="1" ht="15.75">
      <c r="A102" s="44" t="s">
        <v>74</v>
      </c>
      <c r="C102" s="20"/>
      <c r="D102" s="21"/>
      <c r="E102" s="26"/>
      <c r="F102" s="22"/>
      <c r="G102" s="23"/>
      <c r="H102" s="22"/>
      <c r="I102" s="23"/>
      <c r="J102" s="24"/>
      <c r="K102" s="21"/>
      <c r="L102" s="25"/>
      <c r="M102" s="25"/>
      <c r="N102" s="22"/>
      <c r="O102" s="23"/>
      <c r="P102" s="20"/>
      <c r="Q102" s="23"/>
      <c r="R102" s="24"/>
      <c r="S102" s="24"/>
    </row>
    <row r="103" spans="1:19" s="19" customFormat="1">
      <c r="A103" s="71" t="s">
        <v>75</v>
      </c>
      <c r="C103" s="20"/>
      <c r="D103" s="21"/>
      <c r="E103" s="26"/>
      <c r="F103" s="22"/>
      <c r="G103" s="23"/>
      <c r="H103" s="22"/>
      <c r="I103" s="23"/>
      <c r="J103" s="24"/>
      <c r="K103" s="21"/>
      <c r="L103" s="25"/>
      <c r="M103" s="25"/>
      <c r="N103" s="22"/>
      <c r="O103" s="23"/>
      <c r="P103" s="20"/>
      <c r="Q103" s="23"/>
      <c r="R103" s="24"/>
      <c r="S103" s="24"/>
    </row>
    <row r="104" spans="1:19" s="89" customFormat="1">
      <c r="A104" s="143" t="s">
        <v>76</v>
      </c>
      <c r="B104" s="89" t="s">
        <v>18</v>
      </c>
      <c r="C104" s="87"/>
      <c r="D104" s="90" t="s">
        <v>77</v>
      </c>
      <c r="E104" s="91"/>
      <c r="F104" s="92">
        <v>1</v>
      </c>
      <c r="G104" s="93" t="s">
        <v>20</v>
      </c>
      <c r="H104" s="92">
        <v>48</v>
      </c>
      <c r="I104" s="93" t="s">
        <v>77</v>
      </c>
      <c r="J104" s="94">
        <v>14500</v>
      </c>
      <c r="K104" s="90" t="s">
        <v>77</v>
      </c>
      <c r="L104" s="95">
        <v>0.125</v>
      </c>
      <c r="M104" s="95">
        <v>0.05</v>
      </c>
      <c r="N104" s="92"/>
      <c r="O104" s="93" t="s">
        <v>77</v>
      </c>
      <c r="P104" s="87">
        <f t="shared" ref="P104:P118" si="50">(C104+(E104*F104*H104))-N104</f>
        <v>0</v>
      </c>
      <c r="Q104" s="93" t="s">
        <v>77</v>
      </c>
      <c r="R104" s="94">
        <f t="shared" ref="R104:R114" si="51">P104*(J104-(J104*L104)-((J104-(J104*L104))*M104))</f>
        <v>0</v>
      </c>
      <c r="S104" s="94">
        <f t="shared" si="0"/>
        <v>0</v>
      </c>
    </row>
    <row r="105" spans="1:19" s="89" customFormat="1">
      <c r="A105" s="143" t="s">
        <v>796</v>
      </c>
      <c r="B105" s="89" t="s">
        <v>18</v>
      </c>
      <c r="C105" s="87"/>
      <c r="D105" s="90" t="s">
        <v>77</v>
      </c>
      <c r="E105" s="91"/>
      <c r="F105" s="92">
        <v>1</v>
      </c>
      <c r="G105" s="93" t="s">
        <v>20</v>
      </c>
      <c r="H105" s="92">
        <v>96</v>
      </c>
      <c r="I105" s="93" t="s">
        <v>77</v>
      </c>
      <c r="J105" s="94">
        <v>15500</v>
      </c>
      <c r="K105" s="90" t="s">
        <v>77</v>
      </c>
      <c r="L105" s="95">
        <v>0.125</v>
      </c>
      <c r="M105" s="95">
        <v>0.05</v>
      </c>
      <c r="N105" s="92"/>
      <c r="O105" s="93" t="s">
        <v>77</v>
      </c>
      <c r="P105" s="87">
        <f t="shared" si="50"/>
        <v>0</v>
      </c>
      <c r="Q105" s="93" t="s">
        <v>77</v>
      </c>
      <c r="R105" s="94">
        <f t="shared" si="51"/>
        <v>0</v>
      </c>
      <c r="S105" s="94">
        <f t="shared" si="0"/>
        <v>0</v>
      </c>
    </row>
    <row r="106" spans="1:19" s="89" customFormat="1">
      <c r="A106" s="143" t="s">
        <v>78</v>
      </c>
      <c r="B106" s="89" t="s">
        <v>18</v>
      </c>
      <c r="C106" s="87"/>
      <c r="D106" s="90" t="s">
        <v>77</v>
      </c>
      <c r="E106" s="91"/>
      <c r="F106" s="92">
        <v>1</v>
      </c>
      <c r="G106" s="93" t="s">
        <v>20</v>
      </c>
      <c r="H106" s="92">
        <v>96</v>
      </c>
      <c r="I106" s="93" t="s">
        <v>77</v>
      </c>
      <c r="J106" s="94">
        <v>12000</v>
      </c>
      <c r="K106" s="90" t="s">
        <v>77</v>
      </c>
      <c r="L106" s="95">
        <v>0.125</v>
      </c>
      <c r="M106" s="95">
        <v>0.05</v>
      </c>
      <c r="N106" s="92"/>
      <c r="O106" s="93" t="s">
        <v>77</v>
      </c>
      <c r="P106" s="87">
        <f t="shared" si="50"/>
        <v>0</v>
      </c>
      <c r="Q106" s="93" t="s">
        <v>77</v>
      </c>
      <c r="R106" s="94">
        <f t="shared" si="51"/>
        <v>0</v>
      </c>
      <c r="S106" s="94">
        <f t="shared" si="0"/>
        <v>0</v>
      </c>
    </row>
    <row r="107" spans="1:19" s="89" customFormat="1">
      <c r="A107" s="143" t="s">
        <v>79</v>
      </c>
      <c r="B107" s="89" t="s">
        <v>18</v>
      </c>
      <c r="C107" s="87"/>
      <c r="D107" s="90" t="s">
        <v>77</v>
      </c>
      <c r="E107" s="91"/>
      <c r="F107" s="92">
        <v>1</v>
      </c>
      <c r="G107" s="93" t="s">
        <v>20</v>
      </c>
      <c r="H107" s="92">
        <v>48</v>
      </c>
      <c r="I107" s="93" t="s">
        <v>77</v>
      </c>
      <c r="J107" s="94">
        <v>19500</v>
      </c>
      <c r="K107" s="90" t="s">
        <v>77</v>
      </c>
      <c r="L107" s="95">
        <v>0.125</v>
      </c>
      <c r="M107" s="95">
        <v>0.05</v>
      </c>
      <c r="N107" s="92"/>
      <c r="O107" s="93" t="s">
        <v>77</v>
      </c>
      <c r="P107" s="87">
        <f t="shared" si="50"/>
        <v>0</v>
      </c>
      <c r="Q107" s="93" t="s">
        <v>77</v>
      </c>
      <c r="R107" s="94">
        <f t="shared" si="51"/>
        <v>0</v>
      </c>
      <c r="S107" s="94">
        <f t="shared" si="0"/>
        <v>0</v>
      </c>
    </row>
    <row r="108" spans="1:19" s="89" customFormat="1">
      <c r="A108" s="143" t="s">
        <v>80</v>
      </c>
      <c r="B108" s="89" t="s">
        <v>18</v>
      </c>
      <c r="C108" s="87"/>
      <c r="D108" s="90" t="s">
        <v>77</v>
      </c>
      <c r="E108" s="91"/>
      <c r="F108" s="92">
        <v>1</v>
      </c>
      <c r="G108" s="93" t="s">
        <v>20</v>
      </c>
      <c r="H108" s="92">
        <v>48</v>
      </c>
      <c r="I108" s="93" t="s">
        <v>77</v>
      </c>
      <c r="J108" s="94">
        <v>14800</v>
      </c>
      <c r="K108" s="90" t="s">
        <v>77</v>
      </c>
      <c r="L108" s="95">
        <v>0.125</v>
      </c>
      <c r="M108" s="95">
        <v>0.05</v>
      </c>
      <c r="N108" s="92"/>
      <c r="O108" s="93" t="s">
        <v>77</v>
      </c>
      <c r="P108" s="87">
        <f t="shared" si="50"/>
        <v>0</v>
      </c>
      <c r="Q108" s="93" t="s">
        <v>77</v>
      </c>
      <c r="R108" s="94">
        <f t="shared" si="51"/>
        <v>0</v>
      </c>
      <c r="S108" s="94">
        <f t="shared" si="0"/>
        <v>0</v>
      </c>
    </row>
    <row r="109" spans="1:19" s="89" customFormat="1">
      <c r="A109" s="144" t="s">
        <v>81</v>
      </c>
      <c r="B109" s="89" t="s">
        <v>18</v>
      </c>
      <c r="C109" s="87"/>
      <c r="D109" s="90" t="s">
        <v>77</v>
      </c>
      <c r="E109" s="91"/>
      <c r="F109" s="92">
        <v>1</v>
      </c>
      <c r="G109" s="93" t="s">
        <v>20</v>
      </c>
      <c r="H109" s="92">
        <v>24</v>
      </c>
      <c r="I109" s="93" t="s">
        <v>77</v>
      </c>
      <c r="J109" s="94">
        <v>25200</v>
      </c>
      <c r="K109" s="90" t="s">
        <v>77</v>
      </c>
      <c r="L109" s="95">
        <v>0.125</v>
      </c>
      <c r="M109" s="95">
        <v>0.05</v>
      </c>
      <c r="N109" s="92"/>
      <c r="O109" s="93" t="s">
        <v>77</v>
      </c>
      <c r="P109" s="87">
        <f t="shared" si="50"/>
        <v>0</v>
      </c>
      <c r="Q109" s="93" t="s">
        <v>77</v>
      </c>
      <c r="R109" s="94">
        <f t="shared" si="51"/>
        <v>0</v>
      </c>
      <c r="S109" s="94">
        <f t="shared" si="0"/>
        <v>0</v>
      </c>
    </row>
    <row r="110" spans="1:19" s="89" customFormat="1">
      <c r="A110" s="144" t="s">
        <v>82</v>
      </c>
      <c r="B110" s="89" t="s">
        <v>18</v>
      </c>
      <c r="C110" s="87"/>
      <c r="D110" s="90" t="s">
        <v>77</v>
      </c>
      <c r="E110" s="91"/>
      <c r="F110" s="92">
        <v>1</v>
      </c>
      <c r="G110" s="93" t="s">
        <v>20</v>
      </c>
      <c r="H110" s="92">
        <v>24</v>
      </c>
      <c r="I110" s="93" t="s">
        <v>77</v>
      </c>
      <c r="J110" s="94">
        <v>20200</v>
      </c>
      <c r="K110" s="90" t="s">
        <v>77</v>
      </c>
      <c r="L110" s="95">
        <v>0.125</v>
      </c>
      <c r="M110" s="95">
        <v>0.05</v>
      </c>
      <c r="N110" s="92"/>
      <c r="O110" s="93" t="s">
        <v>77</v>
      </c>
      <c r="P110" s="87">
        <f t="shared" si="50"/>
        <v>0</v>
      </c>
      <c r="Q110" s="93" t="s">
        <v>77</v>
      </c>
      <c r="R110" s="94">
        <f t="shared" si="51"/>
        <v>0</v>
      </c>
      <c r="S110" s="94">
        <f t="shared" si="0"/>
        <v>0</v>
      </c>
    </row>
    <row r="111" spans="1:19" s="89" customFormat="1">
      <c r="A111" s="143" t="s">
        <v>797</v>
      </c>
      <c r="B111" s="89" t="s">
        <v>18</v>
      </c>
      <c r="C111" s="87"/>
      <c r="D111" s="90" t="s">
        <v>77</v>
      </c>
      <c r="E111" s="91">
        <v>2</v>
      </c>
      <c r="F111" s="92">
        <v>1</v>
      </c>
      <c r="G111" s="93" t="s">
        <v>20</v>
      </c>
      <c r="H111" s="92">
        <v>96</v>
      </c>
      <c r="I111" s="93" t="s">
        <v>77</v>
      </c>
      <c r="J111" s="94">
        <v>16500</v>
      </c>
      <c r="K111" s="90" t="s">
        <v>77</v>
      </c>
      <c r="L111" s="95">
        <v>0.125</v>
      </c>
      <c r="M111" s="95">
        <v>0.05</v>
      </c>
      <c r="N111" s="92"/>
      <c r="O111" s="93" t="s">
        <v>77</v>
      </c>
      <c r="P111" s="87">
        <f t="shared" si="50"/>
        <v>192</v>
      </c>
      <c r="Q111" s="93" t="s">
        <v>77</v>
      </c>
      <c r="R111" s="94">
        <f t="shared" si="51"/>
        <v>2633400</v>
      </c>
      <c r="S111" s="94">
        <f t="shared" ref="S111:S195" si="52">R111/1.11</f>
        <v>2372432.4324324322</v>
      </c>
    </row>
    <row r="112" spans="1:19" s="19" customFormat="1">
      <c r="A112" s="18" t="s">
        <v>83</v>
      </c>
      <c r="B112" s="19" t="s">
        <v>18</v>
      </c>
      <c r="C112" s="20">
        <v>53</v>
      </c>
      <c r="D112" s="21" t="s">
        <v>84</v>
      </c>
      <c r="E112" s="26"/>
      <c r="F112" s="22">
        <v>1</v>
      </c>
      <c r="G112" s="23" t="s">
        <v>20</v>
      </c>
      <c r="H112" s="22">
        <v>60</v>
      </c>
      <c r="I112" s="23" t="s">
        <v>84</v>
      </c>
      <c r="J112" s="24">
        <v>27600</v>
      </c>
      <c r="K112" s="21" t="s">
        <v>84</v>
      </c>
      <c r="L112" s="25">
        <v>0.125</v>
      </c>
      <c r="M112" s="25">
        <v>0.05</v>
      </c>
      <c r="N112" s="22"/>
      <c r="O112" s="23" t="s">
        <v>84</v>
      </c>
      <c r="P112" s="20">
        <f t="shared" si="50"/>
        <v>53</v>
      </c>
      <c r="Q112" s="23" t="s">
        <v>84</v>
      </c>
      <c r="R112" s="24">
        <f t="shared" si="51"/>
        <v>1215952.5</v>
      </c>
      <c r="S112" s="24">
        <f t="shared" si="52"/>
        <v>1095452.7027027027</v>
      </c>
    </row>
    <row r="113" spans="1:19" s="89" customFormat="1">
      <c r="A113" s="88" t="s">
        <v>85</v>
      </c>
      <c r="B113" s="89" t="s">
        <v>18</v>
      </c>
      <c r="C113" s="87"/>
      <c r="D113" s="90" t="s">
        <v>84</v>
      </c>
      <c r="E113" s="91"/>
      <c r="F113" s="92">
        <v>1</v>
      </c>
      <c r="G113" s="93" t="s">
        <v>20</v>
      </c>
      <c r="H113" s="92">
        <v>50</v>
      </c>
      <c r="I113" s="93" t="s">
        <v>84</v>
      </c>
      <c r="J113" s="94">
        <v>30900</v>
      </c>
      <c r="K113" s="90" t="s">
        <v>84</v>
      </c>
      <c r="L113" s="95">
        <v>0.125</v>
      </c>
      <c r="M113" s="95">
        <v>0.05</v>
      </c>
      <c r="N113" s="92"/>
      <c r="O113" s="93" t="s">
        <v>84</v>
      </c>
      <c r="P113" s="87">
        <f t="shared" si="50"/>
        <v>0</v>
      </c>
      <c r="Q113" s="93" t="s">
        <v>84</v>
      </c>
      <c r="R113" s="94">
        <f t="shared" si="51"/>
        <v>0</v>
      </c>
      <c r="S113" s="94">
        <f t="shared" si="52"/>
        <v>0</v>
      </c>
    </row>
    <row r="114" spans="1:19" s="89" customFormat="1">
      <c r="A114" s="88" t="s">
        <v>86</v>
      </c>
      <c r="B114" s="89" t="s">
        <v>18</v>
      </c>
      <c r="C114" s="87"/>
      <c r="D114" s="90" t="s">
        <v>84</v>
      </c>
      <c r="E114" s="91"/>
      <c r="F114" s="92">
        <v>1</v>
      </c>
      <c r="G114" s="93" t="s">
        <v>20</v>
      </c>
      <c r="H114" s="92">
        <v>30</v>
      </c>
      <c r="I114" s="93" t="s">
        <v>84</v>
      </c>
      <c r="J114" s="94">
        <v>48600</v>
      </c>
      <c r="K114" s="90" t="s">
        <v>84</v>
      </c>
      <c r="L114" s="95">
        <v>0.125</v>
      </c>
      <c r="M114" s="95">
        <v>0.05</v>
      </c>
      <c r="N114" s="92"/>
      <c r="O114" s="93" t="s">
        <v>84</v>
      </c>
      <c r="P114" s="87">
        <f t="shared" si="50"/>
        <v>0</v>
      </c>
      <c r="Q114" s="93" t="s">
        <v>84</v>
      </c>
      <c r="R114" s="94">
        <f t="shared" si="51"/>
        <v>0</v>
      </c>
      <c r="S114" s="94">
        <f t="shared" si="52"/>
        <v>0</v>
      </c>
    </row>
    <row r="115" spans="1:19" s="19" customFormat="1">
      <c r="A115" s="18" t="s">
        <v>87</v>
      </c>
      <c r="B115" s="19" t="s">
        <v>18</v>
      </c>
      <c r="C115" s="20"/>
      <c r="D115" s="21" t="s">
        <v>84</v>
      </c>
      <c r="E115" s="26">
        <v>4</v>
      </c>
      <c r="F115" s="22">
        <v>1</v>
      </c>
      <c r="G115" s="23" t="s">
        <v>20</v>
      </c>
      <c r="H115" s="22">
        <v>20</v>
      </c>
      <c r="I115" s="23" t="s">
        <v>84</v>
      </c>
      <c r="J115" s="24">
        <v>67800</v>
      </c>
      <c r="K115" s="21" t="s">
        <v>84</v>
      </c>
      <c r="L115" s="25">
        <v>0.125</v>
      </c>
      <c r="M115" s="25">
        <v>0.05</v>
      </c>
      <c r="N115" s="22"/>
      <c r="O115" s="23" t="s">
        <v>84</v>
      </c>
      <c r="P115" s="20">
        <f t="shared" si="50"/>
        <v>80</v>
      </c>
      <c r="Q115" s="23" t="s">
        <v>84</v>
      </c>
      <c r="R115" s="24">
        <f t="shared" ref="R115:R119" si="53">P115*(J115-(J115*L115)-((J115-(J115*L115))*M115))</f>
        <v>4508700</v>
      </c>
      <c r="S115" s="24">
        <f t="shared" ref="S115:S119" si="54">R115/1.11</f>
        <v>4061891.8918918916</v>
      </c>
    </row>
    <row r="116" spans="1:19" s="89" customFormat="1">
      <c r="A116" s="88" t="s">
        <v>88</v>
      </c>
      <c r="B116" s="89" t="s">
        <v>18</v>
      </c>
      <c r="C116" s="87"/>
      <c r="D116" s="90" t="s">
        <v>84</v>
      </c>
      <c r="E116" s="91"/>
      <c r="F116" s="92">
        <v>1</v>
      </c>
      <c r="G116" s="93" t="s">
        <v>20</v>
      </c>
      <c r="H116" s="92">
        <v>10</v>
      </c>
      <c r="I116" s="93" t="s">
        <v>84</v>
      </c>
      <c r="J116" s="94">
        <v>115800</v>
      </c>
      <c r="K116" s="90" t="s">
        <v>84</v>
      </c>
      <c r="L116" s="95">
        <v>0.125</v>
      </c>
      <c r="M116" s="95">
        <v>0.05</v>
      </c>
      <c r="N116" s="92"/>
      <c r="O116" s="93" t="s">
        <v>84</v>
      </c>
      <c r="P116" s="87">
        <f t="shared" si="50"/>
        <v>0</v>
      </c>
      <c r="Q116" s="93" t="s">
        <v>84</v>
      </c>
      <c r="R116" s="94">
        <f t="shared" si="53"/>
        <v>0</v>
      </c>
      <c r="S116" s="94">
        <f t="shared" si="54"/>
        <v>0</v>
      </c>
    </row>
    <row r="117" spans="1:19" s="19" customFormat="1">
      <c r="A117" s="18" t="s">
        <v>89</v>
      </c>
      <c r="B117" s="19" t="s">
        <v>18</v>
      </c>
      <c r="C117" s="20">
        <v>11</v>
      </c>
      <c r="D117" s="21" t="s">
        <v>84</v>
      </c>
      <c r="E117" s="26">
        <v>5</v>
      </c>
      <c r="F117" s="22">
        <v>1</v>
      </c>
      <c r="G117" s="23" t="s">
        <v>20</v>
      </c>
      <c r="H117" s="22">
        <v>5</v>
      </c>
      <c r="I117" s="23" t="s">
        <v>84</v>
      </c>
      <c r="J117" s="24">
        <v>177000</v>
      </c>
      <c r="K117" s="21" t="s">
        <v>84</v>
      </c>
      <c r="L117" s="25">
        <v>0.125</v>
      </c>
      <c r="M117" s="25">
        <v>0.05</v>
      </c>
      <c r="N117" s="22"/>
      <c r="O117" s="23" t="s">
        <v>84</v>
      </c>
      <c r="P117" s="20">
        <f t="shared" si="50"/>
        <v>36</v>
      </c>
      <c r="Q117" s="23" t="s">
        <v>84</v>
      </c>
      <c r="R117" s="24">
        <f t="shared" si="53"/>
        <v>5296725</v>
      </c>
      <c r="S117" s="24">
        <f t="shared" si="54"/>
        <v>4771824.3243243238</v>
      </c>
    </row>
    <row r="118" spans="1:19" s="19" customFormat="1">
      <c r="A118" s="18" t="s">
        <v>90</v>
      </c>
      <c r="B118" s="19" t="s">
        <v>18</v>
      </c>
      <c r="C118" s="20">
        <v>105</v>
      </c>
      <c r="D118" s="21" t="s">
        <v>40</v>
      </c>
      <c r="E118" s="26">
        <v>1</v>
      </c>
      <c r="F118" s="22">
        <v>3</v>
      </c>
      <c r="G118" s="23" t="s">
        <v>84</v>
      </c>
      <c r="H118" s="22">
        <v>12</v>
      </c>
      <c r="I118" s="23" t="s">
        <v>40</v>
      </c>
      <c r="J118" s="24">
        <f>507600/12</f>
        <v>42300</v>
      </c>
      <c r="K118" s="21" t="s">
        <v>40</v>
      </c>
      <c r="L118" s="25">
        <v>0.125</v>
      </c>
      <c r="M118" s="25">
        <v>0.05</v>
      </c>
      <c r="N118" s="22"/>
      <c r="O118" s="23" t="s">
        <v>40</v>
      </c>
      <c r="P118" s="20">
        <f t="shared" si="50"/>
        <v>141</v>
      </c>
      <c r="Q118" s="23" t="s">
        <v>40</v>
      </c>
      <c r="R118" s="24">
        <f t="shared" si="53"/>
        <v>4957824.375</v>
      </c>
      <c r="S118" s="24">
        <f t="shared" si="54"/>
        <v>4466508.4459459456</v>
      </c>
    </row>
    <row r="119" spans="1:19" s="19" customFormat="1">
      <c r="A119" s="18" t="s">
        <v>826</v>
      </c>
      <c r="B119" s="19" t="s">
        <v>18</v>
      </c>
      <c r="C119" s="20"/>
      <c r="D119" s="21" t="s">
        <v>40</v>
      </c>
      <c r="E119" s="26">
        <v>1</v>
      </c>
      <c r="F119" s="22">
        <v>1</v>
      </c>
      <c r="G119" s="23" t="s">
        <v>20</v>
      </c>
      <c r="H119" s="22">
        <v>20</v>
      </c>
      <c r="I119" s="23" t="s">
        <v>40</v>
      </c>
      <c r="J119" s="24">
        <v>108900</v>
      </c>
      <c r="K119" s="21" t="s">
        <v>40</v>
      </c>
      <c r="L119" s="25">
        <v>0.125</v>
      </c>
      <c r="M119" s="25">
        <v>0.05</v>
      </c>
      <c r="N119" s="22"/>
      <c r="O119" s="23" t="s">
        <v>40</v>
      </c>
      <c r="P119" s="20">
        <f t="shared" ref="P119" si="55">(C119+(E119*F119*H119))-N119</f>
        <v>20</v>
      </c>
      <c r="Q119" s="23" t="s">
        <v>40</v>
      </c>
      <c r="R119" s="24">
        <f t="shared" si="53"/>
        <v>1810462.5</v>
      </c>
      <c r="S119" s="24">
        <f t="shared" si="54"/>
        <v>1631047.297297297</v>
      </c>
    </row>
    <row r="120" spans="1:19" s="19" customFormat="1">
      <c r="A120" s="18"/>
      <c r="C120" s="20"/>
      <c r="D120" s="21"/>
      <c r="E120" s="26"/>
      <c r="F120" s="22"/>
      <c r="G120" s="23"/>
      <c r="H120" s="22"/>
      <c r="I120" s="23"/>
      <c r="J120" s="24"/>
      <c r="K120" s="21"/>
      <c r="L120" s="25"/>
      <c r="M120" s="25"/>
      <c r="N120" s="22"/>
      <c r="O120" s="23"/>
      <c r="P120" s="20"/>
      <c r="Q120" s="23"/>
      <c r="R120" s="24"/>
      <c r="S120" s="24"/>
    </row>
    <row r="121" spans="1:19" s="19" customFormat="1">
      <c r="A121" s="18" t="s">
        <v>91</v>
      </c>
      <c r="B121" s="19" t="s">
        <v>25</v>
      </c>
      <c r="C121" s="20"/>
      <c r="D121" s="21" t="s">
        <v>84</v>
      </c>
      <c r="E121" s="26">
        <v>3</v>
      </c>
      <c r="F121" s="22">
        <v>1</v>
      </c>
      <c r="G121" s="23" t="s">
        <v>20</v>
      </c>
      <c r="H121" s="22">
        <v>50</v>
      </c>
      <c r="I121" s="23" t="s">
        <v>84</v>
      </c>
      <c r="J121" s="24">
        <f>1440000/50</f>
        <v>28800</v>
      </c>
      <c r="K121" s="21" t="s">
        <v>84</v>
      </c>
      <c r="L121" s="25"/>
      <c r="M121" s="25">
        <v>0.17</v>
      </c>
      <c r="N121" s="22"/>
      <c r="O121" s="23" t="s">
        <v>84</v>
      </c>
      <c r="P121" s="20">
        <f t="shared" ref="P121:P127" si="56">(C121+(E121*F121*H121))-N121</f>
        <v>150</v>
      </c>
      <c r="Q121" s="23" t="s">
        <v>84</v>
      </c>
      <c r="R121" s="24">
        <f t="shared" ref="R121:R127" si="57">P121*(J121-(J121*L121)-((J121-(J121*L121))*M121))</f>
        <v>3585600</v>
      </c>
      <c r="S121" s="24">
        <f t="shared" si="52"/>
        <v>3230270.2702702698</v>
      </c>
    </row>
    <row r="122" spans="1:19" s="19" customFormat="1">
      <c r="A122" s="18" t="s">
        <v>92</v>
      </c>
      <c r="B122" s="19" t="s">
        <v>25</v>
      </c>
      <c r="C122" s="20">
        <v>43</v>
      </c>
      <c r="D122" s="21" t="s">
        <v>84</v>
      </c>
      <c r="E122" s="26">
        <v>9</v>
      </c>
      <c r="F122" s="22">
        <v>1</v>
      </c>
      <c r="G122" s="23" t="s">
        <v>20</v>
      </c>
      <c r="H122" s="22">
        <v>50</v>
      </c>
      <c r="I122" s="23" t="s">
        <v>84</v>
      </c>
      <c r="J122" s="24">
        <f>1590000/50</f>
        <v>31800</v>
      </c>
      <c r="K122" s="21" t="s">
        <v>84</v>
      </c>
      <c r="L122" s="25"/>
      <c r="M122" s="25">
        <v>0.17</v>
      </c>
      <c r="N122" s="22"/>
      <c r="O122" s="23" t="s">
        <v>84</v>
      </c>
      <c r="P122" s="20">
        <f t="shared" si="56"/>
        <v>493</v>
      </c>
      <c r="Q122" s="23" t="s">
        <v>84</v>
      </c>
      <c r="R122" s="24">
        <f t="shared" si="57"/>
        <v>13012242</v>
      </c>
      <c r="S122" s="24">
        <f t="shared" si="52"/>
        <v>11722740.540540539</v>
      </c>
    </row>
    <row r="123" spans="1:19" s="19" customFormat="1">
      <c r="A123" s="18" t="s">
        <v>93</v>
      </c>
      <c r="B123" s="19" t="s">
        <v>25</v>
      </c>
      <c r="C123" s="20">
        <v>57</v>
      </c>
      <c r="D123" s="21" t="s">
        <v>84</v>
      </c>
      <c r="E123" s="26">
        <v>6</v>
      </c>
      <c r="F123" s="22">
        <v>1</v>
      </c>
      <c r="G123" s="23" t="s">
        <v>20</v>
      </c>
      <c r="H123" s="22">
        <v>30</v>
      </c>
      <c r="I123" s="23" t="s">
        <v>84</v>
      </c>
      <c r="J123" s="24">
        <f>1476000/30</f>
        <v>49200</v>
      </c>
      <c r="K123" s="21" t="s">
        <v>84</v>
      </c>
      <c r="L123" s="25"/>
      <c r="M123" s="25">
        <v>0.17</v>
      </c>
      <c r="N123" s="22"/>
      <c r="O123" s="23" t="s">
        <v>84</v>
      </c>
      <c r="P123" s="20">
        <f t="shared" si="56"/>
        <v>237</v>
      </c>
      <c r="Q123" s="23" t="s">
        <v>84</v>
      </c>
      <c r="R123" s="24">
        <f t="shared" si="57"/>
        <v>9678132</v>
      </c>
      <c r="S123" s="24">
        <f t="shared" si="52"/>
        <v>8719037.8378378376</v>
      </c>
    </row>
    <row r="124" spans="1:19" s="19" customFormat="1">
      <c r="A124" s="18" t="s">
        <v>94</v>
      </c>
      <c r="B124" s="19" t="s">
        <v>25</v>
      </c>
      <c r="C124" s="20">
        <v>71</v>
      </c>
      <c r="D124" s="21" t="s">
        <v>84</v>
      </c>
      <c r="E124" s="26">
        <v>10</v>
      </c>
      <c r="F124" s="22">
        <v>1</v>
      </c>
      <c r="G124" s="23" t="s">
        <v>20</v>
      </c>
      <c r="H124" s="22">
        <v>20</v>
      </c>
      <c r="I124" s="23" t="s">
        <v>84</v>
      </c>
      <c r="J124" s="24">
        <f>1380000/20</f>
        <v>69000</v>
      </c>
      <c r="K124" s="21" t="s">
        <v>84</v>
      </c>
      <c r="L124" s="25"/>
      <c r="M124" s="25">
        <v>0.17</v>
      </c>
      <c r="N124" s="22"/>
      <c r="O124" s="23" t="s">
        <v>84</v>
      </c>
      <c r="P124" s="20">
        <f t="shared" si="56"/>
        <v>271</v>
      </c>
      <c r="Q124" s="23" t="s">
        <v>84</v>
      </c>
      <c r="R124" s="24">
        <f t="shared" si="57"/>
        <v>15520170</v>
      </c>
      <c r="S124" s="24">
        <f t="shared" si="52"/>
        <v>13982135.135135135</v>
      </c>
    </row>
    <row r="125" spans="1:19" s="19" customFormat="1">
      <c r="A125" s="18" t="s">
        <v>95</v>
      </c>
      <c r="B125" s="19" t="s">
        <v>25</v>
      </c>
      <c r="C125" s="20">
        <v>52</v>
      </c>
      <c r="D125" s="21" t="s">
        <v>84</v>
      </c>
      <c r="E125" s="26">
        <v>11</v>
      </c>
      <c r="F125" s="22">
        <v>1</v>
      </c>
      <c r="G125" s="23" t="s">
        <v>20</v>
      </c>
      <c r="H125" s="22">
        <v>10</v>
      </c>
      <c r="I125" s="23" t="s">
        <v>84</v>
      </c>
      <c r="J125" s="24">
        <f>1200000/10</f>
        <v>120000</v>
      </c>
      <c r="K125" s="21" t="s">
        <v>84</v>
      </c>
      <c r="L125" s="25"/>
      <c r="M125" s="25">
        <v>0.17</v>
      </c>
      <c r="N125" s="22"/>
      <c r="O125" s="23" t="s">
        <v>84</v>
      </c>
      <c r="P125" s="20">
        <f t="shared" si="56"/>
        <v>162</v>
      </c>
      <c r="Q125" s="23" t="s">
        <v>84</v>
      </c>
      <c r="R125" s="24">
        <f t="shared" si="57"/>
        <v>16135200</v>
      </c>
      <c r="S125" s="24">
        <f t="shared" si="52"/>
        <v>14536216.216216216</v>
      </c>
    </row>
    <row r="126" spans="1:19" s="19" customFormat="1">
      <c r="A126" s="18" t="s">
        <v>96</v>
      </c>
      <c r="B126" s="19" t="s">
        <v>25</v>
      </c>
      <c r="C126" s="20"/>
      <c r="D126" s="21" t="s">
        <v>84</v>
      </c>
      <c r="E126" s="26">
        <v>14</v>
      </c>
      <c r="F126" s="22">
        <v>1</v>
      </c>
      <c r="G126" s="23" t="s">
        <v>20</v>
      </c>
      <c r="H126" s="22">
        <v>5</v>
      </c>
      <c r="I126" s="23" t="s">
        <v>84</v>
      </c>
      <c r="J126" s="24">
        <f>900000/5</f>
        <v>180000</v>
      </c>
      <c r="K126" s="21" t="s">
        <v>84</v>
      </c>
      <c r="L126" s="25"/>
      <c r="M126" s="25">
        <v>0.17</v>
      </c>
      <c r="N126" s="22"/>
      <c r="O126" s="23" t="s">
        <v>84</v>
      </c>
      <c r="P126" s="20">
        <f t="shared" si="56"/>
        <v>70</v>
      </c>
      <c r="Q126" s="23" t="s">
        <v>84</v>
      </c>
      <c r="R126" s="24">
        <f t="shared" si="57"/>
        <v>10458000</v>
      </c>
      <c r="S126" s="24">
        <f t="shared" si="52"/>
        <v>9421621.6216216199</v>
      </c>
    </row>
    <row r="127" spans="1:19" s="19" customFormat="1">
      <c r="A127" s="18" t="s">
        <v>708</v>
      </c>
      <c r="B127" s="19" t="s">
        <v>25</v>
      </c>
      <c r="C127" s="20">
        <v>345</v>
      </c>
      <c r="D127" s="21" t="s">
        <v>33</v>
      </c>
      <c r="E127" s="26"/>
      <c r="F127" s="22">
        <v>1</v>
      </c>
      <c r="G127" s="23" t="s">
        <v>20</v>
      </c>
      <c r="H127" s="22">
        <v>72</v>
      </c>
      <c r="I127" s="23" t="s">
        <v>33</v>
      </c>
      <c r="J127" s="24">
        <f>1548000/72</f>
        <v>21500</v>
      </c>
      <c r="K127" s="21" t="s">
        <v>33</v>
      </c>
      <c r="L127" s="25"/>
      <c r="M127" s="25">
        <v>0.17</v>
      </c>
      <c r="N127" s="22"/>
      <c r="O127" s="23" t="s">
        <v>33</v>
      </c>
      <c r="P127" s="20">
        <f t="shared" si="56"/>
        <v>345</v>
      </c>
      <c r="Q127" s="23" t="s">
        <v>33</v>
      </c>
      <c r="R127" s="24">
        <f t="shared" si="57"/>
        <v>6156525</v>
      </c>
      <c r="S127" s="24">
        <f t="shared" si="52"/>
        <v>5546418.9189189188</v>
      </c>
    </row>
    <row r="128" spans="1:19" s="19" customFormat="1">
      <c r="A128" s="18"/>
      <c r="C128" s="20"/>
      <c r="D128" s="21"/>
      <c r="E128" s="26"/>
      <c r="F128" s="22"/>
      <c r="G128" s="23"/>
      <c r="H128" s="22"/>
      <c r="I128" s="23"/>
      <c r="J128" s="24"/>
      <c r="K128" s="21"/>
      <c r="L128" s="25"/>
      <c r="M128" s="25"/>
      <c r="N128" s="22"/>
      <c r="O128" s="23"/>
      <c r="P128" s="20"/>
      <c r="Q128" s="23"/>
      <c r="R128" s="24"/>
      <c r="S128" s="24"/>
    </row>
    <row r="129" spans="1:19" s="19" customFormat="1">
      <c r="A129" s="71" t="s">
        <v>97</v>
      </c>
      <c r="C129" s="20"/>
      <c r="D129" s="21"/>
      <c r="E129" s="26"/>
      <c r="F129" s="22"/>
      <c r="G129" s="23"/>
      <c r="H129" s="22"/>
      <c r="I129" s="23"/>
      <c r="J129" s="24"/>
      <c r="K129" s="21"/>
      <c r="L129" s="25"/>
      <c r="M129" s="25"/>
      <c r="N129" s="22"/>
      <c r="O129" s="23"/>
      <c r="P129" s="20"/>
      <c r="Q129" s="23"/>
      <c r="R129" s="24"/>
      <c r="S129" s="24"/>
    </row>
    <row r="130" spans="1:19" s="19" customFormat="1">
      <c r="A130" s="18" t="s">
        <v>98</v>
      </c>
      <c r="B130" s="19" t="s">
        <v>18</v>
      </c>
      <c r="C130" s="20"/>
      <c r="D130" s="21" t="s">
        <v>33</v>
      </c>
      <c r="E130" s="26">
        <v>2</v>
      </c>
      <c r="F130" s="22">
        <v>50</v>
      </c>
      <c r="G130" s="23" t="s">
        <v>99</v>
      </c>
      <c r="H130" s="22">
        <v>10</v>
      </c>
      <c r="I130" s="23" t="s">
        <v>33</v>
      </c>
      <c r="J130" s="24">
        <v>1850</v>
      </c>
      <c r="K130" s="21" t="s">
        <v>33</v>
      </c>
      <c r="L130" s="25">
        <v>0.125</v>
      </c>
      <c r="M130" s="25">
        <v>0.05</v>
      </c>
      <c r="N130" s="22"/>
      <c r="O130" s="23" t="s">
        <v>33</v>
      </c>
      <c r="P130" s="20">
        <f>(C130+(E130*F130*H130))-N130</f>
        <v>1000</v>
      </c>
      <c r="Q130" s="23" t="s">
        <v>33</v>
      </c>
      <c r="R130" s="24">
        <f>P130*(J130-(J130*L130)-((J130-(J130*L130))*M130))</f>
        <v>1537812.5</v>
      </c>
      <c r="S130" s="24">
        <f t="shared" si="52"/>
        <v>1385416.6666666665</v>
      </c>
    </row>
    <row r="131" spans="1:19" s="19" customFormat="1">
      <c r="A131" s="18" t="s">
        <v>100</v>
      </c>
      <c r="B131" s="19" t="s">
        <v>18</v>
      </c>
      <c r="C131" s="20"/>
      <c r="D131" s="21" t="s">
        <v>33</v>
      </c>
      <c r="E131" s="26">
        <v>9</v>
      </c>
      <c r="F131" s="22">
        <v>50</v>
      </c>
      <c r="G131" s="23" t="s">
        <v>99</v>
      </c>
      <c r="H131" s="22">
        <v>10</v>
      </c>
      <c r="I131" s="23" t="s">
        <v>33</v>
      </c>
      <c r="J131" s="24">
        <v>1625</v>
      </c>
      <c r="K131" s="21" t="s">
        <v>33</v>
      </c>
      <c r="L131" s="25">
        <v>0.125</v>
      </c>
      <c r="M131" s="25">
        <v>0.05</v>
      </c>
      <c r="N131" s="22"/>
      <c r="O131" s="23" t="s">
        <v>33</v>
      </c>
      <c r="P131" s="20">
        <f>(C131+(E131*F131*H131))-N131</f>
        <v>4500</v>
      </c>
      <c r="Q131" s="23" t="s">
        <v>33</v>
      </c>
      <c r="R131" s="24">
        <f>P131*(J131-(J131*L131)-((J131-(J131*L131))*M131))</f>
        <v>6078515.625</v>
      </c>
      <c r="S131" s="24">
        <f t="shared" si="52"/>
        <v>5476140.202702702</v>
      </c>
    </row>
    <row r="132" spans="1:19" s="89" customFormat="1">
      <c r="A132" s="88" t="s">
        <v>101</v>
      </c>
      <c r="B132" s="89" t="s">
        <v>18</v>
      </c>
      <c r="C132" s="87"/>
      <c r="D132" s="90" t="s">
        <v>33</v>
      </c>
      <c r="E132" s="91">
        <v>3</v>
      </c>
      <c r="F132" s="92">
        <v>20</v>
      </c>
      <c r="G132" s="93" t="s">
        <v>99</v>
      </c>
      <c r="H132" s="92">
        <v>10</v>
      </c>
      <c r="I132" s="93" t="s">
        <v>33</v>
      </c>
      <c r="J132" s="94">
        <v>4400</v>
      </c>
      <c r="K132" s="90" t="s">
        <v>33</v>
      </c>
      <c r="L132" s="95">
        <v>0.125</v>
      </c>
      <c r="M132" s="95">
        <v>0.05</v>
      </c>
      <c r="N132" s="92"/>
      <c r="O132" s="93" t="s">
        <v>33</v>
      </c>
      <c r="P132" s="87">
        <f>(C132+(E132*F132*H132))-N132</f>
        <v>600</v>
      </c>
      <c r="Q132" s="93" t="s">
        <v>33</v>
      </c>
      <c r="R132" s="94">
        <f>P132*(J132-(J132*L132)-((J132-(J132*L132))*M132))</f>
        <v>2194500</v>
      </c>
      <c r="S132" s="94">
        <f t="shared" si="52"/>
        <v>1977027.0270270268</v>
      </c>
    </row>
    <row r="133" spans="1:19" s="19" customFormat="1">
      <c r="A133" s="18" t="s">
        <v>102</v>
      </c>
      <c r="B133" s="19" t="s">
        <v>18</v>
      </c>
      <c r="C133" s="20">
        <v>792</v>
      </c>
      <c r="D133" s="21" t="s">
        <v>103</v>
      </c>
      <c r="E133" s="26">
        <v>2</v>
      </c>
      <c r="F133" s="22">
        <v>24</v>
      </c>
      <c r="G133" s="23" t="s">
        <v>33</v>
      </c>
      <c r="H133" s="22">
        <v>12</v>
      </c>
      <c r="I133" s="23" t="s">
        <v>103</v>
      </c>
      <c r="J133" s="24">
        <v>3100</v>
      </c>
      <c r="K133" s="21" t="s">
        <v>103</v>
      </c>
      <c r="L133" s="25">
        <v>0.125</v>
      </c>
      <c r="M133" s="25">
        <v>0.05</v>
      </c>
      <c r="N133" s="22"/>
      <c r="O133" s="23" t="s">
        <v>103</v>
      </c>
      <c r="P133" s="20">
        <f>(C133+(E133*F133*H133))-N133</f>
        <v>1368</v>
      </c>
      <c r="Q133" s="23" t="s">
        <v>103</v>
      </c>
      <c r="R133" s="24">
        <f>P133*(J133-(J133*L133)-((J133-(J133*L133))*M133))</f>
        <v>3525165</v>
      </c>
      <c r="S133" s="24">
        <f t="shared" si="52"/>
        <v>3175824.3243243243</v>
      </c>
    </row>
    <row r="134" spans="1:19" s="19" customFormat="1">
      <c r="A134" s="18"/>
      <c r="C134" s="20"/>
      <c r="D134" s="21"/>
      <c r="E134" s="26"/>
      <c r="F134" s="22"/>
      <c r="G134" s="23"/>
      <c r="H134" s="22"/>
      <c r="I134" s="23"/>
      <c r="J134" s="24"/>
      <c r="K134" s="21"/>
      <c r="L134" s="25"/>
      <c r="M134" s="25"/>
      <c r="N134" s="22"/>
      <c r="O134" s="23"/>
      <c r="P134" s="20"/>
      <c r="Q134" s="23"/>
      <c r="R134" s="24"/>
      <c r="S134" s="24"/>
    </row>
    <row r="135" spans="1:19" s="19" customFormat="1">
      <c r="A135" s="18" t="s">
        <v>104</v>
      </c>
      <c r="B135" s="19" t="s">
        <v>25</v>
      </c>
      <c r="C135" s="20">
        <v>390</v>
      </c>
      <c r="D135" s="21" t="s">
        <v>33</v>
      </c>
      <c r="E135" s="26">
        <v>3</v>
      </c>
      <c r="F135" s="22">
        <v>50</v>
      </c>
      <c r="G135" s="23" t="s">
        <v>99</v>
      </c>
      <c r="H135" s="22">
        <v>10</v>
      </c>
      <c r="I135" s="23" t="s">
        <v>33</v>
      </c>
      <c r="J135" s="24">
        <f>850000/50/10</f>
        <v>1700</v>
      </c>
      <c r="K135" s="21" t="s">
        <v>33</v>
      </c>
      <c r="L135" s="25"/>
      <c r="M135" s="25">
        <v>0.17</v>
      </c>
      <c r="N135" s="22"/>
      <c r="O135" s="23" t="s">
        <v>33</v>
      </c>
      <c r="P135" s="20">
        <f>(C135+(E135*F135*H135))-N135</f>
        <v>1890</v>
      </c>
      <c r="Q135" s="23" t="s">
        <v>33</v>
      </c>
      <c r="R135" s="24">
        <f>P135*(J135-(J135*L135)-((J135-(J135*L135))*M135))</f>
        <v>2666790</v>
      </c>
      <c r="S135" s="24">
        <f t="shared" si="52"/>
        <v>2402513.5135135134</v>
      </c>
    </row>
    <row r="136" spans="1:19" s="19" customFormat="1">
      <c r="A136" s="18" t="s">
        <v>105</v>
      </c>
      <c r="B136" s="19" t="s">
        <v>25</v>
      </c>
      <c r="C136" s="20">
        <v>1510</v>
      </c>
      <c r="D136" s="21" t="s">
        <v>33</v>
      </c>
      <c r="E136" s="26">
        <v>8</v>
      </c>
      <c r="F136" s="22">
        <v>50</v>
      </c>
      <c r="G136" s="23" t="s">
        <v>99</v>
      </c>
      <c r="H136" s="22">
        <v>10</v>
      </c>
      <c r="I136" s="23" t="s">
        <v>33</v>
      </c>
      <c r="J136" s="24">
        <f>800000/50/10</f>
        <v>1600</v>
      </c>
      <c r="K136" s="21" t="s">
        <v>33</v>
      </c>
      <c r="L136" s="25"/>
      <c r="M136" s="25">
        <v>0.17</v>
      </c>
      <c r="N136" s="22"/>
      <c r="O136" s="23" t="s">
        <v>33</v>
      </c>
      <c r="P136" s="20">
        <f>(C136+(E136*F136*H136))-N136</f>
        <v>5510</v>
      </c>
      <c r="Q136" s="23" t="s">
        <v>33</v>
      </c>
      <c r="R136" s="24">
        <f>P136*(J136-(J136*L136)-((J136-(J136*L136))*M136))</f>
        <v>7317280</v>
      </c>
      <c r="S136" s="24">
        <f t="shared" si="52"/>
        <v>6592144.1441441439</v>
      </c>
    </row>
    <row r="137" spans="1:19" s="19" customFormat="1">
      <c r="A137" s="18" t="s">
        <v>106</v>
      </c>
      <c r="B137" s="19" t="s">
        <v>25</v>
      </c>
      <c r="C137" s="20">
        <v>810</v>
      </c>
      <c r="D137" s="21" t="s">
        <v>33</v>
      </c>
      <c r="E137" s="26">
        <v>9</v>
      </c>
      <c r="F137" s="22">
        <v>20</v>
      </c>
      <c r="G137" s="23" t="s">
        <v>99</v>
      </c>
      <c r="H137" s="22">
        <v>10</v>
      </c>
      <c r="I137" s="23" t="s">
        <v>33</v>
      </c>
      <c r="J137" s="24">
        <f>860000/20/10</f>
        <v>4300</v>
      </c>
      <c r="K137" s="21" t="s">
        <v>33</v>
      </c>
      <c r="L137" s="25"/>
      <c r="M137" s="25">
        <v>0.17</v>
      </c>
      <c r="N137" s="22"/>
      <c r="O137" s="23" t="s">
        <v>33</v>
      </c>
      <c r="P137" s="20">
        <f>(C137+(E137*F137*H137))-N137</f>
        <v>2610</v>
      </c>
      <c r="Q137" s="23" t="s">
        <v>33</v>
      </c>
      <c r="R137" s="24">
        <f>P137*(J137-(J137*L137)-((J137-(J137*L137))*M137))</f>
        <v>9315090</v>
      </c>
      <c r="S137" s="24">
        <f t="shared" si="52"/>
        <v>8391972.9729729723</v>
      </c>
    </row>
    <row r="138" spans="1:19" s="19" customFormat="1">
      <c r="A138" s="18" t="s">
        <v>107</v>
      </c>
      <c r="B138" s="19" t="s">
        <v>25</v>
      </c>
      <c r="C138" s="20">
        <v>16</v>
      </c>
      <c r="D138" s="21" t="s">
        <v>40</v>
      </c>
      <c r="E138" s="26">
        <v>3</v>
      </c>
      <c r="F138" s="22">
        <v>1</v>
      </c>
      <c r="G138" s="23" t="s">
        <v>20</v>
      </c>
      <c r="H138" s="22">
        <v>48</v>
      </c>
      <c r="I138" s="23" t="s">
        <v>40</v>
      </c>
      <c r="J138" s="24">
        <f>1987200/48</f>
        <v>41400</v>
      </c>
      <c r="K138" s="21" t="s">
        <v>40</v>
      </c>
      <c r="L138" s="25"/>
      <c r="M138" s="25">
        <v>0.17</v>
      </c>
      <c r="N138" s="22"/>
      <c r="O138" s="23" t="s">
        <v>40</v>
      </c>
      <c r="P138" s="20">
        <f>(C138+(E138*F138*H138))-N138</f>
        <v>160</v>
      </c>
      <c r="Q138" s="23" t="s">
        <v>40</v>
      </c>
      <c r="R138" s="24">
        <f>P138*(J138-(J138*L138)-((J138-(J138*L138))*M138))</f>
        <v>5497920</v>
      </c>
      <c r="S138" s="24">
        <f t="shared" si="52"/>
        <v>4953081.0810810803</v>
      </c>
    </row>
    <row r="139" spans="1:19" s="19" customFormat="1">
      <c r="A139" s="18"/>
      <c r="C139" s="20"/>
      <c r="D139" s="21"/>
      <c r="E139" s="26"/>
      <c r="F139" s="22"/>
      <c r="G139" s="23"/>
      <c r="H139" s="22"/>
      <c r="I139" s="23"/>
      <c r="J139" s="24"/>
      <c r="K139" s="21"/>
      <c r="L139" s="25"/>
      <c r="M139" s="25"/>
      <c r="N139" s="22"/>
      <c r="O139" s="23"/>
      <c r="P139" s="20"/>
      <c r="Q139" s="23"/>
      <c r="R139" s="24"/>
      <c r="S139" s="24"/>
    </row>
    <row r="140" spans="1:19" s="19" customFormat="1" ht="15.75">
      <c r="A140" s="44" t="s">
        <v>108</v>
      </c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>
      <c r="A141" s="71" t="s">
        <v>109</v>
      </c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110</v>
      </c>
      <c r="B142" s="19" t="s">
        <v>18</v>
      </c>
      <c r="C142" s="20">
        <v>145</v>
      </c>
      <c r="D142" s="21" t="s">
        <v>40</v>
      </c>
      <c r="E142" s="26">
        <v>8</v>
      </c>
      <c r="F142" s="22">
        <v>1</v>
      </c>
      <c r="G142" s="23" t="s">
        <v>20</v>
      </c>
      <c r="H142" s="22">
        <v>48</v>
      </c>
      <c r="I142" s="23" t="s">
        <v>40</v>
      </c>
      <c r="J142" s="24">
        <v>36000</v>
      </c>
      <c r="K142" s="21" t="s">
        <v>40</v>
      </c>
      <c r="L142" s="25">
        <v>0.125</v>
      </c>
      <c r="M142" s="25">
        <v>0.05</v>
      </c>
      <c r="N142" s="22"/>
      <c r="O142" s="23" t="s">
        <v>40</v>
      </c>
      <c r="P142" s="20">
        <f t="shared" ref="P142:P157" si="58">(C142+(E142*F142*H142))-N142</f>
        <v>529</v>
      </c>
      <c r="Q142" s="23" t="s">
        <v>40</v>
      </c>
      <c r="R142" s="24">
        <f t="shared" ref="R142:R157" si="59">P142*(J142-(J142*L142)-((J142-(J142*L142))*M142))</f>
        <v>15830325</v>
      </c>
      <c r="S142" s="24">
        <f t="shared" si="52"/>
        <v>14261554.054054054</v>
      </c>
    </row>
    <row r="143" spans="1:19" s="19" customFormat="1">
      <c r="A143" s="31" t="s">
        <v>111</v>
      </c>
      <c r="B143" s="32" t="s">
        <v>18</v>
      </c>
      <c r="C143" s="33">
        <v>480</v>
      </c>
      <c r="D143" s="34" t="s">
        <v>40</v>
      </c>
      <c r="E143" s="35"/>
      <c r="F143" s="36">
        <v>1</v>
      </c>
      <c r="G143" s="37" t="s">
        <v>20</v>
      </c>
      <c r="H143" s="36">
        <v>48</v>
      </c>
      <c r="I143" s="37" t="s">
        <v>40</v>
      </c>
      <c r="J143" s="38">
        <v>36000</v>
      </c>
      <c r="K143" s="34" t="s">
        <v>40</v>
      </c>
      <c r="L143" s="39">
        <v>0.125</v>
      </c>
      <c r="M143" s="39">
        <v>0.1</v>
      </c>
      <c r="N143" s="36"/>
      <c r="O143" s="37" t="s">
        <v>40</v>
      </c>
      <c r="P143" s="33">
        <f t="shared" ref="P143" si="60">(C143+(E143*F143*H143))-N143</f>
        <v>480</v>
      </c>
      <c r="Q143" s="37" t="s">
        <v>40</v>
      </c>
      <c r="R143" s="38">
        <f t="shared" ref="R143" si="61">P143*(J143-(J143*L143)-((J143-(J143*L143))*M143))</f>
        <v>13608000</v>
      </c>
      <c r="S143" s="38">
        <f t="shared" ref="S143" si="62">R143/1.11</f>
        <v>12259459.459459458</v>
      </c>
    </row>
    <row r="144" spans="1:19" s="19" customFormat="1">
      <c r="A144" s="31" t="s">
        <v>111</v>
      </c>
      <c r="B144" s="32" t="s">
        <v>18</v>
      </c>
      <c r="C144" s="33">
        <v>24</v>
      </c>
      <c r="D144" s="34" t="s">
        <v>40</v>
      </c>
      <c r="E144" s="35">
        <v>11</v>
      </c>
      <c r="F144" s="36">
        <v>1</v>
      </c>
      <c r="G144" s="37" t="s">
        <v>20</v>
      </c>
      <c r="H144" s="36">
        <v>48</v>
      </c>
      <c r="I144" s="37" t="s">
        <v>40</v>
      </c>
      <c r="J144" s="38">
        <v>36000</v>
      </c>
      <c r="K144" s="34" t="s">
        <v>40</v>
      </c>
      <c r="L144" s="39">
        <v>0.125</v>
      </c>
      <c r="M144" s="39">
        <v>0.05</v>
      </c>
      <c r="N144" s="36"/>
      <c r="O144" s="37" t="s">
        <v>40</v>
      </c>
      <c r="P144" s="33">
        <f t="shared" si="58"/>
        <v>552</v>
      </c>
      <c r="Q144" s="37" t="s">
        <v>40</v>
      </c>
      <c r="R144" s="38">
        <f t="shared" si="59"/>
        <v>16518600</v>
      </c>
      <c r="S144" s="38">
        <f t="shared" si="52"/>
        <v>14881621.62162162</v>
      </c>
    </row>
    <row r="145" spans="1:19" s="19" customFormat="1">
      <c r="A145" s="18" t="s">
        <v>725</v>
      </c>
      <c r="B145" s="19" t="s">
        <v>18</v>
      </c>
      <c r="C145" s="20">
        <v>96</v>
      </c>
      <c r="D145" s="21" t="s">
        <v>40</v>
      </c>
      <c r="E145" s="26"/>
      <c r="F145" s="22">
        <v>1</v>
      </c>
      <c r="G145" s="23" t="s">
        <v>20</v>
      </c>
      <c r="H145" s="22">
        <v>48</v>
      </c>
      <c r="I145" s="23" t="s">
        <v>40</v>
      </c>
      <c r="J145" s="24">
        <v>36000</v>
      </c>
      <c r="K145" s="21" t="s">
        <v>40</v>
      </c>
      <c r="L145" s="25">
        <v>0.125</v>
      </c>
      <c r="M145" s="25">
        <v>0.05</v>
      </c>
      <c r="N145" s="22"/>
      <c r="O145" s="23" t="s">
        <v>40</v>
      </c>
      <c r="P145" s="20">
        <f t="shared" si="58"/>
        <v>96</v>
      </c>
      <c r="Q145" s="23" t="s">
        <v>40</v>
      </c>
      <c r="R145" s="24">
        <f t="shared" si="59"/>
        <v>2872800</v>
      </c>
      <c r="S145" s="24">
        <f t="shared" si="52"/>
        <v>2588108.1081081079</v>
      </c>
    </row>
    <row r="146" spans="1:19" s="89" customFormat="1">
      <c r="A146" s="88" t="s">
        <v>112</v>
      </c>
      <c r="B146" s="89" t="s">
        <v>18</v>
      </c>
      <c r="C146" s="87"/>
      <c r="D146" s="90" t="s">
        <v>40</v>
      </c>
      <c r="E146" s="91"/>
      <c r="F146" s="92">
        <v>1</v>
      </c>
      <c r="G146" s="93" t="s">
        <v>20</v>
      </c>
      <c r="H146" s="92">
        <v>48</v>
      </c>
      <c r="I146" s="93" t="s">
        <v>40</v>
      </c>
      <c r="J146" s="94">
        <v>39000</v>
      </c>
      <c r="K146" s="90" t="s">
        <v>40</v>
      </c>
      <c r="L146" s="95">
        <v>0.125</v>
      </c>
      <c r="M146" s="95">
        <v>0.05</v>
      </c>
      <c r="N146" s="92"/>
      <c r="O146" s="93" t="s">
        <v>40</v>
      </c>
      <c r="P146" s="87">
        <f t="shared" si="58"/>
        <v>0</v>
      </c>
      <c r="Q146" s="93" t="s">
        <v>40</v>
      </c>
      <c r="R146" s="94">
        <f t="shared" si="59"/>
        <v>0</v>
      </c>
      <c r="S146" s="94">
        <f t="shared" si="52"/>
        <v>0</v>
      </c>
    </row>
    <row r="147" spans="1:19" s="19" customFormat="1">
      <c r="A147" s="18" t="s">
        <v>113</v>
      </c>
      <c r="B147" s="19" t="s">
        <v>18</v>
      </c>
      <c r="C147" s="20">
        <v>144</v>
      </c>
      <c r="D147" s="21" t="s">
        <v>40</v>
      </c>
      <c r="E147" s="26"/>
      <c r="F147" s="22">
        <v>1</v>
      </c>
      <c r="G147" s="23" t="s">
        <v>20</v>
      </c>
      <c r="H147" s="22">
        <v>48</v>
      </c>
      <c r="I147" s="23" t="s">
        <v>40</v>
      </c>
      <c r="J147" s="24">
        <v>54600</v>
      </c>
      <c r="K147" s="21" t="s">
        <v>40</v>
      </c>
      <c r="L147" s="25">
        <v>0.125</v>
      </c>
      <c r="M147" s="25">
        <v>0.05</v>
      </c>
      <c r="N147" s="22"/>
      <c r="O147" s="23" t="s">
        <v>40</v>
      </c>
      <c r="P147" s="20">
        <f t="shared" si="58"/>
        <v>144</v>
      </c>
      <c r="Q147" s="23" t="s">
        <v>40</v>
      </c>
      <c r="R147" s="24">
        <f t="shared" si="59"/>
        <v>6535620</v>
      </c>
      <c r="S147" s="24">
        <f t="shared" si="52"/>
        <v>5887945.9459459456</v>
      </c>
    </row>
    <row r="148" spans="1:19" s="19" customFormat="1">
      <c r="A148" s="18" t="s">
        <v>114</v>
      </c>
      <c r="B148" s="19" t="s">
        <v>18</v>
      </c>
      <c r="C148" s="20">
        <v>144</v>
      </c>
      <c r="D148" s="21" t="s">
        <v>40</v>
      </c>
      <c r="E148" s="26"/>
      <c r="F148" s="22">
        <v>1</v>
      </c>
      <c r="G148" s="23" t="s">
        <v>20</v>
      </c>
      <c r="H148" s="22">
        <v>48</v>
      </c>
      <c r="I148" s="23" t="s">
        <v>40</v>
      </c>
      <c r="J148" s="24">
        <v>30000</v>
      </c>
      <c r="K148" s="21" t="s">
        <v>40</v>
      </c>
      <c r="L148" s="25">
        <v>0.125</v>
      </c>
      <c r="M148" s="25">
        <v>0.05</v>
      </c>
      <c r="N148" s="22"/>
      <c r="O148" s="23" t="s">
        <v>40</v>
      </c>
      <c r="P148" s="20">
        <f t="shared" si="58"/>
        <v>144</v>
      </c>
      <c r="Q148" s="23" t="s">
        <v>40</v>
      </c>
      <c r="R148" s="24">
        <f t="shared" si="59"/>
        <v>3591000</v>
      </c>
      <c r="S148" s="24">
        <f t="shared" si="52"/>
        <v>3235135.1351351347</v>
      </c>
    </row>
    <row r="149" spans="1:19" s="19" customFormat="1">
      <c r="A149" s="18" t="s">
        <v>693</v>
      </c>
      <c r="B149" s="19" t="s">
        <v>18</v>
      </c>
      <c r="C149" s="20">
        <v>144</v>
      </c>
      <c r="D149" s="21" t="s">
        <v>40</v>
      </c>
      <c r="E149" s="26"/>
      <c r="F149" s="22">
        <v>1</v>
      </c>
      <c r="G149" s="23" t="s">
        <v>20</v>
      </c>
      <c r="H149" s="22">
        <v>48</v>
      </c>
      <c r="I149" s="23" t="s">
        <v>40</v>
      </c>
      <c r="J149" s="24">
        <v>48000</v>
      </c>
      <c r="K149" s="21" t="s">
        <v>40</v>
      </c>
      <c r="L149" s="25">
        <v>0.125</v>
      </c>
      <c r="M149" s="25">
        <v>0.05</v>
      </c>
      <c r="N149" s="22"/>
      <c r="O149" s="23" t="s">
        <v>40</v>
      </c>
      <c r="P149" s="20">
        <f t="shared" si="58"/>
        <v>144</v>
      </c>
      <c r="Q149" s="23" t="s">
        <v>40</v>
      </c>
      <c r="R149" s="24">
        <f t="shared" si="59"/>
        <v>5745600</v>
      </c>
      <c r="S149" s="24">
        <f t="shared" si="52"/>
        <v>5176216.2162162159</v>
      </c>
    </row>
    <row r="150" spans="1:19" s="19" customFormat="1">
      <c r="A150" s="18" t="s">
        <v>115</v>
      </c>
      <c r="B150" s="19" t="s">
        <v>18</v>
      </c>
      <c r="C150" s="20">
        <v>108</v>
      </c>
      <c r="D150" s="21" t="s">
        <v>40</v>
      </c>
      <c r="E150" s="26"/>
      <c r="F150" s="22">
        <v>1</v>
      </c>
      <c r="G150" s="23" t="s">
        <v>20</v>
      </c>
      <c r="H150" s="22">
        <v>36</v>
      </c>
      <c r="I150" s="23" t="s">
        <v>40</v>
      </c>
      <c r="J150" s="24">
        <v>41400</v>
      </c>
      <c r="K150" s="21" t="s">
        <v>40</v>
      </c>
      <c r="L150" s="25">
        <v>0.125</v>
      </c>
      <c r="M150" s="25">
        <v>0.1</v>
      </c>
      <c r="N150" s="22"/>
      <c r="O150" s="23" t="s">
        <v>40</v>
      </c>
      <c r="P150" s="20">
        <f t="shared" si="58"/>
        <v>108</v>
      </c>
      <c r="Q150" s="23" t="s">
        <v>40</v>
      </c>
      <c r="R150" s="24">
        <f t="shared" si="59"/>
        <v>3521070</v>
      </c>
      <c r="S150" s="24">
        <f t="shared" si="52"/>
        <v>3172135.1351351347</v>
      </c>
    </row>
    <row r="151" spans="1:19" s="19" customFormat="1">
      <c r="A151" s="18" t="s">
        <v>116</v>
      </c>
      <c r="B151" s="19" t="s">
        <v>18</v>
      </c>
      <c r="C151" s="20">
        <v>36</v>
      </c>
      <c r="D151" s="21" t="s">
        <v>40</v>
      </c>
      <c r="E151" s="26">
        <v>1</v>
      </c>
      <c r="F151" s="22">
        <v>1</v>
      </c>
      <c r="G151" s="23" t="s">
        <v>20</v>
      </c>
      <c r="H151" s="22">
        <v>36</v>
      </c>
      <c r="I151" s="23" t="s">
        <v>40</v>
      </c>
      <c r="J151" s="24">
        <v>41400</v>
      </c>
      <c r="K151" s="21" t="s">
        <v>40</v>
      </c>
      <c r="L151" s="25">
        <v>0.125</v>
      </c>
      <c r="M151" s="25">
        <v>0.05</v>
      </c>
      <c r="N151" s="22"/>
      <c r="O151" s="23" t="s">
        <v>40</v>
      </c>
      <c r="P151" s="20">
        <f t="shared" si="58"/>
        <v>72</v>
      </c>
      <c r="Q151" s="23" t="s">
        <v>40</v>
      </c>
      <c r="R151" s="24">
        <f t="shared" si="59"/>
        <v>2477790</v>
      </c>
      <c r="S151" s="24">
        <f t="shared" si="52"/>
        <v>2232243.2432432431</v>
      </c>
    </row>
    <row r="152" spans="1:19" s="19" customFormat="1">
      <c r="A152" s="18" t="s">
        <v>117</v>
      </c>
      <c r="B152" s="19" t="s">
        <v>18</v>
      </c>
      <c r="C152" s="20">
        <v>528</v>
      </c>
      <c r="D152" s="21" t="s">
        <v>40</v>
      </c>
      <c r="E152" s="26">
        <v>10</v>
      </c>
      <c r="F152" s="22">
        <v>24</v>
      </c>
      <c r="G152" s="23" t="s">
        <v>33</v>
      </c>
      <c r="H152" s="22">
        <v>2</v>
      </c>
      <c r="I152" s="23" t="s">
        <v>40</v>
      </c>
      <c r="J152" s="24">
        <f>70800/2</f>
        <v>35400</v>
      </c>
      <c r="K152" s="21" t="s">
        <v>40</v>
      </c>
      <c r="L152" s="25">
        <v>0.125</v>
      </c>
      <c r="M152" s="25">
        <v>0.05</v>
      </c>
      <c r="N152" s="22"/>
      <c r="O152" s="23" t="s">
        <v>40</v>
      </c>
      <c r="P152" s="20">
        <f t="shared" si="58"/>
        <v>1008</v>
      </c>
      <c r="Q152" s="23" t="s">
        <v>40</v>
      </c>
      <c r="R152" s="24">
        <f t="shared" si="59"/>
        <v>29661660</v>
      </c>
      <c r="S152" s="24">
        <f t="shared" si="52"/>
        <v>26722216.216216214</v>
      </c>
    </row>
    <row r="153" spans="1:19" s="19" customFormat="1">
      <c r="A153" s="18" t="s">
        <v>118</v>
      </c>
      <c r="B153" s="19" t="s">
        <v>18</v>
      </c>
      <c r="C153" s="20">
        <v>240</v>
      </c>
      <c r="D153" s="21" t="s">
        <v>40</v>
      </c>
      <c r="E153" s="26">
        <v>10</v>
      </c>
      <c r="F153" s="22">
        <v>24</v>
      </c>
      <c r="G153" s="23" t="s">
        <v>33</v>
      </c>
      <c r="H153" s="22">
        <v>2</v>
      </c>
      <c r="I153" s="23" t="s">
        <v>40</v>
      </c>
      <c r="J153" s="24">
        <f>70800/2</f>
        <v>35400</v>
      </c>
      <c r="K153" s="21" t="s">
        <v>40</v>
      </c>
      <c r="L153" s="25">
        <v>0.125</v>
      </c>
      <c r="M153" s="25">
        <v>0.05</v>
      </c>
      <c r="N153" s="22"/>
      <c r="O153" s="23" t="s">
        <v>40</v>
      </c>
      <c r="P153" s="20">
        <f t="shared" si="58"/>
        <v>720</v>
      </c>
      <c r="Q153" s="23" t="s">
        <v>40</v>
      </c>
      <c r="R153" s="24">
        <f t="shared" si="59"/>
        <v>21186900</v>
      </c>
      <c r="S153" s="24">
        <f t="shared" si="52"/>
        <v>19087297.297297295</v>
      </c>
    </row>
    <row r="154" spans="1:19" s="19" customFormat="1">
      <c r="A154" s="18" t="s">
        <v>119</v>
      </c>
      <c r="B154" s="19" t="s">
        <v>18</v>
      </c>
      <c r="C154" s="20">
        <v>29</v>
      </c>
      <c r="D154" s="21" t="s">
        <v>40</v>
      </c>
      <c r="E154" s="26">
        <v>4</v>
      </c>
      <c r="F154" s="22">
        <v>1</v>
      </c>
      <c r="G154" s="23" t="s">
        <v>20</v>
      </c>
      <c r="H154" s="22">
        <v>36</v>
      </c>
      <c r="I154" s="23" t="s">
        <v>40</v>
      </c>
      <c r="J154" s="24">
        <v>34200</v>
      </c>
      <c r="K154" s="21" t="s">
        <v>40</v>
      </c>
      <c r="L154" s="25">
        <v>0.125</v>
      </c>
      <c r="M154" s="25">
        <v>0.05</v>
      </c>
      <c r="N154" s="22"/>
      <c r="O154" s="23" t="s">
        <v>40</v>
      </c>
      <c r="P154" s="20">
        <f t="shared" si="58"/>
        <v>173</v>
      </c>
      <c r="Q154" s="23" t="s">
        <v>40</v>
      </c>
      <c r="R154" s="24">
        <f t="shared" si="59"/>
        <v>4918173.75</v>
      </c>
      <c r="S154" s="24">
        <f t="shared" si="52"/>
        <v>4430787.1621621614</v>
      </c>
    </row>
    <row r="155" spans="1:19" s="19" customFormat="1">
      <c r="A155" s="18" t="s">
        <v>120</v>
      </c>
      <c r="B155" s="19" t="s">
        <v>18</v>
      </c>
      <c r="C155" s="20">
        <v>48</v>
      </c>
      <c r="D155" s="21" t="s">
        <v>40</v>
      </c>
      <c r="E155" s="26"/>
      <c r="F155" s="22">
        <v>24</v>
      </c>
      <c r="G155" s="23" t="s">
        <v>33</v>
      </c>
      <c r="H155" s="22">
        <v>2</v>
      </c>
      <c r="I155" s="23" t="s">
        <v>40</v>
      </c>
      <c r="J155" s="24">
        <f>46800/2</f>
        <v>23400</v>
      </c>
      <c r="K155" s="21" t="s">
        <v>40</v>
      </c>
      <c r="L155" s="25">
        <v>0.125</v>
      </c>
      <c r="M155" s="25">
        <v>0.05</v>
      </c>
      <c r="N155" s="22"/>
      <c r="O155" s="23" t="s">
        <v>40</v>
      </c>
      <c r="P155" s="20">
        <f t="shared" si="58"/>
        <v>48</v>
      </c>
      <c r="Q155" s="23" t="s">
        <v>40</v>
      </c>
      <c r="R155" s="24">
        <f t="shared" si="59"/>
        <v>933660</v>
      </c>
      <c r="S155" s="24">
        <f t="shared" si="52"/>
        <v>841135.13513513503</v>
      </c>
    </row>
    <row r="156" spans="1:19" s="89" customFormat="1">
      <c r="A156" s="88" t="s">
        <v>121</v>
      </c>
      <c r="B156" s="89" t="s">
        <v>18</v>
      </c>
      <c r="C156" s="87"/>
      <c r="D156" s="90" t="s">
        <v>40</v>
      </c>
      <c r="E156" s="91"/>
      <c r="F156" s="92">
        <v>60</v>
      </c>
      <c r="G156" s="93" t="s">
        <v>33</v>
      </c>
      <c r="H156" s="92">
        <v>1</v>
      </c>
      <c r="I156" s="93" t="s">
        <v>40</v>
      </c>
      <c r="J156" s="94">
        <v>43200</v>
      </c>
      <c r="K156" s="90" t="s">
        <v>40</v>
      </c>
      <c r="L156" s="95">
        <v>0.125</v>
      </c>
      <c r="M156" s="95">
        <v>0.05</v>
      </c>
      <c r="N156" s="92"/>
      <c r="O156" s="93" t="s">
        <v>40</v>
      </c>
      <c r="P156" s="87">
        <f t="shared" si="58"/>
        <v>0</v>
      </c>
      <c r="Q156" s="93" t="s">
        <v>40</v>
      </c>
      <c r="R156" s="94">
        <f t="shared" si="59"/>
        <v>0</v>
      </c>
      <c r="S156" s="94">
        <f t="shared" si="52"/>
        <v>0</v>
      </c>
    </row>
    <row r="157" spans="1:19" s="19" customFormat="1">
      <c r="A157" s="18" t="s">
        <v>687</v>
      </c>
      <c r="B157" s="19" t="s">
        <v>18</v>
      </c>
      <c r="C157" s="20">
        <v>209</v>
      </c>
      <c r="D157" s="21" t="s">
        <v>40</v>
      </c>
      <c r="E157" s="26"/>
      <c r="F157" s="22">
        <v>120</v>
      </c>
      <c r="G157" s="23" t="s">
        <v>33</v>
      </c>
      <c r="H157" s="22">
        <v>1</v>
      </c>
      <c r="I157" s="23" t="s">
        <v>40</v>
      </c>
      <c r="J157" s="24">
        <v>17400</v>
      </c>
      <c r="K157" s="21" t="s">
        <v>40</v>
      </c>
      <c r="L157" s="25">
        <v>0.125</v>
      </c>
      <c r="M157" s="25">
        <v>0.05</v>
      </c>
      <c r="N157" s="22"/>
      <c r="O157" s="23" t="s">
        <v>40</v>
      </c>
      <c r="P157" s="20">
        <f t="shared" si="58"/>
        <v>209</v>
      </c>
      <c r="Q157" s="23" t="s">
        <v>40</v>
      </c>
      <c r="R157" s="24">
        <f t="shared" si="59"/>
        <v>3022923.75</v>
      </c>
      <c r="S157" s="24">
        <f t="shared" si="52"/>
        <v>2723354.7297297297</v>
      </c>
    </row>
    <row r="158" spans="1:19" s="19" customFormat="1">
      <c r="A158" s="18"/>
      <c r="C158" s="20"/>
      <c r="D158" s="21"/>
      <c r="E158" s="26"/>
      <c r="F158" s="22"/>
      <c r="G158" s="23"/>
      <c r="H158" s="22"/>
      <c r="I158" s="23"/>
      <c r="J158" s="24"/>
      <c r="K158" s="21"/>
      <c r="L158" s="25"/>
      <c r="M158" s="25"/>
      <c r="N158" s="22"/>
      <c r="O158" s="23"/>
      <c r="P158" s="20"/>
      <c r="Q158" s="23"/>
      <c r="R158" s="24"/>
      <c r="S158" s="24"/>
    </row>
    <row r="159" spans="1:19" s="89" customFormat="1">
      <c r="A159" s="88" t="s">
        <v>122</v>
      </c>
      <c r="B159" s="89" t="s">
        <v>25</v>
      </c>
      <c r="C159" s="87"/>
      <c r="D159" s="90" t="s">
        <v>40</v>
      </c>
      <c r="E159" s="91"/>
      <c r="F159" s="92">
        <v>1</v>
      </c>
      <c r="G159" s="93" t="s">
        <v>20</v>
      </c>
      <c r="H159" s="92">
        <v>36</v>
      </c>
      <c r="I159" s="93" t="s">
        <v>40</v>
      </c>
      <c r="J159" s="94">
        <f>1954800/36</f>
        <v>54300</v>
      </c>
      <c r="K159" s="90" t="s">
        <v>40</v>
      </c>
      <c r="L159" s="95"/>
      <c r="M159" s="95">
        <v>0.17</v>
      </c>
      <c r="N159" s="92"/>
      <c r="O159" s="93" t="s">
        <v>40</v>
      </c>
      <c r="P159" s="87">
        <f t="shared" ref="P159:P166" si="63">(C159+(E159*F159*H159))-N159</f>
        <v>0</v>
      </c>
      <c r="Q159" s="93" t="s">
        <v>40</v>
      </c>
      <c r="R159" s="94">
        <f t="shared" ref="R159:R166" si="64">P159*(J159-(J159*L159)-((J159-(J159*L159))*M159))</f>
        <v>0</v>
      </c>
      <c r="S159" s="94">
        <f t="shared" si="52"/>
        <v>0</v>
      </c>
    </row>
    <row r="160" spans="1:19" s="89" customFormat="1">
      <c r="A160" s="88" t="s">
        <v>123</v>
      </c>
      <c r="B160" s="89" t="s">
        <v>25</v>
      </c>
      <c r="C160" s="87"/>
      <c r="D160" s="90" t="s">
        <v>40</v>
      </c>
      <c r="E160" s="91"/>
      <c r="F160" s="92">
        <v>1</v>
      </c>
      <c r="G160" s="93" t="s">
        <v>20</v>
      </c>
      <c r="H160" s="92">
        <v>36</v>
      </c>
      <c r="I160" s="93" t="s">
        <v>40</v>
      </c>
      <c r="J160" s="94">
        <f>1954800/36</f>
        <v>54300</v>
      </c>
      <c r="K160" s="90" t="s">
        <v>40</v>
      </c>
      <c r="L160" s="95"/>
      <c r="M160" s="95">
        <v>0.17</v>
      </c>
      <c r="N160" s="92"/>
      <c r="O160" s="93" t="s">
        <v>40</v>
      </c>
      <c r="P160" s="87">
        <f t="shared" si="63"/>
        <v>0</v>
      </c>
      <c r="Q160" s="93" t="s">
        <v>40</v>
      </c>
      <c r="R160" s="94">
        <f t="shared" si="64"/>
        <v>0</v>
      </c>
      <c r="S160" s="94">
        <f t="shared" si="52"/>
        <v>0</v>
      </c>
    </row>
    <row r="161" spans="1:19" s="19" customFormat="1">
      <c r="A161" s="18" t="s">
        <v>124</v>
      </c>
      <c r="B161" s="19" t="s">
        <v>25</v>
      </c>
      <c r="C161" s="20">
        <v>1211</v>
      </c>
      <c r="D161" s="21" t="s">
        <v>40</v>
      </c>
      <c r="E161" s="26">
        <v>95</v>
      </c>
      <c r="F161" s="22">
        <v>1</v>
      </c>
      <c r="G161" s="23" t="s">
        <v>20</v>
      </c>
      <c r="H161" s="22">
        <v>36</v>
      </c>
      <c r="I161" s="23" t="s">
        <v>40</v>
      </c>
      <c r="J161" s="24">
        <f>1954800/36</f>
        <v>54300</v>
      </c>
      <c r="K161" s="21" t="s">
        <v>40</v>
      </c>
      <c r="L161" s="25"/>
      <c r="M161" s="25">
        <v>0.17</v>
      </c>
      <c r="N161" s="22"/>
      <c r="O161" s="23" t="s">
        <v>40</v>
      </c>
      <c r="P161" s="20">
        <f t="shared" si="63"/>
        <v>4631</v>
      </c>
      <c r="Q161" s="23" t="s">
        <v>40</v>
      </c>
      <c r="R161" s="24">
        <f t="shared" si="64"/>
        <v>208714539</v>
      </c>
      <c r="S161" s="24">
        <f t="shared" si="52"/>
        <v>188031116.21621621</v>
      </c>
    </row>
    <row r="162" spans="1:19" s="19" customFormat="1">
      <c r="A162" s="18" t="s">
        <v>125</v>
      </c>
      <c r="B162" s="19" t="s">
        <v>25</v>
      </c>
      <c r="C162" s="20">
        <v>84</v>
      </c>
      <c r="D162" s="21" t="s">
        <v>40</v>
      </c>
      <c r="E162" s="26">
        <v>7</v>
      </c>
      <c r="F162" s="22">
        <v>1</v>
      </c>
      <c r="G162" s="23" t="s">
        <v>20</v>
      </c>
      <c r="H162" s="22">
        <v>36</v>
      </c>
      <c r="I162" s="23" t="s">
        <v>40</v>
      </c>
      <c r="J162" s="24">
        <f>2008800/36</f>
        <v>55800</v>
      </c>
      <c r="K162" s="21" t="s">
        <v>40</v>
      </c>
      <c r="L162" s="25"/>
      <c r="M162" s="25">
        <v>0.17</v>
      </c>
      <c r="N162" s="22"/>
      <c r="O162" s="23" t="s">
        <v>40</v>
      </c>
      <c r="P162" s="20">
        <f t="shared" si="63"/>
        <v>336</v>
      </c>
      <c r="Q162" s="23" t="s">
        <v>40</v>
      </c>
      <c r="R162" s="24">
        <f t="shared" si="64"/>
        <v>15561504</v>
      </c>
      <c r="S162" s="24">
        <f t="shared" si="52"/>
        <v>14019372.972972972</v>
      </c>
    </row>
    <row r="163" spans="1:19" s="19" customFormat="1">
      <c r="A163" s="18" t="s">
        <v>126</v>
      </c>
      <c r="B163" s="19" t="s">
        <v>25</v>
      </c>
      <c r="C163" s="20">
        <v>108</v>
      </c>
      <c r="D163" s="21" t="s">
        <v>40</v>
      </c>
      <c r="E163" s="26">
        <v>28</v>
      </c>
      <c r="F163" s="22">
        <v>1</v>
      </c>
      <c r="G163" s="23" t="s">
        <v>20</v>
      </c>
      <c r="H163" s="22">
        <v>36</v>
      </c>
      <c r="I163" s="23" t="s">
        <v>40</v>
      </c>
      <c r="J163" s="24">
        <f>1695600/36</f>
        <v>47100</v>
      </c>
      <c r="K163" s="21" t="s">
        <v>40</v>
      </c>
      <c r="L163" s="25"/>
      <c r="M163" s="25">
        <v>0.17</v>
      </c>
      <c r="N163" s="22"/>
      <c r="O163" s="23" t="s">
        <v>40</v>
      </c>
      <c r="P163" s="20">
        <f t="shared" si="63"/>
        <v>1116</v>
      </c>
      <c r="Q163" s="23" t="s">
        <v>40</v>
      </c>
      <c r="R163" s="24">
        <f t="shared" si="64"/>
        <v>43627788</v>
      </c>
      <c r="S163" s="24">
        <f t="shared" si="52"/>
        <v>39304313.513513513</v>
      </c>
    </row>
    <row r="164" spans="1:19" s="89" customFormat="1">
      <c r="A164" s="88" t="s">
        <v>127</v>
      </c>
      <c r="B164" s="89" t="s">
        <v>25</v>
      </c>
      <c r="C164" s="87"/>
      <c r="D164" s="90" t="s">
        <v>40</v>
      </c>
      <c r="E164" s="91">
        <v>4</v>
      </c>
      <c r="F164" s="92">
        <v>1</v>
      </c>
      <c r="G164" s="93" t="s">
        <v>20</v>
      </c>
      <c r="H164" s="92">
        <v>36</v>
      </c>
      <c r="I164" s="93" t="s">
        <v>40</v>
      </c>
      <c r="J164" s="94">
        <f>1922400/36</f>
        <v>53400</v>
      </c>
      <c r="K164" s="90" t="s">
        <v>40</v>
      </c>
      <c r="L164" s="95"/>
      <c r="M164" s="95">
        <v>0.17</v>
      </c>
      <c r="N164" s="92"/>
      <c r="O164" s="93" t="s">
        <v>40</v>
      </c>
      <c r="P164" s="87">
        <f t="shared" si="63"/>
        <v>144</v>
      </c>
      <c r="Q164" s="93" t="s">
        <v>40</v>
      </c>
      <c r="R164" s="94">
        <f t="shared" si="64"/>
        <v>6382368</v>
      </c>
      <c r="S164" s="94">
        <f t="shared" si="52"/>
        <v>5749881.0810810803</v>
      </c>
    </row>
    <row r="165" spans="1:19" s="19" customFormat="1">
      <c r="A165" s="18" t="s">
        <v>128</v>
      </c>
      <c r="B165" s="19" t="s">
        <v>25</v>
      </c>
      <c r="C165" s="20">
        <v>245</v>
      </c>
      <c r="D165" s="21" t="s">
        <v>40</v>
      </c>
      <c r="E165" s="26">
        <v>8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f>2052000/36</f>
        <v>57000</v>
      </c>
      <c r="K165" s="21" t="s">
        <v>40</v>
      </c>
      <c r="L165" s="25"/>
      <c r="M165" s="25">
        <v>0.17</v>
      </c>
      <c r="N165" s="22"/>
      <c r="O165" s="23" t="s">
        <v>40</v>
      </c>
      <c r="P165" s="20">
        <f t="shared" si="63"/>
        <v>533</v>
      </c>
      <c r="Q165" s="23" t="s">
        <v>40</v>
      </c>
      <c r="R165" s="24">
        <f t="shared" si="64"/>
        <v>25216230</v>
      </c>
      <c r="S165" s="24">
        <f t="shared" si="52"/>
        <v>22717324.324324321</v>
      </c>
    </row>
    <row r="166" spans="1:19" s="19" customFormat="1">
      <c r="A166" s="18" t="s">
        <v>129</v>
      </c>
      <c r="B166" s="19" t="s">
        <v>25</v>
      </c>
      <c r="C166" s="20"/>
      <c r="D166" s="21" t="s">
        <v>40</v>
      </c>
      <c r="E166" s="26">
        <v>7</v>
      </c>
      <c r="F166" s="22">
        <v>1</v>
      </c>
      <c r="G166" s="23" t="s">
        <v>20</v>
      </c>
      <c r="H166" s="22">
        <v>36</v>
      </c>
      <c r="I166" s="23" t="s">
        <v>40</v>
      </c>
      <c r="J166" s="24">
        <f>2170800/36</f>
        <v>60300</v>
      </c>
      <c r="K166" s="21" t="s">
        <v>40</v>
      </c>
      <c r="L166" s="25"/>
      <c r="M166" s="25">
        <v>0.17</v>
      </c>
      <c r="N166" s="22"/>
      <c r="O166" s="23" t="s">
        <v>40</v>
      </c>
      <c r="P166" s="20">
        <f t="shared" si="63"/>
        <v>252</v>
      </c>
      <c r="Q166" s="23" t="s">
        <v>40</v>
      </c>
      <c r="R166" s="24">
        <f t="shared" si="64"/>
        <v>12612348</v>
      </c>
      <c r="S166" s="24">
        <f t="shared" si="52"/>
        <v>11362475.675675675</v>
      </c>
    </row>
    <row r="167" spans="1:19" s="19" customFormat="1">
      <c r="A167" s="18"/>
      <c r="C167" s="20"/>
      <c r="D167" s="21"/>
      <c r="E167" s="26"/>
      <c r="F167" s="22"/>
      <c r="G167" s="23"/>
      <c r="H167" s="22"/>
      <c r="I167" s="23"/>
      <c r="J167" s="24"/>
      <c r="K167" s="21"/>
      <c r="L167" s="25"/>
      <c r="M167" s="25"/>
      <c r="N167" s="22"/>
      <c r="O167" s="23"/>
      <c r="P167" s="20"/>
      <c r="Q167" s="23"/>
      <c r="R167" s="24"/>
      <c r="S167" s="24"/>
    </row>
    <row r="168" spans="1:19" s="19" customFormat="1">
      <c r="A168" s="71" t="s">
        <v>130</v>
      </c>
      <c r="C168" s="20"/>
      <c r="D168" s="21"/>
      <c r="E168" s="26"/>
      <c r="F168" s="22"/>
      <c r="G168" s="23"/>
      <c r="H168" s="22"/>
      <c r="I168" s="23"/>
      <c r="J168" s="24"/>
      <c r="K168" s="21"/>
      <c r="L168" s="25"/>
      <c r="M168" s="25"/>
      <c r="N168" s="22"/>
      <c r="O168" s="23"/>
      <c r="P168" s="20"/>
      <c r="Q168" s="23"/>
      <c r="R168" s="24"/>
      <c r="S168" s="24"/>
    </row>
    <row r="169" spans="1:19" s="19" customFormat="1">
      <c r="A169" s="18" t="s">
        <v>131</v>
      </c>
      <c r="B169" s="19" t="s">
        <v>18</v>
      </c>
      <c r="C169" s="20"/>
      <c r="D169" s="21" t="s">
        <v>40</v>
      </c>
      <c r="E169" s="26">
        <v>5</v>
      </c>
      <c r="F169" s="22">
        <v>60</v>
      </c>
      <c r="G169" s="23" t="s">
        <v>33</v>
      </c>
      <c r="H169" s="22">
        <v>1</v>
      </c>
      <c r="I169" s="23" t="s">
        <v>40</v>
      </c>
      <c r="J169" s="24">
        <f>4600*12</f>
        <v>55200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ref="P169:P186" si="65">(C169+(E169*F169*H169))-N169</f>
        <v>300</v>
      </c>
      <c r="Q169" s="23" t="s">
        <v>40</v>
      </c>
      <c r="R169" s="24">
        <f t="shared" ref="R169:R186" si="66">P169*(J169-(J169*L169)-((J169-(J169*L169))*M169))</f>
        <v>13765500</v>
      </c>
      <c r="S169" s="24">
        <f t="shared" si="52"/>
        <v>12401351.351351351</v>
      </c>
    </row>
    <row r="170" spans="1:19" s="89" customFormat="1">
      <c r="A170" s="88" t="s">
        <v>132</v>
      </c>
      <c r="B170" s="89" t="s">
        <v>18</v>
      </c>
      <c r="C170" s="87"/>
      <c r="D170" s="90" t="s">
        <v>40</v>
      </c>
      <c r="E170" s="91"/>
      <c r="F170" s="92">
        <v>60</v>
      </c>
      <c r="G170" s="93" t="s">
        <v>33</v>
      </c>
      <c r="H170" s="92">
        <v>1</v>
      </c>
      <c r="I170" s="93" t="s">
        <v>40</v>
      </c>
      <c r="J170" s="94">
        <f>4500*12</f>
        <v>54000</v>
      </c>
      <c r="K170" s="90" t="s">
        <v>40</v>
      </c>
      <c r="L170" s="95">
        <v>0.125</v>
      </c>
      <c r="M170" s="95">
        <v>0.05</v>
      </c>
      <c r="N170" s="92"/>
      <c r="O170" s="93" t="s">
        <v>40</v>
      </c>
      <c r="P170" s="87">
        <f t="shared" si="65"/>
        <v>0</v>
      </c>
      <c r="Q170" s="93" t="s">
        <v>40</v>
      </c>
      <c r="R170" s="94">
        <f t="shared" si="66"/>
        <v>0</v>
      </c>
      <c r="S170" s="94">
        <f t="shared" si="52"/>
        <v>0</v>
      </c>
    </row>
    <row r="171" spans="1:19" s="89" customFormat="1">
      <c r="A171" s="88" t="s">
        <v>694</v>
      </c>
      <c r="B171" s="89" t="s">
        <v>18</v>
      </c>
      <c r="C171" s="87"/>
      <c r="D171" s="90" t="s">
        <v>40</v>
      </c>
      <c r="E171" s="91"/>
      <c r="F171" s="92">
        <v>60</v>
      </c>
      <c r="G171" s="93" t="s">
        <v>33</v>
      </c>
      <c r="H171" s="92">
        <v>1</v>
      </c>
      <c r="I171" s="93" t="s">
        <v>40</v>
      </c>
      <c r="J171" s="94">
        <f>4500*12</f>
        <v>54000</v>
      </c>
      <c r="K171" s="90" t="s">
        <v>40</v>
      </c>
      <c r="L171" s="95">
        <v>0.125</v>
      </c>
      <c r="M171" s="95">
        <v>0.05</v>
      </c>
      <c r="N171" s="92"/>
      <c r="O171" s="93" t="s">
        <v>40</v>
      </c>
      <c r="P171" s="87">
        <f t="shared" si="65"/>
        <v>0</v>
      </c>
      <c r="Q171" s="93" t="s">
        <v>40</v>
      </c>
      <c r="R171" s="94">
        <f t="shared" si="66"/>
        <v>0</v>
      </c>
      <c r="S171" s="94">
        <f t="shared" si="52"/>
        <v>0</v>
      </c>
    </row>
    <row r="172" spans="1:19" s="19" customFormat="1">
      <c r="A172" s="18" t="s">
        <v>133</v>
      </c>
      <c r="B172" s="19" t="s">
        <v>18</v>
      </c>
      <c r="C172" s="20"/>
      <c r="D172" s="21" t="s">
        <v>40</v>
      </c>
      <c r="E172" s="26">
        <v>1</v>
      </c>
      <c r="F172" s="22">
        <v>30</v>
      </c>
      <c r="G172" s="23" t="s">
        <v>33</v>
      </c>
      <c r="H172" s="22">
        <v>1</v>
      </c>
      <c r="I172" s="23" t="s">
        <v>40</v>
      </c>
      <c r="J172" s="24">
        <v>69600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ref="P172" si="67">(C172+(E172*F172*H172))-N172</f>
        <v>30</v>
      </c>
      <c r="Q172" s="23" t="s">
        <v>40</v>
      </c>
      <c r="R172" s="24">
        <f t="shared" ref="R172" si="68">P172*(J172-(J172*L172)-((J172-(J172*L172))*M172))</f>
        <v>1735650</v>
      </c>
      <c r="S172" s="24">
        <f t="shared" ref="S172" si="69">R172/1.11</f>
        <v>1563648.6486486485</v>
      </c>
    </row>
    <row r="173" spans="1:19" s="19" customFormat="1">
      <c r="A173" s="18" t="s">
        <v>719</v>
      </c>
      <c r="B173" s="19" t="s">
        <v>18</v>
      </c>
      <c r="C173" s="20"/>
      <c r="D173" s="21" t="s">
        <v>40</v>
      </c>
      <c r="E173" s="26">
        <v>3</v>
      </c>
      <c r="F173" s="22">
        <v>30</v>
      </c>
      <c r="G173" s="23" t="s">
        <v>33</v>
      </c>
      <c r="H173" s="22">
        <v>1</v>
      </c>
      <c r="I173" s="23" t="s">
        <v>40</v>
      </c>
      <c r="J173" s="24">
        <f>11000*12</f>
        <v>132000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ref="P173" si="70">(C173+(E173*F173*H173))-N173</f>
        <v>90</v>
      </c>
      <c r="Q173" s="23" t="s">
        <v>40</v>
      </c>
      <c r="R173" s="24">
        <f t="shared" ref="R173" si="71">P173*(J173-(J173*L173)-((J173-(J173*L173))*M173))</f>
        <v>9875250</v>
      </c>
      <c r="S173" s="24">
        <f t="shared" ref="S173" si="72">R173/1.11</f>
        <v>8896621.6216216199</v>
      </c>
    </row>
    <row r="174" spans="1:19" s="19" customFormat="1">
      <c r="A174" s="18" t="s">
        <v>134</v>
      </c>
      <c r="B174" s="19" t="s">
        <v>18</v>
      </c>
      <c r="C174" s="20">
        <v>3099</v>
      </c>
      <c r="D174" s="21" t="s">
        <v>40</v>
      </c>
      <c r="E174" s="26">
        <v>14</v>
      </c>
      <c r="F174" s="22">
        <v>60</v>
      </c>
      <c r="G174" s="23" t="s">
        <v>33</v>
      </c>
      <c r="H174" s="22">
        <v>1</v>
      </c>
      <c r="I174" s="23" t="s">
        <v>40</v>
      </c>
      <c r="J174" s="24">
        <f>4800*12</f>
        <v>57600</v>
      </c>
      <c r="K174" s="21" t="s">
        <v>40</v>
      </c>
      <c r="L174" s="25">
        <v>0.125</v>
      </c>
      <c r="M174" s="25">
        <v>0.05</v>
      </c>
      <c r="N174" s="22"/>
      <c r="O174" s="23" t="s">
        <v>40</v>
      </c>
      <c r="P174" s="20">
        <f t="shared" si="65"/>
        <v>3939</v>
      </c>
      <c r="Q174" s="23" t="s">
        <v>40</v>
      </c>
      <c r="R174" s="24">
        <f t="shared" si="66"/>
        <v>188599320</v>
      </c>
      <c r="S174" s="24">
        <f t="shared" si="52"/>
        <v>169909297.29729727</v>
      </c>
    </row>
    <row r="175" spans="1:19" s="89" customFormat="1">
      <c r="A175" s="88" t="s">
        <v>852</v>
      </c>
      <c r="B175" s="89" t="s">
        <v>18</v>
      </c>
      <c r="C175" s="87"/>
      <c r="D175" s="90" t="s">
        <v>103</v>
      </c>
      <c r="E175" s="91">
        <v>6</v>
      </c>
      <c r="F175" s="92">
        <v>24</v>
      </c>
      <c r="G175" s="93" t="s">
        <v>33</v>
      </c>
      <c r="H175" s="92">
        <v>12</v>
      </c>
      <c r="I175" s="93" t="s">
        <v>103</v>
      </c>
      <c r="J175" s="94">
        <v>9300</v>
      </c>
      <c r="K175" s="90" t="s">
        <v>103</v>
      </c>
      <c r="L175" s="95">
        <v>0.125</v>
      </c>
      <c r="M175" s="95">
        <v>0.05</v>
      </c>
      <c r="N175" s="92"/>
      <c r="O175" s="93" t="s">
        <v>103</v>
      </c>
      <c r="P175" s="87">
        <f t="shared" si="65"/>
        <v>1728</v>
      </c>
      <c r="Q175" s="93" t="s">
        <v>103</v>
      </c>
      <c r="R175" s="94">
        <f t="shared" si="66"/>
        <v>13358520</v>
      </c>
      <c r="S175" s="94">
        <f t="shared" si="52"/>
        <v>12034702.702702701</v>
      </c>
    </row>
    <row r="176" spans="1:19" s="89" customFormat="1">
      <c r="A176" s="88" t="s">
        <v>135</v>
      </c>
      <c r="B176" s="89" t="s">
        <v>18</v>
      </c>
      <c r="C176" s="87"/>
      <c r="D176" s="90" t="s">
        <v>40</v>
      </c>
      <c r="E176" s="91"/>
      <c r="F176" s="92">
        <v>60</v>
      </c>
      <c r="G176" s="93" t="s">
        <v>33</v>
      </c>
      <c r="H176" s="92">
        <v>1</v>
      </c>
      <c r="I176" s="93" t="s">
        <v>40</v>
      </c>
      <c r="J176" s="94">
        <f>5800*12</f>
        <v>69600</v>
      </c>
      <c r="K176" s="90" t="s">
        <v>40</v>
      </c>
      <c r="L176" s="95">
        <v>0.125</v>
      </c>
      <c r="M176" s="95">
        <v>0.05</v>
      </c>
      <c r="N176" s="92"/>
      <c r="O176" s="93" t="s">
        <v>40</v>
      </c>
      <c r="P176" s="87">
        <f t="shared" si="65"/>
        <v>0</v>
      </c>
      <c r="Q176" s="93" t="s">
        <v>40</v>
      </c>
      <c r="R176" s="94">
        <f t="shared" si="66"/>
        <v>0</v>
      </c>
      <c r="S176" s="94">
        <f t="shared" si="52"/>
        <v>0</v>
      </c>
    </row>
    <row r="177" spans="1:19" s="19" customFormat="1">
      <c r="A177" s="18" t="s">
        <v>136</v>
      </c>
      <c r="B177" s="19" t="s">
        <v>18</v>
      </c>
      <c r="C177" s="20">
        <v>40</v>
      </c>
      <c r="D177" s="21" t="s">
        <v>40</v>
      </c>
      <c r="E177" s="26">
        <v>2</v>
      </c>
      <c r="F177" s="22">
        <v>40</v>
      </c>
      <c r="G177" s="23" t="s">
        <v>33</v>
      </c>
      <c r="H177" s="22">
        <v>1</v>
      </c>
      <c r="I177" s="23" t="s">
        <v>40</v>
      </c>
      <c r="J177" s="24">
        <f>8500*12</f>
        <v>102000</v>
      </c>
      <c r="K177" s="21" t="s">
        <v>40</v>
      </c>
      <c r="L177" s="25">
        <v>0.125</v>
      </c>
      <c r="M177" s="25">
        <v>0.05</v>
      </c>
      <c r="N177" s="22"/>
      <c r="O177" s="23" t="s">
        <v>40</v>
      </c>
      <c r="P177" s="20">
        <f t="shared" si="65"/>
        <v>120</v>
      </c>
      <c r="Q177" s="23" t="s">
        <v>40</v>
      </c>
      <c r="R177" s="24">
        <f t="shared" si="66"/>
        <v>10174500</v>
      </c>
      <c r="S177" s="24">
        <f t="shared" si="52"/>
        <v>9166216.2162162159</v>
      </c>
    </row>
    <row r="178" spans="1:19" s="89" customFormat="1">
      <c r="A178" s="88" t="s">
        <v>853</v>
      </c>
      <c r="B178" s="89" t="s">
        <v>18</v>
      </c>
      <c r="C178" s="87"/>
      <c r="D178" s="90" t="s">
        <v>40</v>
      </c>
      <c r="E178" s="91"/>
      <c r="F178" s="92">
        <v>60</v>
      </c>
      <c r="G178" s="93" t="s">
        <v>33</v>
      </c>
      <c r="H178" s="92">
        <v>1</v>
      </c>
      <c r="I178" s="93" t="s">
        <v>40</v>
      </c>
      <c r="J178" s="94">
        <f>4000*12</f>
        <v>48000</v>
      </c>
      <c r="K178" s="90" t="s">
        <v>40</v>
      </c>
      <c r="L178" s="95">
        <v>0.125</v>
      </c>
      <c r="M178" s="95">
        <v>0.05</v>
      </c>
      <c r="N178" s="92"/>
      <c r="O178" s="93" t="s">
        <v>40</v>
      </c>
      <c r="P178" s="87">
        <f t="shared" si="65"/>
        <v>0</v>
      </c>
      <c r="Q178" s="93" t="s">
        <v>40</v>
      </c>
      <c r="R178" s="94">
        <f t="shared" si="66"/>
        <v>0</v>
      </c>
      <c r="S178" s="16">
        <f t="shared" si="52"/>
        <v>0</v>
      </c>
    </row>
    <row r="179" spans="1:19" s="106" customFormat="1">
      <c r="A179" s="98" t="s">
        <v>854</v>
      </c>
      <c r="B179" s="106" t="s">
        <v>18</v>
      </c>
      <c r="C179" s="107">
        <v>31</v>
      </c>
      <c r="D179" s="108" t="s">
        <v>40</v>
      </c>
      <c r="E179" s="109"/>
      <c r="F179" s="110">
        <v>60</v>
      </c>
      <c r="G179" s="111" t="s">
        <v>33</v>
      </c>
      <c r="H179" s="110">
        <v>1</v>
      </c>
      <c r="I179" s="111" t="s">
        <v>40</v>
      </c>
      <c r="J179" s="112">
        <f>5700*12</f>
        <v>68400</v>
      </c>
      <c r="K179" s="108" t="s">
        <v>40</v>
      </c>
      <c r="L179" s="113">
        <v>0.125</v>
      </c>
      <c r="M179" s="113">
        <v>0.05</v>
      </c>
      <c r="N179" s="110"/>
      <c r="O179" s="111" t="s">
        <v>40</v>
      </c>
      <c r="P179" s="107">
        <f t="shared" si="65"/>
        <v>31</v>
      </c>
      <c r="Q179" s="111" t="s">
        <v>40</v>
      </c>
      <c r="R179" s="112">
        <f t="shared" si="66"/>
        <v>1762582.5</v>
      </c>
      <c r="S179" s="104">
        <f t="shared" si="52"/>
        <v>1587912.1621621621</v>
      </c>
    </row>
    <row r="180" spans="1:19" s="19" customFormat="1">
      <c r="A180" s="18" t="s">
        <v>792</v>
      </c>
      <c r="B180" s="19" t="s">
        <v>18</v>
      </c>
      <c r="C180" s="20">
        <v>31</v>
      </c>
      <c r="D180" s="21" t="s">
        <v>40</v>
      </c>
      <c r="E180" s="26"/>
      <c r="F180" s="22">
        <v>60</v>
      </c>
      <c r="G180" s="23" t="s">
        <v>33</v>
      </c>
      <c r="H180" s="22">
        <v>1</v>
      </c>
      <c r="I180" s="23" t="s">
        <v>40</v>
      </c>
      <c r="J180" s="24">
        <f>5800*12</f>
        <v>69600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65"/>
        <v>31</v>
      </c>
      <c r="Q180" s="23" t="s">
        <v>40</v>
      </c>
      <c r="R180" s="24">
        <f t="shared" si="66"/>
        <v>1793505</v>
      </c>
      <c r="S180" s="24">
        <f t="shared" si="52"/>
        <v>1615770.2702702701</v>
      </c>
    </row>
    <row r="181" spans="1:19" s="89" customFormat="1">
      <c r="A181" s="88" t="s">
        <v>855</v>
      </c>
      <c r="B181" s="89" t="s">
        <v>18</v>
      </c>
      <c r="C181" s="87"/>
      <c r="D181" s="90" t="s">
        <v>40</v>
      </c>
      <c r="E181" s="91"/>
      <c r="F181" s="92">
        <v>30</v>
      </c>
      <c r="G181" s="93" t="s">
        <v>33</v>
      </c>
      <c r="H181" s="92">
        <v>1</v>
      </c>
      <c r="I181" s="93" t="s">
        <v>40</v>
      </c>
      <c r="J181" s="94">
        <f>10800*12</f>
        <v>129600</v>
      </c>
      <c r="K181" s="90" t="s">
        <v>40</v>
      </c>
      <c r="L181" s="95">
        <v>0.125</v>
      </c>
      <c r="M181" s="95">
        <v>0.05</v>
      </c>
      <c r="N181" s="92"/>
      <c r="O181" s="93" t="s">
        <v>40</v>
      </c>
      <c r="P181" s="87">
        <f t="shared" si="65"/>
        <v>0</v>
      </c>
      <c r="Q181" s="93" t="s">
        <v>40</v>
      </c>
      <c r="R181" s="94">
        <f t="shared" si="66"/>
        <v>0</v>
      </c>
      <c r="S181" s="16">
        <f t="shared" si="52"/>
        <v>0</v>
      </c>
    </row>
    <row r="182" spans="1:19" s="89" customFormat="1">
      <c r="A182" s="88" t="s">
        <v>137</v>
      </c>
      <c r="B182" s="89" t="s">
        <v>18</v>
      </c>
      <c r="C182" s="87"/>
      <c r="D182" s="90" t="s">
        <v>40</v>
      </c>
      <c r="E182" s="91"/>
      <c r="F182" s="92">
        <v>40</v>
      </c>
      <c r="G182" s="93" t="s">
        <v>33</v>
      </c>
      <c r="H182" s="92">
        <v>1</v>
      </c>
      <c r="I182" s="93" t="s">
        <v>40</v>
      </c>
      <c r="J182" s="94">
        <f>8800*12</f>
        <v>105600</v>
      </c>
      <c r="K182" s="90" t="s">
        <v>40</v>
      </c>
      <c r="L182" s="95">
        <v>0.125</v>
      </c>
      <c r="M182" s="95">
        <v>0.05</v>
      </c>
      <c r="N182" s="92"/>
      <c r="O182" s="93" t="s">
        <v>40</v>
      </c>
      <c r="P182" s="87">
        <f t="shared" si="65"/>
        <v>0</v>
      </c>
      <c r="Q182" s="93" t="s">
        <v>40</v>
      </c>
      <c r="R182" s="94">
        <f t="shared" si="66"/>
        <v>0</v>
      </c>
      <c r="S182" s="94">
        <f t="shared" si="52"/>
        <v>0</v>
      </c>
    </row>
    <row r="183" spans="1:19" s="19" customFormat="1">
      <c r="A183" s="18" t="s">
        <v>816</v>
      </c>
      <c r="B183" s="19" t="s">
        <v>18</v>
      </c>
      <c r="C183" s="20"/>
      <c r="D183" s="21" t="s">
        <v>40</v>
      </c>
      <c r="E183" s="26">
        <v>1</v>
      </c>
      <c r="F183" s="22">
        <v>30</v>
      </c>
      <c r="G183" s="23" t="s">
        <v>33</v>
      </c>
      <c r="H183" s="22">
        <v>1</v>
      </c>
      <c r="I183" s="23" t="s">
        <v>40</v>
      </c>
      <c r="J183" s="24">
        <f>10000*12</f>
        <v>120000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65"/>
        <v>30</v>
      </c>
      <c r="Q183" s="23" t="s">
        <v>40</v>
      </c>
      <c r="R183" s="24">
        <f t="shared" si="66"/>
        <v>2992500</v>
      </c>
      <c r="S183" s="24">
        <f t="shared" si="52"/>
        <v>2695945.9459459456</v>
      </c>
    </row>
    <row r="184" spans="1:19" s="106" customFormat="1">
      <c r="A184" s="166" t="s">
        <v>880</v>
      </c>
      <c r="B184" s="106" t="s">
        <v>18</v>
      </c>
      <c r="C184" s="107"/>
      <c r="D184" s="108" t="s">
        <v>40</v>
      </c>
      <c r="E184" s="109">
        <v>6</v>
      </c>
      <c r="F184" s="110">
        <v>1</v>
      </c>
      <c r="G184" s="111" t="s">
        <v>20</v>
      </c>
      <c r="H184" s="110">
        <f>360/12</f>
        <v>30</v>
      </c>
      <c r="I184" s="111" t="s">
        <v>40</v>
      </c>
      <c r="J184" s="112">
        <f>5400*12</f>
        <v>64800</v>
      </c>
      <c r="K184" s="108" t="s">
        <v>40</v>
      </c>
      <c r="L184" s="113">
        <v>0.125</v>
      </c>
      <c r="M184" s="113">
        <v>0.05</v>
      </c>
      <c r="N184" s="110"/>
      <c r="O184" s="111" t="s">
        <v>40</v>
      </c>
      <c r="P184" s="20">
        <f t="shared" ref="P184" si="73">(C184+(E184*F184*H184))-N184</f>
        <v>180</v>
      </c>
      <c r="Q184" s="23" t="s">
        <v>40</v>
      </c>
      <c r="R184" s="24">
        <f t="shared" ref="R184" si="74">P184*(J184-(J184*L184)-((J184-(J184*L184))*M184))</f>
        <v>9695700</v>
      </c>
      <c r="S184" s="24">
        <f t="shared" ref="S184" si="75">R184/1.11</f>
        <v>8734864.8648648635</v>
      </c>
    </row>
    <row r="185" spans="1:19" s="89" customFormat="1">
      <c r="A185" s="88" t="s">
        <v>793</v>
      </c>
      <c r="B185" s="89" t="s">
        <v>18</v>
      </c>
      <c r="C185" s="87"/>
      <c r="D185" s="90" t="s">
        <v>40</v>
      </c>
      <c r="E185" s="91"/>
      <c r="F185" s="92">
        <v>1</v>
      </c>
      <c r="G185" s="93" t="s">
        <v>20</v>
      </c>
      <c r="H185" s="92">
        <f>360/12</f>
        <v>30</v>
      </c>
      <c r="I185" s="93" t="s">
        <v>40</v>
      </c>
      <c r="J185" s="94">
        <f>4800*12</f>
        <v>57600</v>
      </c>
      <c r="K185" s="90" t="s">
        <v>40</v>
      </c>
      <c r="L185" s="95">
        <v>0.125</v>
      </c>
      <c r="M185" s="95">
        <v>0.05</v>
      </c>
      <c r="N185" s="92"/>
      <c r="O185" s="93" t="s">
        <v>40</v>
      </c>
      <c r="P185" s="87">
        <f t="shared" si="65"/>
        <v>0</v>
      </c>
      <c r="Q185" s="93" t="s">
        <v>40</v>
      </c>
      <c r="R185" s="94">
        <f t="shared" si="66"/>
        <v>0</v>
      </c>
      <c r="S185" s="94">
        <f t="shared" si="52"/>
        <v>0</v>
      </c>
    </row>
    <row r="186" spans="1:19" s="19" customFormat="1">
      <c r="A186" s="18" t="s">
        <v>794</v>
      </c>
      <c r="B186" s="19" t="s">
        <v>18</v>
      </c>
      <c r="C186" s="20">
        <v>3540</v>
      </c>
      <c r="D186" s="21" t="s">
        <v>40</v>
      </c>
      <c r="E186" s="26"/>
      <c r="F186" s="22">
        <v>60</v>
      </c>
      <c r="G186" s="23" t="s">
        <v>33</v>
      </c>
      <c r="H186" s="22">
        <f>360/12</f>
        <v>30</v>
      </c>
      <c r="I186" s="23" t="s">
        <v>40</v>
      </c>
      <c r="J186" s="24">
        <f>6000*12</f>
        <v>72000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si="65"/>
        <v>3540</v>
      </c>
      <c r="Q186" s="23" t="s">
        <v>40</v>
      </c>
      <c r="R186" s="24">
        <f t="shared" si="66"/>
        <v>211869000</v>
      </c>
      <c r="S186" s="24">
        <f t="shared" si="52"/>
        <v>190872972.97297296</v>
      </c>
    </row>
    <row r="187" spans="1:19" s="19" customFormat="1">
      <c r="A187" s="18"/>
      <c r="C187" s="20"/>
      <c r="D187" s="21"/>
      <c r="E187" s="26"/>
      <c r="F187" s="22"/>
      <c r="G187" s="23"/>
      <c r="H187" s="22"/>
      <c r="I187" s="23"/>
      <c r="J187" s="24"/>
      <c r="K187" s="21"/>
      <c r="L187" s="25"/>
      <c r="M187" s="25"/>
      <c r="N187" s="22"/>
      <c r="O187" s="23"/>
      <c r="P187" s="20"/>
      <c r="Q187" s="23"/>
      <c r="R187" s="24"/>
      <c r="S187" s="24"/>
    </row>
    <row r="188" spans="1:19" s="89" customFormat="1">
      <c r="A188" s="88" t="s">
        <v>138</v>
      </c>
      <c r="B188" s="89" t="s">
        <v>25</v>
      </c>
      <c r="C188" s="87"/>
      <c r="D188" s="90" t="s">
        <v>40</v>
      </c>
      <c r="E188" s="91"/>
      <c r="F188" s="92">
        <v>1</v>
      </c>
      <c r="G188" s="93" t="s">
        <v>20</v>
      </c>
      <c r="H188" s="92">
        <v>36</v>
      </c>
      <c r="I188" s="93" t="s">
        <v>40</v>
      </c>
      <c r="J188" s="94">
        <f>2095200/36</f>
        <v>58200</v>
      </c>
      <c r="K188" s="90" t="s">
        <v>40</v>
      </c>
      <c r="L188" s="95"/>
      <c r="M188" s="95">
        <v>0.17</v>
      </c>
      <c r="N188" s="92"/>
      <c r="O188" s="93" t="s">
        <v>40</v>
      </c>
      <c r="P188" s="87">
        <f t="shared" ref="P188:P208" si="76">(C188+(E188*F188*H188))-N188</f>
        <v>0</v>
      </c>
      <c r="Q188" s="93" t="s">
        <v>40</v>
      </c>
      <c r="R188" s="94">
        <f t="shared" ref="R188:R208" si="77">P188*(J188-(J188*L188)-((J188-(J188*L188))*M188))</f>
        <v>0</v>
      </c>
      <c r="S188" s="94">
        <f t="shared" si="52"/>
        <v>0</v>
      </c>
    </row>
    <row r="189" spans="1:19" s="19" customFormat="1">
      <c r="A189" s="18" t="s">
        <v>751</v>
      </c>
      <c r="B189" s="19" t="s">
        <v>25</v>
      </c>
      <c r="C189" s="20">
        <v>30</v>
      </c>
      <c r="D189" s="21" t="s">
        <v>40</v>
      </c>
      <c r="E189" s="26"/>
      <c r="F189" s="22">
        <v>1</v>
      </c>
      <c r="G189" s="23" t="s">
        <v>20</v>
      </c>
      <c r="H189" s="22">
        <v>36</v>
      </c>
      <c r="I189" s="23" t="s">
        <v>40</v>
      </c>
      <c r="J189" s="24">
        <f>2116800/36</f>
        <v>58800</v>
      </c>
      <c r="K189" s="21" t="s">
        <v>40</v>
      </c>
      <c r="L189" s="25"/>
      <c r="M189" s="25">
        <v>0.17</v>
      </c>
      <c r="N189" s="22"/>
      <c r="O189" s="23" t="s">
        <v>40</v>
      </c>
      <c r="P189" s="20">
        <f t="shared" si="76"/>
        <v>30</v>
      </c>
      <c r="Q189" s="23" t="s">
        <v>40</v>
      </c>
      <c r="R189" s="24">
        <f t="shared" si="77"/>
        <v>1464120</v>
      </c>
      <c r="S189" s="24">
        <f t="shared" si="52"/>
        <v>1319027.027027027</v>
      </c>
    </row>
    <row r="190" spans="1:19" s="89" customFormat="1">
      <c r="A190" s="88" t="s">
        <v>139</v>
      </c>
      <c r="B190" s="89" t="s">
        <v>25</v>
      </c>
      <c r="C190" s="87"/>
      <c r="D190" s="90" t="s">
        <v>40</v>
      </c>
      <c r="E190" s="91"/>
      <c r="F190" s="92">
        <v>1</v>
      </c>
      <c r="G190" s="93" t="s">
        <v>20</v>
      </c>
      <c r="H190" s="92">
        <v>48</v>
      </c>
      <c r="I190" s="93" t="s">
        <v>40</v>
      </c>
      <c r="J190" s="94">
        <f>2995200/48</f>
        <v>62400</v>
      </c>
      <c r="K190" s="90" t="s">
        <v>40</v>
      </c>
      <c r="L190" s="95"/>
      <c r="M190" s="95">
        <v>0.17</v>
      </c>
      <c r="N190" s="92"/>
      <c r="O190" s="93" t="s">
        <v>40</v>
      </c>
      <c r="P190" s="87">
        <f t="shared" si="76"/>
        <v>0</v>
      </c>
      <c r="Q190" s="93" t="s">
        <v>40</v>
      </c>
      <c r="R190" s="94">
        <f t="shared" si="77"/>
        <v>0</v>
      </c>
      <c r="S190" s="94">
        <f t="shared" si="52"/>
        <v>0</v>
      </c>
    </row>
    <row r="191" spans="1:19" s="19" customFormat="1">
      <c r="A191" s="18" t="s">
        <v>140</v>
      </c>
      <c r="B191" s="19" t="s">
        <v>25</v>
      </c>
      <c r="C191" s="20">
        <v>227</v>
      </c>
      <c r="D191" s="21" t="s">
        <v>40</v>
      </c>
      <c r="E191" s="26"/>
      <c r="F191" s="22">
        <v>1</v>
      </c>
      <c r="G191" s="23" t="s">
        <v>20</v>
      </c>
      <c r="H191" s="22">
        <v>48</v>
      </c>
      <c r="I191" s="23" t="s">
        <v>40</v>
      </c>
      <c r="J191" s="24">
        <f>3916800/48</f>
        <v>81600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76"/>
        <v>227</v>
      </c>
      <c r="Q191" s="23" t="s">
        <v>40</v>
      </c>
      <c r="R191" s="24">
        <f t="shared" si="77"/>
        <v>15374256</v>
      </c>
      <c r="S191" s="24">
        <f t="shared" si="52"/>
        <v>13850681.081081079</v>
      </c>
    </row>
    <row r="192" spans="1:19" s="19" customFormat="1">
      <c r="A192" s="18" t="s">
        <v>750</v>
      </c>
      <c r="B192" s="19" t="s">
        <v>25</v>
      </c>
      <c r="C192" s="20">
        <v>98</v>
      </c>
      <c r="D192" s="21" t="s">
        <v>40</v>
      </c>
      <c r="E192" s="26"/>
      <c r="F192" s="22">
        <v>1</v>
      </c>
      <c r="G192" s="23" t="s">
        <v>20</v>
      </c>
      <c r="H192" s="22">
        <v>48</v>
      </c>
      <c r="I192" s="23" t="s">
        <v>40</v>
      </c>
      <c r="J192" s="24">
        <f>4032000/48</f>
        <v>84000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76"/>
        <v>98</v>
      </c>
      <c r="Q192" s="23" t="s">
        <v>40</v>
      </c>
      <c r="R192" s="24">
        <f t="shared" si="77"/>
        <v>6832560</v>
      </c>
      <c r="S192" s="24">
        <f t="shared" si="52"/>
        <v>6155459.4594594585</v>
      </c>
    </row>
    <row r="193" spans="1:20" s="89" customFormat="1">
      <c r="A193" s="88" t="s">
        <v>141</v>
      </c>
      <c r="B193" s="89" t="s">
        <v>25</v>
      </c>
      <c r="C193" s="87"/>
      <c r="D193" s="90" t="s">
        <v>40</v>
      </c>
      <c r="E193" s="91"/>
      <c r="F193" s="92">
        <v>1</v>
      </c>
      <c r="G193" s="93" t="s">
        <v>20</v>
      </c>
      <c r="H193" s="92">
        <v>48</v>
      </c>
      <c r="I193" s="93" t="s">
        <v>40</v>
      </c>
      <c r="J193" s="94">
        <f>5100*12</f>
        <v>61200</v>
      </c>
      <c r="K193" s="90" t="s">
        <v>40</v>
      </c>
      <c r="L193" s="95"/>
      <c r="M193" s="95">
        <v>0.17</v>
      </c>
      <c r="N193" s="92"/>
      <c r="O193" s="93" t="s">
        <v>40</v>
      </c>
      <c r="P193" s="87">
        <f t="shared" si="76"/>
        <v>0</v>
      </c>
      <c r="Q193" s="93" t="s">
        <v>40</v>
      </c>
      <c r="R193" s="94">
        <f t="shared" si="77"/>
        <v>0</v>
      </c>
      <c r="S193" s="94">
        <f t="shared" si="52"/>
        <v>0</v>
      </c>
    </row>
    <row r="194" spans="1:20" s="19" customFormat="1">
      <c r="A194" s="18" t="s">
        <v>856</v>
      </c>
      <c r="B194" s="19" t="s">
        <v>25</v>
      </c>
      <c r="C194" s="20">
        <v>128</v>
      </c>
      <c r="D194" s="21" t="s">
        <v>40</v>
      </c>
      <c r="E194" s="26">
        <v>2</v>
      </c>
      <c r="F194" s="22">
        <v>1</v>
      </c>
      <c r="G194" s="23" t="s">
        <v>20</v>
      </c>
      <c r="H194" s="22">
        <v>48</v>
      </c>
      <c r="I194" s="23" t="s">
        <v>40</v>
      </c>
      <c r="J194" s="24">
        <f>2592000/48</f>
        <v>54000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76"/>
        <v>224</v>
      </c>
      <c r="Q194" s="23" t="s">
        <v>40</v>
      </c>
      <c r="R194" s="24">
        <f t="shared" si="77"/>
        <v>10039680</v>
      </c>
      <c r="S194" s="24">
        <f t="shared" si="52"/>
        <v>9044756.7567567565</v>
      </c>
    </row>
    <row r="195" spans="1:20" s="19" customFormat="1">
      <c r="A195" s="18" t="s">
        <v>142</v>
      </c>
      <c r="B195" s="19" t="s">
        <v>25</v>
      </c>
      <c r="C195" s="20">
        <v>66</v>
      </c>
      <c r="D195" s="21" t="s">
        <v>40</v>
      </c>
      <c r="E195" s="26">
        <v>3</v>
      </c>
      <c r="F195" s="22">
        <v>1</v>
      </c>
      <c r="G195" s="23" t="s">
        <v>20</v>
      </c>
      <c r="H195" s="22">
        <v>48</v>
      </c>
      <c r="I195" s="23" t="s">
        <v>40</v>
      </c>
      <c r="J195" s="24">
        <f>2448000/48</f>
        <v>51000</v>
      </c>
      <c r="K195" s="21" t="s">
        <v>40</v>
      </c>
      <c r="L195" s="25"/>
      <c r="M195" s="25">
        <v>0.17</v>
      </c>
      <c r="N195" s="22"/>
      <c r="O195" s="23" t="s">
        <v>40</v>
      </c>
      <c r="P195" s="20">
        <f t="shared" si="76"/>
        <v>210</v>
      </c>
      <c r="Q195" s="23" t="s">
        <v>40</v>
      </c>
      <c r="R195" s="24">
        <f t="shared" si="77"/>
        <v>8889300</v>
      </c>
      <c r="S195" s="24">
        <f t="shared" si="52"/>
        <v>8008378.3783783773</v>
      </c>
    </row>
    <row r="196" spans="1:20" s="106" customFormat="1">
      <c r="A196" s="115" t="s">
        <v>857</v>
      </c>
      <c r="B196" s="96" t="s">
        <v>25</v>
      </c>
      <c r="C196" s="99">
        <v>60</v>
      </c>
      <c r="D196" s="100" t="s">
        <v>40</v>
      </c>
      <c r="E196" s="101"/>
      <c r="F196" s="102">
        <v>1</v>
      </c>
      <c r="G196" s="103" t="s">
        <v>20</v>
      </c>
      <c r="H196" s="102">
        <v>48</v>
      </c>
      <c r="I196" s="103" t="s">
        <v>40</v>
      </c>
      <c r="J196" s="104">
        <f>2592000/48</f>
        <v>54000</v>
      </c>
      <c r="K196" s="100" t="s">
        <v>40</v>
      </c>
      <c r="L196" s="105"/>
      <c r="M196" s="105">
        <v>0.17</v>
      </c>
      <c r="N196" s="102"/>
      <c r="O196" s="103" t="s">
        <v>40</v>
      </c>
      <c r="P196" s="99">
        <f t="shared" si="76"/>
        <v>60</v>
      </c>
      <c r="Q196" s="103" t="s">
        <v>40</v>
      </c>
      <c r="R196" s="104">
        <f t="shared" si="77"/>
        <v>2689200</v>
      </c>
      <c r="S196" s="104">
        <f t="shared" ref="S196" si="78">R196/1.11</f>
        <v>2422702.7027027025</v>
      </c>
      <c r="T196" s="96"/>
    </row>
    <row r="197" spans="1:20" s="89" customFormat="1">
      <c r="A197" s="88" t="s">
        <v>143</v>
      </c>
      <c r="B197" s="89" t="s">
        <v>25</v>
      </c>
      <c r="C197" s="87"/>
      <c r="D197" s="90" t="s">
        <v>40</v>
      </c>
      <c r="E197" s="91"/>
      <c r="F197" s="92">
        <v>1</v>
      </c>
      <c r="G197" s="93" t="s">
        <v>20</v>
      </c>
      <c r="H197" s="92">
        <v>24</v>
      </c>
      <c r="I197" s="93" t="s">
        <v>40</v>
      </c>
      <c r="J197" s="94">
        <f>2491200/24</f>
        <v>103800</v>
      </c>
      <c r="K197" s="90" t="s">
        <v>40</v>
      </c>
      <c r="L197" s="95"/>
      <c r="M197" s="95">
        <v>0.17</v>
      </c>
      <c r="N197" s="92"/>
      <c r="O197" s="93" t="s">
        <v>40</v>
      </c>
      <c r="P197" s="87">
        <f t="shared" si="76"/>
        <v>0</v>
      </c>
      <c r="Q197" s="93" t="s">
        <v>40</v>
      </c>
      <c r="R197" s="94">
        <f t="shared" si="77"/>
        <v>0</v>
      </c>
      <c r="S197" s="94">
        <f t="shared" ref="S197:S287" si="79">R197/1.11</f>
        <v>0</v>
      </c>
    </row>
    <row r="198" spans="1:20" s="89" customFormat="1">
      <c r="A198" s="88" t="s">
        <v>144</v>
      </c>
      <c r="B198" s="89" t="s">
        <v>25</v>
      </c>
      <c r="C198" s="87"/>
      <c r="D198" s="90" t="s">
        <v>40</v>
      </c>
      <c r="E198" s="91"/>
      <c r="F198" s="92">
        <v>1</v>
      </c>
      <c r="G198" s="93" t="s">
        <v>20</v>
      </c>
      <c r="H198" s="92">
        <v>36</v>
      </c>
      <c r="I198" s="93" t="s">
        <v>40</v>
      </c>
      <c r="J198" s="94">
        <f>3736800/36</f>
        <v>103800</v>
      </c>
      <c r="K198" s="90" t="s">
        <v>40</v>
      </c>
      <c r="L198" s="95"/>
      <c r="M198" s="95">
        <v>0.17</v>
      </c>
      <c r="N198" s="92"/>
      <c r="O198" s="93" t="s">
        <v>40</v>
      </c>
      <c r="P198" s="87">
        <f t="shared" si="76"/>
        <v>0</v>
      </c>
      <c r="Q198" s="93" t="s">
        <v>40</v>
      </c>
      <c r="R198" s="94">
        <f t="shared" si="77"/>
        <v>0</v>
      </c>
      <c r="S198" s="94">
        <f t="shared" si="79"/>
        <v>0</v>
      </c>
    </row>
    <row r="199" spans="1:20" s="106" customFormat="1">
      <c r="A199" s="98" t="s">
        <v>145</v>
      </c>
      <c r="B199" s="106" t="s">
        <v>25</v>
      </c>
      <c r="C199" s="107"/>
      <c r="D199" s="108" t="s">
        <v>40</v>
      </c>
      <c r="E199" s="109">
        <v>1</v>
      </c>
      <c r="F199" s="110">
        <v>1</v>
      </c>
      <c r="G199" s="111" t="s">
        <v>20</v>
      </c>
      <c r="H199" s="110">
        <v>48</v>
      </c>
      <c r="I199" s="111" t="s">
        <v>40</v>
      </c>
      <c r="J199" s="112">
        <f>2592000/48</f>
        <v>54000</v>
      </c>
      <c r="K199" s="108" t="s">
        <v>40</v>
      </c>
      <c r="L199" s="113"/>
      <c r="M199" s="113">
        <v>0.17</v>
      </c>
      <c r="N199" s="110"/>
      <c r="O199" s="111" t="s">
        <v>40</v>
      </c>
      <c r="P199" s="107">
        <f t="shared" si="76"/>
        <v>48</v>
      </c>
      <c r="Q199" s="111" t="s">
        <v>40</v>
      </c>
      <c r="R199" s="112">
        <f t="shared" si="77"/>
        <v>2151360</v>
      </c>
      <c r="S199" s="112">
        <f t="shared" si="79"/>
        <v>1938162.1621621619</v>
      </c>
    </row>
    <row r="200" spans="1:20" s="19" customFormat="1">
      <c r="A200" s="18" t="s">
        <v>858</v>
      </c>
      <c r="B200" s="19" t="s">
        <v>25</v>
      </c>
      <c r="C200" s="20">
        <v>144</v>
      </c>
      <c r="D200" s="21" t="s">
        <v>40</v>
      </c>
      <c r="E200" s="26">
        <v>14</v>
      </c>
      <c r="F200" s="22">
        <v>1</v>
      </c>
      <c r="G200" s="23" t="s">
        <v>20</v>
      </c>
      <c r="H200" s="22">
        <v>48</v>
      </c>
      <c r="I200" s="23" t="s">
        <v>40</v>
      </c>
      <c r="J200" s="24">
        <f>2880000/48</f>
        <v>60000</v>
      </c>
      <c r="K200" s="21" t="s">
        <v>40</v>
      </c>
      <c r="L200" s="25"/>
      <c r="M200" s="25">
        <v>0.17</v>
      </c>
      <c r="N200" s="22"/>
      <c r="O200" s="23" t="s">
        <v>40</v>
      </c>
      <c r="P200" s="20">
        <f t="shared" si="76"/>
        <v>816</v>
      </c>
      <c r="Q200" s="23" t="s">
        <v>40</v>
      </c>
      <c r="R200" s="24">
        <f t="shared" si="77"/>
        <v>40636800</v>
      </c>
      <c r="S200" s="24">
        <f t="shared" si="79"/>
        <v>36609729.729729727</v>
      </c>
    </row>
    <row r="201" spans="1:20" s="19" customFormat="1">
      <c r="A201" s="18" t="s">
        <v>146</v>
      </c>
      <c r="B201" s="19" t="s">
        <v>25</v>
      </c>
      <c r="C201" s="20">
        <v>64</v>
      </c>
      <c r="D201" s="21" t="s">
        <v>40</v>
      </c>
      <c r="E201" s="26"/>
      <c r="F201" s="22">
        <v>1</v>
      </c>
      <c r="G201" s="23" t="s">
        <v>20</v>
      </c>
      <c r="H201" s="22">
        <v>48</v>
      </c>
      <c r="I201" s="23" t="s">
        <v>40</v>
      </c>
      <c r="J201" s="24">
        <f>2880000/48</f>
        <v>60000</v>
      </c>
      <c r="K201" s="21" t="s">
        <v>40</v>
      </c>
      <c r="L201" s="25"/>
      <c r="M201" s="25">
        <v>0.17</v>
      </c>
      <c r="N201" s="22"/>
      <c r="O201" s="23" t="s">
        <v>40</v>
      </c>
      <c r="P201" s="20">
        <f t="shared" si="76"/>
        <v>64</v>
      </c>
      <c r="Q201" s="23" t="s">
        <v>40</v>
      </c>
      <c r="R201" s="24">
        <f t="shared" si="77"/>
        <v>3187200</v>
      </c>
      <c r="S201" s="24">
        <f t="shared" si="79"/>
        <v>2871351.351351351</v>
      </c>
    </row>
    <row r="202" spans="1:20" s="19" customFormat="1">
      <c r="A202" s="18" t="s">
        <v>147</v>
      </c>
      <c r="B202" s="19" t="s">
        <v>25</v>
      </c>
      <c r="C202" s="20"/>
      <c r="D202" s="21" t="s">
        <v>40</v>
      </c>
      <c r="E202" s="26">
        <v>3</v>
      </c>
      <c r="F202" s="22">
        <v>1</v>
      </c>
      <c r="G202" s="23" t="s">
        <v>20</v>
      </c>
      <c r="H202" s="22">
        <v>48</v>
      </c>
      <c r="I202" s="23" t="s">
        <v>40</v>
      </c>
      <c r="J202" s="24">
        <f>3024000/48</f>
        <v>63000</v>
      </c>
      <c r="K202" s="21" t="s">
        <v>40</v>
      </c>
      <c r="L202" s="25"/>
      <c r="M202" s="25">
        <v>0.17</v>
      </c>
      <c r="N202" s="22"/>
      <c r="O202" s="23" t="s">
        <v>40</v>
      </c>
      <c r="P202" s="20">
        <f t="shared" si="76"/>
        <v>144</v>
      </c>
      <c r="Q202" s="23" t="s">
        <v>40</v>
      </c>
      <c r="R202" s="24">
        <f t="shared" si="77"/>
        <v>7529760</v>
      </c>
      <c r="S202" s="24">
        <f t="shared" si="79"/>
        <v>6783567.5675675673</v>
      </c>
    </row>
    <row r="203" spans="1:20" s="19" customFormat="1">
      <c r="A203" s="18" t="s">
        <v>148</v>
      </c>
      <c r="B203" s="19" t="s">
        <v>25</v>
      </c>
      <c r="C203" s="20">
        <v>43</v>
      </c>
      <c r="D203" s="21" t="s">
        <v>40</v>
      </c>
      <c r="E203" s="26"/>
      <c r="F203" s="22">
        <v>1</v>
      </c>
      <c r="G203" s="23" t="s">
        <v>20</v>
      </c>
      <c r="H203" s="22">
        <v>48</v>
      </c>
      <c r="I203" s="23" t="s">
        <v>40</v>
      </c>
      <c r="J203" s="24">
        <f>2995200/48</f>
        <v>62400</v>
      </c>
      <c r="K203" s="21" t="s">
        <v>40</v>
      </c>
      <c r="L203" s="25"/>
      <c r="M203" s="25">
        <v>0.17</v>
      </c>
      <c r="N203" s="22"/>
      <c r="O203" s="23" t="s">
        <v>40</v>
      </c>
      <c r="P203" s="20">
        <f t="shared" si="76"/>
        <v>43</v>
      </c>
      <c r="Q203" s="23" t="s">
        <v>40</v>
      </c>
      <c r="R203" s="24">
        <f t="shared" si="77"/>
        <v>2227056</v>
      </c>
      <c r="S203" s="24">
        <f t="shared" si="79"/>
        <v>2006356.7567567567</v>
      </c>
    </row>
    <row r="204" spans="1:20" s="19" customFormat="1">
      <c r="A204" s="18" t="s">
        <v>149</v>
      </c>
      <c r="B204" s="19" t="s">
        <v>25</v>
      </c>
      <c r="C204" s="20"/>
      <c r="D204" s="21" t="s">
        <v>40</v>
      </c>
      <c r="E204" s="26">
        <v>1</v>
      </c>
      <c r="F204" s="22">
        <v>1</v>
      </c>
      <c r="G204" s="23" t="s">
        <v>20</v>
      </c>
      <c r="H204" s="22">
        <v>48</v>
      </c>
      <c r="I204" s="23" t="s">
        <v>40</v>
      </c>
      <c r="J204" s="24">
        <f>2995200/48</f>
        <v>62400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76"/>
        <v>48</v>
      </c>
      <c r="Q204" s="23" t="s">
        <v>40</v>
      </c>
      <c r="R204" s="24">
        <f t="shared" si="77"/>
        <v>2486016</v>
      </c>
      <c r="S204" s="24">
        <f t="shared" si="79"/>
        <v>2239654.054054054</v>
      </c>
    </row>
    <row r="205" spans="1:20" s="19" customFormat="1">
      <c r="A205" s="18" t="s">
        <v>824</v>
      </c>
      <c r="B205" s="19" t="s">
        <v>25</v>
      </c>
      <c r="C205" s="20"/>
      <c r="D205" s="21" t="s">
        <v>40</v>
      </c>
      <c r="E205" s="26">
        <v>13</v>
      </c>
      <c r="F205" s="22">
        <v>1</v>
      </c>
      <c r="G205" s="23" t="s">
        <v>20</v>
      </c>
      <c r="H205" s="22">
        <v>48</v>
      </c>
      <c r="I205" s="23" t="s">
        <v>40</v>
      </c>
      <c r="J205" s="24">
        <v>60000</v>
      </c>
      <c r="K205" s="21" t="s">
        <v>40</v>
      </c>
      <c r="L205" s="25"/>
      <c r="M205" s="25">
        <v>0.17</v>
      </c>
      <c r="N205" s="22"/>
      <c r="O205" s="23" t="s">
        <v>40</v>
      </c>
      <c r="P205" s="20">
        <f t="shared" si="76"/>
        <v>624</v>
      </c>
      <c r="Q205" s="23" t="s">
        <v>40</v>
      </c>
      <c r="R205" s="24">
        <f t="shared" ref="R205" si="80">P205*(J205-(J205*L205)-((J205-(J205*L205))*M205))</f>
        <v>31075200</v>
      </c>
      <c r="S205" s="24">
        <f t="shared" ref="S205" si="81">R205/1.11</f>
        <v>27995675.675675672</v>
      </c>
    </row>
    <row r="206" spans="1:20" s="19" customFormat="1">
      <c r="A206" s="18" t="s">
        <v>823</v>
      </c>
      <c r="B206" s="19" t="s">
        <v>25</v>
      </c>
      <c r="C206" s="20"/>
      <c r="D206" s="21" t="s">
        <v>40</v>
      </c>
      <c r="E206" s="26">
        <v>5</v>
      </c>
      <c r="F206" s="22">
        <v>1</v>
      </c>
      <c r="G206" s="23" t="s">
        <v>20</v>
      </c>
      <c r="H206" s="22">
        <v>48</v>
      </c>
      <c r="I206" s="23" t="s">
        <v>40</v>
      </c>
      <c r="J206" s="24">
        <v>69600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76"/>
        <v>240</v>
      </c>
      <c r="Q206" s="23" t="s">
        <v>40</v>
      </c>
      <c r="R206" s="24">
        <f t="shared" ref="R206" si="82">P206*(J206-(J206*L206)-((J206-(J206*L206))*M206))</f>
        <v>13864320</v>
      </c>
      <c r="S206" s="24">
        <f t="shared" ref="S206" si="83">R206/1.11</f>
        <v>12490378.378378376</v>
      </c>
    </row>
    <row r="207" spans="1:20" s="89" customFormat="1">
      <c r="A207" s="88" t="s">
        <v>726</v>
      </c>
      <c r="B207" s="89" t="s">
        <v>25</v>
      </c>
      <c r="C207" s="87"/>
      <c r="D207" s="90" t="s">
        <v>40</v>
      </c>
      <c r="E207" s="91"/>
      <c r="F207" s="92">
        <v>1</v>
      </c>
      <c r="G207" s="93" t="s">
        <v>20</v>
      </c>
      <c r="H207" s="92">
        <v>36</v>
      </c>
      <c r="I207" s="93" t="s">
        <v>40</v>
      </c>
      <c r="J207" s="94">
        <f>3240000/36</f>
        <v>90000</v>
      </c>
      <c r="K207" s="90" t="s">
        <v>40</v>
      </c>
      <c r="L207" s="95"/>
      <c r="M207" s="95">
        <v>0.17</v>
      </c>
      <c r="N207" s="92"/>
      <c r="O207" s="93" t="s">
        <v>40</v>
      </c>
      <c r="P207" s="87">
        <f t="shared" si="76"/>
        <v>0</v>
      </c>
      <c r="Q207" s="93" t="s">
        <v>40</v>
      </c>
      <c r="R207" s="94">
        <f t="shared" si="77"/>
        <v>0</v>
      </c>
      <c r="S207" s="94">
        <f>R207/1.11</f>
        <v>0</v>
      </c>
    </row>
    <row r="208" spans="1:20" s="19" customFormat="1">
      <c r="A208" s="18" t="s">
        <v>783</v>
      </c>
      <c r="B208" s="19" t="s">
        <v>25</v>
      </c>
      <c r="C208" s="20">
        <v>10</v>
      </c>
      <c r="D208" s="21" t="s">
        <v>40</v>
      </c>
      <c r="E208" s="26"/>
      <c r="F208" s="22">
        <v>1</v>
      </c>
      <c r="G208" s="23" t="s">
        <v>20</v>
      </c>
      <c r="H208" s="22">
        <v>36</v>
      </c>
      <c r="I208" s="23" t="s">
        <v>40</v>
      </c>
      <c r="J208" s="24">
        <f>4406400/36</f>
        <v>122400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76"/>
        <v>10</v>
      </c>
      <c r="Q208" s="23" t="s">
        <v>40</v>
      </c>
      <c r="R208" s="24">
        <f t="shared" si="77"/>
        <v>1015920</v>
      </c>
      <c r="S208" s="24">
        <f>R208/1.11</f>
        <v>915243.2432432432</v>
      </c>
    </row>
    <row r="209" spans="1:19" s="19" customFormat="1">
      <c r="A209" s="18"/>
      <c r="C209" s="20"/>
      <c r="D209" s="21"/>
      <c r="E209" s="26"/>
      <c r="F209" s="22"/>
      <c r="G209" s="23"/>
      <c r="H209" s="22"/>
      <c r="I209" s="23"/>
      <c r="J209" s="24"/>
      <c r="K209" s="21"/>
      <c r="L209" s="25"/>
      <c r="M209" s="25"/>
      <c r="N209" s="22"/>
      <c r="O209" s="23"/>
      <c r="P209" s="20"/>
      <c r="Q209" s="23"/>
      <c r="R209" s="24"/>
      <c r="S209" s="24"/>
    </row>
    <row r="210" spans="1:19" s="19" customFormat="1" ht="15.75">
      <c r="A210" s="44" t="s">
        <v>150</v>
      </c>
      <c r="C210" s="20"/>
      <c r="D210" s="21"/>
      <c r="E210" s="26"/>
      <c r="F210" s="22"/>
      <c r="G210" s="23"/>
      <c r="H210" s="22"/>
      <c r="I210" s="23"/>
      <c r="J210" s="24"/>
      <c r="K210" s="21"/>
      <c r="L210" s="25"/>
      <c r="M210" s="25"/>
      <c r="N210" s="22"/>
      <c r="O210" s="23"/>
      <c r="P210" s="20"/>
      <c r="Q210" s="23"/>
      <c r="R210" s="24"/>
      <c r="S210" s="24"/>
    </row>
    <row r="211" spans="1:19" s="89" customFormat="1">
      <c r="A211" s="145" t="s">
        <v>703</v>
      </c>
      <c r="B211" s="89" t="s">
        <v>18</v>
      </c>
      <c r="C211" s="87"/>
      <c r="D211" s="90" t="s">
        <v>152</v>
      </c>
      <c r="E211" s="91"/>
      <c r="F211" s="92">
        <v>12</v>
      </c>
      <c r="G211" s="93" t="s">
        <v>33</v>
      </c>
      <c r="H211" s="92">
        <v>12</v>
      </c>
      <c r="I211" s="93" t="s">
        <v>152</v>
      </c>
      <c r="J211" s="94">
        <v>11000</v>
      </c>
      <c r="K211" s="90" t="s">
        <v>152</v>
      </c>
      <c r="L211" s="95">
        <v>0.125</v>
      </c>
      <c r="M211" s="95">
        <v>0.05</v>
      </c>
      <c r="N211" s="92"/>
      <c r="O211" s="93" t="s">
        <v>152</v>
      </c>
      <c r="P211" s="87">
        <f t="shared" ref="P211:P220" si="84">(C211+(E211*F211*H211))-N211</f>
        <v>0</v>
      </c>
      <c r="Q211" s="93" t="s">
        <v>152</v>
      </c>
      <c r="R211" s="94">
        <f t="shared" ref="R211:R220" si="85">P211*(J211-(J211*L211)-((J211-(J211*L211))*M211))</f>
        <v>0</v>
      </c>
      <c r="S211" s="94">
        <f t="shared" si="79"/>
        <v>0</v>
      </c>
    </row>
    <row r="212" spans="1:19" s="89" customFormat="1">
      <c r="A212" s="145" t="s">
        <v>151</v>
      </c>
      <c r="B212" s="89" t="s">
        <v>18</v>
      </c>
      <c r="C212" s="87"/>
      <c r="D212" s="90" t="s">
        <v>152</v>
      </c>
      <c r="E212" s="91"/>
      <c r="F212" s="92">
        <v>12</v>
      </c>
      <c r="G212" s="93" t="s">
        <v>33</v>
      </c>
      <c r="H212" s="92">
        <v>12</v>
      </c>
      <c r="I212" s="93" t="s">
        <v>152</v>
      </c>
      <c r="J212" s="94">
        <v>11600</v>
      </c>
      <c r="K212" s="90" t="s">
        <v>152</v>
      </c>
      <c r="L212" s="95">
        <v>0.125</v>
      </c>
      <c r="M212" s="95">
        <v>0.05</v>
      </c>
      <c r="N212" s="92"/>
      <c r="O212" s="93" t="s">
        <v>152</v>
      </c>
      <c r="P212" s="87">
        <f t="shared" si="84"/>
        <v>0</v>
      </c>
      <c r="Q212" s="93" t="s">
        <v>152</v>
      </c>
      <c r="R212" s="94">
        <f t="shared" si="85"/>
        <v>0</v>
      </c>
      <c r="S212" s="94">
        <f t="shared" si="79"/>
        <v>0</v>
      </c>
    </row>
    <row r="213" spans="1:19" s="19" customFormat="1">
      <c r="A213" s="49" t="s">
        <v>153</v>
      </c>
      <c r="B213" s="19" t="s">
        <v>18</v>
      </c>
      <c r="C213" s="20">
        <v>276</v>
      </c>
      <c r="D213" s="21" t="s">
        <v>152</v>
      </c>
      <c r="E213" s="26">
        <v>4</v>
      </c>
      <c r="F213" s="22">
        <v>6</v>
      </c>
      <c r="G213" s="23" t="s">
        <v>33</v>
      </c>
      <c r="H213" s="22">
        <v>24</v>
      </c>
      <c r="I213" s="23" t="s">
        <v>152</v>
      </c>
      <c r="J213" s="24">
        <v>9000</v>
      </c>
      <c r="K213" s="21" t="s">
        <v>152</v>
      </c>
      <c r="L213" s="25">
        <v>0.125</v>
      </c>
      <c r="M213" s="25">
        <v>0.05</v>
      </c>
      <c r="N213" s="22"/>
      <c r="O213" s="23" t="s">
        <v>152</v>
      </c>
      <c r="P213" s="20">
        <f t="shared" si="84"/>
        <v>852</v>
      </c>
      <c r="Q213" s="23" t="s">
        <v>152</v>
      </c>
      <c r="R213" s="24">
        <f t="shared" si="85"/>
        <v>6374025</v>
      </c>
      <c r="S213" s="24">
        <f t="shared" si="79"/>
        <v>5742364.8648648644</v>
      </c>
    </row>
    <row r="214" spans="1:19" s="19" customFormat="1">
      <c r="A214" s="18" t="s">
        <v>154</v>
      </c>
      <c r="B214" s="19" t="s">
        <v>18</v>
      </c>
      <c r="C214" s="20">
        <v>397</v>
      </c>
      <c r="D214" s="21" t="s">
        <v>152</v>
      </c>
      <c r="E214" s="26">
        <v>37</v>
      </c>
      <c r="F214" s="22">
        <v>1</v>
      </c>
      <c r="G214" s="23" t="s">
        <v>20</v>
      </c>
      <c r="H214" s="22">
        <v>144</v>
      </c>
      <c r="I214" s="23" t="s">
        <v>152</v>
      </c>
      <c r="J214" s="24">
        <v>11900</v>
      </c>
      <c r="K214" s="21" t="s">
        <v>152</v>
      </c>
      <c r="L214" s="25">
        <v>0.125</v>
      </c>
      <c r="M214" s="25">
        <v>0.05</v>
      </c>
      <c r="N214" s="22"/>
      <c r="O214" s="23" t="s">
        <v>152</v>
      </c>
      <c r="P214" s="20">
        <f t="shared" si="84"/>
        <v>5725</v>
      </c>
      <c r="Q214" s="23" t="s">
        <v>152</v>
      </c>
      <c r="R214" s="24">
        <f t="shared" si="85"/>
        <v>56630984.375</v>
      </c>
      <c r="S214" s="24">
        <f t="shared" si="79"/>
        <v>51018904.842342339</v>
      </c>
    </row>
    <row r="215" spans="1:19" s="19" customFormat="1">
      <c r="A215" s="18" t="s">
        <v>155</v>
      </c>
      <c r="B215" s="19" t="s">
        <v>18</v>
      </c>
      <c r="C215" s="20">
        <v>300</v>
      </c>
      <c r="D215" s="21" t="s">
        <v>152</v>
      </c>
      <c r="E215" s="26">
        <v>19</v>
      </c>
      <c r="F215" s="22">
        <v>6</v>
      </c>
      <c r="G215" s="23" t="s">
        <v>33</v>
      </c>
      <c r="H215" s="22">
        <v>12</v>
      </c>
      <c r="I215" s="23" t="s">
        <v>152</v>
      </c>
      <c r="J215" s="24">
        <v>23000</v>
      </c>
      <c r="K215" s="21" t="s">
        <v>152</v>
      </c>
      <c r="L215" s="25">
        <v>0.125</v>
      </c>
      <c r="M215" s="25">
        <v>0.05</v>
      </c>
      <c r="N215" s="22"/>
      <c r="O215" s="23" t="s">
        <v>152</v>
      </c>
      <c r="P215" s="20">
        <f t="shared" si="84"/>
        <v>1668</v>
      </c>
      <c r="Q215" s="23" t="s">
        <v>152</v>
      </c>
      <c r="R215" s="24">
        <f t="shared" si="85"/>
        <v>31890075</v>
      </c>
      <c r="S215" s="24">
        <f t="shared" si="79"/>
        <v>28729797.297297295</v>
      </c>
    </row>
    <row r="216" spans="1:19" s="19" customFormat="1">
      <c r="A216" s="18" t="s">
        <v>156</v>
      </c>
      <c r="B216" s="19" t="s">
        <v>18</v>
      </c>
      <c r="C216" s="20"/>
      <c r="D216" s="21" t="s">
        <v>152</v>
      </c>
      <c r="E216" s="26">
        <v>12</v>
      </c>
      <c r="F216" s="22">
        <v>8</v>
      </c>
      <c r="G216" s="23" t="s">
        <v>33</v>
      </c>
      <c r="H216" s="22">
        <v>6</v>
      </c>
      <c r="I216" s="23" t="s">
        <v>152</v>
      </c>
      <c r="J216" s="24">
        <v>29600</v>
      </c>
      <c r="K216" s="21" t="s">
        <v>152</v>
      </c>
      <c r="L216" s="25">
        <v>0.125</v>
      </c>
      <c r="M216" s="25">
        <v>0.05</v>
      </c>
      <c r="N216" s="22"/>
      <c r="O216" s="23" t="s">
        <v>152</v>
      </c>
      <c r="P216" s="20">
        <f t="shared" si="84"/>
        <v>576</v>
      </c>
      <c r="Q216" s="23" t="s">
        <v>152</v>
      </c>
      <c r="R216" s="24">
        <f t="shared" si="85"/>
        <v>14172480</v>
      </c>
      <c r="S216" s="24">
        <f t="shared" si="79"/>
        <v>12767999.999999998</v>
      </c>
    </row>
    <row r="217" spans="1:19" s="19" customFormat="1">
      <c r="A217" s="18" t="s">
        <v>157</v>
      </c>
      <c r="B217" s="19" t="s">
        <v>18</v>
      </c>
      <c r="C217" s="20">
        <v>242</v>
      </c>
      <c r="D217" s="21" t="s">
        <v>152</v>
      </c>
      <c r="E217" s="26">
        <v>10</v>
      </c>
      <c r="F217" s="22">
        <v>6</v>
      </c>
      <c r="G217" s="23" t="s">
        <v>33</v>
      </c>
      <c r="H217" s="22">
        <v>6</v>
      </c>
      <c r="I217" s="23" t="s">
        <v>152</v>
      </c>
      <c r="J217" s="24">
        <v>41500</v>
      </c>
      <c r="K217" s="21" t="s">
        <v>152</v>
      </c>
      <c r="L217" s="25">
        <v>0.125</v>
      </c>
      <c r="M217" s="25">
        <v>0.05</v>
      </c>
      <c r="N217" s="22"/>
      <c r="O217" s="23" t="s">
        <v>152</v>
      </c>
      <c r="P217" s="20">
        <f t="shared" si="84"/>
        <v>602</v>
      </c>
      <c r="Q217" s="23" t="s">
        <v>152</v>
      </c>
      <c r="R217" s="24">
        <f t="shared" si="85"/>
        <v>20767118.75</v>
      </c>
      <c r="S217" s="24">
        <f>R217/1.11</f>
        <v>18709115.990990989</v>
      </c>
    </row>
    <row r="218" spans="1:19" s="19" customFormat="1">
      <c r="A218" s="18" t="s">
        <v>158</v>
      </c>
      <c r="B218" s="19" t="s">
        <v>18</v>
      </c>
      <c r="C218" s="20">
        <v>264</v>
      </c>
      <c r="D218" s="21" t="s">
        <v>152</v>
      </c>
      <c r="E218" s="26">
        <v>6</v>
      </c>
      <c r="F218" s="22">
        <v>4</v>
      </c>
      <c r="G218" s="23" t="s">
        <v>33</v>
      </c>
      <c r="H218" s="22">
        <v>6</v>
      </c>
      <c r="I218" s="23" t="s">
        <v>152</v>
      </c>
      <c r="J218" s="24">
        <v>58900</v>
      </c>
      <c r="K218" s="21" t="s">
        <v>152</v>
      </c>
      <c r="L218" s="25">
        <v>0.125</v>
      </c>
      <c r="M218" s="25">
        <v>0.05</v>
      </c>
      <c r="N218" s="22"/>
      <c r="O218" s="23" t="s">
        <v>152</v>
      </c>
      <c r="P218" s="20">
        <f t="shared" si="84"/>
        <v>408</v>
      </c>
      <c r="Q218" s="23" t="s">
        <v>152</v>
      </c>
      <c r="R218" s="24">
        <f t="shared" si="85"/>
        <v>19975935</v>
      </c>
      <c r="S218" s="24">
        <f t="shared" si="79"/>
        <v>17996337.837837838</v>
      </c>
    </row>
    <row r="219" spans="1:19" s="19" customFormat="1">
      <c r="A219" s="18" t="s">
        <v>159</v>
      </c>
      <c r="B219" s="19" t="s">
        <v>18</v>
      </c>
      <c r="C219" s="20">
        <v>278</v>
      </c>
      <c r="D219" s="21" t="s">
        <v>152</v>
      </c>
      <c r="E219" s="26">
        <v>13</v>
      </c>
      <c r="F219" s="22">
        <v>4</v>
      </c>
      <c r="G219" s="23" t="s">
        <v>33</v>
      </c>
      <c r="H219" s="22">
        <v>6</v>
      </c>
      <c r="I219" s="23" t="s">
        <v>152</v>
      </c>
      <c r="J219" s="24">
        <v>66900</v>
      </c>
      <c r="K219" s="21" t="s">
        <v>152</v>
      </c>
      <c r="L219" s="25">
        <v>0.125</v>
      </c>
      <c r="M219" s="25">
        <v>0.05</v>
      </c>
      <c r="N219" s="22"/>
      <c r="O219" s="23" t="s">
        <v>152</v>
      </c>
      <c r="P219" s="20">
        <f t="shared" si="84"/>
        <v>590</v>
      </c>
      <c r="Q219" s="23" t="s">
        <v>152</v>
      </c>
      <c r="R219" s="24">
        <f t="shared" si="85"/>
        <v>32810268.75</v>
      </c>
      <c r="S219" s="24">
        <f t="shared" si="79"/>
        <v>29558800.675675672</v>
      </c>
    </row>
    <row r="220" spans="1:19" s="19" customFormat="1">
      <c r="A220" s="18" t="s">
        <v>697</v>
      </c>
      <c r="B220" s="19" t="s">
        <v>18</v>
      </c>
      <c r="C220" s="20"/>
      <c r="D220" s="21" t="s">
        <v>152</v>
      </c>
      <c r="E220" s="26">
        <v>5</v>
      </c>
      <c r="F220" s="22">
        <v>1</v>
      </c>
      <c r="G220" s="23" t="s">
        <v>20</v>
      </c>
      <c r="H220" s="22">
        <v>24</v>
      </c>
      <c r="I220" s="23" t="s">
        <v>152</v>
      </c>
      <c r="J220" s="24">
        <v>96000</v>
      </c>
      <c r="K220" s="21" t="s">
        <v>152</v>
      </c>
      <c r="L220" s="25">
        <v>0.125</v>
      </c>
      <c r="M220" s="25">
        <v>0.05</v>
      </c>
      <c r="N220" s="22"/>
      <c r="O220" s="23" t="s">
        <v>152</v>
      </c>
      <c r="P220" s="20">
        <f t="shared" si="84"/>
        <v>120</v>
      </c>
      <c r="Q220" s="23" t="s">
        <v>152</v>
      </c>
      <c r="R220" s="24">
        <f t="shared" si="85"/>
        <v>9576000</v>
      </c>
      <c r="S220" s="24">
        <f t="shared" si="79"/>
        <v>8627027.0270270258</v>
      </c>
    </row>
    <row r="221" spans="1:19" s="19" customFormat="1">
      <c r="A221" s="18"/>
      <c r="C221" s="20"/>
      <c r="D221" s="21"/>
      <c r="E221" s="26"/>
      <c r="F221" s="22"/>
      <c r="G221" s="23"/>
      <c r="H221" s="22"/>
      <c r="I221" s="23"/>
      <c r="J221" s="24"/>
      <c r="K221" s="21"/>
      <c r="L221" s="25"/>
      <c r="M221" s="25"/>
      <c r="N221" s="22"/>
      <c r="O221" s="23"/>
      <c r="P221" s="20"/>
      <c r="Q221" s="23"/>
      <c r="R221" s="24"/>
      <c r="S221" s="24"/>
    </row>
    <row r="222" spans="1:19" s="19" customFormat="1">
      <c r="A222" s="49" t="s">
        <v>160</v>
      </c>
      <c r="B222" s="19" t="s">
        <v>25</v>
      </c>
      <c r="C222" s="20"/>
      <c r="D222" s="21" t="s">
        <v>152</v>
      </c>
      <c r="E222" s="26">
        <v>2</v>
      </c>
      <c r="F222" s="22">
        <v>12</v>
      </c>
      <c r="G222" s="23" t="s">
        <v>40</v>
      </c>
      <c r="H222" s="22">
        <v>12</v>
      </c>
      <c r="I222" s="23" t="s">
        <v>152</v>
      </c>
      <c r="J222" s="24">
        <f>1728000/12/12</f>
        <v>12000</v>
      </c>
      <c r="K222" s="21" t="s">
        <v>152</v>
      </c>
      <c r="L222" s="25"/>
      <c r="M222" s="25">
        <v>0.17</v>
      </c>
      <c r="N222" s="22"/>
      <c r="O222" s="23" t="s">
        <v>152</v>
      </c>
      <c r="P222" s="20">
        <f>(C222+(E222*F222*H222))-N222</f>
        <v>288</v>
      </c>
      <c r="Q222" s="23" t="s">
        <v>152</v>
      </c>
      <c r="R222" s="24">
        <f>P222*(J222-(J222*L222)-((J222-(J222*L222))*M222))</f>
        <v>2868480</v>
      </c>
      <c r="S222" s="24">
        <f t="shared" si="79"/>
        <v>2584216.2162162159</v>
      </c>
    </row>
    <row r="223" spans="1:19" s="19" customFormat="1">
      <c r="A223" s="49" t="s">
        <v>161</v>
      </c>
      <c r="B223" s="19" t="s">
        <v>25</v>
      </c>
      <c r="C223" s="20">
        <v>168</v>
      </c>
      <c r="D223" s="21" t="s">
        <v>152</v>
      </c>
      <c r="E223" s="26">
        <v>2</v>
      </c>
      <c r="F223" s="22">
        <v>6</v>
      </c>
      <c r="G223" s="23" t="s">
        <v>40</v>
      </c>
      <c r="H223" s="22">
        <v>12</v>
      </c>
      <c r="I223" s="23" t="s">
        <v>152</v>
      </c>
      <c r="J223" s="24">
        <f>1548000/6/12</f>
        <v>21500</v>
      </c>
      <c r="K223" s="21" t="s">
        <v>152</v>
      </c>
      <c r="L223" s="25"/>
      <c r="M223" s="25">
        <v>0.17</v>
      </c>
      <c r="N223" s="22"/>
      <c r="O223" s="23" t="s">
        <v>152</v>
      </c>
      <c r="P223" s="20">
        <f>(C223+(E223*F223*H223))-N223</f>
        <v>312</v>
      </c>
      <c r="Q223" s="23" t="s">
        <v>152</v>
      </c>
      <c r="R223" s="24">
        <f>P223*(J223-(J223*L223)-((J223-(J223*L223))*M223))</f>
        <v>5567640</v>
      </c>
      <c r="S223" s="24">
        <f t="shared" si="79"/>
        <v>5015891.8918918911</v>
      </c>
    </row>
    <row r="224" spans="1:19" s="19" customFormat="1">
      <c r="A224" s="49" t="s">
        <v>817</v>
      </c>
      <c r="B224" s="19" t="s">
        <v>25</v>
      </c>
      <c r="C224" s="20"/>
      <c r="D224" s="21" t="s">
        <v>152</v>
      </c>
      <c r="E224" s="26">
        <v>1</v>
      </c>
      <c r="F224" s="22">
        <v>4</v>
      </c>
      <c r="G224" s="23" t="s">
        <v>40</v>
      </c>
      <c r="H224" s="22">
        <v>12</v>
      </c>
      <c r="I224" s="23" t="s">
        <v>152</v>
      </c>
      <c r="J224" s="24">
        <v>28500</v>
      </c>
      <c r="K224" s="21" t="s">
        <v>152</v>
      </c>
      <c r="L224" s="25"/>
      <c r="M224" s="25">
        <v>0.17</v>
      </c>
      <c r="N224" s="22"/>
      <c r="O224" s="23" t="s">
        <v>152</v>
      </c>
      <c r="P224" s="20">
        <f t="shared" ref="P224:P225" si="86">(C224+(E224*F224*H224))-N224</f>
        <v>48</v>
      </c>
      <c r="Q224" s="23" t="s">
        <v>152</v>
      </c>
      <c r="R224" s="24">
        <f t="shared" ref="R224:R225" si="87">P224*(J224-(J224*L224)-((J224-(J224*L224))*M224))</f>
        <v>1135440</v>
      </c>
      <c r="S224" s="24">
        <f t="shared" ref="S224:S225" si="88">R224/1.11</f>
        <v>1022918.9189189188</v>
      </c>
    </row>
    <row r="225" spans="1:19" s="19" customFormat="1">
      <c r="A225" s="49" t="s">
        <v>818</v>
      </c>
      <c r="B225" s="19" t="s">
        <v>25</v>
      </c>
      <c r="C225" s="20"/>
      <c r="D225" s="21" t="s">
        <v>152</v>
      </c>
      <c r="E225" s="26">
        <v>1</v>
      </c>
      <c r="F225" s="22">
        <v>4</v>
      </c>
      <c r="G225" s="23" t="s">
        <v>40</v>
      </c>
      <c r="H225" s="22">
        <v>12</v>
      </c>
      <c r="I225" s="23" t="s">
        <v>152</v>
      </c>
      <c r="J225" s="24">
        <v>31125</v>
      </c>
      <c r="K225" s="21" t="s">
        <v>152</v>
      </c>
      <c r="L225" s="25"/>
      <c r="M225" s="25">
        <v>0.17</v>
      </c>
      <c r="N225" s="22"/>
      <c r="O225" s="23" t="s">
        <v>152</v>
      </c>
      <c r="P225" s="20">
        <f t="shared" si="86"/>
        <v>48</v>
      </c>
      <c r="Q225" s="23" t="s">
        <v>152</v>
      </c>
      <c r="R225" s="24">
        <f t="shared" si="87"/>
        <v>1240020</v>
      </c>
      <c r="S225" s="24">
        <f t="shared" si="88"/>
        <v>1117135.1351351351</v>
      </c>
    </row>
    <row r="226" spans="1:19" s="19" customFormat="1">
      <c r="A226" s="49"/>
      <c r="C226" s="20"/>
      <c r="D226" s="21"/>
      <c r="E226" s="26"/>
      <c r="F226" s="22"/>
      <c r="G226" s="23"/>
      <c r="H226" s="22"/>
      <c r="I226" s="23"/>
      <c r="J226" s="24"/>
      <c r="K226" s="21"/>
      <c r="L226" s="25"/>
      <c r="M226" s="25"/>
      <c r="N226" s="22"/>
      <c r="O226" s="23"/>
      <c r="P226" s="20"/>
      <c r="Q226" s="23"/>
      <c r="R226" s="24"/>
      <c r="S226" s="24"/>
    </row>
    <row r="227" spans="1:19" s="89" customFormat="1">
      <c r="A227" s="145" t="s">
        <v>162</v>
      </c>
      <c r="B227" s="89" t="s">
        <v>25</v>
      </c>
      <c r="C227" s="87"/>
      <c r="D227" s="90" t="s">
        <v>152</v>
      </c>
      <c r="E227" s="91"/>
      <c r="F227" s="92">
        <v>8</v>
      </c>
      <c r="G227" s="93" t="s">
        <v>33</v>
      </c>
      <c r="H227" s="92">
        <v>12</v>
      </c>
      <c r="I227" s="93" t="s">
        <v>152</v>
      </c>
      <c r="J227" s="94">
        <v>12500</v>
      </c>
      <c r="K227" s="90" t="s">
        <v>152</v>
      </c>
      <c r="L227" s="95"/>
      <c r="M227" s="95">
        <v>0.17</v>
      </c>
      <c r="N227" s="92"/>
      <c r="O227" s="93" t="s">
        <v>152</v>
      </c>
      <c r="P227" s="87">
        <f t="shared" ref="P227:P234" si="89">(C227+(E227*F227*H227))-N227</f>
        <v>0</v>
      </c>
      <c r="Q227" s="93" t="s">
        <v>152</v>
      </c>
      <c r="R227" s="94">
        <f t="shared" ref="R227:R234" si="90">P227*(J227-(J227*L227)-((J227-(J227*L227))*M227))</f>
        <v>0</v>
      </c>
      <c r="S227" s="94">
        <f t="shared" si="79"/>
        <v>0</v>
      </c>
    </row>
    <row r="228" spans="1:19" s="89" customFormat="1">
      <c r="A228" s="145" t="s">
        <v>163</v>
      </c>
      <c r="B228" s="89" t="s">
        <v>25</v>
      </c>
      <c r="C228" s="87"/>
      <c r="D228" s="90" t="s">
        <v>152</v>
      </c>
      <c r="E228" s="91"/>
      <c r="F228" s="92">
        <v>1</v>
      </c>
      <c r="G228" s="93" t="s">
        <v>20</v>
      </c>
      <c r="H228" s="92">
        <v>144</v>
      </c>
      <c r="I228" s="93" t="s">
        <v>152</v>
      </c>
      <c r="J228" s="94">
        <v>11600</v>
      </c>
      <c r="K228" s="90" t="s">
        <v>152</v>
      </c>
      <c r="L228" s="95"/>
      <c r="M228" s="95">
        <v>0.17</v>
      </c>
      <c r="N228" s="92"/>
      <c r="O228" s="93" t="s">
        <v>152</v>
      </c>
      <c r="P228" s="87">
        <f t="shared" si="89"/>
        <v>0</v>
      </c>
      <c r="Q228" s="93" t="s">
        <v>152</v>
      </c>
      <c r="R228" s="94">
        <f t="shared" si="90"/>
        <v>0</v>
      </c>
      <c r="S228" s="94">
        <f t="shared" si="79"/>
        <v>0</v>
      </c>
    </row>
    <row r="229" spans="1:19" s="19" customFormat="1">
      <c r="A229" s="18" t="s">
        <v>164</v>
      </c>
      <c r="B229" s="19" t="s">
        <v>25</v>
      </c>
      <c r="C229" s="20">
        <v>4032</v>
      </c>
      <c r="D229" s="21" t="s">
        <v>152</v>
      </c>
      <c r="E229" s="26">
        <v>5</v>
      </c>
      <c r="F229" s="22">
        <v>12</v>
      </c>
      <c r="G229" s="23" t="s">
        <v>40</v>
      </c>
      <c r="H229" s="22">
        <v>12</v>
      </c>
      <c r="I229" s="23" t="s">
        <v>152</v>
      </c>
      <c r="J229" s="24">
        <f>2088000/144</f>
        <v>14500</v>
      </c>
      <c r="K229" s="21" t="s">
        <v>152</v>
      </c>
      <c r="L229" s="25"/>
      <c r="M229" s="25">
        <v>0.17</v>
      </c>
      <c r="N229" s="22"/>
      <c r="O229" s="23" t="s">
        <v>152</v>
      </c>
      <c r="P229" s="20">
        <f t="shared" si="89"/>
        <v>4752</v>
      </c>
      <c r="Q229" s="23" t="s">
        <v>152</v>
      </c>
      <c r="R229" s="24">
        <f t="shared" si="90"/>
        <v>57190320</v>
      </c>
      <c r="S229" s="24">
        <f t="shared" si="79"/>
        <v>51522810.810810804</v>
      </c>
    </row>
    <row r="230" spans="1:19" s="19" customFormat="1">
      <c r="A230" s="18" t="s">
        <v>165</v>
      </c>
      <c r="B230" s="19" t="s">
        <v>25</v>
      </c>
      <c r="C230" s="20">
        <v>648</v>
      </c>
      <c r="D230" s="21" t="s">
        <v>152</v>
      </c>
      <c r="E230" s="26">
        <v>3</v>
      </c>
      <c r="F230" s="22">
        <v>6</v>
      </c>
      <c r="G230" s="23" t="s">
        <v>40</v>
      </c>
      <c r="H230" s="22">
        <v>12</v>
      </c>
      <c r="I230" s="23" t="s">
        <v>152</v>
      </c>
      <c r="J230" s="24">
        <f>1944000/72</f>
        <v>27000</v>
      </c>
      <c r="K230" s="21" t="s">
        <v>152</v>
      </c>
      <c r="L230" s="25"/>
      <c r="M230" s="25">
        <v>0.17</v>
      </c>
      <c r="N230" s="22"/>
      <c r="O230" s="23" t="s">
        <v>152</v>
      </c>
      <c r="P230" s="20">
        <f t="shared" si="89"/>
        <v>864</v>
      </c>
      <c r="Q230" s="23" t="s">
        <v>152</v>
      </c>
      <c r="R230" s="24">
        <f t="shared" si="90"/>
        <v>19362240</v>
      </c>
      <c r="S230" s="24">
        <f t="shared" si="79"/>
        <v>17443459.459459458</v>
      </c>
    </row>
    <row r="231" spans="1:19" s="19" customFormat="1">
      <c r="A231" s="18" t="s">
        <v>166</v>
      </c>
      <c r="B231" s="19" t="s">
        <v>25</v>
      </c>
      <c r="C231" s="20">
        <v>672</v>
      </c>
      <c r="D231" s="21" t="s">
        <v>152</v>
      </c>
      <c r="E231" s="26">
        <v>2</v>
      </c>
      <c r="F231" s="22">
        <v>8</v>
      </c>
      <c r="G231" s="23" t="s">
        <v>33</v>
      </c>
      <c r="H231" s="22">
        <v>6</v>
      </c>
      <c r="I231" s="23" t="s">
        <v>152</v>
      </c>
      <c r="J231" s="24">
        <f>1632000/8/6</f>
        <v>34000</v>
      </c>
      <c r="K231" s="21" t="s">
        <v>152</v>
      </c>
      <c r="L231" s="25"/>
      <c r="M231" s="25">
        <v>0.17</v>
      </c>
      <c r="N231" s="22"/>
      <c r="O231" s="23" t="s">
        <v>152</v>
      </c>
      <c r="P231" s="20">
        <f t="shared" si="89"/>
        <v>768</v>
      </c>
      <c r="Q231" s="23" t="s">
        <v>152</v>
      </c>
      <c r="R231" s="24">
        <f t="shared" si="90"/>
        <v>21672960</v>
      </c>
      <c r="S231" s="24">
        <f t="shared" si="79"/>
        <v>19525189.189189188</v>
      </c>
    </row>
    <row r="232" spans="1:19" s="19" customFormat="1">
      <c r="A232" s="18" t="s">
        <v>167</v>
      </c>
      <c r="B232" s="19" t="s">
        <v>25</v>
      </c>
      <c r="C232" s="20">
        <v>180</v>
      </c>
      <c r="D232" s="21" t="s">
        <v>152</v>
      </c>
      <c r="E232" s="26">
        <v>2</v>
      </c>
      <c r="F232" s="22">
        <v>6</v>
      </c>
      <c r="G232" s="23" t="s">
        <v>33</v>
      </c>
      <c r="H232" s="22">
        <v>6</v>
      </c>
      <c r="I232" s="23" t="s">
        <v>152</v>
      </c>
      <c r="J232" s="24">
        <f>1710000/6/6</f>
        <v>47500</v>
      </c>
      <c r="K232" s="21" t="s">
        <v>152</v>
      </c>
      <c r="L232" s="25"/>
      <c r="M232" s="25">
        <v>0.17</v>
      </c>
      <c r="N232" s="22"/>
      <c r="O232" s="23" t="s">
        <v>152</v>
      </c>
      <c r="P232" s="20">
        <f t="shared" si="89"/>
        <v>252</v>
      </c>
      <c r="Q232" s="23" t="s">
        <v>152</v>
      </c>
      <c r="R232" s="24">
        <f t="shared" si="90"/>
        <v>9935100</v>
      </c>
      <c r="S232" s="24">
        <f t="shared" si="79"/>
        <v>8950540.5405405406</v>
      </c>
    </row>
    <row r="233" spans="1:19" s="19" customFormat="1">
      <c r="A233" s="18" t="s">
        <v>168</v>
      </c>
      <c r="B233" s="19" t="s">
        <v>25</v>
      </c>
      <c r="C233" s="20">
        <v>30</v>
      </c>
      <c r="D233" s="21" t="s">
        <v>152</v>
      </c>
      <c r="E233" s="26">
        <v>1</v>
      </c>
      <c r="F233" s="22">
        <v>4</v>
      </c>
      <c r="G233" s="23" t="s">
        <v>33</v>
      </c>
      <c r="H233" s="22">
        <v>6</v>
      </c>
      <c r="I233" s="23" t="s">
        <v>152</v>
      </c>
      <c r="J233" s="24">
        <f>1656000/4/6</f>
        <v>69000</v>
      </c>
      <c r="K233" s="21" t="s">
        <v>152</v>
      </c>
      <c r="L233" s="25"/>
      <c r="M233" s="25">
        <v>0.17</v>
      </c>
      <c r="N233" s="22"/>
      <c r="O233" s="23" t="s">
        <v>152</v>
      </c>
      <c r="P233" s="20">
        <f t="shared" si="89"/>
        <v>54</v>
      </c>
      <c r="Q233" s="23" t="s">
        <v>152</v>
      </c>
      <c r="R233" s="24">
        <f t="shared" si="90"/>
        <v>3092580</v>
      </c>
      <c r="S233" s="24">
        <f t="shared" si="79"/>
        <v>2786108.1081081079</v>
      </c>
    </row>
    <row r="234" spans="1:19" s="19" customFormat="1">
      <c r="A234" s="18" t="s">
        <v>169</v>
      </c>
      <c r="B234" s="19" t="s">
        <v>25</v>
      </c>
      <c r="C234" s="20">
        <v>42</v>
      </c>
      <c r="D234" s="21" t="s">
        <v>152</v>
      </c>
      <c r="E234" s="26">
        <v>1</v>
      </c>
      <c r="F234" s="22">
        <v>4</v>
      </c>
      <c r="G234" s="23" t="s">
        <v>33</v>
      </c>
      <c r="H234" s="22">
        <v>6</v>
      </c>
      <c r="I234" s="23" t="s">
        <v>152</v>
      </c>
      <c r="J234" s="24">
        <f>1824000/4/6</f>
        <v>76000</v>
      </c>
      <c r="K234" s="21" t="s">
        <v>152</v>
      </c>
      <c r="L234" s="25"/>
      <c r="M234" s="25">
        <v>0.17</v>
      </c>
      <c r="N234" s="22"/>
      <c r="O234" s="23" t="s">
        <v>152</v>
      </c>
      <c r="P234" s="20">
        <f t="shared" si="89"/>
        <v>66</v>
      </c>
      <c r="Q234" s="23" t="s">
        <v>152</v>
      </c>
      <c r="R234" s="24">
        <f t="shared" si="90"/>
        <v>4163280</v>
      </c>
      <c r="S234" s="24">
        <f t="shared" si="79"/>
        <v>3750702.7027027025</v>
      </c>
    </row>
    <row r="235" spans="1:19" s="19" customFormat="1">
      <c r="A235" s="18"/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71" t="s">
        <v>170</v>
      </c>
      <c r="C236" s="20"/>
      <c r="D236" s="21"/>
      <c r="E236" s="26"/>
      <c r="F236" s="22"/>
      <c r="G236" s="23"/>
      <c r="H236" s="22"/>
      <c r="I236" s="23"/>
      <c r="J236" s="24"/>
      <c r="K236" s="21"/>
      <c r="L236" s="25"/>
      <c r="M236" s="25"/>
      <c r="N236" s="22"/>
      <c r="O236" s="23"/>
      <c r="P236" s="20"/>
      <c r="Q236" s="23"/>
      <c r="R236" s="24"/>
      <c r="S236" s="24"/>
    </row>
    <row r="237" spans="1:19" s="89" customFormat="1">
      <c r="A237" s="88" t="s">
        <v>171</v>
      </c>
      <c r="B237" s="89" t="s">
        <v>172</v>
      </c>
      <c r="C237" s="87"/>
      <c r="D237" s="90" t="s">
        <v>152</v>
      </c>
      <c r="E237" s="91"/>
      <c r="F237" s="92">
        <v>1</v>
      </c>
      <c r="G237" s="93" t="s">
        <v>20</v>
      </c>
      <c r="H237" s="92">
        <v>144</v>
      </c>
      <c r="I237" s="93" t="s">
        <v>152</v>
      </c>
      <c r="J237" s="94">
        <v>14000</v>
      </c>
      <c r="K237" s="90" t="s">
        <v>152</v>
      </c>
      <c r="L237" s="95">
        <v>0.05</v>
      </c>
      <c r="M237" s="95">
        <v>0.03</v>
      </c>
      <c r="N237" s="92"/>
      <c r="O237" s="93" t="s">
        <v>152</v>
      </c>
      <c r="P237" s="87">
        <f>(C237+(E237*F237*H237))-N237</f>
        <v>0</v>
      </c>
      <c r="Q237" s="93" t="s">
        <v>152</v>
      </c>
      <c r="R237" s="94">
        <f>P237*(J237-(J237*L237)-((J237-(J237*L237))*M237))</f>
        <v>0</v>
      </c>
      <c r="S237" s="94">
        <f t="shared" si="79"/>
        <v>0</v>
      </c>
    </row>
    <row r="238" spans="1:19" s="19" customFormat="1">
      <c r="A238" s="18"/>
      <c r="C238" s="20"/>
      <c r="D238" s="21"/>
      <c r="E238" s="26"/>
      <c r="F238" s="22"/>
      <c r="G238" s="23"/>
      <c r="H238" s="22"/>
      <c r="I238" s="23"/>
      <c r="J238" s="24"/>
      <c r="K238" s="21"/>
      <c r="L238" s="25"/>
      <c r="M238" s="25"/>
      <c r="N238" s="22"/>
      <c r="O238" s="23"/>
      <c r="P238" s="20"/>
      <c r="Q238" s="23"/>
      <c r="R238" s="24"/>
      <c r="S238" s="24"/>
    </row>
    <row r="239" spans="1:19" s="19" customFormat="1">
      <c r="A239" s="18" t="s">
        <v>173</v>
      </c>
      <c r="B239" s="19" t="s">
        <v>18</v>
      </c>
      <c r="C239" s="20">
        <f>360+324</f>
        <v>684</v>
      </c>
      <c r="D239" s="21" t="s">
        <v>152</v>
      </c>
      <c r="E239" s="26">
        <v>7</v>
      </c>
      <c r="F239" s="22">
        <v>12</v>
      </c>
      <c r="G239" s="23" t="s">
        <v>33</v>
      </c>
      <c r="H239" s="22">
        <v>12</v>
      </c>
      <c r="I239" s="23" t="s">
        <v>152</v>
      </c>
      <c r="J239" s="24">
        <v>18600</v>
      </c>
      <c r="K239" s="21" t="s">
        <v>152</v>
      </c>
      <c r="L239" s="25">
        <v>0.125</v>
      </c>
      <c r="M239" s="25">
        <v>0.05</v>
      </c>
      <c r="N239" s="22"/>
      <c r="O239" s="23" t="s">
        <v>152</v>
      </c>
      <c r="P239" s="20">
        <f>(C239+(E239*F239*H239))-N239</f>
        <v>1692</v>
      </c>
      <c r="Q239" s="23" t="s">
        <v>152</v>
      </c>
      <c r="R239" s="24">
        <f>P239*(J239-(J239*L239)-((J239-(J239*L239))*M239))</f>
        <v>26160435</v>
      </c>
      <c r="S239" s="24">
        <f t="shared" si="79"/>
        <v>23567959.459459458</v>
      </c>
    </row>
    <row r="240" spans="1:19" s="19" customFormat="1">
      <c r="A240" s="18" t="s">
        <v>174</v>
      </c>
      <c r="B240" s="19" t="s">
        <v>18</v>
      </c>
      <c r="C240" s="20">
        <v>144</v>
      </c>
      <c r="D240" s="21" t="s">
        <v>152</v>
      </c>
      <c r="E240" s="26">
        <v>8</v>
      </c>
      <c r="F240" s="22">
        <v>12</v>
      </c>
      <c r="G240" s="23" t="s">
        <v>33</v>
      </c>
      <c r="H240" s="22">
        <v>12</v>
      </c>
      <c r="I240" s="23" t="s">
        <v>152</v>
      </c>
      <c r="J240" s="24">
        <v>23900</v>
      </c>
      <c r="K240" s="21" t="s">
        <v>152</v>
      </c>
      <c r="L240" s="25">
        <v>0.125</v>
      </c>
      <c r="M240" s="25">
        <v>0.05</v>
      </c>
      <c r="N240" s="22"/>
      <c r="O240" s="23" t="s">
        <v>152</v>
      </c>
      <c r="P240" s="20">
        <f>(C240+(E240*F240*H240))-N240</f>
        <v>1296</v>
      </c>
      <c r="Q240" s="23" t="s">
        <v>152</v>
      </c>
      <c r="R240" s="24">
        <f>P240*(J240-(J240*L240)-((J240-(J240*L240))*M240))</f>
        <v>25747470</v>
      </c>
      <c r="S240" s="24">
        <f t="shared" si="79"/>
        <v>23195918.918918915</v>
      </c>
    </row>
    <row r="241" spans="1:19" s="19" customFormat="1">
      <c r="A241" s="18" t="s">
        <v>175</v>
      </c>
      <c r="B241" s="19" t="s">
        <v>18</v>
      </c>
      <c r="C241" s="20">
        <v>72</v>
      </c>
      <c r="D241" s="21" t="s">
        <v>152</v>
      </c>
      <c r="E241" s="26">
        <v>1</v>
      </c>
      <c r="F241" s="22">
        <v>12</v>
      </c>
      <c r="G241" s="23" t="s">
        <v>33</v>
      </c>
      <c r="H241" s="22">
        <v>6</v>
      </c>
      <c r="I241" s="23" t="s">
        <v>152</v>
      </c>
      <c r="J241" s="24">
        <v>47800</v>
      </c>
      <c r="K241" s="21" t="s">
        <v>152</v>
      </c>
      <c r="L241" s="25">
        <v>0.125</v>
      </c>
      <c r="M241" s="25">
        <v>0.05</v>
      </c>
      <c r="N241" s="22"/>
      <c r="O241" s="23" t="s">
        <v>152</v>
      </c>
      <c r="P241" s="20">
        <f>(C241+(E241*F241*H241))-N241</f>
        <v>144</v>
      </c>
      <c r="Q241" s="23" t="s">
        <v>152</v>
      </c>
      <c r="R241" s="24">
        <f>P241*(J241-(J241*L241)-((J241-(J241*L241))*M241))</f>
        <v>5721660</v>
      </c>
      <c r="S241" s="24">
        <f t="shared" ref="S241" si="91">R241/1.11</f>
        <v>5154648.6486486485</v>
      </c>
    </row>
    <row r="242" spans="1:19" s="19" customFormat="1">
      <c r="A242" s="18"/>
      <c r="C242" s="20"/>
      <c r="D242" s="21"/>
      <c r="E242" s="26"/>
      <c r="F242" s="22"/>
      <c r="G242" s="23"/>
      <c r="H242" s="22"/>
      <c r="I242" s="23"/>
      <c r="J242" s="24"/>
      <c r="K242" s="21"/>
      <c r="L242" s="25"/>
      <c r="M242" s="25"/>
      <c r="N242" s="22"/>
      <c r="O242" s="23"/>
      <c r="P242" s="20"/>
      <c r="Q242" s="23"/>
      <c r="R242" s="24"/>
      <c r="S242" s="24"/>
    </row>
    <row r="243" spans="1:19" s="89" customFormat="1">
      <c r="A243" s="88" t="s">
        <v>176</v>
      </c>
      <c r="B243" s="89" t="s">
        <v>25</v>
      </c>
      <c r="C243" s="87"/>
      <c r="D243" s="90" t="s">
        <v>152</v>
      </c>
      <c r="E243" s="91"/>
      <c r="F243" s="92">
        <v>12</v>
      </c>
      <c r="G243" s="93" t="s">
        <v>40</v>
      </c>
      <c r="H243" s="92">
        <v>12</v>
      </c>
      <c r="I243" s="93" t="s">
        <v>152</v>
      </c>
      <c r="J243" s="94">
        <f>2592000/12/12</f>
        <v>18000</v>
      </c>
      <c r="K243" s="90" t="s">
        <v>152</v>
      </c>
      <c r="L243" s="95"/>
      <c r="M243" s="95">
        <v>0.17</v>
      </c>
      <c r="N243" s="92"/>
      <c r="O243" s="93" t="s">
        <v>152</v>
      </c>
      <c r="P243" s="87">
        <f>(C243+(E243*F243*H243))-N243</f>
        <v>0</v>
      </c>
      <c r="Q243" s="93" t="s">
        <v>152</v>
      </c>
      <c r="R243" s="94">
        <f>P243*(J243-(J243*L243)-((J243-(J243*L243))*M243))</f>
        <v>0</v>
      </c>
      <c r="S243" s="94">
        <f t="shared" si="79"/>
        <v>0</v>
      </c>
    </row>
    <row r="244" spans="1:19" s="89" customFormat="1">
      <c r="A244" s="88" t="s">
        <v>177</v>
      </c>
      <c r="B244" s="89" t="s">
        <v>25</v>
      </c>
      <c r="C244" s="87"/>
      <c r="D244" s="90" t="s">
        <v>152</v>
      </c>
      <c r="E244" s="91"/>
      <c r="F244" s="92">
        <v>8</v>
      </c>
      <c r="G244" s="93" t="s">
        <v>40</v>
      </c>
      <c r="H244" s="92">
        <v>12</v>
      </c>
      <c r="I244" s="93" t="s">
        <v>152</v>
      </c>
      <c r="J244" s="94">
        <v>24500</v>
      </c>
      <c r="K244" s="90" t="s">
        <v>152</v>
      </c>
      <c r="L244" s="95"/>
      <c r="M244" s="95">
        <v>0.17</v>
      </c>
      <c r="N244" s="92"/>
      <c r="O244" s="93" t="s">
        <v>152</v>
      </c>
      <c r="P244" s="87">
        <f>(C244+(E244*F244*H244))-N244</f>
        <v>0</v>
      </c>
      <c r="Q244" s="93" t="s">
        <v>152</v>
      </c>
      <c r="R244" s="94">
        <f>P244*(J244-(J244*L244)-((J244-(J244*L244))*M244))</f>
        <v>0</v>
      </c>
      <c r="S244" s="94">
        <f t="shared" si="79"/>
        <v>0</v>
      </c>
    </row>
    <row r="245" spans="1:19" s="19" customFormat="1">
      <c r="A245" s="18" t="s">
        <v>178</v>
      </c>
      <c r="B245" s="19" t="s">
        <v>25</v>
      </c>
      <c r="C245" s="20">
        <v>288</v>
      </c>
      <c r="D245" s="21" t="s">
        <v>152</v>
      </c>
      <c r="E245" s="26"/>
      <c r="F245" s="22">
        <v>12</v>
      </c>
      <c r="G245" s="23" t="s">
        <v>40</v>
      </c>
      <c r="H245" s="22">
        <v>12</v>
      </c>
      <c r="I245" s="23" t="s">
        <v>152</v>
      </c>
      <c r="J245" s="24">
        <f>3888000/144</f>
        <v>27000</v>
      </c>
      <c r="K245" s="21" t="s">
        <v>152</v>
      </c>
      <c r="L245" s="25">
        <v>0.05</v>
      </c>
      <c r="M245" s="25">
        <v>0.17</v>
      </c>
      <c r="N245" s="22"/>
      <c r="O245" s="23" t="s">
        <v>152</v>
      </c>
      <c r="P245" s="20">
        <f>(C245+(E245*F245*H245))-N245</f>
        <v>288</v>
      </c>
      <c r="Q245" s="23" t="s">
        <v>152</v>
      </c>
      <c r="R245" s="24">
        <f>P245*(J245-(J245*L245)-((J245-(J245*L245))*M245))</f>
        <v>6131376</v>
      </c>
      <c r="S245" s="24">
        <f t="shared" si="79"/>
        <v>5523762.1621621614</v>
      </c>
    </row>
    <row r="246" spans="1:19" s="89" customFormat="1">
      <c r="A246" s="88" t="s">
        <v>179</v>
      </c>
      <c r="B246" s="89" t="s">
        <v>25</v>
      </c>
      <c r="C246" s="87"/>
      <c r="D246" s="90" t="s">
        <v>152</v>
      </c>
      <c r="E246" s="91"/>
      <c r="F246" s="92">
        <v>6</v>
      </c>
      <c r="G246" s="93" t="s">
        <v>40</v>
      </c>
      <c r="H246" s="92">
        <v>12</v>
      </c>
      <c r="I246" s="93" t="s">
        <v>152</v>
      </c>
      <c r="J246" s="94">
        <v>36000</v>
      </c>
      <c r="K246" s="90" t="s">
        <v>152</v>
      </c>
      <c r="L246" s="95">
        <v>0.05</v>
      </c>
      <c r="M246" s="95">
        <v>0.17</v>
      </c>
      <c r="N246" s="92"/>
      <c r="O246" s="93" t="s">
        <v>152</v>
      </c>
      <c r="P246" s="87">
        <f>(C246+(E246*F246*H246))-N246</f>
        <v>0</v>
      </c>
      <c r="Q246" s="93" t="s">
        <v>152</v>
      </c>
      <c r="R246" s="94">
        <f>P246*(J246-(J246*L246)-((J246-(J246*L246))*M246))</f>
        <v>0</v>
      </c>
      <c r="S246" s="94">
        <f t="shared" si="79"/>
        <v>0</v>
      </c>
    </row>
    <row r="247" spans="1:19" s="19" customFormat="1">
      <c r="A247" s="18"/>
      <c r="C247" s="20"/>
      <c r="D247" s="21"/>
      <c r="E247" s="26"/>
      <c r="F247" s="22"/>
      <c r="G247" s="23"/>
      <c r="H247" s="22"/>
      <c r="I247" s="23"/>
      <c r="J247" s="24"/>
      <c r="K247" s="21"/>
      <c r="L247" s="25"/>
      <c r="M247" s="25"/>
      <c r="N247" s="22"/>
      <c r="O247" s="23"/>
      <c r="P247" s="20"/>
      <c r="Q247" s="23"/>
      <c r="R247" s="24"/>
      <c r="S247" s="24"/>
    </row>
    <row r="248" spans="1:19" s="19" customFormat="1">
      <c r="A248" s="71" t="s">
        <v>180</v>
      </c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89" customFormat="1">
      <c r="A249" s="88" t="s">
        <v>181</v>
      </c>
      <c r="B249" s="89" t="s">
        <v>182</v>
      </c>
      <c r="C249" s="87"/>
      <c r="D249" s="90" t="s">
        <v>40</v>
      </c>
      <c r="E249" s="91"/>
      <c r="F249" s="92">
        <v>1</v>
      </c>
      <c r="G249" s="93" t="s">
        <v>20</v>
      </c>
      <c r="H249" s="92">
        <v>5</v>
      </c>
      <c r="I249" s="93" t="s">
        <v>40</v>
      </c>
      <c r="J249" s="94">
        <v>475000</v>
      </c>
      <c r="K249" s="90" t="s">
        <v>40</v>
      </c>
      <c r="L249" s="95"/>
      <c r="M249" s="95"/>
      <c r="N249" s="92"/>
      <c r="O249" s="93" t="s">
        <v>40</v>
      </c>
      <c r="P249" s="87">
        <f>(C249+(E249*F249*H249))-N249</f>
        <v>0</v>
      </c>
      <c r="Q249" s="93" t="s">
        <v>40</v>
      </c>
      <c r="R249" s="94">
        <f>P249*(J249-(J249*L249)-((J249-(J249*L249))*M249))</f>
        <v>0</v>
      </c>
      <c r="S249" s="94">
        <f t="shared" si="79"/>
        <v>0</v>
      </c>
    </row>
    <row r="250" spans="1:19" s="19" customFormat="1">
      <c r="A250" s="18"/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89" customFormat="1">
      <c r="A251" s="88" t="s">
        <v>714</v>
      </c>
      <c r="B251" s="89" t="s">
        <v>18</v>
      </c>
      <c r="C251" s="87"/>
      <c r="D251" s="90" t="s">
        <v>152</v>
      </c>
      <c r="E251" s="91">
        <v>1</v>
      </c>
      <c r="F251" s="92">
        <v>8</v>
      </c>
      <c r="G251" s="93" t="s">
        <v>33</v>
      </c>
      <c r="H251" s="92">
        <v>12</v>
      </c>
      <c r="I251" s="93" t="s">
        <v>152</v>
      </c>
      <c r="J251" s="94">
        <v>26800</v>
      </c>
      <c r="K251" s="90" t="s">
        <v>152</v>
      </c>
      <c r="L251" s="95">
        <v>0.125</v>
      </c>
      <c r="M251" s="95">
        <v>0.05</v>
      </c>
      <c r="N251" s="92"/>
      <c r="O251" s="93" t="s">
        <v>152</v>
      </c>
      <c r="P251" s="87">
        <f>(C251+(E251*F251*H251))-N251</f>
        <v>96</v>
      </c>
      <c r="Q251" s="93" t="s">
        <v>152</v>
      </c>
      <c r="R251" s="94">
        <f>P251*(J251-(J251*L251)-((J251-(J251*L251))*M251))</f>
        <v>2138640</v>
      </c>
      <c r="S251" s="94">
        <f t="shared" si="79"/>
        <v>1926702.7027027025</v>
      </c>
    </row>
    <row r="252" spans="1:19" s="89" customFormat="1">
      <c r="A252" s="88" t="s">
        <v>183</v>
      </c>
      <c r="B252" s="89" t="s">
        <v>18</v>
      </c>
      <c r="C252" s="87"/>
      <c r="D252" s="90" t="s">
        <v>152</v>
      </c>
      <c r="E252" s="91"/>
      <c r="F252" s="92">
        <v>6</v>
      </c>
      <c r="G252" s="93" t="s">
        <v>33</v>
      </c>
      <c r="H252" s="92">
        <v>12</v>
      </c>
      <c r="I252" s="93" t="s">
        <v>152</v>
      </c>
      <c r="J252" s="94">
        <v>41500</v>
      </c>
      <c r="K252" s="90" t="s">
        <v>152</v>
      </c>
      <c r="L252" s="95">
        <v>0.125</v>
      </c>
      <c r="M252" s="95">
        <v>0.05</v>
      </c>
      <c r="N252" s="92"/>
      <c r="O252" s="93" t="s">
        <v>152</v>
      </c>
      <c r="P252" s="87">
        <f>(C252+(E252*F252*H252))-N252</f>
        <v>0</v>
      </c>
      <c r="Q252" s="93" t="s">
        <v>152</v>
      </c>
      <c r="R252" s="94">
        <f>P252*(J252-(J252*L252)-((J252-(J252*L252))*M252))</f>
        <v>0</v>
      </c>
      <c r="S252" s="94">
        <f t="shared" si="79"/>
        <v>0</v>
      </c>
    </row>
    <row r="253" spans="1:19" s="19" customFormat="1">
      <c r="A253" s="18"/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19" customFormat="1" ht="15.75">
      <c r="A254" s="44" t="s">
        <v>184</v>
      </c>
      <c r="C254" s="20"/>
      <c r="D254" s="21"/>
      <c r="E254" s="26"/>
      <c r="F254" s="22"/>
      <c r="G254" s="23"/>
      <c r="H254" s="22"/>
      <c r="I254" s="23"/>
      <c r="J254" s="24"/>
      <c r="K254" s="21"/>
      <c r="L254" s="25"/>
      <c r="M254" s="25"/>
      <c r="N254" s="22"/>
      <c r="O254" s="23"/>
      <c r="P254" s="20"/>
      <c r="Q254" s="23"/>
      <c r="R254" s="24"/>
      <c r="S254" s="24"/>
    </row>
    <row r="255" spans="1:19" s="19" customFormat="1">
      <c r="A255" s="71" t="s">
        <v>185</v>
      </c>
      <c r="C255" s="20"/>
      <c r="D255" s="21"/>
      <c r="E255" s="26"/>
      <c r="F255" s="22"/>
      <c r="G255" s="23"/>
      <c r="H255" s="22"/>
      <c r="I255" s="23"/>
      <c r="J255" s="24"/>
      <c r="K255" s="21"/>
      <c r="L255" s="25"/>
      <c r="M255" s="25"/>
      <c r="N255" s="22"/>
      <c r="O255" s="23"/>
      <c r="P255" s="20"/>
      <c r="Q255" s="23"/>
      <c r="R255" s="24"/>
      <c r="S255" s="24"/>
    </row>
    <row r="256" spans="1:19" s="89" customFormat="1">
      <c r="A256" s="88" t="s">
        <v>692</v>
      </c>
      <c r="B256" s="89" t="s">
        <v>18</v>
      </c>
      <c r="C256" s="87"/>
      <c r="D256" s="90" t="s">
        <v>40</v>
      </c>
      <c r="E256" s="91"/>
      <c r="F256" s="92">
        <v>1</v>
      </c>
      <c r="G256" s="93" t="s">
        <v>20</v>
      </c>
      <c r="H256" s="92">
        <v>24</v>
      </c>
      <c r="I256" s="93" t="s">
        <v>40</v>
      </c>
      <c r="J256" s="94">
        <v>27600</v>
      </c>
      <c r="K256" s="90" t="s">
        <v>40</v>
      </c>
      <c r="L256" s="95">
        <v>0.125</v>
      </c>
      <c r="M256" s="95">
        <v>0.05</v>
      </c>
      <c r="N256" s="92"/>
      <c r="O256" s="93" t="s">
        <v>40</v>
      </c>
      <c r="P256" s="87">
        <f t="shared" ref="P256:P261" si="92">(C256+(E256*F256*H256))-N256</f>
        <v>0</v>
      </c>
      <c r="Q256" s="93" t="s">
        <v>40</v>
      </c>
      <c r="R256" s="94">
        <f t="shared" ref="R256:R261" si="93">P256*(J256-(J256*L256)-((J256-(J256*L256))*M256))</f>
        <v>0</v>
      </c>
      <c r="S256" s="94">
        <f t="shared" ref="S256" si="94">R256/1.11</f>
        <v>0</v>
      </c>
    </row>
    <row r="257" spans="1:19" s="89" customFormat="1">
      <c r="A257" s="88" t="s">
        <v>186</v>
      </c>
      <c r="B257" s="89" t="s">
        <v>18</v>
      </c>
      <c r="C257" s="87"/>
      <c r="D257" s="90" t="s">
        <v>40</v>
      </c>
      <c r="E257" s="91"/>
      <c r="F257" s="92">
        <v>1</v>
      </c>
      <c r="G257" s="93" t="s">
        <v>20</v>
      </c>
      <c r="H257" s="92">
        <v>24</v>
      </c>
      <c r="I257" s="93" t="s">
        <v>40</v>
      </c>
      <c r="J257" s="94">
        <v>73200</v>
      </c>
      <c r="K257" s="90" t="s">
        <v>40</v>
      </c>
      <c r="L257" s="95">
        <v>0.125</v>
      </c>
      <c r="M257" s="95">
        <v>0.05</v>
      </c>
      <c r="N257" s="92"/>
      <c r="O257" s="93" t="s">
        <v>40</v>
      </c>
      <c r="P257" s="87">
        <f t="shared" si="92"/>
        <v>0</v>
      </c>
      <c r="Q257" s="93" t="s">
        <v>40</v>
      </c>
      <c r="R257" s="94">
        <f t="shared" si="93"/>
        <v>0</v>
      </c>
      <c r="S257" s="94">
        <f t="shared" si="79"/>
        <v>0</v>
      </c>
    </row>
    <row r="258" spans="1:19" s="19" customFormat="1">
      <c r="A258" s="18" t="s">
        <v>187</v>
      </c>
      <c r="B258" s="19" t="s">
        <v>18</v>
      </c>
      <c r="C258" s="20">
        <v>36</v>
      </c>
      <c r="D258" s="21" t="s">
        <v>40</v>
      </c>
      <c r="E258" s="26"/>
      <c r="F258" s="22">
        <v>1</v>
      </c>
      <c r="G258" s="23" t="s">
        <v>20</v>
      </c>
      <c r="H258" s="22">
        <v>48</v>
      </c>
      <c r="I258" s="23" t="s">
        <v>40</v>
      </c>
      <c r="J258" s="24">
        <v>51600</v>
      </c>
      <c r="K258" s="21" t="s">
        <v>40</v>
      </c>
      <c r="L258" s="25">
        <v>0.125</v>
      </c>
      <c r="M258" s="25">
        <v>0.05</v>
      </c>
      <c r="N258" s="22"/>
      <c r="O258" s="23" t="s">
        <v>40</v>
      </c>
      <c r="P258" s="20">
        <f t="shared" si="92"/>
        <v>36</v>
      </c>
      <c r="Q258" s="23" t="s">
        <v>40</v>
      </c>
      <c r="R258" s="24">
        <f t="shared" si="93"/>
        <v>1544130</v>
      </c>
      <c r="S258" s="24">
        <f t="shared" si="79"/>
        <v>1391108.1081081079</v>
      </c>
    </row>
    <row r="259" spans="1:19" s="19" customFormat="1">
      <c r="A259" s="18" t="s">
        <v>188</v>
      </c>
      <c r="B259" s="19" t="s">
        <v>18</v>
      </c>
      <c r="C259" s="20">
        <v>20</v>
      </c>
      <c r="D259" s="21" t="s">
        <v>40</v>
      </c>
      <c r="E259" s="26">
        <v>1</v>
      </c>
      <c r="F259" s="22">
        <v>1</v>
      </c>
      <c r="G259" s="23" t="s">
        <v>20</v>
      </c>
      <c r="H259" s="22">
        <v>48</v>
      </c>
      <c r="I259" s="23" t="s">
        <v>40</v>
      </c>
      <c r="J259" s="24">
        <v>55800</v>
      </c>
      <c r="K259" s="21" t="s">
        <v>40</v>
      </c>
      <c r="L259" s="25">
        <v>0.125</v>
      </c>
      <c r="M259" s="25">
        <v>0.05</v>
      </c>
      <c r="N259" s="22"/>
      <c r="O259" s="23" t="s">
        <v>40</v>
      </c>
      <c r="P259" s="20">
        <f t="shared" si="92"/>
        <v>68</v>
      </c>
      <c r="Q259" s="23" t="s">
        <v>40</v>
      </c>
      <c r="R259" s="24">
        <f t="shared" si="93"/>
        <v>3154095</v>
      </c>
      <c r="S259" s="24">
        <f t="shared" si="79"/>
        <v>2841527.0270270268</v>
      </c>
    </row>
    <row r="260" spans="1:19" s="89" customFormat="1">
      <c r="A260" s="88" t="s">
        <v>713</v>
      </c>
      <c r="B260" s="89" t="s">
        <v>18</v>
      </c>
      <c r="C260" s="87"/>
      <c r="D260" s="90" t="s">
        <v>40</v>
      </c>
      <c r="E260" s="91"/>
      <c r="F260" s="92">
        <v>1</v>
      </c>
      <c r="G260" s="93" t="s">
        <v>20</v>
      </c>
      <c r="H260" s="92">
        <f>288/12</f>
        <v>24</v>
      </c>
      <c r="I260" s="93" t="s">
        <v>40</v>
      </c>
      <c r="J260" s="94">
        <f>10600*12</f>
        <v>127200</v>
      </c>
      <c r="K260" s="90" t="s">
        <v>40</v>
      </c>
      <c r="L260" s="95">
        <v>0.125</v>
      </c>
      <c r="M260" s="95">
        <v>0.05</v>
      </c>
      <c r="N260" s="92"/>
      <c r="O260" s="93" t="s">
        <v>40</v>
      </c>
      <c r="P260" s="87">
        <f t="shared" si="92"/>
        <v>0</v>
      </c>
      <c r="Q260" s="93" t="s">
        <v>40</v>
      </c>
      <c r="R260" s="94">
        <f t="shared" si="93"/>
        <v>0</v>
      </c>
      <c r="S260" s="94">
        <f t="shared" si="79"/>
        <v>0</v>
      </c>
    </row>
    <row r="261" spans="1:19" s="19" customFormat="1">
      <c r="A261" s="18" t="s">
        <v>189</v>
      </c>
      <c r="B261" s="19" t="s">
        <v>18</v>
      </c>
      <c r="C261" s="20">
        <v>9</v>
      </c>
      <c r="D261" s="21" t="s">
        <v>40</v>
      </c>
      <c r="E261" s="26">
        <v>6</v>
      </c>
      <c r="F261" s="22">
        <v>1</v>
      </c>
      <c r="G261" s="23" t="s">
        <v>20</v>
      </c>
      <c r="H261" s="22">
        <v>24</v>
      </c>
      <c r="I261" s="23" t="s">
        <v>40</v>
      </c>
      <c r="J261" s="24">
        <v>162000</v>
      </c>
      <c r="K261" s="21" t="s">
        <v>40</v>
      </c>
      <c r="L261" s="25">
        <v>0.125</v>
      </c>
      <c r="M261" s="25">
        <v>0.05</v>
      </c>
      <c r="N261" s="22"/>
      <c r="O261" s="23" t="s">
        <v>40</v>
      </c>
      <c r="P261" s="20">
        <f t="shared" si="92"/>
        <v>153</v>
      </c>
      <c r="Q261" s="23" t="s">
        <v>40</v>
      </c>
      <c r="R261" s="24">
        <f t="shared" si="93"/>
        <v>20603362.5</v>
      </c>
      <c r="S261" s="24">
        <f t="shared" si="79"/>
        <v>18561587.837837838</v>
      </c>
    </row>
    <row r="262" spans="1:19" s="19" customFormat="1">
      <c r="A262" s="18"/>
      <c r="C262" s="20"/>
      <c r="D262" s="21"/>
      <c r="E262" s="26"/>
      <c r="F262" s="22"/>
      <c r="G262" s="23"/>
      <c r="H262" s="22"/>
      <c r="I262" s="23"/>
      <c r="J262" s="24"/>
      <c r="K262" s="21"/>
      <c r="L262" s="25"/>
      <c r="M262" s="25"/>
      <c r="N262" s="22"/>
      <c r="O262" s="23"/>
      <c r="P262" s="20"/>
      <c r="Q262" s="23"/>
      <c r="R262" s="24"/>
      <c r="S262" s="24"/>
    </row>
    <row r="263" spans="1:19" s="19" customFormat="1">
      <c r="A263" s="18" t="s">
        <v>190</v>
      </c>
      <c r="B263" s="19" t="s">
        <v>25</v>
      </c>
      <c r="C263" s="20">
        <v>30</v>
      </c>
      <c r="D263" s="21" t="s">
        <v>40</v>
      </c>
      <c r="E263" s="26">
        <v>3</v>
      </c>
      <c r="F263" s="22">
        <v>1</v>
      </c>
      <c r="G263" s="23" t="s">
        <v>20</v>
      </c>
      <c r="H263" s="22">
        <v>30</v>
      </c>
      <c r="I263" s="23" t="s">
        <v>40</v>
      </c>
      <c r="J263" s="24">
        <f>1566000/30</f>
        <v>52200</v>
      </c>
      <c r="K263" s="21" t="s">
        <v>40</v>
      </c>
      <c r="L263" s="25"/>
      <c r="M263" s="25">
        <v>0.17</v>
      </c>
      <c r="N263" s="22"/>
      <c r="O263" s="23" t="s">
        <v>40</v>
      </c>
      <c r="P263" s="20">
        <f>(C263+(E263*F263*H263))-N263</f>
        <v>120</v>
      </c>
      <c r="Q263" s="23" t="s">
        <v>40</v>
      </c>
      <c r="R263" s="24">
        <f>P263*(J263-(J263*L263)-((J263-(J263*L263))*M263))</f>
        <v>5199120</v>
      </c>
      <c r="S263" s="24">
        <f t="shared" si="79"/>
        <v>4683891.8918918911</v>
      </c>
    </row>
    <row r="264" spans="1:19" s="19" customFormat="1">
      <c r="A264" s="18" t="s">
        <v>191</v>
      </c>
      <c r="B264" s="19" t="s">
        <v>25</v>
      </c>
      <c r="C264" s="20">
        <v>111</v>
      </c>
      <c r="D264" s="21" t="s">
        <v>40</v>
      </c>
      <c r="E264" s="26">
        <v>3</v>
      </c>
      <c r="F264" s="22">
        <v>1</v>
      </c>
      <c r="G264" s="23" t="s">
        <v>20</v>
      </c>
      <c r="H264" s="22">
        <v>30</v>
      </c>
      <c r="I264" s="23" t="s">
        <v>40</v>
      </c>
      <c r="J264" s="24">
        <f>1710000/30</f>
        <v>57000</v>
      </c>
      <c r="K264" s="21" t="s">
        <v>40</v>
      </c>
      <c r="L264" s="25"/>
      <c r="M264" s="25">
        <v>0.17</v>
      </c>
      <c r="N264" s="22"/>
      <c r="O264" s="23" t="s">
        <v>40</v>
      </c>
      <c r="P264" s="20">
        <f>(C264+(E264*F264*H264))-N264</f>
        <v>201</v>
      </c>
      <c r="Q264" s="23" t="s">
        <v>40</v>
      </c>
      <c r="R264" s="24">
        <f>P264*(J264-(J264*L264)-((J264-(J264*L264))*M264))</f>
        <v>9509310</v>
      </c>
      <c r="S264" s="24">
        <f t="shared" si="79"/>
        <v>8566945.9459459446</v>
      </c>
    </row>
    <row r="265" spans="1:19" s="19" customFormat="1">
      <c r="A265" s="18" t="s">
        <v>192</v>
      </c>
      <c r="B265" s="19" t="s">
        <v>25</v>
      </c>
      <c r="C265" s="20">
        <v>140</v>
      </c>
      <c r="D265" s="21" t="s">
        <v>40</v>
      </c>
      <c r="E265" s="26">
        <v>8</v>
      </c>
      <c r="F265" s="22">
        <v>1</v>
      </c>
      <c r="G265" s="23" t="s">
        <v>20</v>
      </c>
      <c r="H265" s="22">
        <v>20</v>
      </c>
      <c r="I265" s="23" t="s">
        <v>40</v>
      </c>
      <c r="J265" s="24">
        <f>2952000/20</f>
        <v>147600</v>
      </c>
      <c r="K265" s="21" t="s">
        <v>40</v>
      </c>
      <c r="L265" s="25"/>
      <c r="M265" s="25">
        <v>0.17</v>
      </c>
      <c r="N265" s="22"/>
      <c r="O265" s="23" t="s">
        <v>40</v>
      </c>
      <c r="P265" s="20">
        <f>(C265+(E265*F265*H265))-N265</f>
        <v>300</v>
      </c>
      <c r="Q265" s="23" t="s">
        <v>40</v>
      </c>
      <c r="R265" s="24">
        <f>P265*(J265-(J265*L265)-((J265-(J265*L265))*M265))</f>
        <v>36752400</v>
      </c>
      <c r="S265" s="24">
        <f t="shared" si="79"/>
        <v>33110270.270270266</v>
      </c>
    </row>
    <row r="266" spans="1:19" s="19" customFormat="1">
      <c r="A266" s="18"/>
      <c r="C266" s="20"/>
      <c r="D266" s="21"/>
      <c r="E266" s="26"/>
      <c r="F266" s="22"/>
      <c r="G266" s="23"/>
      <c r="H266" s="22"/>
      <c r="I266" s="23"/>
      <c r="J266" s="24"/>
      <c r="K266" s="21"/>
      <c r="L266" s="25"/>
      <c r="M266" s="25"/>
      <c r="N266" s="22"/>
      <c r="O266" s="23"/>
      <c r="P266" s="20"/>
      <c r="Q266" s="23"/>
      <c r="R266" s="24"/>
      <c r="S266" s="24"/>
    </row>
    <row r="267" spans="1:19" s="19" customFormat="1">
      <c r="A267" s="18" t="s">
        <v>663</v>
      </c>
      <c r="B267" s="19" t="s">
        <v>598</v>
      </c>
      <c r="C267" s="20">
        <v>25</v>
      </c>
      <c r="D267" s="21" t="s">
        <v>40</v>
      </c>
      <c r="E267" s="26"/>
      <c r="F267" s="22">
        <v>1</v>
      </c>
      <c r="G267" s="23" t="s">
        <v>20</v>
      </c>
      <c r="H267" s="22">
        <v>48</v>
      </c>
      <c r="I267" s="23" t="s">
        <v>40</v>
      </c>
      <c r="J267" s="24">
        <v>60600</v>
      </c>
      <c r="K267" s="21" t="s">
        <v>40</v>
      </c>
      <c r="L267" s="25">
        <v>0.15</v>
      </c>
      <c r="M267" s="25">
        <v>0.03</v>
      </c>
      <c r="N267" s="22"/>
      <c r="O267" s="23" t="s">
        <v>40</v>
      </c>
      <c r="P267" s="20">
        <f>(C267+(E267*F267*H267))-N267</f>
        <v>25</v>
      </c>
      <c r="Q267" s="23" t="s">
        <v>40</v>
      </c>
      <c r="R267" s="24">
        <f>P267*(J267-(J267*L267)-((J267-(J267*L267))*M267))</f>
        <v>1249117.5</v>
      </c>
      <c r="S267" s="24">
        <f t="shared" si="79"/>
        <v>1125331.0810810809</v>
      </c>
    </row>
    <row r="268" spans="1:19" s="19" customFormat="1">
      <c r="A268" s="18"/>
      <c r="C268" s="20"/>
      <c r="D268" s="21"/>
      <c r="E268" s="26"/>
      <c r="F268" s="22"/>
      <c r="G268" s="23"/>
      <c r="H268" s="22"/>
      <c r="I268" s="23"/>
      <c r="J268" s="24"/>
      <c r="K268" s="21"/>
      <c r="L268" s="25"/>
      <c r="M268" s="25"/>
      <c r="N268" s="22"/>
      <c r="O268" s="23"/>
      <c r="P268" s="20"/>
      <c r="Q268" s="23"/>
      <c r="R268" s="24"/>
      <c r="S268" s="24"/>
    </row>
    <row r="269" spans="1:19" s="19" customFormat="1">
      <c r="A269" s="18" t="s">
        <v>769</v>
      </c>
      <c r="B269" s="18" t="s">
        <v>172</v>
      </c>
      <c r="C269" s="50">
        <v>600</v>
      </c>
      <c r="D269" s="51" t="s">
        <v>40</v>
      </c>
      <c r="E269" s="52"/>
      <c r="F269" s="53">
        <v>1</v>
      </c>
      <c r="G269" s="48" t="s">
        <v>20</v>
      </c>
      <c r="H269" s="53">
        <v>120</v>
      </c>
      <c r="I269" s="48" t="s">
        <v>40</v>
      </c>
      <c r="J269" s="29">
        <v>7500</v>
      </c>
      <c r="K269" s="51" t="s">
        <v>40</v>
      </c>
      <c r="L269" s="54">
        <v>0.05</v>
      </c>
      <c r="M269" s="54"/>
      <c r="N269" s="53"/>
      <c r="O269" s="48" t="s">
        <v>40</v>
      </c>
      <c r="P269" s="50">
        <f>(C269+(E269*F269*H269))-N269</f>
        <v>600</v>
      </c>
      <c r="Q269" s="48" t="s">
        <v>40</v>
      </c>
      <c r="R269" s="29">
        <f>P269*(J269-(J269*L269)-((J269-(J269*L269))*M269))</f>
        <v>4275000</v>
      </c>
      <c r="S269" s="29">
        <f t="shared" ref="S269:S270" si="95">R269/1.11</f>
        <v>3851351.351351351</v>
      </c>
    </row>
    <row r="270" spans="1:19" s="19" customFormat="1">
      <c r="A270" s="18" t="s">
        <v>775</v>
      </c>
      <c r="B270" s="18" t="s">
        <v>172</v>
      </c>
      <c r="C270" s="50">
        <v>27</v>
      </c>
      <c r="D270" s="51" t="s">
        <v>40</v>
      </c>
      <c r="E270" s="52"/>
      <c r="F270" s="53">
        <v>1</v>
      </c>
      <c r="G270" s="48" t="s">
        <v>20</v>
      </c>
      <c r="H270" s="53">
        <v>20</v>
      </c>
      <c r="I270" s="48" t="s">
        <v>40</v>
      </c>
      <c r="J270" s="29">
        <f>5500*12</f>
        <v>66000</v>
      </c>
      <c r="K270" s="51" t="s">
        <v>40</v>
      </c>
      <c r="L270" s="54">
        <v>0.05</v>
      </c>
      <c r="M270" s="54"/>
      <c r="N270" s="53"/>
      <c r="O270" s="48" t="s">
        <v>40</v>
      </c>
      <c r="P270" s="50">
        <f>(C270+(E270*F270*H270))-N270</f>
        <v>27</v>
      </c>
      <c r="Q270" s="48" t="s">
        <v>40</v>
      </c>
      <c r="R270" s="29">
        <f>P270*(J270-(J270*L270)-((J270-(J270*L270))*M270))</f>
        <v>1692900</v>
      </c>
      <c r="S270" s="29">
        <f t="shared" si="95"/>
        <v>1525135.1351351349</v>
      </c>
    </row>
    <row r="271" spans="1:19" s="19" customFormat="1">
      <c r="A271" s="18"/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19" customFormat="1">
      <c r="A272" s="71" t="s">
        <v>193</v>
      </c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19" customFormat="1">
      <c r="A273" s="18" t="s">
        <v>194</v>
      </c>
      <c r="B273" s="19" t="s">
        <v>18</v>
      </c>
      <c r="C273" s="20">
        <v>230</v>
      </c>
      <c r="D273" s="21" t="s">
        <v>40</v>
      </c>
      <c r="E273" s="26">
        <v>3</v>
      </c>
      <c r="F273" s="22">
        <v>1</v>
      </c>
      <c r="G273" s="23" t="s">
        <v>20</v>
      </c>
      <c r="H273" s="22">
        <v>120</v>
      </c>
      <c r="I273" s="23" t="s">
        <v>40</v>
      </c>
      <c r="J273" s="24">
        <v>24600</v>
      </c>
      <c r="K273" s="21" t="s">
        <v>40</v>
      </c>
      <c r="L273" s="25">
        <v>0.125</v>
      </c>
      <c r="M273" s="25">
        <v>0.05</v>
      </c>
      <c r="N273" s="22"/>
      <c r="O273" s="23" t="s">
        <v>40</v>
      </c>
      <c r="P273" s="20">
        <f>(C273+(E273*F273*H273))-N273</f>
        <v>590</v>
      </c>
      <c r="Q273" s="23" t="s">
        <v>40</v>
      </c>
      <c r="R273" s="24">
        <f>P273*(J273-(J273*L273)-((J273-(J273*L273))*M273))</f>
        <v>12064762.5</v>
      </c>
      <c r="S273" s="24">
        <f t="shared" si="79"/>
        <v>10869155.405405404</v>
      </c>
    </row>
    <row r="274" spans="1:19" s="19" customFormat="1">
      <c r="A274" s="18" t="s">
        <v>825</v>
      </c>
      <c r="B274" s="19" t="s">
        <v>18</v>
      </c>
      <c r="C274" s="20">
        <f>288/12</f>
        <v>24</v>
      </c>
      <c r="D274" s="21" t="s">
        <v>40</v>
      </c>
      <c r="E274" s="26"/>
      <c r="F274" s="22">
        <v>1</v>
      </c>
      <c r="G274" s="23" t="s">
        <v>20</v>
      </c>
      <c r="H274" s="22">
        <v>40</v>
      </c>
      <c r="I274" s="23" t="s">
        <v>40</v>
      </c>
      <c r="J274" s="24">
        <v>0</v>
      </c>
      <c r="K274" s="21" t="s">
        <v>40</v>
      </c>
      <c r="L274" s="25">
        <v>0</v>
      </c>
      <c r="M274" s="25">
        <v>0</v>
      </c>
      <c r="N274" s="22"/>
      <c r="O274" s="23" t="s">
        <v>40</v>
      </c>
      <c r="P274" s="20">
        <f>(C274+(E274*F274*H274))-N274</f>
        <v>24</v>
      </c>
      <c r="Q274" s="23" t="s">
        <v>40</v>
      </c>
      <c r="R274" s="24">
        <f>P274*(J274-(J274*L274)-((J274-(J274*L274))*M274))</f>
        <v>0</v>
      </c>
      <c r="S274" s="24">
        <f t="shared" ref="S274" si="96">R274/1.11</f>
        <v>0</v>
      </c>
    </row>
    <row r="275" spans="1:19" s="19" customFormat="1">
      <c r="A275" s="18" t="s">
        <v>730</v>
      </c>
      <c r="B275" s="19" t="s">
        <v>18</v>
      </c>
      <c r="C275" s="20">
        <v>320</v>
      </c>
      <c r="D275" s="21" t="s">
        <v>40</v>
      </c>
      <c r="E275" s="26"/>
      <c r="F275" s="22">
        <v>1</v>
      </c>
      <c r="G275" s="23" t="s">
        <v>20</v>
      </c>
      <c r="H275" s="22">
        <v>40</v>
      </c>
      <c r="I275" s="23" t="s">
        <v>40</v>
      </c>
      <c r="J275" s="24">
        <v>49200</v>
      </c>
      <c r="K275" s="21" t="s">
        <v>40</v>
      </c>
      <c r="L275" s="25">
        <v>0.125</v>
      </c>
      <c r="M275" s="25">
        <v>0.05</v>
      </c>
      <c r="N275" s="22"/>
      <c r="O275" s="23" t="s">
        <v>40</v>
      </c>
      <c r="P275" s="20">
        <f>(C275+(E275*F275*H275))-N275</f>
        <v>320</v>
      </c>
      <c r="Q275" s="23" t="s">
        <v>40</v>
      </c>
      <c r="R275" s="24">
        <f>P275*(J275-(J275*L275)-((J275-(J275*L275))*M275))</f>
        <v>13087200</v>
      </c>
      <c r="S275" s="24">
        <f t="shared" si="79"/>
        <v>11790270.270270269</v>
      </c>
    </row>
    <row r="276" spans="1:19" s="19" customFormat="1">
      <c r="A276" s="18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19" customFormat="1">
      <c r="A277" s="18" t="s">
        <v>195</v>
      </c>
      <c r="B277" s="19" t="s">
        <v>25</v>
      </c>
      <c r="C277" s="20"/>
      <c r="D277" s="21" t="s">
        <v>40</v>
      </c>
      <c r="E277" s="26">
        <v>11</v>
      </c>
      <c r="F277" s="22">
        <v>1</v>
      </c>
      <c r="G277" s="23" t="s">
        <v>20</v>
      </c>
      <c r="H277" s="22">
        <v>120</v>
      </c>
      <c r="I277" s="23" t="s">
        <v>40</v>
      </c>
      <c r="J277" s="24">
        <f>3888000/120</f>
        <v>32400</v>
      </c>
      <c r="K277" s="21" t="s">
        <v>40</v>
      </c>
      <c r="L277" s="25"/>
      <c r="M277" s="25">
        <v>0.17</v>
      </c>
      <c r="N277" s="22"/>
      <c r="O277" s="23" t="s">
        <v>40</v>
      </c>
      <c r="P277" s="20">
        <f>(C277+(E277*F277*H277))-N277</f>
        <v>1320</v>
      </c>
      <c r="Q277" s="23" t="s">
        <v>40</v>
      </c>
      <c r="R277" s="24">
        <f>P277*(J277-(J277*L277)-((J277-(J277*L277))*M277))</f>
        <v>35497440</v>
      </c>
      <c r="S277" s="24">
        <f t="shared" si="79"/>
        <v>31979675.675675672</v>
      </c>
    </row>
    <row r="278" spans="1:19" s="19" customFormat="1">
      <c r="A278" s="18" t="s">
        <v>196</v>
      </c>
      <c r="B278" s="19" t="s">
        <v>25</v>
      </c>
      <c r="C278" s="20"/>
      <c r="D278" s="21" t="s">
        <v>40</v>
      </c>
      <c r="E278" s="26">
        <v>20</v>
      </c>
      <c r="F278" s="22">
        <v>1</v>
      </c>
      <c r="G278" s="23" t="s">
        <v>20</v>
      </c>
      <c r="H278" s="22">
        <v>60</v>
      </c>
      <c r="I278" s="23" t="s">
        <v>40</v>
      </c>
      <c r="J278" s="24">
        <f>3888000/60</f>
        <v>64800</v>
      </c>
      <c r="K278" s="21" t="s">
        <v>40</v>
      </c>
      <c r="L278" s="25"/>
      <c r="M278" s="25">
        <v>0.17</v>
      </c>
      <c r="N278" s="22"/>
      <c r="O278" s="23" t="s">
        <v>40</v>
      </c>
      <c r="P278" s="20">
        <f>(C278+(E278*F278*H278))-N278</f>
        <v>1200</v>
      </c>
      <c r="Q278" s="23" t="s">
        <v>40</v>
      </c>
      <c r="R278" s="24">
        <f>P278*(J278-(J278*L278)-((J278-(J278*L278))*M278))</f>
        <v>64540800</v>
      </c>
      <c r="S278" s="24">
        <f t="shared" si="79"/>
        <v>58144864.864864863</v>
      </c>
    </row>
    <row r="279" spans="1:19" s="19" customFormat="1">
      <c r="A279" s="18"/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19" customFormat="1">
      <c r="A280" s="71" t="s">
        <v>197</v>
      </c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89" customFormat="1">
      <c r="A281" s="88" t="s">
        <v>791</v>
      </c>
      <c r="B281" s="89" t="s">
        <v>18</v>
      </c>
      <c r="C281" s="87"/>
      <c r="D281" s="90" t="s">
        <v>19</v>
      </c>
      <c r="E281" s="91"/>
      <c r="F281" s="92">
        <v>1</v>
      </c>
      <c r="G281" s="93" t="s">
        <v>20</v>
      </c>
      <c r="H281" s="92">
        <v>20</v>
      </c>
      <c r="I281" s="93" t="s">
        <v>19</v>
      </c>
      <c r="J281" s="94">
        <v>124000</v>
      </c>
      <c r="K281" s="90" t="s">
        <v>19</v>
      </c>
      <c r="L281" s="95">
        <v>0.125</v>
      </c>
      <c r="M281" s="95">
        <v>0.05</v>
      </c>
      <c r="N281" s="92"/>
      <c r="O281" s="93" t="s">
        <v>19</v>
      </c>
      <c r="P281" s="87">
        <f>(C281+(E281*F281*H281))-N281</f>
        <v>0</v>
      </c>
      <c r="Q281" s="93" t="s">
        <v>19</v>
      </c>
      <c r="R281" s="94">
        <f>P281*(J281-(J281*L281)-((J281-(J281*L281))*M281))</f>
        <v>0</v>
      </c>
      <c r="S281" s="94">
        <f t="shared" ref="S281" si="97">R281/1.11</f>
        <v>0</v>
      </c>
    </row>
    <row r="282" spans="1:19" s="89" customFormat="1">
      <c r="A282" s="88" t="s">
        <v>198</v>
      </c>
      <c r="B282" s="89" t="s">
        <v>18</v>
      </c>
      <c r="C282" s="87"/>
      <c r="D282" s="90" t="s">
        <v>19</v>
      </c>
      <c r="E282" s="91"/>
      <c r="F282" s="92">
        <v>1</v>
      </c>
      <c r="G282" s="93" t="s">
        <v>20</v>
      </c>
      <c r="H282" s="92">
        <v>5</v>
      </c>
      <c r="I282" s="93" t="s">
        <v>19</v>
      </c>
      <c r="J282" s="94">
        <v>214000</v>
      </c>
      <c r="K282" s="90" t="s">
        <v>19</v>
      </c>
      <c r="L282" s="95">
        <v>0.125</v>
      </c>
      <c r="M282" s="95">
        <v>0.05</v>
      </c>
      <c r="N282" s="92"/>
      <c r="O282" s="93" t="s">
        <v>19</v>
      </c>
      <c r="P282" s="87">
        <f>(C282+(E282*F282*H282))-N282</f>
        <v>0</v>
      </c>
      <c r="Q282" s="93" t="s">
        <v>19</v>
      </c>
      <c r="R282" s="94">
        <f>P282*(J282-(J282*L282)-((J282-(J282*L282))*M282))</f>
        <v>0</v>
      </c>
      <c r="S282" s="94">
        <f t="shared" si="79"/>
        <v>0</v>
      </c>
    </row>
    <row r="283" spans="1:19" s="19" customFormat="1">
      <c r="A283" s="18" t="s">
        <v>199</v>
      </c>
      <c r="B283" s="19" t="s">
        <v>18</v>
      </c>
      <c r="C283" s="20">
        <v>3</v>
      </c>
      <c r="D283" s="21" t="s">
        <v>19</v>
      </c>
      <c r="E283" s="26"/>
      <c r="F283" s="22">
        <v>1</v>
      </c>
      <c r="G283" s="23" t="s">
        <v>20</v>
      </c>
      <c r="H283" s="22">
        <v>5</v>
      </c>
      <c r="I283" s="23" t="s">
        <v>19</v>
      </c>
      <c r="J283" s="24">
        <v>219000</v>
      </c>
      <c r="K283" s="21" t="s">
        <v>19</v>
      </c>
      <c r="L283" s="25">
        <v>0.125</v>
      </c>
      <c r="M283" s="25">
        <v>0.05</v>
      </c>
      <c r="N283" s="22"/>
      <c r="O283" s="23" t="s">
        <v>19</v>
      </c>
      <c r="P283" s="20">
        <f>(C283+(E283*F283*H283))-N283</f>
        <v>3</v>
      </c>
      <c r="Q283" s="23" t="s">
        <v>19</v>
      </c>
      <c r="R283" s="24">
        <f>P283*(J283-(J283*L283)-((J283-(J283*L283))*M283))</f>
        <v>546131.25</v>
      </c>
      <c r="S283" s="24">
        <f t="shared" si="79"/>
        <v>492010.13513513509</v>
      </c>
    </row>
    <row r="284" spans="1:19" s="89" customFormat="1">
      <c r="A284" s="88" t="s">
        <v>200</v>
      </c>
      <c r="B284" s="89" t="s">
        <v>18</v>
      </c>
      <c r="C284" s="87"/>
      <c r="D284" s="90" t="s">
        <v>19</v>
      </c>
      <c r="E284" s="91"/>
      <c r="F284" s="92">
        <v>1</v>
      </c>
      <c r="G284" s="93" t="s">
        <v>20</v>
      </c>
      <c r="H284" s="92">
        <v>4</v>
      </c>
      <c r="I284" s="93" t="s">
        <v>19</v>
      </c>
      <c r="J284" s="94">
        <v>291000</v>
      </c>
      <c r="K284" s="90" t="s">
        <v>19</v>
      </c>
      <c r="L284" s="95">
        <v>0.125</v>
      </c>
      <c r="M284" s="95">
        <v>0.05</v>
      </c>
      <c r="N284" s="92"/>
      <c r="O284" s="93" t="s">
        <v>19</v>
      </c>
      <c r="P284" s="87">
        <f>(C284+(E284*F284*H284))-N284</f>
        <v>0</v>
      </c>
      <c r="Q284" s="93" t="s">
        <v>19</v>
      </c>
      <c r="R284" s="94">
        <f>P284*(J284-(J284*L284)-((J284-(J284*L284))*M284))</f>
        <v>0</v>
      </c>
      <c r="S284" s="94">
        <f t="shared" si="79"/>
        <v>0</v>
      </c>
    </row>
    <row r="285" spans="1:19" s="19" customFormat="1">
      <c r="A285" s="18"/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89" customFormat="1">
      <c r="A286" s="88" t="s">
        <v>201</v>
      </c>
      <c r="B286" s="89" t="s">
        <v>25</v>
      </c>
      <c r="C286" s="87"/>
      <c r="D286" s="90" t="s">
        <v>19</v>
      </c>
      <c r="E286" s="91"/>
      <c r="F286" s="92">
        <v>1</v>
      </c>
      <c r="G286" s="93" t="s">
        <v>20</v>
      </c>
      <c r="H286" s="92">
        <v>5</v>
      </c>
      <c r="I286" s="93" t="s">
        <v>19</v>
      </c>
      <c r="J286" s="94">
        <f>1125000/5</f>
        <v>225000</v>
      </c>
      <c r="K286" s="90" t="s">
        <v>19</v>
      </c>
      <c r="L286" s="95"/>
      <c r="M286" s="95">
        <v>0.17</v>
      </c>
      <c r="N286" s="92"/>
      <c r="O286" s="93" t="s">
        <v>19</v>
      </c>
      <c r="P286" s="87">
        <f>(C286+(E286*F286*H286))-N286</f>
        <v>0</v>
      </c>
      <c r="Q286" s="93" t="s">
        <v>19</v>
      </c>
      <c r="R286" s="94">
        <f>P286*(J286-(J286*L286)-((J286-(J286*L286))*M286))</f>
        <v>0</v>
      </c>
      <c r="S286" s="94">
        <f t="shared" si="79"/>
        <v>0</v>
      </c>
    </row>
    <row r="287" spans="1:19" s="89" customFormat="1">
      <c r="A287" s="88" t="s">
        <v>202</v>
      </c>
      <c r="B287" s="89" t="s">
        <v>25</v>
      </c>
      <c r="C287" s="87"/>
      <c r="D287" s="90" t="s">
        <v>19</v>
      </c>
      <c r="E287" s="91"/>
      <c r="F287" s="92">
        <v>1</v>
      </c>
      <c r="G287" s="93" t="s">
        <v>20</v>
      </c>
      <c r="H287" s="92">
        <v>5</v>
      </c>
      <c r="I287" s="93" t="s">
        <v>19</v>
      </c>
      <c r="J287" s="94">
        <f>1125000/5</f>
        <v>225000</v>
      </c>
      <c r="K287" s="90" t="s">
        <v>19</v>
      </c>
      <c r="L287" s="95"/>
      <c r="M287" s="95">
        <v>0.17</v>
      </c>
      <c r="N287" s="92"/>
      <c r="O287" s="93" t="s">
        <v>19</v>
      </c>
      <c r="P287" s="87">
        <f>(C287+(E287*F287*H287))-N287</f>
        <v>0</v>
      </c>
      <c r="Q287" s="93" t="s">
        <v>19</v>
      </c>
      <c r="R287" s="94">
        <f>P287*(J287-(J287*L287)-((J287-(J287*L287))*M287))</f>
        <v>0</v>
      </c>
      <c r="S287" s="94">
        <f t="shared" si="79"/>
        <v>0</v>
      </c>
    </row>
    <row r="288" spans="1:19" s="89" customFormat="1">
      <c r="A288" s="88" t="s">
        <v>203</v>
      </c>
      <c r="B288" s="89" t="s">
        <v>25</v>
      </c>
      <c r="C288" s="87"/>
      <c r="D288" s="90" t="s">
        <v>19</v>
      </c>
      <c r="E288" s="91"/>
      <c r="F288" s="92">
        <v>1</v>
      </c>
      <c r="G288" s="93" t="s">
        <v>20</v>
      </c>
      <c r="H288" s="92">
        <v>4</v>
      </c>
      <c r="I288" s="93" t="s">
        <v>19</v>
      </c>
      <c r="J288" s="94">
        <f>1180000/4</f>
        <v>295000</v>
      </c>
      <c r="K288" s="90" t="s">
        <v>19</v>
      </c>
      <c r="L288" s="95"/>
      <c r="M288" s="95">
        <v>0.17</v>
      </c>
      <c r="N288" s="92"/>
      <c r="O288" s="93" t="s">
        <v>19</v>
      </c>
      <c r="P288" s="87">
        <f>(C288+(E288*F288*H288))-N288</f>
        <v>0</v>
      </c>
      <c r="Q288" s="93" t="s">
        <v>19</v>
      </c>
      <c r="R288" s="94">
        <f>P288*(J288-(J288*L288)-((J288-(J288*L288))*M288))</f>
        <v>0</v>
      </c>
      <c r="S288" s="94">
        <f t="shared" ref="S288:S374" si="98">R288/1.11</f>
        <v>0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 ht="15.75">
      <c r="A290" s="44" t="s">
        <v>741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>
      <c r="A291" s="18" t="s">
        <v>742</v>
      </c>
      <c r="B291" s="19" t="s">
        <v>598</v>
      </c>
      <c r="C291" s="20">
        <v>14</v>
      </c>
      <c r="D291" s="21" t="s">
        <v>19</v>
      </c>
      <c r="E291" s="26"/>
      <c r="F291" s="22">
        <v>1</v>
      </c>
      <c r="G291" s="23" t="s">
        <v>20</v>
      </c>
      <c r="H291" s="22">
        <v>48</v>
      </c>
      <c r="I291" s="23" t="s">
        <v>19</v>
      </c>
      <c r="J291" s="24">
        <v>53000</v>
      </c>
      <c r="K291" s="21" t="s">
        <v>19</v>
      </c>
      <c r="L291" s="25">
        <v>0.17499999999999999</v>
      </c>
      <c r="M291" s="25">
        <v>1.0999999999999999E-2</v>
      </c>
      <c r="N291" s="22"/>
      <c r="O291" s="23" t="s">
        <v>19</v>
      </c>
      <c r="P291" s="20">
        <f>(C291+(E291*F291*H291))-N291</f>
        <v>14</v>
      </c>
      <c r="Q291" s="23" t="s">
        <v>19</v>
      </c>
      <c r="R291" s="24">
        <f>P291*(J291-(J291*L291)-((J291-(J291*L291))*M291))</f>
        <v>605416.35</v>
      </c>
      <c r="S291" s="24">
        <f t="shared" ref="S291" si="99">R291/1.11</f>
        <v>545420.13513513503</v>
      </c>
    </row>
    <row r="292" spans="1:19" s="19" customFormat="1">
      <c r="A292" s="18"/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 ht="15.75">
      <c r="A293" s="44" t="s">
        <v>204</v>
      </c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>
      <c r="A294" s="18" t="s">
        <v>801</v>
      </c>
      <c r="B294" s="19" t="s">
        <v>18</v>
      </c>
      <c r="C294" s="20">
        <v>12</v>
      </c>
      <c r="D294" s="21" t="s">
        <v>19</v>
      </c>
      <c r="E294" s="26"/>
      <c r="F294" s="22">
        <v>8</v>
      </c>
      <c r="G294" s="23" t="s">
        <v>33</v>
      </c>
      <c r="H294" s="22">
        <v>12</v>
      </c>
      <c r="I294" s="23" t="s">
        <v>19</v>
      </c>
      <c r="J294" s="24">
        <v>11500</v>
      </c>
      <c r="K294" s="21" t="s">
        <v>19</v>
      </c>
      <c r="L294" s="25">
        <v>0.125</v>
      </c>
      <c r="M294" s="25">
        <v>0.05</v>
      </c>
      <c r="N294" s="22"/>
      <c r="O294" s="23" t="s">
        <v>19</v>
      </c>
      <c r="P294" s="20">
        <f>(C294+(E294*F294*H294))-N294</f>
        <v>12</v>
      </c>
      <c r="Q294" s="23" t="s">
        <v>19</v>
      </c>
      <c r="R294" s="24">
        <f>P294*(J294-(J294*L294)-((J294-(J294*L294))*M294))</f>
        <v>114712.5</v>
      </c>
      <c r="S294" s="24">
        <f t="shared" ref="S294" si="100">R294/1.11</f>
        <v>103344.59459459459</v>
      </c>
    </row>
    <row r="295" spans="1:19" s="19" customFormat="1">
      <c r="A295" s="18" t="s">
        <v>205</v>
      </c>
      <c r="B295" s="19" t="s">
        <v>18</v>
      </c>
      <c r="C295" s="20">
        <v>90</v>
      </c>
      <c r="D295" s="21" t="s">
        <v>19</v>
      </c>
      <c r="E295" s="26"/>
      <c r="F295" s="22">
        <v>1</v>
      </c>
      <c r="G295" s="23" t="s">
        <v>20</v>
      </c>
      <c r="H295" s="22">
        <v>90</v>
      </c>
      <c r="I295" s="23" t="s">
        <v>19</v>
      </c>
      <c r="J295" s="24">
        <v>24000</v>
      </c>
      <c r="K295" s="21" t="s">
        <v>19</v>
      </c>
      <c r="L295" s="25">
        <v>0.125</v>
      </c>
      <c r="M295" s="25">
        <v>0.05</v>
      </c>
      <c r="N295" s="22"/>
      <c r="O295" s="23" t="s">
        <v>19</v>
      </c>
      <c r="P295" s="20">
        <f>(C295+(E295*F295*H295))-N295</f>
        <v>90</v>
      </c>
      <c r="Q295" s="23" t="s">
        <v>19</v>
      </c>
      <c r="R295" s="24">
        <f>P295*(J295-(J295*L295)-((J295-(J295*L295))*M295))</f>
        <v>1795500</v>
      </c>
      <c r="S295" s="24">
        <f t="shared" si="98"/>
        <v>1617567.5675675673</v>
      </c>
    </row>
    <row r="296" spans="1:19" s="89" customFormat="1">
      <c r="A296" s="88" t="s">
        <v>206</v>
      </c>
      <c r="B296" s="89" t="s">
        <v>18</v>
      </c>
      <c r="C296" s="87"/>
      <c r="D296" s="90" t="s">
        <v>19</v>
      </c>
      <c r="E296" s="91"/>
      <c r="F296" s="92">
        <v>1</v>
      </c>
      <c r="G296" s="93" t="s">
        <v>20</v>
      </c>
      <c r="H296" s="92">
        <v>48</v>
      </c>
      <c r="I296" s="93" t="s">
        <v>19</v>
      </c>
      <c r="J296" s="94">
        <v>24900</v>
      </c>
      <c r="K296" s="90" t="s">
        <v>19</v>
      </c>
      <c r="L296" s="95">
        <v>0.125</v>
      </c>
      <c r="M296" s="95">
        <v>0.05</v>
      </c>
      <c r="N296" s="92"/>
      <c r="O296" s="93" t="s">
        <v>19</v>
      </c>
      <c r="P296" s="87">
        <f>(C296+(E296*F296*H296))-N296</f>
        <v>0</v>
      </c>
      <c r="Q296" s="93" t="s">
        <v>19</v>
      </c>
      <c r="R296" s="94">
        <f>P296*(J296-(J296*L296)-((J296-(J296*L296))*M296))</f>
        <v>0</v>
      </c>
      <c r="S296" s="94">
        <f t="shared" si="98"/>
        <v>0</v>
      </c>
    </row>
    <row r="297" spans="1:19" s="19" customFormat="1">
      <c r="A297" s="18" t="s">
        <v>842</v>
      </c>
      <c r="B297" s="19" t="s">
        <v>18</v>
      </c>
      <c r="C297" s="20"/>
      <c r="D297" s="21" t="s">
        <v>19</v>
      </c>
      <c r="E297" s="26">
        <v>1</v>
      </c>
      <c r="F297" s="22">
        <v>1</v>
      </c>
      <c r="G297" s="23" t="s">
        <v>20</v>
      </c>
      <c r="H297" s="22">
        <v>50</v>
      </c>
      <c r="I297" s="23" t="s">
        <v>19</v>
      </c>
      <c r="J297" s="24">
        <v>20500</v>
      </c>
      <c r="K297" s="21" t="s">
        <v>19</v>
      </c>
      <c r="L297" s="25">
        <v>0.125</v>
      </c>
      <c r="M297" s="25">
        <v>0.05</v>
      </c>
      <c r="N297" s="22"/>
      <c r="O297" s="23" t="s">
        <v>19</v>
      </c>
      <c r="P297" s="20">
        <f>(C297+(E297*F297*H297))-N297</f>
        <v>50</v>
      </c>
      <c r="Q297" s="23" t="s">
        <v>19</v>
      </c>
      <c r="R297" s="24">
        <f>P297*(J297-(J297*L297)-((J297-(J297*L297))*M297))</f>
        <v>852031.25</v>
      </c>
      <c r="S297" s="24">
        <f t="shared" ref="S297" si="101">R297/1.11</f>
        <v>767595.72072072071</v>
      </c>
    </row>
    <row r="298" spans="1:19" s="19" customFormat="1">
      <c r="A298" s="18"/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89" customFormat="1">
      <c r="A299" s="88" t="s">
        <v>207</v>
      </c>
      <c r="B299" s="89" t="s">
        <v>25</v>
      </c>
      <c r="C299" s="87"/>
      <c r="D299" s="90" t="s">
        <v>19</v>
      </c>
      <c r="E299" s="91"/>
      <c r="F299" s="92">
        <v>1</v>
      </c>
      <c r="G299" s="93" t="s">
        <v>20</v>
      </c>
      <c r="H299" s="92">
        <v>24</v>
      </c>
      <c r="I299" s="93" t="s">
        <v>19</v>
      </c>
      <c r="J299" s="94">
        <f>720000/24</f>
        <v>30000</v>
      </c>
      <c r="K299" s="90" t="s">
        <v>19</v>
      </c>
      <c r="L299" s="95"/>
      <c r="M299" s="95">
        <v>0.17</v>
      </c>
      <c r="N299" s="92"/>
      <c r="O299" s="93" t="s">
        <v>19</v>
      </c>
      <c r="P299" s="87">
        <f>(C299+(E299*F299*H299))-N299</f>
        <v>0</v>
      </c>
      <c r="Q299" s="93" t="s">
        <v>19</v>
      </c>
      <c r="R299" s="94">
        <f>P299*(J299-(J299*L299)-((J299-(J299*L299))*M299))</f>
        <v>0</v>
      </c>
      <c r="S299" s="94">
        <f t="shared" si="98"/>
        <v>0</v>
      </c>
    </row>
    <row r="300" spans="1:19" s="19" customFormat="1">
      <c r="A300" s="18" t="s">
        <v>208</v>
      </c>
      <c r="B300" s="19" t="s">
        <v>25</v>
      </c>
      <c r="C300" s="20">
        <v>112</v>
      </c>
      <c r="D300" s="21" t="s">
        <v>19</v>
      </c>
      <c r="E300" s="26"/>
      <c r="F300" s="22">
        <v>1</v>
      </c>
      <c r="G300" s="23" t="s">
        <v>20</v>
      </c>
      <c r="H300" s="22">
        <v>48</v>
      </c>
      <c r="I300" s="23" t="s">
        <v>19</v>
      </c>
      <c r="J300" s="24">
        <f>1152000/48</f>
        <v>24000</v>
      </c>
      <c r="K300" s="21" t="s">
        <v>19</v>
      </c>
      <c r="L300" s="25"/>
      <c r="M300" s="25">
        <v>0.17</v>
      </c>
      <c r="N300" s="22"/>
      <c r="O300" s="23" t="s">
        <v>19</v>
      </c>
      <c r="P300" s="20">
        <f>(C300+(E300*F300*H300))-N300</f>
        <v>112</v>
      </c>
      <c r="Q300" s="23" t="s">
        <v>19</v>
      </c>
      <c r="R300" s="24">
        <f>P300*(J300-(J300*L300)-((J300-(J300*L300))*M300))</f>
        <v>2231040</v>
      </c>
      <c r="S300" s="24">
        <f t="shared" si="98"/>
        <v>2009945.9459459458</v>
      </c>
    </row>
    <row r="301" spans="1:19" s="19" customFormat="1">
      <c r="A301" s="18"/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 ht="15.75">
      <c r="A302" s="44" t="s">
        <v>209</v>
      </c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>
      <c r="A303" s="71" t="s">
        <v>761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89" customFormat="1">
      <c r="A304" s="88" t="s">
        <v>762</v>
      </c>
      <c r="B304" s="89" t="s">
        <v>25</v>
      </c>
      <c r="C304" s="87"/>
      <c r="D304" s="90" t="s">
        <v>40</v>
      </c>
      <c r="E304" s="91"/>
      <c r="F304" s="92">
        <v>1</v>
      </c>
      <c r="G304" s="93" t="s">
        <v>20</v>
      </c>
      <c r="H304" s="92">
        <v>40</v>
      </c>
      <c r="I304" s="93" t="s">
        <v>40</v>
      </c>
      <c r="J304" s="94">
        <v>32400</v>
      </c>
      <c r="K304" s="90" t="s">
        <v>40</v>
      </c>
      <c r="L304" s="95"/>
      <c r="M304" s="95">
        <v>0.17</v>
      </c>
      <c r="N304" s="92"/>
      <c r="O304" s="93" t="s">
        <v>40</v>
      </c>
      <c r="P304" s="87">
        <f>(C304+(E304*F304*H304))-N304</f>
        <v>0</v>
      </c>
      <c r="Q304" s="93" t="s">
        <v>40</v>
      </c>
      <c r="R304" s="94">
        <f>P304*(J304-(J304*L304)-((J304-(J304*L304))*M304))</f>
        <v>0</v>
      </c>
      <c r="S304" s="94">
        <f t="shared" ref="S304" si="102">R304/1.11</f>
        <v>0</v>
      </c>
    </row>
    <row r="305" spans="1:19" s="19" customFormat="1">
      <c r="A305" s="18"/>
      <c r="C305" s="20"/>
      <c r="D305" s="21"/>
      <c r="E305" s="26"/>
      <c r="F305" s="22"/>
      <c r="G305" s="23"/>
      <c r="H305" s="22"/>
      <c r="I305" s="23"/>
      <c r="J305" s="24"/>
      <c r="K305" s="21"/>
      <c r="L305" s="25"/>
      <c r="M305" s="25"/>
      <c r="N305" s="22"/>
      <c r="O305" s="23"/>
      <c r="P305" s="20"/>
      <c r="Q305" s="23"/>
      <c r="R305" s="24"/>
      <c r="S305" s="24"/>
    </row>
    <row r="306" spans="1:19" s="19" customFormat="1">
      <c r="A306" s="71" t="s">
        <v>210</v>
      </c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89" customFormat="1">
      <c r="A307" s="88" t="s">
        <v>211</v>
      </c>
      <c r="B307" s="89" t="s">
        <v>18</v>
      </c>
      <c r="C307" s="87"/>
      <c r="D307" s="90" t="s">
        <v>19</v>
      </c>
      <c r="E307" s="91"/>
      <c r="F307" s="92">
        <v>1</v>
      </c>
      <c r="G307" s="93" t="s">
        <v>20</v>
      </c>
      <c r="H307" s="92">
        <v>40</v>
      </c>
      <c r="I307" s="93" t="s">
        <v>19</v>
      </c>
      <c r="J307" s="94">
        <v>38500</v>
      </c>
      <c r="K307" s="90" t="s">
        <v>19</v>
      </c>
      <c r="L307" s="95">
        <v>0.125</v>
      </c>
      <c r="M307" s="95">
        <v>0.05</v>
      </c>
      <c r="N307" s="92"/>
      <c r="O307" s="93" t="s">
        <v>19</v>
      </c>
      <c r="P307" s="87">
        <f>(C307+(E307*F307*H307))-N307</f>
        <v>0</v>
      </c>
      <c r="Q307" s="93" t="s">
        <v>19</v>
      </c>
      <c r="R307" s="94">
        <f>P307*(J307-(J307*L307)-((J307-(J307*L307))*M307))</f>
        <v>0</v>
      </c>
      <c r="S307" s="94">
        <f t="shared" si="98"/>
        <v>0</v>
      </c>
    </row>
    <row r="308" spans="1:19" s="19" customFormat="1">
      <c r="A308" s="18"/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19" customFormat="1">
      <c r="A309" s="71" t="s">
        <v>212</v>
      </c>
      <c r="C309" s="20"/>
      <c r="D309" s="21"/>
      <c r="E309" s="26"/>
      <c r="F309" s="22"/>
      <c r="G309" s="23"/>
      <c r="H309" s="22"/>
      <c r="I309" s="23"/>
      <c r="J309" s="24"/>
      <c r="K309" s="21"/>
      <c r="L309" s="25"/>
      <c r="M309" s="25"/>
      <c r="N309" s="22"/>
      <c r="O309" s="23"/>
      <c r="P309" s="20"/>
      <c r="Q309" s="23"/>
      <c r="R309" s="24"/>
      <c r="S309" s="24"/>
    </row>
    <row r="310" spans="1:19" s="19" customFormat="1">
      <c r="A310" s="18" t="s">
        <v>731</v>
      </c>
      <c r="B310" s="19" t="s">
        <v>18</v>
      </c>
      <c r="C310" s="20">
        <v>361</v>
      </c>
      <c r="D310" s="21" t="s">
        <v>19</v>
      </c>
      <c r="E310" s="26"/>
      <c r="F310" s="22">
        <v>1</v>
      </c>
      <c r="G310" s="23" t="s">
        <v>20</v>
      </c>
      <c r="H310" s="22">
        <v>48</v>
      </c>
      <c r="I310" s="23" t="s">
        <v>19</v>
      </c>
      <c r="J310" s="24">
        <v>17600</v>
      </c>
      <c r="K310" s="21" t="s">
        <v>19</v>
      </c>
      <c r="L310" s="25">
        <v>0.125</v>
      </c>
      <c r="M310" s="25">
        <v>0.05</v>
      </c>
      <c r="N310" s="22"/>
      <c r="O310" s="23" t="s">
        <v>19</v>
      </c>
      <c r="P310" s="20">
        <f>(C310+(E310*F310*H310))-N310</f>
        <v>361</v>
      </c>
      <c r="Q310" s="23" t="s">
        <v>19</v>
      </c>
      <c r="R310" s="24">
        <f>P310*(J310-(J310*L310)-((J310-(J310*L310))*M310))</f>
        <v>5281430</v>
      </c>
      <c r="S310" s="24">
        <f t="shared" si="98"/>
        <v>4758045.0450450443</v>
      </c>
    </row>
    <row r="311" spans="1:19" s="19" customFormat="1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 ht="15.75">
      <c r="A312" s="44" t="s">
        <v>213</v>
      </c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19" customFormat="1">
      <c r="A313" s="71" t="s">
        <v>214</v>
      </c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19" customFormat="1">
      <c r="A314" s="18" t="s">
        <v>215</v>
      </c>
      <c r="B314" s="19" t="s">
        <v>25</v>
      </c>
      <c r="C314" s="20">
        <v>9</v>
      </c>
      <c r="D314" s="21" t="s">
        <v>40</v>
      </c>
      <c r="E314" s="26"/>
      <c r="F314" s="22">
        <v>1</v>
      </c>
      <c r="G314" s="23" t="s">
        <v>20</v>
      </c>
      <c r="H314" s="22">
        <v>50</v>
      </c>
      <c r="I314" s="23" t="s">
        <v>40</v>
      </c>
      <c r="J314" s="24">
        <f>1800000/50</f>
        <v>36000</v>
      </c>
      <c r="K314" s="21" t="s">
        <v>40</v>
      </c>
      <c r="L314" s="25"/>
      <c r="M314" s="25">
        <v>0.17</v>
      </c>
      <c r="N314" s="22"/>
      <c r="O314" s="23" t="s">
        <v>40</v>
      </c>
      <c r="P314" s="20">
        <f t="shared" ref="P314:P320" si="103">(C314+(E314*F314*H314))-N314</f>
        <v>9</v>
      </c>
      <c r="Q314" s="23" t="s">
        <v>40</v>
      </c>
      <c r="R314" s="24">
        <f t="shared" ref="R314:R320" si="104">P314*(J314-(J314*L314)-((J314-(J314*L314))*M314))</f>
        <v>268920</v>
      </c>
      <c r="S314" s="24">
        <f t="shared" si="98"/>
        <v>242270.27027027024</v>
      </c>
    </row>
    <row r="315" spans="1:19" s="89" customFormat="1">
      <c r="A315" s="88" t="s">
        <v>749</v>
      </c>
      <c r="B315" s="89" t="s">
        <v>25</v>
      </c>
      <c r="C315" s="87"/>
      <c r="D315" s="90" t="s">
        <v>40</v>
      </c>
      <c r="E315" s="91"/>
      <c r="F315" s="92">
        <v>1</v>
      </c>
      <c r="G315" s="93" t="s">
        <v>20</v>
      </c>
      <c r="H315" s="92">
        <v>25</v>
      </c>
      <c r="I315" s="93" t="s">
        <v>40</v>
      </c>
      <c r="J315" s="94">
        <f>1672500/25</f>
        <v>66900</v>
      </c>
      <c r="K315" s="90" t="s">
        <v>40</v>
      </c>
      <c r="L315" s="95"/>
      <c r="M315" s="95">
        <v>0.17</v>
      </c>
      <c r="N315" s="92"/>
      <c r="O315" s="93" t="s">
        <v>40</v>
      </c>
      <c r="P315" s="87">
        <f t="shared" si="103"/>
        <v>0</v>
      </c>
      <c r="Q315" s="93" t="s">
        <v>40</v>
      </c>
      <c r="R315" s="94">
        <f t="shared" si="104"/>
        <v>0</v>
      </c>
      <c r="S315" s="94">
        <f t="shared" si="98"/>
        <v>0</v>
      </c>
    </row>
    <row r="316" spans="1:19" s="19" customFormat="1">
      <c r="A316" s="18" t="s">
        <v>216</v>
      </c>
      <c r="B316" s="19" t="s">
        <v>25</v>
      </c>
      <c r="C316" s="20">
        <v>43</v>
      </c>
      <c r="D316" s="21" t="s">
        <v>40</v>
      </c>
      <c r="E316" s="26">
        <v>2</v>
      </c>
      <c r="F316" s="22">
        <v>1</v>
      </c>
      <c r="G316" s="23" t="s">
        <v>20</v>
      </c>
      <c r="H316" s="22">
        <v>25</v>
      </c>
      <c r="I316" s="23" t="s">
        <v>40</v>
      </c>
      <c r="J316" s="24">
        <f>2100000/25</f>
        <v>84000</v>
      </c>
      <c r="K316" s="21" t="s">
        <v>40</v>
      </c>
      <c r="L316" s="25"/>
      <c r="M316" s="25">
        <v>0.17</v>
      </c>
      <c r="N316" s="22"/>
      <c r="O316" s="23" t="s">
        <v>40</v>
      </c>
      <c r="P316" s="20">
        <f t="shared" si="103"/>
        <v>93</v>
      </c>
      <c r="Q316" s="23" t="s">
        <v>40</v>
      </c>
      <c r="R316" s="24">
        <f t="shared" si="104"/>
        <v>6483960</v>
      </c>
      <c r="S316" s="24">
        <f t="shared" si="98"/>
        <v>5841405.405405405</v>
      </c>
    </row>
    <row r="317" spans="1:19" s="19" customFormat="1">
      <c r="A317" s="18" t="s">
        <v>217</v>
      </c>
      <c r="B317" s="19" t="s">
        <v>25</v>
      </c>
      <c r="C317" s="20">
        <v>8</v>
      </c>
      <c r="D317" s="21" t="s">
        <v>40</v>
      </c>
      <c r="E317" s="26"/>
      <c r="F317" s="22">
        <v>1</v>
      </c>
      <c r="G317" s="23" t="s">
        <v>20</v>
      </c>
      <c r="H317" s="22">
        <v>10</v>
      </c>
      <c r="I317" s="23" t="s">
        <v>40</v>
      </c>
      <c r="J317" s="24">
        <f>1632000/10</f>
        <v>163200</v>
      </c>
      <c r="K317" s="21" t="s">
        <v>40</v>
      </c>
      <c r="L317" s="25"/>
      <c r="M317" s="25">
        <v>0.17</v>
      </c>
      <c r="N317" s="22"/>
      <c r="O317" s="23" t="s">
        <v>40</v>
      </c>
      <c r="P317" s="20">
        <f t="shared" si="103"/>
        <v>8</v>
      </c>
      <c r="Q317" s="23" t="s">
        <v>40</v>
      </c>
      <c r="R317" s="24">
        <f t="shared" si="104"/>
        <v>1083648</v>
      </c>
      <c r="S317" s="24">
        <f t="shared" si="98"/>
        <v>976259.45945945941</v>
      </c>
    </row>
    <row r="318" spans="1:19" s="19" customFormat="1">
      <c r="A318" s="18" t="s">
        <v>218</v>
      </c>
      <c r="B318" s="19" t="s">
        <v>25</v>
      </c>
      <c r="C318" s="20">
        <v>7</v>
      </c>
      <c r="D318" s="21" t="s">
        <v>40</v>
      </c>
      <c r="E318" s="26"/>
      <c r="F318" s="22">
        <v>1</v>
      </c>
      <c r="G318" s="23" t="s">
        <v>20</v>
      </c>
      <c r="H318" s="22">
        <v>10</v>
      </c>
      <c r="I318" s="23" t="s">
        <v>40</v>
      </c>
      <c r="J318" s="24">
        <f>2028000/10</f>
        <v>202800</v>
      </c>
      <c r="K318" s="21" t="s">
        <v>40</v>
      </c>
      <c r="L318" s="25"/>
      <c r="M318" s="25">
        <v>0.17</v>
      </c>
      <c r="N318" s="22"/>
      <c r="O318" s="23" t="s">
        <v>40</v>
      </c>
      <c r="P318" s="20">
        <f t="shared" si="103"/>
        <v>7</v>
      </c>
      <c r="Q318" s="23" t="s">
        <v>40</v>
      </c>
      <c r="R318" s="24">
        <f t="shared" si="104"/>
        <v>1178268</v>
      </c>
      <c r="S318" s="24">
        <f t="shared" si="98"/>
        <v>1061502.7027027027</v>
      </c>
    </row>
    <row r="319" spans="1:19" s="19" customFormat="1">
      <c r="A319" s="18" t="s">
        <v>219</v>
      </c>
      <c r="B319" s="19" t="s">
        <v>25</v>
      </c>
      <c r="C319" s="20">
        <v>2</v>
      </c>
      <c r="D319" s="21" t="s">
        <v>40</v>
      </c>
      <c r="E319" s="26"/>
      <c r="F319" s="22">
        <v>1</v>
      </c>
      <c r="G319" s="23" t="s">
        <v>20</v>
      </c>
      <c r="H319" s="22">
        <v>10</v>
      </c>
      <c r="I319" s="23" t="s">
        <v>40</v>
      </c>
      <c r="J319" s="24">
        <f>2520000/10</f>
        <v>252000</v>
      </c>
      <c r="K319" s="21" t="s">
        <v>40</v>
      </c>
      <c r="L319" s="25"/>
      <c r="M319" s="25">
        <v>0.17</v>
      </c>
      <c r="N319" s="22"/>
      <c r="O319" s="23" t="s">
        <v>40</v>
      </c>
      <c r="P319" s="20">
        <f t="shared" si="103"/>
        <v>2</v>
      </c>
      <c r="Q319" s="23" t="s">
        <v>40</v>
      </c>
      <c r="R319" s="24">
        <f t="shared" si="104"/>
        <v>418320</v>
      </c>
      <c r="S319" s="24">
        <f t="shared" si="98"/>
        <v>376864.86486486485</v>
      </c>
    </row>
    <row r="320" spans="1:19" s="19" customFormat="1">
      <c r="A320" s="18" t="s">
        <v>220</v>
      </c>
      <c r="B320" s="19" t="s">
        <v>25</v>
      </c>
      <c r="C320" s="20">
        <v>108</v>
      </c>
      <c r="D320" s="21" t="s">
        <v>19</v>
      </c>
      <c r="E320" s="26"/>
      <c r="F320" s="22">
        <v>10</v>
      </c>
      <c r="G320" s="23" t="s">
        <v>40</v>
      </c>
      <c r="H320" s="22">
        <v>12</v>
      </c>
      <c r="I320" s="23" t="s">
        <v>19</v>
      </c>
      <c r="J320" s="24">
        <f>5220000/10/12</f>
        <v>43500</v>
      </c>
      <c r="K320" s="21" t="s">
        <v>19</v>
      </c>
      <c r="L320" s="25"/>
      <c r="M320" s="25">
        <v>0.17</v>
      </c>
      <c r="N320" s="22"/>
      <c r="O320" s="23" t="s">
        <v>19</v>
      </c>
      <c r="P320" s="20">
        <f t="shared" si="103"/>
        <v>108</v>
      </c>
      <c r="Q320" s="23" t="s">
        <v>19</v>
      </c>
      <c r="R320" s="24">
        <f t="shared" si="104"/>
        <v>3899340</v>
      </c>
      <c r="S320" s="24">
        <f t="shared" si="98"/>
        <v>3512918.9189189188</v>
      </c>
    </row>
    <row r="321" spans="1:19" s="19" customFormat="1">
      <c r="A321" s="18"/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>
      <c r="A322" s="71" t="s">
        <v>665</v>
      </c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18" t="s">
        <v>760</v>
      </c>
      <c r="B323" s="19" t="s">
        <v>172</v>
      </c>
      <c r="C323" s="20">
        <v>408</v>
      </c>
      <c r="D323" s="21" t="s">
        <v>40</v>
      </c>
      <c r="E323" s="26"/>
      <c r="F323" s="22">
        <v>20</v>
      </c>
      <c r="G323" s="23" t="s">
        <v>33</v>
      </c>
      <c r="H323" s="22">
        <v>4</v>
      </c>
      <c r="I323" s="23" t="s">
        <v>40</v>
      </c>
      <c r="J323" s="24">
        <f>1400*12</f>
        <v>16800</v>
      </c>
      <c r="K323" s="21" t="s">
        <v>40</v>
      </c>
      <c r="L323" s="25">
        <v>0.05</v>
      </c>
      <c r="M323" s="25"/>
      <c r="N323" s="22"/>
      <c r="O323" s="23" t="s">
        <v>40</v>
      </c>
      <c r="P323" s="20">
        <f>(C323+(E323*F323*H323))-N323</f>
        <v>408</v>
      </c>
      <c r="Q323" s="23" t="s">
        <v>40</v>
      </c>
      <c r="R323" s="24">
        <f>P323*(J323-(J323*L323)-((J323-(J323*L323))*M323))</f>
        <v>6511680</v>
      </c>
      <c r="S323" s="24">
        <f t="shared" ref="S323" si="105">R323/1.11</f>
        <v>5866378.3783783782</v>
      </c>
    </row>
    <row r="324" spans="1:19" s="19" customFormat="1" ht="15.75">
      <c r="A324" s="72"/>
      <c r="C324" s="20"/>
      <c r="D324" s="21"/>
      <c r="E324" s="26"/>
      <c r="F324" s="22"/>
      <c r="G324" s="23"/>
      <c r="H324" s="22"/>
      <c r="I324" s="23"/>
      <c r="J324" s="24"/>
      <c r="K324" s="21"/>
      <c r="L324" s="25"/>
      <c r="M324" s="25"/>
      <c r="N324" s="22"/>
      <c r="O324" s="23"/>
      <c r="P324" s="20"/>
      <c r="Q324" s="23"/>
      <c r="R324" s="24"/>
      <c r="S324" s="24"/>
    </row>
    <row r="325" spans="1:19" s="19" customFormat="1" ht="15.75">
      <c r="A325" s="44" t="s">
        <v>221</v>
      </c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89" customFormat="1">
      <c r="A326" s="88" t="s">
        <v>222</v>
      </c>
      <c r="B326" s="89" t="s">
        <v>18</v>
      </c>
      <c r="C326" s="87"/>
      <c r="D326" s="90" t="s">
        <v>19</v>
      </c>
      <c r="E326" s="91"/>
      <c r="F326" s="92">
        <v>12</v>
      </c>
      <c r="G326" s="93" t="s">
        <v>33</v>
      </c>
      <c r="H326" s="92">
        <v>12</v>
      </c>
      <c r="I326" s="93" t="s">
        <v>19</v>
      </c>
      <c r="J326" s="94">
        <f>52500/12</f>
        <v>4375</v>
      </c>
      <c r="K326" s="90" t="s">
        <v>19</v>
      </c>
      <c r="L326" s="95">
        <v>0.125</v>
      </c>
      <c r="M326" s="95">
        <v>0.05</v>
      </c>
      <c r="N326" s="92"/>
      <c r="O326" s="93" t="s">
        <v>19</v>
      </c>
      <c r="P326" s="87">
        <f t="shared" ref="P326:P338" si="106">(C326+(E326*F326*H326))-N326</f>
        <v>0</v>
      </c>
      <c r="Q326" s="93" t="s">
        <v>19</v>
      </c>
      <c r="R326" s="94">
        <f t="shared" ref="R326:R338" si="107">P326*(J326-(J326*L326)-((J326-(J326*L326))*M326))</f>
        <v>0</v>
      </c>
      <c r="S326" s="94">
        <f t="shared" ref="S326" si="108">R326/1.11</f>
        <v>0</v>
      </c>
    </row>
    <row r="327" spans="1:19" s="19" customFormat="1">
      <c r="A327" s="18" t="s">
        <v>827</v>
      </c>
      <c r="B327" s="19" t="s">
        <v>18</v>
      </c>
      <c r="C327" s="20"/>
      <c r="D327" s="21" t="s">
        <v>19</v>
      </c>
      <c r="E327" s="26">
        <v>1</v>
      </c>
      <c r="F327" s="22">
        <v>12</v>
      </c>
      <c r="G327" s="23" t="s">
        <v>33</v>
      </c>
      <c r="H327" s="22">
        <v>12</v>
      </c>
      <c r="I327" s="23" t="s">
        <v>19</v>
      </c>
      <c r="J327" s="24">
        <v>7200</v>
      </c>
      <c r="K327" s="21" t="s">
        <v>19</v>
      </c>
      <c r="L327" s="25">
        <v>0.125</v>
      </c>
      <c r="M327" s="25">
        <v>0.05</v>
      </c>
      <c r="N327" s="22"/>
      <c r="O327" s="23" t="s">
        <v>19</v>
      </c>
      <c r="P327" s="20">
        <f t="shared" ref="P327" si="109">(C327+(E327*F327*H327))-N327</f>
        <v>144</v>
      </c>
      <c r="Q327" s="23" t="s">
        <v>19</v>
      </c>
      <c r="R327" s="24">
        <f>P327*(J327-(J327*L327)-((J327-(J327*L327))*M327))</f>
        <v>861840</v>
      </c>
      <c r="S327" s="24">
        <f t="shared" ref="S327" si="110">R327/1.11</f>
        <v>776432.43243243231</v>
      </c>
    </row>
    <row r="328" spans="1:19" s="19" customFormat="1">
      <c r="A328" s="18" t="s">
        <v>223</v>
      </c>
      <c r="B328" s="19" t="s">
        <v>18</v>
      </c>
      <c r="C328" s="20">
        <v>288</v>
      </c>
      <c r="D328" s="21" t="s">
        <v>19</v>
      </c>
      <c r="E328" s="26"/>
      <c r="F328" s="22">
        <v>12</v>
      </c>
      <c r="G328" s="23" t="s">
        <v>33</v>
      </c>
      <c r="H328" s="22">
        <v>12</v>
      </c>
      <c r="I328" s="23" t="s">
        <v>19</v>
      </c>
      <c r="J328" s="24">
        <v>20500</v>
      </c>
      <c r="K328" s="21" t="s">
        <v>19</v>
      </c>
      <c r="L328" s="25">
        <v>0.125</v>
      </c>
      <c r="M328" s="25">
        <v>0.05</v>
      </c>
      <c r="N328" s="22"/>
      <c r="O328" s="23" t="s">
        <v>19</v>
      </c>
      <c r="P328" s="20">
        <f t="shared" si="106"/>
        <v>288</v>
      </c>
      <c r="Q328" s="23" t="s">
        <v>19</v>
      </c>
      <c r="R328" s="24">
        <f t="shared" si="107"/>
        <v>4907700</v>
      </c>
      <c r="S328" s="24">
        <f t="shared" si="98"/>
        <v>4421351.3513513505</v>
      </c>
    </row>
    <row r="329" spans="1:19" s="19" customFormat="1">
      <c r="A329" s="18" t="s">
        <v>224</v>
      </c>
      <c r="B329" s="19" t="s">
        <v>18</v>
      </c>
      <c r="C329" s="20">
        <v>276</v>
      </c>
      <c r="D329" s="21" t="s">
        <v>19</v>
      </c>
      <c r="E329" s="26"/>
      <c r="F329" s="22">
        <v>12</v>
      </c>
      <c r="G329" s="23" t="s">
        <v>33</v>
      </c>
      <c r="H329" s="22">
        <v>12</v>
      </c>
      <c r="I329" s="23" t="s">
        <v>19</v>
      </c>
      <c r="J329" s="24">
        <v>22000</v>
      </c>
      <c r="K329" s="21" t="s">
        <v>19</v>
      </c>
      <c r="L329" s="25">
        <v>0.125</v>
      </c>
      <c r="M329" s="25">
        <v>0.05</v>
      </c>
      <c r="N329" s="22"/>
      <c r="O329" s="23" t="s">
        <v>19</v>
      </c>
      <c r="P329" s="20">
        <f t="shared" si="106"/>
        <v>276</v>
      </c>
      <c r="Q329" s="23" t="s">
        <v>19</v>
      </c>
      <c r="R329" s="24">
        <f t="shared" si="107"/>
        <v>5047350</v>
      </c>
      <c r="S329" s="24">
        <f t="shared" si="98"/>
        <v>4547162.1621621614</v>
      </c>
    </row>
    <row r="330" spans="1:19" s="19" customFormat="1">
      <c r="A330" s="18" t="s">
        <v>225</v>
      </c>
      <c r="B330" s="19" t="s">
        <v>18</v>
      </c>
      <c r="C330" s="20">
        <v>1464</v>
      </c>
      <c r="D330" s="21" t="s">
        <v>19</v>
      </c>
      <c r="E330" s="26">
        <v>13</v>
      </c>
      <c r="F330" s="22">
        <v>12</v>
      </c>
      <c r="G330" s="23" t="s">
        <v>33</v>
      </c>
      <c r="H330" s="22">
        <v>12</v>
      </c>
      <c r="I330" s="23" t="s">
        <v>19</v>
      </c>
      <c r="J330" s="24">
        <v>4350</v>
      </c>
      <c r="K330" s="21" t="s">
        <v>19</v>
      </c>
      <c r="L330" s="25">
        <v>0.125</v>
      </c>
      <c r="M330" s="25">
        <v>0.05</v>
      </c>
      <c r="N330" s="22"/>
      <c r="O330" s="23" t="s">
        <v>19</v>
      </c>
      <c r="P330" s="20">
        <f t="shared" si="106"/>
        <v>3336</v>
      </c>
      <c r="Q330" s="23" t="s">
        <v>19</v>
      </c>
      <c r="R330" s="24">
        <f t="shared" si="107"/>
        <v>12062767.5</v>
      </c>
      <c r="S330" s="24">
        <f t="shared" si="98"/>
        <v>10867358.108108107</v>
      </c>
    </row>
    <row r="331" spans="1:19" s="19" customFormat="1">
      <c r="A331" s="18" t="s">
        <v>226</v>
      </c>
      <c r="B331" s="19" t="s">
        <v>18</v>
      </c>
      <c r="C331" s="20"/>
      <c r="D331" s="21" t="s">
        <v>19</v>
      </c>
      <c r="E331" s="26">
        <v>11</v>
      </c>
      <c r="F331" s="22">
        <v>12</v>
      </c>
      <c r="G331" s="23" t="s">
        <v>33</v>
      </c>
      <c r="H331" s="22">
        <v>12</v>
      </c>
      <c r="I331" s="23" t="s">
        <v>19</v>
      </c>
      <c r="J331" s="24">
        <v>6500</v>
      </c>
      <c r="K331" s="21" t="s">
        <v>19</v>
      </c>
      <c r="L331" s="25">
        <v>0.125</v>
      </c>
      <c r="M331" s="25">
        <v>0.05</v>
      </c>
      <c r="N331" s="22"/>
      <c r="O331" s="23" t="s">
        <v>19</v>
      </c>
      <c r="P331" s="20">
        <f t="shared" si="106"/>
        <v>1584</v>
      </c>
      <c r="Q331" s="23" t="s">
        <v>19</v>
      </c>
      <c r="R331" s="24">
        <f t="shared" si="107"/>
        <v>8558550</v>
      </c>
      <c r="S331" s="24">
        <f t="shared" si="98"/>
        <v>7710405.405405405</v>
      </c>
    </row>
    <row r="332" spans="1:19" s="19" customFormat="1">
      <c r="A332" s="18" t="s">
        <v>227</v>
      </c>
      <c r="B332" s="19" t="s">
        <v>18</v>
      </c>
      <c r="C332" s="20"/>
      <c r="D332" s="21" t="s">
        <v>19</v>
      </c>
      <c r="E332" s="26">
        <v>11</v>
      </c>
      <c r="F332" s="22">
        <v>12</v>
      </c>
      <c r="G332" s="23" t="s">
        <v>33</v>
      </c>
      <c r="H332" s="22">
        <v>12</v>
      </c>
      <c r="I332" s="23" t="s">
        <v>19</v>
      </c>
      <c r="J332" s="24">
        <v>9750</v>
      </c>
      <c r="K332" s="21" t="s">
        <v>19</v>
      </c>
      <c r="L332" s="25">
        <v>0.125</v>
      </c>
      <c r="M332" s="25">
        <v>0.05</v>
      </c>
      <c r="N332" s="22"/>
      <c r="O332" s="23" t="s">
        <v>19</v>
      </c>
      <c r="P332" s="20">
        <f t="shared" si="106"/>
        <v>1584</v>
      </c>
      <c r="Q332" s="23" t="s">
        <v>19</v>
      </c>
      <c r="R332" s="24">
        <f t="shared" si="107"/>
        <v>12837825</v>
      </c>
      <c r="S332" s="24">
        <f t="shared" si="98"/>
        <v>11565608.108108107</v>
      </c>
    </row>
    <row r="333" spans="1:19" s="89" customFormat="1">
      <c r="A333" s="88" t="s">
        <v>228</v>
      </c>
      <c r="B333" s="89" t="s">
        <v>18</v>
      </c>
      <c r="C333" s="87"/>
      <c r="D333" s="90" t="s">
        <v>19</v>
      </c>
      <c r="E333" s="91"/>
      <c r="F333" s="92">
        <v>6</v>
      </c>
      <c r="G333" s="93" t="s">
        <v>33</v>
      </c>
      <c r="H333" s="92">
        <v>12</v>
      </c>
      <c r="I333" s="93" t="s">
        <v>19</v>
      </c>
      <c r="J333" s="94">
        <v>19200</v>
      </c>
      <c r="K333" s="90" t="s">
        <v>19</v>
      </c>
      <c r="L333" s="95">
        <v>0.125</v>
      </c>
      <c r="M333" s="95">
        <v>0.05</v>
      </c>
      <c r="N333" s="92"/>
      <c r="O333" s="93" t="s">
        <v>19</v>
      </c>
      <c r="P333" s="87">
        <f t="shared" si="106"/>
        <v>0</v>
      </c>
      <c r="Q333" s="93" t="s">
        <v>19</v>
      </c>
      <c r="R333" s="94">
        <f t="shared" si="107"/>
        <v>0</v>
      </c>
      <c r="S333" s="94">
        <f t="shared" si="98"/>
        <v>0</v>
      </c>
    </row>
    <row r="334" spans="1:19" s="19" customFormat="1">
      <c r="A334" s="18" t="s">
        <v>229</v>
      </c>
      <c r="B334" s="19" t="s">
        <v>18</v>
      </c>
      <c r="C334" s="20"/>
      <c r="D334" s="21" t="s">
        <v>19</v>
      </c>
      <c r="E334" s="26">
        <v>3</v>
      </c>
      <c r="F334" s="22">
        <v>12</v>
      </c>
      <c r="G334" s="23" t="s">
        <v>33</v>
      </c>
      <c r="H334" s="22">
        <v>12</v>
      </c>
      <c r="I334" s="23" t="s">
        <v>19</v>
      </c>
      <c r="J334" s="24">
        <v>6100</v>
      </c>
      <c r="K334" s="21" t="s">
        <v>19</v>
      </c>
      <c r="L334" s="25">
        <v>0.125</v>
      </c>
      <c r="M334" s="25">
        <v>0.05</v>
      </c>
      <c r="N334" s="22"/>
      <c r="O334" s="23" t="s">
        <v>19</v>
      </c>
      <c r="P334" s="20">
        <f t="shared" ref="P334" si="111">(C334+(E334*F334*H334))-N334</f>
        <v>432</v>
      </c>
      <c r="Q334" s="23" t="s">
        <v>19</v>
      </c>
      <c r="R334" s="24">
        <f t="shared" ref="R334" si="112">P334*(J334-(J334*L334)-((J334-(J334*L334))*M334))</f>
        <v>2190510</v>
      </c>
      <c r="S334" s="24">
        <f t="shared" ref="S334" si="113">R334/1.11</f>
        <v>1973432.4324324322</v>
      </c>
    </row>
    <row r="335" spans="1:19" s="19" customFormat="1">
      <c r="A335" s="18" t="s">
        <v>230</v>
      </c>
      <c r="B335" s="19" t="s">
        <v>18</v>
      </c>
      <c r="C335" s="20"/>
      <c r="D335" s="21" t="s">
        <v>19</v>
      </c>
      <c r="E335" s="26">
        <v>3</v>
      </c>
      <c r="F335" s="22">
        <v>12</v>
      </c>
      <c r="G335" s="23" t="s">
        <v>33</v>
      </c>
      <c r="H335" s="22">
        <v>12</v>
      </c>
      <c r="I335" s="23" t="s">
        <v>19</v>
      </c>
      <c r="J335" s="24">
        <v>7700</v>
      </c>
      <c r="K335" s="21" t="s">
        <v>19</v>
      </c>
      <c r="L335" s="25">
        <v>0.125</v>
      </c>
      <c r="M335" s="25">
        <v>0.05</v>
      </c>
      <c r="N335" s="22"/>
      <c r="O335" s="23" t="s">
        <v>19</v>
      </c>
      <c r="P335" s="20">
        <f t="shared" si="106"/>
        <v>432</v>
      </c>
      <c r="Q335" s="23" t="s">
        <v>19</v>
      </c>
      <c r="R335" s="24">
        <f t="shared" si="107"/>
        <v>2765070</v>
      </c>
      <c r="S335" s="24">
        <f t="shared" si="98"/>
        <v>2491054.054054054</v>
      </c>
    </row>
    <row r="336" spans="1:19" s="89" customFormat="1" ht="15">
      <c r="A336" s="88" t="s">
        <v>231</v>
      </c>
      <c r="B336" s="89" t="s">
        <v>18</v>
      </c>
      <c r="C336" s="146"/>
      <c r="D336" s="90" t="s">
        <v>19</v>
      </c>
      <c r="E336" s="91"/>
      <c r="F336" s="92">
        <v>12</v>
      </c>
      <c r="G336" s="93" t="s">
        <v>33</v>
      </c>
      <c r="H336" s="92">
        <v>12</v>
      </c>
      <c r="I336" s="93" t="s">
        <v>19</v>
      </c>
      <c r="J336" s="94">
        <v>11200</v>
      </c>
      <c r="K336" s="90" t="s">
        <v>19</v>
      </c>
      <c r="L336" s="95">
        <v>0.125</v>
      </c>
      <c r="M336" s="95">
        <v>0.05</v>
      </c>
      <c r="N336" s="92"/>
      <c r="O336" s="93" t="s">
        <v>19</v>
      </c>
      <c r="P336" s="87">
        <f t="shared" si="106"/>
        <v>0</v>
      </c>
      <c r="Q336" s="93" t="s">
        <v>19</v>
      </c>
      <c r="R336" s="94">
        <f t="shared" si="107"/>
        <v>0</v>
      </c>
      <c r="S336" s="94">
        <f t="shared" si="98"/>
        <v>0</v>
      </c>
    </row>
    <row r="337" spans="1:19" s="19" customFormat="1">
      <c r="A337" s="18" t="s">
        <v>232</v>
      </c>
      <c r="B337" s="19" t="s">
        <v>18</v>
      </c>
      <c r="C337" s="20">
        <v>72</v>
      </c>
      <c r="D337" s="21" t="s">
        <v>19</v>
      </c>
      <c r="E337" s="26"/>
      <c r="F337" s="22">
        <v>12</v>
      </c>
      <c r="G337" s="23" t="s">
        <v>33</v>
      </c>
      <c r="H337" s="22">
        <v>12</v>
      </c>
      <c r="I337" s="23" t="s">
        <v>19</v>
      </c>
      <c r="J337" s="24">
        <v>7600</v>
      </c>
      <c r="K337" s="21" t="s">
        <v>19</v>
      </c>
      <c r="L337" s="25">
        <v>0.125</v>
      </c>
      <c r="M337" s="25">
        <v>0.05</v>
      </c>
      <c r="N337" s="22"/>
      <c r="O337" s="23" t="s">
        <v>19</v>
      </c>
      <c r="P337" s="20">
        <f t="shared" si="106"/>
        <v>72</v>
      </c>
      <c r="Q337" s="23" t="s">
        <v>19</v>
      </c>
      <c r="R337" s="24">
        <f t="shared" si="107"/>
        <v>454860</v>
      </c>
      <c r="S337" s="24">
        <f t="shared" si="98"/>
        <v>409783.78378378373</v>
      </c>
    </row>
    <row r="338" spans="1:19" s="89" customFormat="1">
      <c r="A338" s="88" t="s">
        <v>233</v>
      </c>
      <c r="B338" s="89" t="s">
        <v>18</v>
      </c>
      <c r="C338" s="87"/>
      <c r="D338" s="90" t="s">
        <v>19</v>
      </c>
      <c r="E338" s="91"/>
      <c r="F338" s="92">
        <v>8</v>
      </c>
      <c r="G338" s="93" t="s">
        <v>33</v>
      </c>
      <c r="H338" s="92">
        <v>6</v>
      </c>
      <c r="I338" s="93" t="s">
        <v>19</v>
      </c>
      <c r="J338" s="94">
        <v>65000</v>
      </c>
      <c r="K338" s="90" t="s">
        <v>19</v>
      </c>
      <c r="L338" s="95">
        <v>0.125</v>
      </c>
      <c r="M338" s="95">
        <v>0.05</v>
      </c>
      <c r="N338" s="92"/>
      <c r="O338" s="93" t="s">
        <v>19</v>
      </c>
      <c r="P338" s="87">
        <f t="shared" si="106"/>
        <v>0</v>
      </c>
      <c r="Q338" s="93" t="s">
        <v>19</v>
      </c>
      <c r="R338" s="94">
        <f t="shared" si="107"/>
        <v>0</v>
      </c>
      <c r="S338" s="94">
        <f t="shared" si="98"/>
        <v>0</v>
      </c>
    </row>
    <row r="339" spans="1:19" s="19" customFormat="1">
      <c r="A339" s="18"/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19" customFormat="1">
      <c r="A340" s="18" t="s">
        <v>234</v>
      </c>
      <c r="B340" s="19" t="s">
        <v>25</v>
      </c>
      <c r="C340" s="20">
        <v>53</v>
      </c>
      <c r="D340" s="21" t="s">
        <v>40</v>
      </c>
      <c r="E340" s="26">
        <v>3</v>
      </c>
      <c r="F340" s="22">
        <v>1</v>
      </c>
      <c r="G340" s="23" t="s">
        <v>20</v>
      </c>
      <c r="H340" s="22">
        <v>25</v>
      </c>
      <c r="I340" s="23" t="s">
        <v>40</v>
      </c>
      <c r="J340" s="24">
        <v>56400</v>
      </c>
      <c r="K340" s="21" t="s">
        <v>40</v>
      </c>
      <c r="L340" s="25"/>
      <c r="M340" s="25">
        <v>0.17</v>
      </c>
      <c r="N340" s="22"/>
      <c r="O340" s="23" t="s">
        <v>40</v>
      </c>
      <c r="P340" s="20">
        <f t="shared" ref="P340:P344" si="114">(C340+(E340*F340*H340))-N340</f>
        <v>128</v>
      </c>
      <c r="Q340" s="23" t="s">
        <v>40</v>
      </c>
      <c r="R340" s="24">
        <f t="shared" ref="R340:R344" si="115">P340*(J340-(J340*L340)-((J340-(J340*L340))*M340))</f>
        <v>5991936</v>
      </c>
      <c r="S340" s="24">
        <f t="shared" ref="S340" si="116">R340/1.11</f>
        <v>5398140.5405405397</v>
      </c>
    </row>
    <row r="341" spans="1:19" s="19" customFormat="1">
      <c r="A341" s="18" t="s">
        <v>235</v>
      </c>
      <c r="B341" s="19" t="s">
        <v>25</v>
      </c>
      <c r="C341" s="20">
        <v>131</v>
      </c>
      <c r="D341" s="21" t="s">
        <v>40</v>
      </c>
      <c r="E341" s="26">
        <v>4</v>
      </c>
      <c r="F341" s="22">
        <v>1</v>
      </c>
      <c r="G341" s="23" t="s">
        <v>20</v>
      </c>
      <c r="H341" s="22">
        <v>25</v>
      </c>
      <c r="I341" s="23" t="s">
        <v>40</v>
      </c>
      <c r="J341" s="24">
        <v>79800</v>
      </c>
      <c r="K341" s="21" t="s">
        <v>40</v>
      </c>
      <c r="L341" s="25"/>
      <c r="M341" s="25">
        <v>0.17</v>
      </c>
      <c r="N341" s="22"/>
      <c r="O341" s="23" t="s">
        <v>40</v>
      </c>
      <c r="P341" s="20">
        <f t="shared" si="114"/>
        <v>231</v>
      </c>
      <c r="Q341" s="23" t="s">
        <v>40</v>
      </c>
      <c r="R341" s="24">
        <f t="shared" si="115"/>
        <v>15300054</v>
      </c>
      <c r="S341" s="24">
        <f t="shared" ref="S341" si="117">R341/1.11</f>
        <v>13783832.432432432</v>
      </c>
    </row>
    <row r="342" spans="1:19" s="19" customFormat="1">
      <c r="A342" s="18" t="s">
        <v>236</v>
      </c>
      <c r="B342" s="19" t="s">
        <v>25</v>
      </c>
      <c r="C342" s="20">
        <v>118</v>
      </c>
      <c r="D342" s="21" t="s">
        <v>40</v>
      </c>
      <c r="E342" s="26">
        <v>5</v>
      </c>
      <c r="F342" s="22">
        <v>1</v>
      </c>
      <c r="G342" s="23" t="s">
        <v>20</v>
      </c>
      <c r="H342" s="22">
        <v>10</v>
      </c>
      <c r="I342" s="23" t="s">
        <v>40</v>
      </c>
      <c r="J342" s="24">
        <v>118800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 t="shared" si="114"/>
        <v>168</v>
      </c>
      <c r="Q342" s="23" t="s">
        <v>40</v>
      </c>
      <c r="R342" s="24">
        <f t="shared" si="115"/>
        <v>16565472</v>
      </c>
      <c r="S342" s="24">
        <f t="shared" ref="S342" si="118">R342/1.11</f>
        <v>14923848.648648648</v>
      </c>
    </row>
    <row r="343" spans="1:19" s="19" customFormat="1">
      <c r="A343" s="18" t="s">
        <v>679</v>
      </c>
      <c r="B343" s="19" t="s">
        <v>25</v>
      </c>
      <c r="C343" s="20">
        <v>15</v>
      </c>
      <c r="D343" s="21" t="s">
        <v>40</v>
      </c>
      <c r="E343" s="26"/>
      <c r="F343" s="22">
        <v>1</v>
      </c>
      <c r="G343" s="23" t="s">
        <v>20</v>
      </c>
      <c r="H343" s="22">
        <v>25</v>
      </c>
      <c r="I343" s="23" t="s">
        <v>40</v>
      </c>
      <c r="J343" s="24">
        <f>2010000/25</f>
        <v>80400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si="114"/>
        <v>15</v>
      </c>
      <c r="Q343" s="23" t="s">
        <v>40</v>
      </c>
      <c r="R343" s="24">
        <f t="shared" si="115"/>
        <v>1000980</v>
      </c>
      <c r="S343" s="24">
        <f t="shared" si="98"/>
        <v>901783.78378378367</v>
      </c>
    </row>
    <row r="344" spans="1:19" s="19" customFormat="1">
      <c r="A344" s="18" t="s">
        <v>237</v>
      </c>
      <c r="B344" s="19" t="s">
        <v>25</v>
      </c>
      <c r="C344" s="20">
        <v>18</v>
      </c>
      <c r="D344" s="21" t="s">
        <v>40</v>
      </c>
      <c r="E344" s="26"/>
      <c r="F344" s="22">
        <v>1</v>
      </c>
      <c r="G344" s="23" t="s">
        <v>20</v>
      </c>
      <c r="H344" s="22">
        <v>10</v>
      </c>
      <c r="I344" s="23" t="s">
        <v>40</v>
      </c>
      <c r="J344" s="24">
        <f>1260000/10</f>
        <v>126000</v>
      </c>
      <c r="K344" s="21" t="s">
        <v>40</v>
      </c>
      <c r="L344" s="25"/>
      <c r="M344" s="25">
        <v>0.17</v>
      </c>
      <c r="N344" s="22"/>
      <c r="O344" s="23" t="s">
        <v>40</v>
      </c>
      <c r="P344" s="20">
        <f t="shared" si="114"/>
        <v>18</v>
      </c>
      <c r="Q344" s="23" t="s">
        <v>40</v>
      </c>
      <c r="R344" s="24">
        <f t="shared" si="115"/>
        <v>1882440</v>
      </c>
      <c r="S344" s="24">
        <f t="shared" si="98"/>
        <v>1695891.8918918918</v>
      </c>
    </row>
    <row r="345" spans="1:19" s="19" customFormat="1">
      <c r="A345" s="18"/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 ht="15.75">
      <c r="A346" s="44" t="s">
        <v>238</v>
      </c>
      <c r="C346" s="20"/>
      <c r="D346" s="21"/>
      <c r="E346" s="26"/>
      <c r="F346" s="22"/>
      <c r="G346" s="23"/>
      <c r="H346" s="22"/>
      <c r="I346" s="23"/>
      <c r="J346" s="24"/>
      <c r="K346" s="21"/>
      <c r="L346" s="25"/>
      <c r="M346" s="25"/>
      <c r="N346" s="22"/>
      <c r="O346" s="23"/>
      <c r="P346" s="20"/>
      <c r="Q346" s="23"/>
      <c r="R346" s="24"/>
      <c r="S346" s="24"/>
    </row>
    <row r="347" spans="1:19" s="19" customFormat="1">
      <c r="A347" s="55" t="s">
        <v>239</v>
      </c>
      <c r="B347" s="19" t="s">
        <v>25</v>
      </c>
      <c r="C347" s="20">
        <v>18</v>
      </c>
      <c r="D347" s="21" t="s">
        <v>19</v>
      </c>
      <c r="E347" s="26"/>
      <c r="F347" s="22">
        <v>20</v>
      </c>
      <c r="G347" s="23" t="s">
        <v>33</v>
      </c>
      <c r="H347" s="22">
        <v>10</v>
      </c>
      <c r="I347" s="23" t="s">
        <v>19</v>
      </c>
      <c r="J347" s="24">
        <f>3800000/20/10</f>
        <v>19000</v>
      </c>
      <c r="K347" s="21" t="s">
        <v>19</v>
      </c>
      <c r="L347" s="25"/>
      <c r="M347" s="25">
        <v>0.17</v>
      </c>
      <c r="N347" s="22"/>
      <c r="O347" s="23" t="s">
        <v>19</v>
      </c>
      <c r="P347" s="20">
        <f>(C347+(E347*F347*H347))-N347</f>
        <v>18</v>
      </c>
      <c r="Q347" s="23" t="s">
        <v>19</v>
      </c>
      <c r="R347" s="24">
        <f>P347*(J347-(J347*L347)-((J347-(J347*L347))*M347))</f>
        <v>283860</v>
      </c>
      <c r="S347" s="24">
        <f t="shared" si="98"/>
        <v>255729.7297297297</v>
      </c>
    </row>
    <row r="348" spans="1:19" s="19" customFormat="1">
      <c r="A348" s="55" t="s">
        <v>240</v>
      </c>
      <c r="B348" s="19" t="s">
        <v>25</v>
      </c>
      <c r="C348" s="20">
        <v>120</v>
      </c>
      <c r="D348" s="21" t="s">
        <v>19</v>
      </c>
      <c r="E348" s="26"/>
      <c r="F348" s="22">
        <v>20</v>
      </c>
      <c r="G348" s="23" t="s">
        <v>33</v>
      </c>
      <c r="H348" s="22">
        <v>12</v>
      </c>
      <c r="I348" s="23" t="s">
        <v>19</v>
      </c>
      <c r="J348" s="24">
        <f>3120000/20/12</f>
        <v>13000</v>
      </c>
      <c r="K348" s="21" t="s">
        <v>19</v>
      </c>
      <c r="L348" s="25"/>
      <c r="M348" s="25">
        <v>0.17</v>
      </c>
      <c r="N348" s="22"/>
      <c r="O348" s="23" t="s">
        <v>19</v>
      </c>
      <c r="P348" s="20">
        <f>(C348+(E348*F348*H348))-N348</f>
        <v>120</v>
      </c>
      <c r="Q348" s="23" t="s">
        <v>19</v>
      </c>
      <c r="R348" s="24">
        <f>P348*(J348-(J348*L348)-((J348-(J348*L348))*M348))</f>
        <v>1294800</v>
      </c>
      <c r="S348" s="24">
        <f t="shared" si="98"/>
        <v>1166486.4864864864</v>
      </c>
    </row>
    <row r="349" spans="1:19" s="19" customFormat="1">
      <c r="A349" s="18"/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 ht="15.75">
      <c r="A350" s="44" t="s">
        <v>241</v>
      </c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>
      <c r="A351" s="77" t="s">
        <v>242</v>
      </c>
      <c r="B351" s="19" t="s">
        <v>18</v>
      </c>
      <c r="C351" s="20">
        <v>26</v>
      </c>
      <c r="D351" s="21" t="s">
        <v>40</v>
      </c>
      <c r="E351" s="26">
        <v>7</v>
      </c>
      <c r="F351" s="22">
        <v>1</v>
      </c>
      <c r="G351" s="23" t="s">
        <v>20</v>
      </c>
      <c r="H351" s="22">
        <v>24</v>
      </c>
      <c r="I351" s="23" t="s">
        <v>40</v>
      </c>
      <c r="J351" s="24">
        <v>88200</v>
      </c>
      <c r="K351" s="21" t="s">
        <v>40</v>
      </c>
      <c r="L351" s="25">
        <v>0.125</v>
      </c>
      <c r="M351" s="25">
        <v>0.05</v>
      </c>
      <c r="N351" s="22"/>
      <c r="O351" s="23" t="s">
        <v>40</v>
      </c>
      <c r="P351" s="20">
        <f t="shared" ref="P351:P360" si="119">(C351+(E351*F351*H351))-N351</f>
        <v>194</v>
      </c>
      <c r="Q351" s="23" t="s">
        <v>40</v>
      </c>
      <c r="R351" s="24">
        <f t="shared" ref="R351:R360" si="120">P351*(J351-(J351*L351)-((J351-(J351*L351))*M351))</f>
        <v>14223352.5</v>
      </c>
      <c r="S351" s="24">
        <f t="shared" si="98"/>
        <v>12813831.081081079</v>
      </c>
    </row>
    <row r="352" spans="1:19" s="19" customFormat="1">
      <c r="A352" s="18" t="s">
        <v>656</v>
      </c>
      <c r="B352" s="19" t="s">
        <v>18</v>
      </c>
      <c r="C352" s="20">
        <v>16</v>
      </c>
      <c r="D352" s="21" t="s">
        <v>40</v>
      </c>
      <c r="E352" s="26"/>
      <c r="F352" s="22">
        <v>1</v>
      </c>
      <c r="G352" s="23" t="s">
        <v>20</v>
      </c>
      <c r="H352" s="22">
        <v>24</v>
      </c>
      <c r="I352" s="23" t="s">
        <v>40</v>
      </c>
      <c r="J352" s="24">
        <v>114000</v>
      </c>
      <c r="K352" s="21" t="s">
        <v>40</v>
      </c>
      <c r="L352" s="25">
        <v>0.125</v>
      </c>
      <c r="M352" s="25">
        <v>0.05</v>
      </c>
      <c r="N352" s="22"/>
      <c r="O352" s="23" t="s">
        <v>40</v>
      </c>
      <c r="P352" s="20">
        <f t="shared" si="119"/>
        <v>16</v>
      </c>
      <c r="Q352" s="23" t="s">
        <v>40</v>
      </c>
      <c r="R352" s="24">
        <f t="shared" si="120"/>
        <v>1516200</v>
      </c>
      <c r="S352" s="24">
        <f t="shared" si="98"/>
        <v>1365945.9459459458</v>
      </c>
    </row>
    <row r="353" spans="1:19" s="19" customFormat="1">
      <c r="A353" s="18" t="s">
        <v>243</v>
      </c>
      <c r="B353" s="19" t="s">
        <v>18</v>
      </c>
      <c r="C353" s="20">
        <v>204</v>
      </c>
      <c r="D353" s="21" t="s">
        <v>40</v>
      </c>
      <c r="E353" s="26">
        <v>5</v>
      </c>
      <c r="F353" s="22">
        <v>1</v>
      </c>
      <c r="G353" s="23" t="s">
        <v>20</v>
      </c>
      <c r="H353" s="22">
        <v>24</v>
      </c>
      <c r="I353" s="23" t="s">
        <v>40</v>
      </c>
      <c r="J353" s="24">
        <v>88200</v>
      </c>
      <c r="K353" s="21" t="s">
        <v>40</v>
      </c>
      <c r="L353" s="25">
        <v>0.125</v>
      </c>
      <c r="M353" s="25">
        <v>0.05</v>
      </c>
      <c r="N353" s="22"/>
      <c r="O353" s="23" t="s">
        <v>40</v>
      </c>
      <c r="P353" s="20">
        <f t="shared" si="119"/>
        <v>324</v>
      </c>
      <c r="Q353" s="23" t="s">
        <v>40</v>
      </c>
      <c r="R353" s="24">
        <f t="shared" si="120"/>
        <v>23754465</v>
      </c>
      <c r="S353" s="24">
        <f t="shared" si="98"/>
        <v>21400418.918918919</v>
      </c>
    </row>
    <row r="354" spans="1:19" s="19" customFormat="1">
      <c r="A354" s="18" t="s">
        <v>244</v>
      </c>
      <c r="B354" s="19" t="s">
        <v>18</v>
      </c>
      <c r="C354" s="20">
        <v>350</v>
      </c>
      <c r="D354" s="21" t="s">
        <v>40</v>
      </c>
      <c r="E354" s="26">
        <v>4</v>
      </c>
      <c r="F354" s="22">
        <v>1</v>
      </c>
      <c r="G354" s="23" t="s">
        <v>20</v>
      </c>
      <c r="H354" s="22">
        <v>24</v>
      </c>
      <c r="I354" s="23" t="s">
        <v>40</v>
      </c>
      <c r="J354" s="24">
        <v>89400</v>
      </c>
      <c r="K354" s="21" t="s">
        <v>40</v>
      </c>
      <c r="L354" s="25">
        <v>0.125</v>
      </c>
      <c r="M354" s="25">
        <v>0.05</v>
      </c>
      <c r="N354" s="22"/>
      <c r="O354" s="23" t="s">
        <v>40</v>
      </c>
      <c r="P354" s="20">
        <f t="shared" si="119"/>
        <v>446</v>
      </c>
      <c r="Q354" s="23" t="s">
        <v>40</v>
      </c>
      <c r="R354" s="24">
        <f t="shared" si="120"/>
        <v>33143932.5</v>
      </c>
      <c r="S354" s="24">
        <f t="shared" si="98"/>
        <v>29859398.648648646</v>
      </c>
    </row>
    <row r="355" spans="1:19" s="19" customFormat="1">
      <c r="A355" s="18" t="s">
        <v>245</v>
      </c>
      <c r="B355" s="19" t="s">
        <v>18</v>
      </c>
      <c r="C355" s="20"/>
      <c r="D355" s="21" t="s">
        <v>152</v>
      </c>
      <c r="E355" s="26">
        <v>2</v>
      </c>
      <c r="F355" s="22">
        <v>12</v>
      </c>
      <c r="G355" s="23" t="s">
        <v>33</v>
      </c>
      <c r="H355" s="22">
        <v>24</v>
      </c>
      <c r="I355" s="23" t="s">
        <v>152</v>
      </c>
      <c r="J355" s="24">
        <v>12000</v>
      </c>
      <c r="K355" s="21" t="s">
        <v>152</v>
      </c>
      <c r="L355" s="25">
        <v>0.125</v>
      </c>
      <c r="M355" s="25">
        <v>0.05</v>
      </c>
      <c r="N355" s="22"/>
      <c r="O355" s="23" t="s">
        <v>152</v>
      </c>
      <c r="P355" s="20">
        <f t="shared" si="119"/>
        <v>576</v>
      </c>
      <c r="Q355" s="23" t="s">
        <v>152</v>
      </c>
      <c r="R355" s="24">
        <f t="shared" si="120"/>
        <v>5745600</v>
      </c>
      <c r="S355" s="24">
        <f t="shared" si="98"/>
        <v>5176216.2162162159</v>
      </c>
    </row>
    <row r="356" spans="1:19" s="89" customFormat="1">
      <c r="A356" s="88" t="s">
        <v>246</v>
      </c>
      <c r="B356" s="89" t="s">
        <v>18</v>
      </c>
      <c r="C356" s="87"/>
      <c r="D356" s="90" t="s">
        <v>152</v>
      </c>
      <c r="E356" s="91"/>
      <c r="F356" s="92">
        <v>10</v>
      </c>
      <c r="G356" s="93" t="s">
        <v>33</v>
      </c>
      <c r="H356" s="92">
        <v>10</v>
      </c>
      <c r="I356" s="93" t="s">
        <v>152</v>
      </c>
      <c r="J356" s="94">
        <v>28000</v>
      </c>
      <c r="K356" s="90" t="s">
        <v>152</v>
      </c>
      <c r="L356" s="95">
        <v>0.125</v>
      </c>
      <c r="M356" s="95">
        <v>0.05</v>
      </c>
      <c r="N356" s="92"/>
      <c r="O356" s="93" t="s">
        <v>152</v>
      </c>
      <c r="P356" s="87">
        <f t="shared" si="119"/>
        <v>0</v>
      </c>
      <c r="Q356" s="93" t="s">
        <v>152</v>
      </c>
      <c r="R356" s="94">
        <f t="shared" si="120"/>
        <v>0</v>
      </c>
      <c r="S356" s="94">
        <f t="shared" si="98"/>
        <v>0</v>
      </c>
    </row>
    <row r="357" spans="1:19" s="89" customFormat="1">
      <c r="A357" s="88" t="s">
        <v>247</v>
      </c>
      <c r="B357" s="89" t="s">
        <v>18</v>
      </c>
      <c r="C357" s="87"/>
      <c r="D357" s="90" t="s">
        <v>152</v>
      </c>
      <c r="E357" s="91"/>
      <c r="F357" s="92">
        <v>10</v>
      </c>
      <c r="G357" s="93" t="s">
        <v>33</v>
      </c>
      <c r="H357" s="92">
        <v>10</v>
      </c>
      <c r="I357" s="93" t="s">
        <v>152</v>
      </c>
      <c r="J357" s="94">
        <v>33500</v>
      </c>
      <c r="K357" s="90" t="s">
        <v>152</v>
      </c>
      <c r="L357" s="95">
        <v>0.125</v>
      </c>
      <c r="M357" s="95">
        <v>0.05</v>
      </c>
      <c r="N357" s="92"/>
      <c r="O357" s="93" t="s">
        <v>152</v>
      </c>
      <c r="P357" s="87">
        <f t="shared" si="119"/>
        <v>0</v>
      </c>
      <c r="Q357" s="93" t="s">
        <v>152</v>
      </c>
      <c r="R357" s="94">
        <f t="shared" si="120"/>
        <v>0</v>
      </c>
      <c r="S357" s="94">
        <f t="shared" si="98"/>
        <v>0</v>
      </c>
    </row>
    <row r="358" spans="1:19" s="89" customFormat="1">
      <c r="A358" s="88" t="s">
        <v>248</v>
      </c>
      <c r="B358" s="89" t="s">
        <v>18</v>
      </c>
      <c r="C358" s="87"/>
      <c r="D358" s="90" t="s">
        <v>152</v>
      </c>
      <c r="E358" s="91"/>
      <c r="F358" s="92">
        <v>8</v>
      </c>
      <c r="G358" s="93" t="s">
        <v>33</v>
      </c>
      <c r="H358" s="92">
        <v>10</v>
      </c>
      <c r="I358" s="93" t="s">
        <v>152</v>
      </c>
      <c r="J358" s="94">
        <v>48500</v>
      </c>
      <c r="K358" s="90" t="s">
        <v>152</v>
      </c>
      <c r="L358" s="95">
        <v>0.125</v>
      </c>
      <c r="M358" s="95">
        <v>0.05</v>
      </c>
      <c r="N358" s="92"/>
      <c r="O358" s="93" t="s">
        <v>152</v>
      </c>
      <c r="P358" s="87">
        <f t="shared" si="119"/>
        <v>0</v>
      </c>
      <c r="Q358" s="93" t="s">
        <v>152</v>
      </c>
      <c r="R358" s="94">
        <f t="shared" si="120"/>
        <v>0</v>
      </c>
      <c r="S358" s="94">
        <f t="shared" si="98"/>
        <v>0</v>
      </c>
    </row>
    <row r="359" spans="1:19" s="89" customFormat="1">
      <c r="A359" s="88" t="s">
        <v>249</v>
      </c>
      <c r="B359" s="89" t="s">
        <v>18</v>
      </c>
      <c r="C359" s="87"/>
      <c r="D359" s="90" t="s">
        <v>152</v>
      </c>
      <c r="E359" s="91"/>
      <c r="F359" s="92">
        <v>10</v>
      </c>
      <c r="G359" s="93" t="s">
        <v>33</v>
      </c>
      <c r="H359" s="92">
        <v>12</v>
      </c>
      <c r="I359" s="93" t="s">
        <v>152</v>
      </c>
      <c r="J359" s="94">
        <v>17000</v>
      </c>
      <c r="K359" s="90" t="s">
        <v>152</v>
      </c>
      <c r="L359" s="95">
        <v>0.125</v>
      </c>
      <c r="M359" s="95">
        <v>0.05</v>
      </c>
      <c r="N359" s="92"/>
      <c r="O359" s="93" t="s">
        <v>152</v>
      </c>
      <c r="P359" s="87">
        <f t="shared" si="119"/>
        <v>0</v>
      </c>
      <c r="Q359" s="93" t="s">
        <v>152</v>
      </c>
      <c r="R359" s="94">
        <f t="shared" si="120"/>
        <v>0</v>
      </c>
      <c r="S359" s="94">
        <f t="shared" si="98"/>
        <v>0</v>
      </c>
    </row>
    <row r="360" spans="1:19" s="89" customFormat="1">
      <c r="A360" s="88" t="s">
        <v>250</v>
      </c>
      <c r="B360" s="89" t="s">
        <v>18</v>
      </c>
      <c r="C360" s="87"/>
      <c r="D360" s="90" t="s">
        <v>152</v>
      </c>
      <c r="E360" s="91"/>
      <c r="F360" s="92">
        <v>24</v>
      </c>
      <c r="G360" s="93" t="s">
        <v>33</v>
      </c>
      <c r="H360" s="92">
        <v>12</v>
      </c>
      <c r="I360" s="93" t="s">
        <v>152</v>
      </c>
      <c r="J360" s="94">
        <v>13300</v>
      </c>
      <c r="K360" s="90" t="s">
        <v>152</v>
      </c>
      <c r="L360" s="95">
        <v>0.125</v>
      </c>
      <c r="M360" s="95">
        <v>0.05</v>
      </c>
      <c r="N360" s="92"/>
      <c r="O360" s="93" t="s">
        <v>152</v>
      </c>
      <c r="P360" s="87">
        <f t="shared" si="119"/>
        <v>0</v>
      </c>
      <c r="Q360" s="93" t="s">
        <v>152</v>
      </c>
      <c r="R360" s="94">
        <f t="shared" si="120"/>
        <v>0</v>
      </c>
      <c r="S360" s="94">
        <f t="shared" si="98"/>
        <v>0</v>
      </c>
    </row>
    <row r="361" spans="1:19" s="19" customFormat="1">
      <c r="A361" s="18"/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89" customFormat="1">
      <c r="A362" s="145" t="s">
        <v>251</v>
      </c>
      <c r="B362" s="89" t="s">
        <v>25</v>
      </c>
      <c r="C362" s="87"/>
      <c r="D362" s="90" t="s">
        <v>19</v>
      </c>
      <c r="E362" s="91"/>
      <c r="F362" s="92">
        <v>24</v>
      </c>
      <c r="G362" s="93" t="s">
        <v>40</v>
      </c>
      <c r="H362" s="92">
        <v>12</v>
      </c>
      <c r="I362" s="93" t="s">
        <v>19</v>
      </c>
      <c r="J362" s="94">
        <f>2160000/24/12</f>
        <v>7500</v>
      </c>
      <c r="K362" s="90" t="s">
        <v>19</v>
      </c>
      <c r="L362" s="95"/>
      <c r="M362" s="95">
        <v>0.17</v>
      </c>
      <c r="N362" s="92"/>
      <c r="O362" s="93" t="s">
        <v>19</v>
      </c>
      <c r="P362" s="87">
        <f t="shared" ref="P362:P365" si="121">(C362+(E362*F362*H362))-N362</f>
        <v>0</v>
      </c>
      <c r="Q362" s="93" t="s">
        <v>19</v>
      </c>
      <c r="R362" s="94">
        <f t="shared" ref="R362:R365" si="122">P362*(J362-(J362*L362)-((J362-(J362*L362))*M362))</f>
        <v>0</v>
      </c>
      <c r="S362" s="94">
        <f t="shared" si="98"/>
        <v>0</v>
      </c>
    </row>
    <row r="363" spans="1:19" s="89" customFormat="1">
      <c r="A363" s="145" t="s">
        <v>252</v>
      </c>
      <c r="B363" s="89" t="s">
        <v>25</v>
      </c>
      <c r="C363" s="87"/>
      <c r="D363" s="90" t="s">
        <v>19</v>
      </c>
      <c r="E363" s="91"/>
      <c r="F363" s="92">
        <v>24</v>
      </c>
      <c r="G363" s="93" t="s">
        <v>40</v>
      </c>
      <c r="H363" s="92">
        <v>12</v>
      </c>
      <c r="I363" s="93" t="s">
        <v>19</v>
      </c>
      <c r="J363" s="94">
        <f>2160000/24/12</f>
        <v>7500</v>
      </c>
      <c r="K363" s="90" t="s">
        <v>19</v>
      </c>
      <c r="L363" s="95"/>
      <c r="M363" s="95">
        <v>0.17</v>
      </c>
      <c r="N363" s="92"/>
      <c r="O363" s="93" t="s">
        <v>19</v>
      </c>
      <c r="P363" s="87">
        <f t="shared" si="121"/>
        <v>0</v>
      </c>
      <c r="Q363" s="93" t="s">
        <v>19</v>
      </c>
      <c r="R363" s="94">
        <f t="shared" si="122"/>
        <v>0</v>
      </c>
      <c r="S363" s="94">
        <f t="shared" si="98"/>
        <v>0</v>
      </c>
    </row>
    <row r="364" spans="1:19" s="19" customFormat="1">
      <c r="A364" s="49" t="s">
        <v>784</v>
      </c>
      <c r="B364" s="19" t="s">
        <v>25</v>
      </c>
      <c r="C364" s="20">
        <v>288</v>
      </c>
      <c r="D364" s="21" t="s">
        <v>19</v>
      </c>
      <c r="E364" s="26"/>
      <c r="F364" s="22">
        <v>24</v>
      </c>
      <c r="G364" s="23" t="s">
        <v>40</v>
      </c>
      <c r="H364" s="22">
        <v>12</v>
      </c>
      <c r="I364" s="23" t="s">
        <v>19</v>
      </c>
      <c r="J364" s="24">
        <f>2160000/24/12</f>
        <v>7500</v>
      </c>
      <c r="K364" s="21" t="s">
        <v>19</v>
      </c>
      <c r="L364" s="25"/>
      <c r="M364" s="25">
        <v>0.17</v>
      </c>
      <c r="N364" s="22"/>
      <c r="O364" s="23" t="s">
        <v>19</v>
      </c>
      <c r="P364" s="20">
        <f t="shared" si="121"/>
        <v>288</v>
      </c>
      <c r="Q364" s="23" t="s">
        <v>19</v>
      </c>
      <c r="R364" s="24">
        <f t="shared" si="122"/>
        <v>1792800</v>
      </c>
      <c r="S364" s="24">
        <f t="shared" si="98"/>
        <v>1615135.1351351349</v>
      </c>
    </row>
    <row r="365" spans="1:19" s="19" customFormat="1">
      <c r="A365" s="49" t="s">
        <v>785</v>
      </c>
      <c r="B365" s="19" t="s">
        <v>25</v>
      </c>
      <c r="C365" s="20">
        <v>204</v>
      </c>
      <c r="D365" s="21" t="s">
        <v>19</v>
      </c>
      <c r="E365" s="26"/>
      <c r="F365" s="22">
        <v>12</v>
      </c>
      <c r="G365" s="23" t="s">
        <v>40</v>
      </c>
      <c r="H365" s="22">
        <v>12</v>
      </c>
      <c r="I365" s="23" t="s">
        <v>19</v>
      </c>
      <c r="J365" s="24">
        <f>3024000/12/12</f>
        <v>21000</v>
      </c>
      <c r="K365" s="21" t="s">
        <v>19</v>
      </c>
      <c r="L365" s="25"/>
      <c r="M365" s="25">
        <v>0.17</v>
      </c>
      <c r="N365" s="22"/>
      <c r="O365" s="23" t="s">
        <v>19</v>
      </c>
      <c r="P365" s="20">
        <f t="shared" si="121"/>
        <v>204</v>
      </c>
      <c r="Q365" s="23" t="s">
        <v>19</v>
      </c>
      <c r="R365" s="24">
        <f t="shared" si="122"/>
        <v>3555720</v>
      </c>
      <c r="S365" s="24">
        <f t="shared" si="98"/>
        <v>3203351.351351351</v>
      </c>
    </row>
    <row r="366" spans="1:19" s="19" customFormat="1">
      <c r="A366" s="18"/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19" customFormat="1" ht="15.75">
      <c r="A367" s="44" t="s">
        <v>253</v>
      </c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89" customFormat="1">
      <c r="A368" s="88" t="s">
        <v>254</v>
      </c>
      <c r="B368" s="89" t="s">
        <v>18</v>
      </c>
      <c r="C368" s="87"/>
      <c r="D368" s="90" t="s">
        <v>33</v>
      </c>
      <c r="E368" s="91"/>
      <c r="F368" s="92">
        <v>1</v>
      </c>
      <c r="G368" s="93" t="s">
        <v>20</v>
      </c>
      <c r="H368" s="92">
        <v>20</v>
      </c>
      <c r="I368" s="93" t="s">
        <v>33</v>
      </c>
      <c r="J368" s="94">
        <f>6200*12</f>
        <v>74400</v>
      </c>
      <c r="K368" s="90" t="s">
        <v>33</v>
      </c>
      <c r="L368" s="95">
        <v>0.125</v>
      </c>
      <c r="M368" s="95">
        <v>0.05</v>
      </c>
      <c r="N368" s="92"/>
      <c r="O368" s="93" t="s">
        <v>33</v>
      </c>
      <c r="P368" s="87">
        <f>(C368+(E368*F368*H368))-N368</f>
        <v>0</v>
      </c>
      <c r="Q368" s="93" t="s">
        <v>33</v>
      </c>
      <c r="R368" s="94">
        <f>P368*(J368-(J368*L368)-((J368-(J368*L368))*M368))</f>
        <v>0</v>
      </c>
      <c r="S368" s="94">
        <f t="shared" si="98"/>
        <v>0</v>
      </c>
    </row>
    <row r="369" spans="1:19" s="89" customFormat="1">
      <c r="A369" s="88" t="s">
        <v>255</v>
      </c>
      <c r="B369" s="89" t="s">
        <v>18</v>
      </c>
      <c r="C369" s="87"/>
      <c r="D369" s="90" t="s">
        <v>33</v>
      </c>
      <c r="E369" s="91"/>
      <c r="F369" s="92">
        <v>1</v>
      </c>
      <c r="G369" s="93" t="s">
        <v>20</v>
      </c>
      <c r="H369" s="92">
        <v>20</v>
      </c>
      <c r="I369" s="93" t="s">
        <v>33</v>
      </c>
      <c r="J369" s="94">
        <f>6800*12</f>
        <v>81600</v>
      </c>
      <c r="K369" s="90" t="s">
        <v>33</v>
      </c>
      <c r="L369" s="95">
        <v>0.125</v>
      </c>
      <c r="M369" s="95">
        <v>0.05</v>
      </c>
      <c r="N369" s="92"/>
      <c r="O369" s="93" t="s">
        <v>33</v>
      </c>
      <c r="P369" s="87">
        <f>(C369+(E369*F369*H369))-N369</f>
        <v>0</v>
      </c>
      <c r="Q369" s="93" t="s">
        <v>33</v>
      </c>
      <c r="R369" s="94">
        <f>P369*(J369-(J369*L369)-((J369-(J369*L369))*M369))</f>
        <v>0</v>
      </c>
      <c r="S369" s="94">
        <f t="shared" si="98"/>
        <v>0</v>
      </c>
    </row>
    <row r="370" spans="1:19" s="89" customFormat="1">
      <c r="A370" s="165" t="s">
        <v>878</v>
      </c>
      <c r="B370" s="89" t="s">
        <v>18</v>
      </c>
      <c r="C370" s="87"/>
      <c r="D370" s="90" t="s">
        <v>33</v>
      </c>
      <c r="E370" s="91">
        <v>1</v>
      </c>
      <c r="F370" s="92">
        <v>1</v>
      </c>
      <c r="G370" s="93" t="s">
        <v>20</v>
      </c>
      <c r="H370" s="92">
        <v>10</v>
      </c>
      <c r="I370" s="93" t="s">
        <v>33</v>
      </c>
      <c r="J370" s="94">
        <v>135600</v>
      </c>
      <c r="K370" s="90" t="s">
        <v>33</v>
      </c>
      <c r="L370" s="95">
        <v>0.125</v>
      </c>
      <c r="M370" s="95">
        <v>0.05</v>
      </c>
      <c r="N370" s="92"/>
      <c r="O370" s="93" t="s">
        <v>33</v>
      </c>
      <c r="P370" s="87">
        <f>(C370+(E370*F370*H370))-N370</f>
        <v>10</v>
      </c>
      <c r="Q370" s="93" t="s">
        <v>33</v>
      </c>
      <c r="R370" s="94">
        <f>P370*(J370-(J370*L370)-((J370-(J370*L370))*M370))</f>
        <v>1127175</v>
      </c>
      <c r="S370" s="94">
        <f t="shared" ref="S370" si="123">R370/1.11</f>
        <v>1015472.9729729729</v>
      </c>
    </row>
    <row r="371" spans="1:19" s="19" customFormat="1">
      <c r="A371" s="18"/>
      <c r="C371" s="20"/>
      <c r="D371" s="21"/>
      <c r="E371" s="26"/>
      <c r="F371" s="22"/>
      <c r="G371" s="23"/>
      <c r="H371" s="22"/>
      <c r="I371" s="23"/>
      <c r="J371" s="24"/>
      <c r="K371" s="21"/>
      <c r="L371" s="25"/>
      <c r="M371" s="25"/>
      <c r="N371" s="22"/>
      <c r="O371" s="23"/>
      <c r="P371" s="20"/>
      <c r="Q371" s="23"/>
      <c r="R371" s="24"/>
      <c r="S371" s="24"/>
    </row>
    <row r="372" spans="1:19" s="19" customFormat="1" ht="15.75">
      <c r="A372" s="44" t="s">
        <v>256</v>
      </c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>
      <c r="A373" s="71" t="s">
        <v>257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89" customFormat="1">
      <c r="A374" s="88" t="s">
        <v>258</v>
      </c>
      <c r="B374" s="89" t="s">
        <v>25</v>
      </c>
      <c r="C374" s="87"/>
      <c r="D374" s="90" t="s">
        <v>99</v>
      </c>
      <c r="E374" s="91"/>
      <c r="F374" s="92">
        <v>1</v>
      </c>
      <c r="G374" s="93" t="s">
        <v>20</v>
      </c>
      <c r="H374" s="92">
        <v>50</v>
      </c>
      <c r="I374" s="93" t="s">
        <v>99</v>
      </c>
      <c r="J374" s="94">
        <f>740000/50</f>
        <v>14800</v>
      </c>
      <c r="K374" s="90" t="s">
        <v>99</v>
      </c>
      <c r="L374" s="95"/>
      <c r="M374" s="95">
        <v>0.17</v>
      </c>
      <c r="N374" s="92"/>
      <c r="O374" s="93" t="s">
        <v>99</v>
      </c>
      <c r="P374" s="87">
        <f>(C374+(E374*F374*H374))-N374</f>
        <v>0</v>
      </c>
      <c r="Q374" s="93" t="s">
        <v>99</v>
      </c>
      <c r="R374" s="94">
        <f>P374*(J374-(J374*L374)-((J374-(J374*L374))*M374))</f>
        <v>0</v>
      </c>
      <c r="S374" s="94">
        <f t="shared" si="98"/>
        <v>0</v>
      </c>
    </row>
    <row r="375" spans="1:19" s="19" customFormat="1">
      <c r="A375" s="71" t="s">
        <v>259</v>
      </c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18" t="s">
        <v>260</v>
      </c>
      <c r="B376" s="19" t="s">
        <v>261</v>
      </c>
      <c r="C376" s="20">
        <v>250</v>
      </c>
      <c r="D376" s="21" t="s">
        <v>99</v>
      </c>
      <c r="E376" s="26"/>
      <c r="F376" s="22">
        <v>1</v>
      </c>
      <c r="G376" s="23" t="s">
        <v>20</v>
      </c>
      <c r="H376" s="22">
        <v>50</v>
      </c>
      <c r="I376" s="23" t="s">
        <v>99</v>
      </c>
      <c r="J376" s="24">
        <v>32500</v>
      </c>
      <c r="K376" s="21" t="s">
        <v>99</v>
      </c>
      <c r="L376" s="25"/>
      <c r="M376" s="25"/>
      <c r="N376" s="22"/>
      <c r="O376" s="23" t="s">
        <v>99</v>
      </c>
      <c r="P376" s="20">
        <f>(C376+(E376*F376*H376))-N376</f>
        <v>250</v>
      </c>
      <c r="Q376" s="23" t="s">
        <v>99</v>
      </c>
      <c r="R376" s="24">
        <f>P376*(J376-(J376*L376)-((J376-(J376*L376))*M376))</f>
        <v>8125000</v>
      </c>
      <c r="S376" s="24">
        <f t="shared" ref="S376:S473" si="124">R376/1.11</f>
        <v>7319819.8198198192</v>
      </c>
    </row>
    <row r="377" spans="1:19" s="19" customFormat="1">
      <c r="A377" s="18"/>
      <c r="C377" s="20"/>
      <c r="D377" s="21"/>
      <c r="E377" s="26"/>
      <c r="F377" s="22"/>
      <c r="G377" s="23"/>
      <c r="H377" s="22"/>
      <c r="I377" s="23"/>
      <c r="J377" s="24"/>
      <c r="K377" s="21"/>
      <c r="L377" s="25"/>
      <c r="M377" s="25"/>
      <c r="N377" s="22"/>
      <c r="O377" s="23"/>
      <c r="P377" s="20"/>
      <c r="Q377" s="23"/>
      <c r="R377" s="24"/>
      <c r="S377" s="24"/>
    </row>
    <row r="378" spans="1:19" s="19" customFormat="1" ht="15.75">
      <c r="A378" s="44" t="s">
        <v>262</v>
      </c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89" customFormat="1">
      <c r="A379" s="88" t="s">
        <v>263</v>
      </c>
      <c r="B379" s="89" t="s">
        <v>18</v>
      </c>
      <c r="C379" s="87"/>
      <c r="D379" s="90" t="s">
        <v>103</v>
      </c>
      <c r="E379" s="91"/>
      <c r="F379" s="92">
        <v>8</v>
      </c>
      <c r="G379" s="93" t="s">
        <v>33</v>
      </c>
      <c r="H379" s="92">
        <v>25</v>
      </c>
      <c r="I379" s="93" t="s">
        <v>103</v>
      </c>
      <c r="J379" s="94">
        <v>4000</v>
      </c>
      <c r="K379" s="90" t="s">
        <v>103</v>
      </c>
      <c r="L379" s="95">
        <v>0.125</v>
      </c>
      <c r="M379" s="95">
        <v>0.05</v>
      </c>
      <c r="N379" s="92"/>
      <c r="O379" s="93" t="s">
        <v>103</v>
      </c>
      <c r="P379" s="87">
        <f>(C379+(E379*F379*H379))-N379</f>
        <v>0</v>
      </c>
      <c r="Q379" s="93" t="s">
        <v>103</v>
      </c>
      <c r="R379" s="94">
        <f>P379*(J379-(J379*L379)-((J379-(J379*L379))*M379))</f>
        <v>0</v>
      </c>
      <c r="S379" s="94">
        <f t="shared" si="124"/>
        <v>0</v>
      </c>
    </row>
    <row r="380" spans="1:19" s="89" customFormat="1">
      <c r="A380" s="88" t="s">
        <v>264</v>
      </c>
      <c r="B380" s="89" t="s">
        <v>18</v>
      </c>
      <c r="C380" s="87"/>
      <c r="D380" s="90" t="s">
        <v>77</v>
      </c>
      <c r="E380" s="91"/>
      <c r="F380" s="92">
        <v>1</v>
      </c>
      <c r="G380" s="93" t="s">
        <v>20</v>
      </c>
      <c r="H380" s="92">
        <v>48</v>
      </c>
      <c r="I380" s="93" t="s">
        <v>77</v>
      </c>
      <c r="J380" s="94">
        <v>30000</v>
      </c>
      <c r="K380" s="90" t="s">
        <v>77</v>
      </c>
      <c r="L380" s="95">
        <v>0.125</v>
      </c>
      <c r="M380" s="95">
        <v>0.05</v>
      </c>
      <c r="N380" s="92"/>
      <c r="O380" s="93" t="s">
        <v>77</v>
      </c>
      <c r="P380" s="87">
        <f>(C380+(E380*F380*H380))-N380</f>
        <v>0</v>
      </c>
      <c r="Q380" s="93" t="s">
        <v>77</v>
      </c>
      <c r="R380" s="94">
        <f>P380*(J380-(J380*L380)-((J380-(J380*L380))*M380))</f>
        <v>0</v>
      </c>
      <c r="S380" s="94">
        <f t="shared" si="124"/>
        <v>0</v>
      </c>
    </row>
    <row r="381" spans="1:19" s="106" customFormat="1">
      <c r="A381" s="98" t="s">
        <v>265</v>
      </c>
      <c r="B381" s="106" t="s">
        <v>18</v>
      </c>
      <c r="C381" s="107"/>
      <c r="D381" s="108" t="s">
        <v>77</v>
      </c>
      <c r="E381" s="109">
        <v>1</v>
      </c>
      <c r="F381" s="110">
        <v>1</v>
      </c>
      <c r="G381" s="111" t="s">
        <v>20</v>
      </c>
      <c r="H381" s="110">
        <v>48</v>
      </c>
      <c r="I381" s="111" t="s">
        <v>77</v>
      </c>
      <c r="J381" s="112">
        <v>23000</v>
      </c>
      <c r="K381" s="108" t="s">
        <v>77</v>
      </c>
      <c r="L381" s="113">
        <v>0.125</v>
      </c>
      <c r="M381" s="113">
        <v>0.05</v>
      </c>
      <c r="N381" s="110"/>
      <c r="O381" s="111" t="s">
        <v>77</v>
      </c>
      <c r="P381" s="107">
        <f>(C381+(E381*F381*H381))-N381</f>
        <v>48</v>
      </c>
      <c r="Q381" s="111" t="s">
        <v>77</v>
      </c>
      <c r="R381" s="112">
        <f>P381*(J381-(J381*L381)-((J381-(J381*L381))*M381))</f>
        <v>917700</v>
      </c>
      <c r="S381" s="112">
        <f t="shared" si="124"/>
        <v>826756.75675675669</v>
      </c>
    </row>
    <row r="382" spans="1:19" s="19" customFormat="1">
      <c r="A382" s="18"/>
      <c r="C382" s="20"/>
      <c r="D382" s="21"/>
      <c r="E382" s="26"/>
      <c r="F382" s="22"/>
      <c r="G382" s="23"/>
      <c r="H382" s="22"/>
      <c r="I382" s="23"/>
      <c r="J382" s="24"/>
      <c r="K382" s="21"/>
      <c r="L382" s="25"/>
      <c r="M382" s="25"/>
      <c r="N382" s="22"/>
      <c r="O382" s="23"/>
      <c r="P382" s="20"/>
      <c r="Q382" s="23"/>
      <c r="R382" s="24"/>
      <c r="S382" s="24"/>
    </row>
    <row r="383" spans="1:19" s="89" customFormat="1">
      <c r="A383" s="88" t="s">
        <v>266</v>
      </c>
      <c r="B383" s="89" t="s">
        <v>25</v>
      </c>
      <c r="C383" s="87"/>
      <c r="D383" s="90" t="s">
        <v>103</v>
      </c>
      <c r="E383" s="91"/>
      <c r="F383" s="92">
        <v>80</v>
      </c>
      <c r="G383" s="93" t="s">
        <v>33</v>
      </c>
      <c r="H383" s="92">
        <v>25</v>
      </c>
      <c r="I383" s="93" t="s">
        <v>103</v>
      </c>
      <c r="J383" s="94">
        <v>4500</v>
      </c>
      <c r="K383" s="90" t="s">
        <v>103</v>
      </c>
      <c r="L383" s="95"/>
      <c r="M383" s="95">
        <v>0.17</v>
      </c>
      <c r="N383" s="92"/>
      <c r="O383" s="93" t="s">
        <v>103</v>
      </c>
      <c r="P383" s="87">
        <f>(C383+(E383*F383*H383))-N383</f>
        <v>0</v>
      </c>
      <c r="Q383" s="93" t="s">
        <v>103</v>
      </c>
      <c r="R383" s="94">
        <f>P383*(J383-(J383*L383)-((J383-(J383*L383))*M383))</f>
        <v>0</v>
      </c>
      <c r="S383" s="94">
        <f t="shared" si="124"/>
        <v>0</v>
      </c>
    </row>
    <row r="384" spans="1:19" s="89" customFormat="1">
      <c r="A384" s="88" t="s">
        <v>267</v>
      </c>
      <c r="B384" s="89" t="s">
        <v>25</v>
      </c>
      <c r="C384" s="87"/>
      <c r="D384" s="90" t="s">
        <v>77</v>
      </c>
      <c r="E384" s="91"/>
      <c r="F384" s="92">
        <v>1</v>
      </c>
      <c r="G384" s="93" t="s">
        <v>20</v>
      </c>
      <c r="H384" s="92">
        <v>48</v>
      </c>
      <c r="I384" s="93" t="s">
        <v>77</v>
      </c>
      <c r="J384" s="94">
        <v>23500</v>
      </c>
      <c r="K384" s="90" t="s">
        <v>77</v>
      </c>
      <c r="L384" s="95"/>
      <c r="M384" s="95">
        <v>0.17</v>
      </c>
      <c r="N384" s="92"/>
      <c r="O384" s="93" t="s">
        <v>77</v>
      </c>
      <c r="P384" s="87">
        <f>(C384+(E384*F384*H384))-N384</f>
        <v>0</v>
      </c>
      <c r="Q384" s="93" t="s">
        <v>77</v>
      </c>
      <c r="R384" s="94">
        <f>P384*(J384-(J384*L384)-((J384-(J384*L384))*M384))</f>
        <v>0</v>
      </c>
      <c r="S384" s="94">
        <f t="shared" si="124"/>
        <v>0</v>
      </c>
    </row>
    <row r="385" spans="1:19" s="19" customFormat="1">
      <c r="A385" s="18"/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19" customFormat="1" ht="15.75">
      <c r="A386" s="44" t="s">
        <v>268</v>
      </c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>
      <c r="A387" s="18" t="s">
        <v>269</v>
      </c>
      <c r="B387" s="19" t="s">
        <v>18</v>
      </c>
      <c r="C387" s="20">
        <v>286</v>
      </c>
      <c r="D387" s="21" t="s">
        <v>152</v>
      </c>
      <c r="E387" s="26">
        <v>2</v>
      </c>
      <c r="F387" s="22">
        <v>10</v>
      </c>
      <c r="G387" s="23" t="s">
        <v>33</v>
      </c>
      <c r="H387" s="22">
        <v>24</v>
      </c>
      <c r="I387" s="23" t="s">
        <v>152</v>
      </c>
      <c r="J387" s="24">
        <v>8800</v>
      </c>
      <c r="K387" s="21" t="s">
        <v>152</v>
      </c>
      <c r="L387" s="25">
        <v>0.125</v>
      </c>
      <c r="M387" s="25">
        <v>0.05</v>
      </c>
      <c r="N387" s="22"/>
      <c r="O387" s="23" t="s">
        <v>152</v>
      </c>
      <c r="P387" s="20">
        <f t="shared" ref="P387:P406" si="125">(C387+(E387*F387*H387))-N387</f>
        <v>766</v>
      </c>
      <c r="Q387" s="23" t="s">
        <v>152</v>
      </c>
      <c r="R387" s="24">
        <f t="shared" ref="R387:R406" si="126">P387*(J387-(J387*L387)-((J387-(J387*L387))*M387))</f>
        <v>5603290</v>
      </c>
      <c r="S387" s="24">
        <f t="shared" si="124"/>
        <v>5048009.0090090083</v>
      </c>
    </row>
    <row r="388" spans="1:19" s="89" customFormat="1">
      <c r="A388" s="88" t="s">
        <v>270</v>
      </c>
      <c r="B388" s="89" t="s">
        <v>18</v>
      </c>
      <c r="C388" s="87"/>
      <c r="D388" s="90" t="s">
        <v>152</v>
      </c>
      <c r="E388" s="91"/>
      <c r="F388" s="92">
        <v>6</v>
      </c>
      <c r="G388" s="93" t="s">
        <v>33</v>
      </c>
      <c r="H388" s="92">
        <v>24</v>
      </c>
      <c r="I388" s="93" t="s">
        <v>152</v>
      </c>
      <c r="J388" s="94">
        <v>29500</v>
      </c>
      <c r="K388" s="90" t="s">
        <v>152</v>
      </c>
      <c r="L388" s="95">
        <v>0.125</v>
      </c>
      <c r="M388" s="95">
        <v>0.05</v>
      </c>
      <c r="N388" s="92"/>
      <c r="O388" s="93" t="s">
        <v>152</v>
      </c>
      <c r="P388" s="87">
        <f t="shared" si="125"/>
        <v>0</v>
      </c>
      <c r="Q388" s="93" t="s">
        <v>152</v>
      </c>
      <c r="R388" s="94">
        <f t="shared" si="126"/>
        <v>0</v>
      </c>
      <c r="S388" s="94">
        <f t="shared" si="124"/>
        <v>0</v>
      </c>
    </row>
    <row r="389" spans="1:19" s="89" customFormat="1">
      <c r="A389" s="88" t="s">
        <v>271</v>
      </c>
      <c r="B389" s="89" t="s">
        <v>18</v>
      </c>
      <c r="C389" s="87"/>
      <c r="D389" s="90" t="s">
        <v>152</v>
      </c>
      <c r="E389" s="91"/>
      <c r="F389" s="92">
        <v>12</v>
      </c>
      <c r="G389" s="93" t="s">
        <v>33</v>
      </c>
      <c r="H389" s="92">
        <v>12</v>
      </c>
      <c r="I389" s="93" t="s">
        <v>152</v>
      </c>
      <c r="J389" s="94">
        <v>19600</v>
      </c>
      <c r="K389" s="90" t="s">
        <v>152</v>
      </c>
      <c r="L389" s="95">
        <v>0.125</v>
      </c>
      <c r="M389" s="95">
        <v>0.05</v>
      </c>
      <c r="N389" s="92"/>
      <c r="O389" s="93" t="s">
        <v>152</v>
      </c>
      <c r="P389" s="87">
        <f t="shared" si="125"/>
        <v>0</v>
      </c>
      <c r="Q389" s="93" t="s">
        <v>152</v>
      </c>
      <c r="R389" s="94">
        <f t="shared" si="126"/>
        <v>0</v>
      </c>
      <c r="S389" s="94">
        <f t="shared" si="124"/>
        <v>0</v>
      </c>
    </row>
    <row r="390" spans="1:19" s="19" customFormat="1">
      <c r="A390" s="18" t="s">
        <v>272</v>
      </c>
      <c r="B390" s="19" t="s">
        <v>18</v>
      </c>
      <c r="C390" s="20">
        <v>120</v>
      </c>
      <c r="D390" s="21" t="s">
        <v>152</v>
      </c>
      <c r="E390" s="26"/>
      <c r="F390" s="22">
        <v>12</v>
      </c>
      <c r="G390" s="23" t="s">
        <v>33</v>
      </c>
      <c r="H390" s="22">
        <v>12</v>
      </c>
      <c r="I390" s="23" t="s">
        <v>152</v>
      </c>
      <c r="J390" s="24">
        <v>18500</v>
      </c>
      <c r="K390" s="21" t="s">
        <v>152</v>
      </c>
      <c r="L390" s="25">
        <v>0.125</v>
      </c>
      <c r="M390" s="25">
        <v>0.05</v>
      </c>
      <c r="N390" s="22"/>
      <c r="O390" s="23" t="s">
        <v>152</v>
      </c>
      <c r="P390" s="20">
        <f t="shared" si="125"/>
        <v>120</v>
      </c>
      <c r="Q390" s="23" t="s">
        <v>152</v>
      </c>
      <c r="R390" s="24">
        <f t="shared" si="126"/>
        <v>1845375</v>
      </c>
      <c r="S390" s="24">
        <f t="shared" si="124"/>
        <v>1662499.9999999998</v>
      </c>
    </row>
    <row r="391" spans="1:19" s="89" customFormat="1">
      <c r="A391" s="88" t="s">
        <v>273</v>
      </c>
      <c r="B391" s="89" t="s">
        <v>18</v>
      </c>
      <c r="C391" s="87"/>
      <c r="D391" s="90" t="s">
        <v>152</v>
      </c>
      <c r="E391" s="91"/>
      <c r="F391" s="92">
        <v>10</v>
      </c>
      <c r="G391" s="93" t="s">
        <v>33</v>
      </c>
      <c r="H391" s="92">
        <v>24</v>
      </c>
      <c r="I391" s="93" t="s">
        <v>152</v>
      </c>
      <c r="J391" s="94">
        <v>10600</v>
      </c>
      <c r="K391" s="90" t="s">
        <v>152</v>
      </c>
      <c r="L391" s="95">
        <v>0.125</v>
      </c>
      <c r="M391" s="95">
        <v>0.05</v>
      </c>
      <c r="N391" s="92"/>
      <c r="O391" s="93" t="s">
        <v>152</v>
      </c>
      <c r="P391" s="87">
        <f t="shared" si="125"/>
        <v>0</v>
      </c>
      <c r="Q391" s="93" t="s">
        <v>152</v>
      </c>
      <c r="R391" s="94">
        <f t="shared" si="126"/>
        <v>0</v>
      </c>
      <c r="S391" s="94">
        <f t="shared" si="124"/>
        <v>0</v>
      </c>
    </row>
    <row r="392" spans="1:19" s="19" customFormat="1">
      <c r="A392" s="18" t="s">
        <v>274</v>
      </c>
      <c r="B392" s="19" t="s">
        <v>18</v>
      </c>
      <c r="C392" s="20">
        <v>204</v>
      </c>
      <c r="D392" s="21" t="s">
        <v>152</v>
      </c>
      <c r="E392" s="26"/>
      <c r="F392" s="22">
        <v>20</v>
      </c>
      <c r="G392" s="23" t="s">
        <v>33</v>
      </c>
      <c r="H392" s="22">
        <v>12</v>
      </c>
      <c r="I392" s="23" t="s">
        <v>152</v>
      </c>
      <c r="J392" s="24">
        <v>4000</v>
      </c>
      <c r="K392" s="21" t="s">
        <v>152</v>
      </c>
      <c r="L392" s="25">
        <v>0.4</v>
      </c>
      <c r="M392" s="25">
        <v>0.05</v>
      </c>
      <c r="N392" s="22"/>
      <c r="O392" s="23" t="s">
        <v>152</v>
      </c>
      <c r="P392" s="20">
        <f t="shared" si="125"/>
        <v>204</v>
      </c>
      <c r="Q392" s="23" t="s">
        <v>152</v>
      </c>
      <c r="R392" s="24">
        <f t="shared" si="126"/>
        <v>465120</v>
      </c>
      <c r="S392" s="24">
        <f t="shared" si="124"/>
        <v>419027.02702702698</v>
      </c>
    </row>
    <row r="393" spans="1:19" s="19" customFormat="1">
      <c r="A393" s="18" t="s">
        <v>737</v>
      </c>
      <c r="B393" s="19" t="s">
        <v>18</v>
      </c>
      <c r="C393" s="20">
        <v>6</v>
      </c>
      <c r="D393" s="21" t="s">
        <v>152</v>
      </c>
      <c r="E393" s="26"/>
      <c r="F393" s="22">
        <v>12</v>
      </c>
      <c r="G393" s="23" t="s">
        <v>33</v>
      </c>
      <c r="H393" s="22">
        <v>12</v>
      </c>
      <c r="I393" s="23" t="s">
        <v>152</v>
      </c>
      <c r="J393" s="24">
        <v>34500</v>
      </c>
      <c r="K393" s="21" t="s">
        <v>152</v>
      </c>
      <c r="L393" s="25">
        <v>0.125</v>
      </c>
      <c r="M393" s="25">
        <v>0.05</v>
      </c>
      <c r="N393" s="22"/>
      <c r="O393" s="23" t="s">
        <v>152</v>
      </c>
      <c r="P393" s="20">
        <f t="shared" si="125"/>
        <v>6</v>
      </c>
      <c r="Q393" s="23" t="s">
        <v>152</v>
      </c>
      <c r="R393" s="24">
        <f t="shared" si="126"/>
        <v>172068.75</v>
      </c>
      <c r="S393" s="24">
        <f t="shared" si="124"/>
        <v>155016.89189189186</v>
      </c>
    </row>
    <row r="394" spans="1:19" s="80" customFormat="1">
      <c r="A394" s="79" t="s">
        <v>859</v>
      </c>
      <c r="B394" s="80" t="s">
        <v>18</v>
      </c>
      <c r="C394" s="81"/>
      <c r="D394" s="82" t="s">
        <v>152</v>
      </c>
      <c r="E394" s="83"/>
      <c r="F394" s="84">
        <v>1</v>
      </c>
      <c r="G394" s="85" t="s">
        <v>20</v>
      </c>
      <c r="H394" s="84">
        <v>240</v>
      </c>
      <c r="I394" s="85" t="s">
        <v>40</v>
      </c>
      <c r="J394" s="16">
        <v>26400</v>
      </c>
      <c r="K394" s="82" t="s">
        <v>40</v>
      </c>
      <c r="L394" s="86">
        <v>0.125</v>
      </c>
      <c r="M394" s="86">
        <v>0.05</v>
      </c>
      <c r="N394" s="84"/>
      <c r="O394" s="85" t="s">
        <v>40</v>
      </c>
      <c r="P394" s="81">
        <f t="shared" si="125"/>
        <v>0</v>
      </c>
      <c r="Q394" s="85" t="s">
        <v>40</v>
      </c>
      <c r="R394" s="16">
        <f t="shared" si="126"/>
        <v>0</v>
      </c>
      <c r="S394" s="16">
        <f t="shared" si="124"/>
        <v>0</v>
      </c>
    </row>
    <row r="395" spans="1:19" s="80" customFormat="1">
      <c r="A395" s="79" t="s">
        <v>860</v>
      </c>
      <c r="B395" s="80" t="s">
        <v>18</v>
      </c>
      <c r="C395" s="81"/>
      <c r="D395" s="82" t="s">
        <v>152</v>
      </c>
      <c r="E395" s="83"/>
      <c r="F395" s="84">
        <v>1</v>
      </c>
      <c r="G395" s="85" t="s">
        <v>20</v>
      </c>
      <c r="H395" s="84">
        <v>240</v>
      </c>
      <c r="I395" s="85" t="s">
        <v>40</v>
      </c>
      <c r="J395" s="16">
        <v>26400</v>
      </c>
      <c r="K395" s="82" t="s">
        <v>40</v>
      </c>
      <c r="L395" s="86">
        <v>0.125</v>
      </c>
      <c r="M395" s="86">
        <v>0.05</v>
      </c>
      <c r="N395" s="84"/>
      <c r="O395" s="85" t="s">
        <v>40</v>
      </c>
      <c r="P395" s="81">
        <f t="shared" si="125"/>
        <v>0</v>
      </c>
      <c r="Q395" s="85" t="s">
        <v>40</v>
      </c>
      <c r="R395" s="16">
        <f t="shared" si="126"/>
        <v>0</v>
      </c>
      <c r="S395" s="16">
        <f t="shared" si="124"/>
        <v>0</v>
      </c>
    </row>
    <row r="396" spans="1:19" s="80" customFormat="1">
      <c r="A396" s="79" t="s">
        <v>861</v>
      </c>
      <c r="B396" s="80" t="s">
        <v>18</v>
      </c>
      <c r="C396" s="81"/>
      <c r="D396" s="82" t="s">
        <v>152</v>
      </c>
      <c r="E396" s="83"/>
      <c r="F396" s="84">
        <v>1</v>
      </c>
      <c r="G396" s="85" t="s">
        <v>20</v>
      </c>
      <c r="H396" s="84">
        <v>240</v>
      </c>
      <c r="I396" s="85" t="s">
        <v>40</v>
      </c>
      <c r="J396" s="16">
        <v>30000</v>
      </c>
      <c r="K396" s="82" t="s">
        <v>40</v>
      </c>
      <c r="L396" s="86">
        <v>0.125</v>
      </c>
      <c r="M396" s="86">
        <v>0.05</v>
      </c>
      <c r="N396" s="84"/>
      <c r="O396" s="85" t="s">
        <v>40</v>
      </c>
      <c r="P396" s="81">
        <f t="shared" si="125"/>
        <v>0</v>
      </c>
      <c r="Q396" s="85" t="s">
        <v>40</v>
      </c>
      <c r="R396" s="16">
        <f t="shared" si="126"/>
        <v>0</v>
      </c>
      <c r="S396" s="16">
        <f t="shared" si="124"/>
        <v>0</v>
      </c>
    </row>
    <row r="397" spans="1:19" s="80" customFormat="1">
      <c r="A397" s="79" t="s">
        <v>862</v>
      </c>
      <c r="B397" s="80" t="s">
        <v>18</v>
      </c>
      <c r="C397" s="81"/>
      <c r="D397" s="82" t="s">
        <v>152</v>
      </c>
      <c r="E397" s="83"/>
      <c r="F397" s="84">
        <v>1</v>
      </c>
      <c r="G397" s="85" t="s">
        <v>20</v>
      </c>
      <c r="H397" s="84">
        <v>240</v>
      </c>
      <c r="I397" s="85" t="s">
        <v>40</v>
      </c>
      <c r="J397" s="16">
        <v>31200</v>
      </c>
      <c r="K397" s="82" t="s">
        <v>40</v>
      </c>
      <c r="L397" s="86">
        <v>0.125</v>
      </c>
      <c r="M397" s="86">
        <v>0.05</v>
      </c>
      <c r="N397" s="84"/>
      <c r="O397" s="85" t="s">
        <v>40</v>
      </c>
      <c r="P397" s="81">
        <f t="shared" si="125"/>
        <v>0</v>
      </c>
      <c r="Q397" s="85" t="s">
        <v>40</v>
      </c>
      <c r="R397" s="16">
        <f t="shared" si="126"/>
        <v>0</v>
      </c>
      <c r="S397" s="16">
        <f t="shared" si="124"/>
        <v>0</v>
      </c>
    </row>
    <row r="398" spans="1:19" s="80" customFormat="1">
      <c r="A398" s="79" t="s">
        <v>863</v>
      </c>
      <c r="B398" s="80" t="s">
        <v>18</v>
      </c>
      <c r="C398" s="81"/>
      <c r="D398" s="82" t="s">
        <v>152</v>
      </c>
      <c r="E398" s="83"/>
      <c r="F398" s="84">
        <v>1</v>
      </c>
      <c r="G398" s="85" t="s">
        <v>20</v>
      </c>
      <c r="H398" s="84"/>
      <c r="I398" s="85" t="s">
        <v>40</v>
      </c>
      <c r="J398" s="16"/>
      <c r="K398" s="82" t="s">
        <v>40</v>
      </c>
      <c r="L398" s="86">
        <v>0.125</v>
      </c>
      <c r="M398" s="86">
        <v>0.05</v>
      </c>
      <c r="N398" s="84"/>
      <c r="O398" s="85" t="s">
        <v>40</v>
      </c>
      <c r="P398" s="81">
        <f t="shared" si="125"/>
        <v>0</v>
      </c>
      <c r="Q398" s="85" t="s">
        <v>40</v>
      </c>
      <c r="R398" s="16">
        <f t="shared" si="126"/>
        <v>0</v>
      </c>
      <c r="S398" s="16">
        <f t="shared" si="124"/>
        <v>0</v>
      </c>
    </row>
    <row r="399" spans="1:19" s="80" customFormat="1">
      <c r="A399" s="79" t="s">
        <v>864</v>
      </c>
      <c r="B399" s="80" t="s">
        <v>18</v>
      </c>
      <c r="C399" s="81"/>
      <c r="D399" s="82" t="s">
        <v>152</v>
      </c>
      <c r="E399" s="83"/>
      <c r="F399" s="84">
        <v>1</v>
      </c>
      <c r="G399" s="85" t="s">
        <v>20</v>
      </c>
      <c r="H399" s="84">
        <v>240</v>
      </c>
      <c r="I399" s="85" t="s">
        <v>40</v>
      </c>
      <c r="J399" s="16">
        <v>37800</v>
      </c>
      <c r="K399" s="82" t="s">
        <v>40</v>
      </c>
      <c r="L399" s="86">
        <v>0.125</v>
      </c>
      <c r="M399" s="86">
        <v>0.05</v>
      </c>
      <c r="N399" s="84"/>
      <c r="O399" s="85" t="s">
        <v>40</v>
      </c>
      <c r="P399" s="81">
        <f t="shared" si="125"/>
        <v>0</v>
      </c>
      <c r="Q399" s="85" t="s">
        <v>40</v>
      </c>
      <c r="R399" s="16">
        <f t="shared" si="126"/>
        <v>0</v>
      </c>
      <c r="S399" s="16">
        <f t="shared" si="124"/>
        <v>0</v>
      </c>
    </row>
    <row r="400" spans="1:19" s="80" customFormat="1">
      <c r="A400" s="79" t="s">
        <v>865</v>
      </c>
      <c r="B400" s="80" t="s">
        <v>18</v>
      </c>
      <c r="C400" s="81"/>
      <c r="D400" s="82" t="s">
        <v>152</v>
      </c>
      <c r="E400" s="83"/>
      <c r="F400" s="84">
        <v>1</v>
      </c>
      <c r="G400" s="85" t="s">
        <v>20</v>
      </c>
      <c r="H400" s="84"/>
      <c r="I400" s="85" t="s">
        <v>40</v>
      </c>
      <c r="J400" s="16"/>
      <c r="K400" s="82" t="s">
        <v>40</v>
      </c>
      <c r="L400" s="86">
        <v>0.125</v>
      </c>
      <c r="M400" s="86">
        <v>0.05</v>
      </c>
      <c r="N400" s="84"/>
      <c r="O400" s="85" t="s">
        <v>40</v>
      </c>
      <c r="P400" s="81">
        <f t="shared" si="125"/>
        <v>0</v>
      </c>
      <c r="Q400" s="85" t="s">
        <v>40</v>
      </c>
      <c r="R400" s="16">
        <f t="shared" si="126"/>
        <v>0</v>
      </c>
      <c r="S400" s="16">
        <f t="shared" si="124"/>
        <v>0</v>
      </c>
    </row>
    <row r="401" spans="1:19" s="80" customFormat="1">
      <c r="A401" s="79" t="s">
        <v>866</v>
      </c>
      <c r="B401" s="80" t="s">
        <v>18</v>
      </c>
      <c r="C401" s="81"/>
      <c r="D401" s="82" t="s">
        <v>152</v>
      </c>
      <c r="E401" s="83"/>
      <c r="F401" s="84">
        <v>1</v>
      </c>
      <c r="G401" s="85" t="s">
        <v>20</v>
      </c>
      <c r="H401" s="84">
        <v>240</v>
      </c>
      <c r="I401" s="85" t="s">
        <v>40</v>
      </c>
      <c r="J401" s="16">
        <v>41400</v>
      </c>
      <c r="K401" s="82" t="s">
        <v>40</v>
      </c>
      <c r="L401" s="86">
        <v>0.125</v>
      </c>
      <c r="M401" s="86">
        <v>0.05</v>
      </c>
      <c r="N401" s="84"/>
      <c r="O401" s="85" t="s">
        <v>40</v>
      </c>
      <c r="P401" s="81">
        <f t="shared" si="125"/>
        <v>0</v>
      </c>
      <c r="Q401" s="85" t="s">
        <v>40</v>
      </c>
      <c r="R401" s="16">
        <f t="shared" si="126"/>
        <v>0</v>
      </c>
      <c r="S401" s="16">
        <f t="shared" si="124"/>
        <v>0</v>
      </c>
    </row>
    <row r="402" spans="1:19" s="80" customFormat="1">
      <c r="A402" s="79" t="s">
        <v>867</v>
      </c>
      <c r="B402" s="80" t="s">
        <v>18</v>
      </c>
      <c r="C402" s="81"/>
      <c r="D402" s="82" t="s">
        <v>152</v>
      </c>
      <c r="E402" s="83"/>
      <c r="F402" s="84">
        <v>1</v>
      </c>
      <c r="G402" s="85" t="s">
        <v>20</v>
      </c>
      <c r="H402" s="84">
        <v>240</v>
      </c>
      <c r="I402" s="85" t="s">
        <v>40</v>
      </c>
      <c r="J402" s="16">
        <v>45600</v>
      </c>
      <c r="K402" s="82" t="s">
        <v>40</v>
      </c>
      <c r="L402" s="86">
        <v>0.125</v>
      </c>
      <c r="M402" s="86">
        <v>0.05</v>
      </c>
      <c r="N402" s="84"/>
      <c r="O402" s="85" t="s">
        <v>40</v>
      </c>
      <c r="P402" s="81">
        <f t="shared" si="125"/>
        <v>0</v>
      </c>
      <c r="Q402" s="85" t="s">
        <v>40</v>
      </c>
      <c r="R402" s="16">
        <f t="shared" si="126"/>
        <v>0</v>
      </c>
      <c r="S402" s="16">
        <f t="shared" si="124"/>
        <v>0</v>
      </c>
    </row>
    <row r="403" spans="1:19" s="80" customFormat="1">
      <c r="A403" s="79" t="s">
        <v>868</v>
      </c>
      <c r="B403" s="80" t="s">
        <v>18</v>
      </c>
      <c r="C403" s="81"/>
      <c r="D403" s="82" t="s">
        <v>152</v>
      </c>
      <c r="E403" s="83"/>
      <c r="F403" s="84">
        <v>1</v>
      </c>
      <c r="G403" s="85" t="s">
        <v>20</v>
      </c>
      <c r="H403" s="84">
        <v>108</v>
      </c>
      <c r="I403" s="85" t="s">
        <v>40</v>
      </c>
      <c r="J403" s="16">
        <v>51000</v>
      </c>
      <c r="K403" s="82" t="s">
        <v>40</v>
      </c>
      <c r="L403" s="86">
        <v>0.125</v>
      </c>
      <c r="M403" s="86">
        <v>0.05</v>
      </c>
      <c r="N403" s="84"/>
      <c r="O403" s="85" t="s">
        <v>40</v>
      </c>
      <c r="P403" s="81">
        <f t="shared" si="125"/>
        <v>0</v>
      </c>
      <c r="Q403" s="85" t="s">
        <v>40</v>
      </c>
      <c r="R403" s="16">
        <f t="shared" si="126"/>
        <v>0</v>
      </c>
      <c r="S403" s="16">
        <f t="shared" si="124"/>
        <v>0</v>
      </c>
    </row>
    <row r="404" spans="1:19" s="80" customFormat="1">
      <c r="A404" s="79" t="s">
        <v>869</v>
      </c>
      <c r="B404" s="80" t="s">
        <v>18</v>
      </c>
      <c r="C404" s="81"/>
      <c r="D404" s="82" t="s">
        <v>152</v>
      </c>
      <c r="E404" s="83"/>
      <c r="F404" s="84">
        <v>1</v>
      </c>
      <c r="G404" s="85" t="s">
        <v>20</v>
      </c>
      <c r="H404" s="84">
        <v>108</v>
      </c>
      <c r="I404" s="85" t="s">
        <v>40</v>
      </c>
      <c r="J404" s="16">
        <v>55200</v>
      </c>
      <c r="K404" s="82" t="s">
        <v>40</v>
      </c>
      <c r="L404" s="86">
        <v>0.125</v>
      </c>
      <c r="M404" s="86">
        <v>0.05</v>
      </c>
      <c r="N404" s="84"/>
      <c r="O404" s="85" t="s">
        <v>40</v>
      </c>
      <c r="P404" s="81">
        <f t="shared" si="125"/>
        <v>0</v>
      </c>
      <c r="Q404" s="85" t="s">
        <v>40</v>
      </c>
      <c r="R404" s="16">
        <f t="shared" si="126"/>
        <v>0</v>
      </c>
      <c r="S404" s="16">
        <f t="shared" si="124"/>
        <v>0</v>
      </c>
    </row>
    <row r="405" spans="1:19" s="80" customFormat="1">
      <c r="A405" s="79" t="s">
        <v>870</v>
      </c>
      <c r="B405" s="80" t="s">
        <v>18</v>
      </c>
      <c r="C405" s="81"/>
      <c r="D405" s="82" t="s">
        <v>152</v>
      </c>
      <c r="E405" s="83"/>
      <c r="F405" s="84">
        <v>1</v>
      </c>
      <c r="G405" s="85" t="s">
        <v>20</v>
      </c>
      <c r="H405" s="84">
        <v>108</v>
      </c>
      <c r="I405" s="85" t="s">
        <v>40</v>
      </c>
      <c r="J405" s="16">
        <v>60300</v>
      </c>
      <c r="K405" s="82" t="s">
        <v>40</v>
      </c>
      <c r="L405" s="86">
        <v>0.125</v>
      </c>
      <c r="M405" s="86">
        <v>0.05</v>
      </c>
      <c r="N405" s="84"/>
      <c r="O405" s="85" t="s">
        <v>40</v>
      </c>
      <c r="P405" s="81">
        <f t="shared" si="125"/>
        <v>0</v>
      </c>
      <c r="Q405" s="85" t="s">
        <v>40</v>
      </c>
      <c r="R405" s="16">
        <f t="shared" si="126"/>
        <v>0</v>
      </c>
      <c r="S405" s="16">
        <f t="shared" si="124"/>
        <v>0</v>
      </c>
    </row>
    <row r="406" spans="1:19" s="80" customFormat="1">
      <c r="A406" s="79" t="s">
        <v>871</v>
      </c>
      <c r="B406" s="80" t="s">
        <v>18</v>
      </c>
      <c r="C406" s="81"/>
      <c r="D406" s="82" t="s">
        <v>152</v>
      </c>
      <c r="E406" s="83"/>
      <c r="F406" s="84">
        <v>1</v>
      </c>
      <c r="G406" s="85" t="s">
        <v>20</v>
      </c>
      <c r="H406" s="84">
        <v>108</v>
      </c>
      <c r="I406" s="85" t="s">
        <v>40</v>
      </c>
      <c r="J406" s="16">
        <v>65400</v>
      </c>
      <c r="K406" s="82" t="s">
        <v>40</v>
      </c>
      <c r="L406" s="86">
        <v>0.125</v>
      </c>
      <c r="M406" s="86">
        <v>0.05</v>
      </c>
      <c r="N406" s="84"/>
      <c r="O406" s="85" t="s">
        <v>40</v>
      </c>
      <c r="P406" s="81">
        <f t="shared" si="125"/>
        <v>0</v>
      </c>
      <c r="Q406" s="85" t="s">
        <v>40</v>
      </c>
      <c r="R406" s="16">
        <f t="shared" si="126"/>
        <v>0</v>
      </c>
      <c r="S406" s="16">
        <f t="shared" si="124"/>
        <v>0</v>
      </c>
    </row>
    <row r="407" spans="1:19" s="19" customFormat="1">
      <c r="A407" s="18"/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 ht="15.75">
      <c r="A408" s="44" t="s">
        <v>275</v>
      </c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71" t="s">
        <v>276</v>
      </c>
      <c r="C409" s="20"/>
      <c r="D409" s="21"/>
      <c r="E409" s="26"/>
      <c r="F409" s="22"/>
      <c r="G409" s="23"/>
      <c r="H409" s="22"/>
      <c r="I409" s="23"/>
      <c r="J409" s="24"/>
      <c r="K409" s="21"/>
      <c r="L409" s="25"/>
      <c r="M409" s="25"/>
      <c r="N409" s="22"/>
      <c r="O409" s="23"/>
      <c r="P409" s="20"/>
      <c r="Q409" s="23"/>
      <c r="R409" s="24"/>
      <c r="S409" s="24"/>
    </row>
    <row r="410" spans="1:19" s="19" customFormat="1">
      <c r="A410" s="18" t="s">
        <v>277</v>
      </c>
      <c r="B410" s="19" t="s">
        <v>18</v>
      </c>
      <c r="C410" s="20">
        <v>4270</v>
      </c>
      <c r="D410" s="21" t="s">
        <v>278</v>
      </c>
      <c r="E410" s="26">
        <v>14</v>
      </c>
      <c r="F410" s="22">
        <v>100</v>
      </c>
      <c r="G410" s="23" t="s">
        <v>99</v>
      </c>
      <c r="H410" s="22">
        <v>10</v>
      </c>
      <c r="I410" s="23" t="s">
        <v>278</v>
      </c>
      <c r="J410" s="24">
        <v>2050</v>
      </c>
      <c r="K410" s="21" t="s">
        <v>278</v>
      </c>
      <c r="L410" s="25">
        <v>0.125</v>
      </c>
      <c r="M410" s="25">
        <v>0.05</v>
      </c>
      <c r="N410" s="22"/>
      <c r="O410" s="23" t="s">
        <v>278</v>
      </c>
      <c r="P410" s="20">
        <f t="shared" ref="P410:P418" si="127">(C410+(E410*F410*H410))-N410</f>
        <v>18270</v>
      </c>
      <c r="Q410" s="23" t="s">
        <v>278</v>
      </c>
      <c r="R410" s="24">
        <f t="shared" ref="R410:R418" si="128">P410*(J410-(J410*L410)-((J410-(J410*L410))*M410))</f>
        <v>31133221.875</v>
      </c>
      <c r="S410" s="24">
        <f t="shared" si="124"/>
        <v>28047947.635135133</v>
      </c>
    </row>
    <row r="411" spans="1:19" s="19" customFormat="1">
      <c r="A411" s="18" t="s">
        <v>279</v>
      </c>
      <c r="B411" s="19" t="s">
        <v>18</v>
      </c>
      <c r="C411" s="20">
        <v>1300</v>
      </c>
      <c r="D411" s="21" t="s">
        <v>278</v>
      </c>
      <c r="E411" s="26">
        <v>2</v>
      </c>
      <c r="F411" s="22">
        <v>100</v>
      </c>
      <c r="G411" s="23" t="s">
        <v>99</v>
      </c>
      <c r="H411" s="22">
        <v>10</v>
      </c>
      <c r="I411" s="23" t="s">
        <v>278</v>
      </c>
      <c r="J411" s="24">
        <v>3000</v>
      </c>
      <c r="K411" s="21" t="s">
        <v>278</v>
      </c>
      <c r="L411" s="25">
        <v>0.125</v>
      </c>
      <c r="M411" s="25">
        <v>0.05</v>
      </c>
      <c r="N411" s="22"/>
      <c r="O411" s="23" t="s">
        <v>278</v>
      </c>
      <c r="P411" s="20">
        <f t="shared" si="127"/>
        <v>3300</v>
      </c>
      <c r="Q411" s="23" t="s">
        <v>278</v>
      </c>
      <c r="R411" s="24">
        <f t="shared" si="128"/>
        <v>8229375</v>
      </c>
      <c r="S411" s="24">
        <f t="shared" si="124"/>
        <v>7413851.3513513505</v>
      </c>
    </row>
    <row r="412" spans="1:19" s="19" customFormat="1">
      <c r="A412" s="18" t="s">
        <v>280</v>
      </c>
      <c r="B412" s="19" t="s">
        <v>18</v>
      </c>
      <c r="C412" s="20">
        <v>350</v>
      </c>
      <c r="D412" s="21" t="s">
        <v>278</v>
      </c>
      <c r="E412" s="26">
        <v>3</v>
      </c>
      <c r="F412" s="22">
        <v>50</v>
      </c>
      <c r="G412" s="23" t="s">
        <v>99</v>
      </c>
      <c r="H412" s="22">
        <v>10</v>
      </c>
      <c r="I412" s="23" t="s">
        <v>278</v>
      </c>
      <c r="J412" s="24">
        <v>3050</v>
      </c>
      <c r="K412" s="21" t="s">
        <v>278</v>
      </c>
      <c r="L412" s="25">
        <v>0.125</v>
      </c>
      <c r="M412" s="25">
        <v>0.05</v>
      </c>
      <c r="N412" s="22"/>
      <c r="O412" s="23" t="s">
        <v>278</v>
      </c>
      <c r="P412" s="20">
        <f t="shared" si="127"/>
        <v>1850</v>
      </c>
      <c r="Q412" s="23" t="s">
        <v>278</v>
      </c>
      <c r="R412" s="24">
        <f t="shared" si="128"/>
        <v>4690328.125</v>
      </c>
      <c r="S412" s="24">
        <f t="shared" si="124"/>
        <v>4225520.833333333</v>
      </c>
    </row>
    <row r="413" spans="1:19" s="19" customFormat="1">
      <c r="A413" s="18" t="s">
        <v>281</v>
      </c>
      <c r="B413" s="19" t="s">
        <v>18</v>
      </c>
      <c r="C413" s="20">
        <v>850</v>
      </c>
      <c r="D413" s="21" t="s">
        <v>278</v>
      </c>
      <c r="E413" s="26">
        <v>1</v>
      </c>
      <c r="F413" s="22">
        <v>50</v>
      </c>
      <c r="G413" s="23" t="s">
        <v>99</v>
      </c>
      <c r="H413" s="22">
        <v>10</v>
      </c>
      <c r="I413" s="23" t="s">
        <v>278</v>
      </c>
      <c r="J413" s="24">
        <v>4200</v>
      </c>
      <c r="K413" s="21" t="s">
        <v>278</v>
      </c>
      <c r="L413" s="25">
        <v>0.125</v>
      </c>
      <c r="M413" s="25">
        <v>0.05</v>
      </c>
      <c r="N413" s="22"/>
      <c r="O413" s="23" t="s">
        <v>278</v>
      </c>
      <c r="P413" s="20">
        <f t="shared" si="127"/>
        <v>1350</v>
      </c>
      <c r="Q413" s="23" t="s">
        <v>278</v>
      </c>
      <c r="R413" s="24">
        <f t="shared" si="128"/>
        <v>4713187.5</v>
      </c>
      <c r="S413" s="24">
        <f t="shared" si="124"/>
        <v>4246114.8648648644</v>
      </c>
    </row>
    <row r="414" spans="1:19" s="19" customFormat="1">
      <c r="A414" s="56" t="s">
        <v>282</v>
      </c>
      <c r="B414" s="19" t="s">
        <v>18</v>
      </c>
      <c r="C414" s="20">
        <v>2500</v>
      </c>
      <c r="D414" s="21" t="s">
        <v>278</v>
      </c>
      <c r="E414" s="26"/>
      <c r="F414" s="22">
        <v>50</v>
      </c>
      <c r="G414" s="23" t="s">
        <v>99</v>
      </c>
      <c r="H414" s="22">
        <v>10</v>
      </c>
      <c r="I414" s="23" t="s">
        <v>278</v>
      </c>
      <c r="J414" s="24">
        <v>4300</v>
      </c>
      <c r="K414" s="21" t="s">
        <v>278</v>
      </c>
      <c r="L414" s="25">
        <v>0.125</v>
      </c>
      <c r="M414" s="25">
        <v>0.05</v>
      </c>
      <c r="N414" s="22"/>
      <c r="O414" s="23" t="s">
        <v>278</v>
      </c>
      <c r="P414" s="20">
        <f t="shared" si="127"/>
        <v>2500</v>
      </c>
      <c r="Q414" s="23" t="s">
        <v>278</v>
      </c>
      <c r="R414" s="24">
        <f t="shared" si="128"/>
        <v>8935937.5</v>
      </c>
      <c r="S414" s="24">
        <f t="shared" si="124"/>
        <v>8050394.144144143</v>
      </c>
    </row>
    <row r="415" spans="1:19" s="89" customFormat="1">
      <c r="A415" s="147" t="s">
        <v>283</v>
      </c>
      <c r="B415" s="89" t="s">
        <v>18</v>
      </c>
      <c r="C415" s="87"/>
      <c r="D415" s="90" t="s">
        <v>278</v>
      </c>
      <c r="E415" s="91"/>
      <c r="F415" s="92">
        <v>100</v>
      </c>
      <c r="G415" s="93" t="s">
        <v>99</v>
      </c>
      <c r="H415" s="92">
        <v>10</v>
      </c>
      <c r="I415" s="93" t="s">
        <v>278</v>
      </c>
      <c r="J415" s="94">
        <v>3000</v>
      </c>
      <c r="K415" s="90" t="s">
        <v>278</v>
      </c>
      <c r="L415" s="95">
        <v>0.125</v>
      </c>
      <c r="M415" s="95">
        <v>0.05</v>
      </c>
      <c r="N415" s="92"/>
      <c r="O415" s="93" t="s">
        <v>278</v>
      </c>
      <c r="P415" s="87">
        <f t="shared" si="127"/>
        <v>0</v>
      </c>
      <c r="Q415" s="93" t="s">
        <v>278</v>
      </c>
      <c r="R415" s="94">
        <f t="shared" si="128"/>
        <v>0</v>
      </c>
      <c r="S415" s="94">
        <f t="shared" si="124"/>
        <v>0</v>
      </c>
    </row>
    <row r="416" spans="1:19" s="89" customFormat="1">
      <c r="A416" s="147" t="s">
        <v>284</v>
      </c>
      <c r="B416" s="89" t="s">
        <v>18</v>
      </c>
      <c r="C416" s="87"/>
      <c r="D416" s="90" t="s">
        <v>278</v>
      </c>
      <c r="E416" s="91"/>
      <c r="F416" s="92">
        <v>100</v>
      </c>
      <c r="G416" s="93" t="s">
        <v>99</v>
      </c>
      <c r="H416" s="92">
        <v>10</v>
      </c>
      <c r="I416" s="93" t="s">
        <v>278</v>
      </c>
      <c r="J416" s="94">
        <v>3000</v>
      </c>
      <c r="K416" s="90" t="s">
        <v>278</v>
      </c>
      <c r="L416" s="95">
        <v>0.125</v>
      </c>
      <c r="M416" s="95">
        <v>0.05</v>
      </c>
      <c r="N416" s="92"/>
      <c r="O416" s="93" t="s">
        <v>278</v>
      </c>
      <c r="P416" s="87">
        <f t="shared" si="127"/>
        <v>0</v>
      </c>
      <c r="Q416" s="93" t="s">
        <v>278</v>
      </c>
      <c r="R416" s="94">
        <f t="shared" si="128"/>
        <v>0</v>
      </c>
      <c r="S416" s="94">
        <f t="shared" si="124"/>
        <v>0</v>
      </c>
    </row>
    <row r="417" spans="1:19" s="89" customFormat="1">
      <c r="A417" s="147" t="s">
        <v>285</v>
      </c>
      <c r="B417" s="89" t="s">
        <v>18</v>
      </c>
      <c r="C417" s="87"/>
      <c r="D417" s="90" t="s">
        <v>278</v>
      </c>
      <c r="E417" s="91"/>
      <c r="F417" s="92">
        <v>50</v>
      </c>
      <c r="G417" s="93" t="s">
        <v>99</v>
      </c>
      <c r="H417" s="92">
        <v>10</v>
      </c>
      <c r="I417" s="93" t="s">
        <v>278</v>
      </c>
      <c r="J417" s="94">
        <v>4300</v>
      </c>
      <c r="K417" s="90" t="s">
        <v>278</v>
      </c>
      <c r="L417" s="95">
        <v>0.125</v>
      </c>
      <c r="M417" s="95">
        <v>0.05</v>
      </c>
      <c r="N417" s="92"/>
      <c r="O417" s="93" t="s">
        <v>278</v>
      </c>
      <c r="P417" s="87">
        <f t="shared" si="127"/>
        <v>0</v>
      </c>
      <c r="Q417" s="93" t="s">
        <v>278</v>
      </c>
      <c r="R417" s="94">
        <f t="shared" si="128"/>
        <v>0</v>
      </c>
      <c r="S417" s="94">
        <f t="shared" si="124"/>
        <v>0</v>
      </c>
    </row>
    <row r="418" spans="1:19" s="89" customFormat="1">
      <c r="A418" s="147" t="s">
        <v>286</v>
      </c>
      <c r="B418" s="89" t="s">
        <v>18</v>
      </c>
      <c r="C418" s="87"/>
      <c r="D418" s="90" t="s">
        <v>99</v>
      </c>
      <c r="E418" s="91"/>
      <c r="F418" s="92">
        <v>1</v>
      </c>
      <c r="G418" s="93" t="s">
        <v>20</v>
      </c>
      <c r="H418" s="92">
        <v>50</v>
      </c>
      <c r="I418" s="93" t="s">
        <v>99</v>
      </c>
      <c r="J418" s="94">
        <v>15500</v>
      </c>
      <c r="K418" s="90" t="s">
        <v>99</v>
      </c>
      <c r="L418" s="95">
        <v>0.125</v>
      </c>
      <c r="M418" s="95">
        <v>0.05</v>
      </c>
      <c r="N418" s="92"/>
      <c r="O418" s="93" t="s">
        <v>99</v>
      </c>
      <c r="P418" s="87">
        <f t="shared" si="127"/>
        <v>0</v>
      </c>
      <c r="Q418" s="93" t="s">
        <v>99</v>
      </c>
      <c r="R418" s="94">
        <f t="shared" si="128"/>
        <v>0</v>
      </c>
      <c r="S418" s="94">
        <f t="shared" si="124"/>
        <v>0</v>
      </c>
    </row>
    <row r="419" spans="1:19" s="19" customFormat="1">
      <c r="A419" s="48"/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18" t="s">
        <v>287</v>
      </c>
      <c r="B420" s="19" t="s">
        <v>25</v>
      </c>
      <c r="C420" s="20">
        <v>290</v>
      </c>
      <c r="D420" s="21" t="s">
        <v>288</v>
      </c>
      <c r="E420" s="26">
        <v>5</v>
      </c>
      <c r="F420" s="22">
        <v>1</v>
      </c>
      <c r="G420" s="23" t="s">
        <v>20</v>
      </c>
      <c r="H420" s="22">
        <v>50</v>
      </c>
      <c r="I420" s="23" t="s">
        <v>288</v>
      </c>
      <c r="J420" s="24">
        <f>1050000/50</f>
        <v>21000</v>
      </c>
      <c r="K420" s="21" t="s">
        <v>288</v>
      </c>
      <c r="L420" s="25"/>
      <c r="M420" s="25">
        <v>0.17</v>
      </c>
      <c r="N420" s="22"/>
      <c r="O420" s="23" t="s">
        <v>288</v>
      </c>
      <c r="P420" s="20">
        <f>(C420+(E420*F420*H420))-N420</f>
        <v>540</v>
      </c>
      <c r="Q420" s="23" t="s">
        <v>288</v>
      </c>
      <c r="R420" s="24">
        <f>P420*(J420-(J420*L420)-((J420-(J420*L420))*M420))</f>
        <v>9412200</v>
      </c>
      <c r="S420" s="24">
        <f t="shared" si="124"/>
        <v>8479459.4594594594</v>
      </c>
    </row>
    <row r="421" spans="1:19" s="19" customFormat="1">
      <c r="A421" s="18" t="s">
        <v>289</v>
      </c>
      <c r="B421" s="19" t="s">
        <v>25</v>
      </c>
      <c r="C421" s="20">
        <v>175</v>
      </c>
      <c r="D421" s="21" t="s">
        <v>288</v>
      </c>
      <c r="E421" s="26"/>
      <c r="F421" s="22">
        <v>1</v>
      </c>
      <c r="G421" s="23" t="s">
        <v>20</v>
      </c>
      <c r="H421" s="22">
        <v>50</v>
      </c>
      <c r="I421" s="23" t="s">
        <v>288</v>
      </c>
      <c r="J421" s="24">
        <f>1350000/50</f>
        <v>27000</v>
      </c>
      <c r="K421" s="21" t="s">
        <v>288</v>
      </c>
      <c r="L421" s="25"/>
      <c r="M421" s="25">
        <v>0.17</v>
      </c>
      <c r="N421" s="22"/>
      <c r="O421" s="23" t="s">
        <v>288</v>
      </c>
      <c r="P421" s="20">
        <f>(C421+(E421*F421*H421))-N421</f>
        <v>175</v>
      </c>
      <c r="Q421" s="23" t="s">
        <v>288</v>
      </c>
      <c r="R421" s="24">
        <f>P421*(J421-(J421*L421)-((J421-(J421*L421))*M421))</f>
        <v>3921750</v>
      </c>
      <c r="S421" s="24">
        <f t="shared" si="124"/>
        <v>3533108.1081081079</v>
      </c>
    </row>
    <row r="422" spans="1:19" s="19" customFormat="1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>
      <c r="A423" s="71" t="s">
        <v>290</v>
      </c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19" customFormat="1">
      <c r="A424" s="18" t="s">
        <v>291</v>
      </c>
      <c r="B424" s="19" t="s">
        <v>18</v>
      </c>
      <c r="C424" s="20">
        <v>2</v>
      </c>
      <c r="D424" s="21" t="s">
        <v>19</v>
      </c>
      <c r="E424" s="26">
        <v>11</v>
      </c>
      <c r="F424" s="22">
        <v>1</v>
      </c>
      <c r="G424" s="23" t="s">
        <v>20</v>
      </c>
      <c r="H424" s="22">
        <v>20</v>
      </c>
      <c r="I424" s="23" t="s">
        <v>19</v>
      </c>
      <c r="J424" s="24">
        <v>40500</v>
      </c>
      <c r="K424" s="21" t="s">
        <v>19</v>
      </c>
      <c r="L424" s="25">
        <v>0.125</v>
      </c>
      <c r="M424" s="25">
        <v>0.05</v>
      </c>
      <c r="N424" s="22"/>
      <c r="O424" s="23" t="s">
        <v>19</v>
      </c>
      <c r="P424" s="20">
        <f>(C424+(E424*F424*H424))-N424</f>
        <v>222</v>
      </c>
      <c r="Q424" s="23" t="s">
        <v>19</v>
      </c>
      <c r="R424" s="24">
        <f>P424*(J424-(J424*L424)-((J424-(J424*L424))*M424))</f>
        <v>7473768.75</v>
      </c>
      <c r="S424" s="24">
        <f t="shared" si="124"/>
        <v>6733124.9999999991</v>
      </c>
    </row>
    <row r="425" spans="1:19" s="106" customFormat="1">
      <c r="A425" s="98" t="s">
        <v>872</v>
      </c>
      <c r="B425" s="106" t="s">
        <v>18</v>
      </c>
      <c r="C425" s="107">
        <v>8</v>
      </c>
      <c r="D425" s="108" t="s">
        <v>19</v>
      </c>
      <c r="E425" s="109"/>
      <c r="F425" s="110">
        <v>1</v>
      </c>
      <c r="G425" s="111" t="s">
        <v>20</v>
      </c>
      <c r="H425" s="110">
        <v>20</v>
      </c>
      <c r="I425" s="111" t="s">
        <v>19</v>
      </c>
      <c r="J425" s="112">
        <v>94500</v>
      </c>
      <c r="K425" s="108" t="s">
        <v>19</v>
      </c>
      <c r="L425" s="113">
        <v>0.125</v>
      </c>
      <c r="M425" s="113">
        <v>0.05</v>
      </c>
      <c r="N425" s="110"/>
      <c r="O425" s="111" t="s">
        <v>19</v>
      </c>
      <c r="P425" s="107">
        <f>(C425+(E425*F425*H425))-N425</f>
        <v>8</v>
      </c>
      <c r="Q425" s="111" t="s">
        <v>19</v>
      </c>
      <c r="R425" s="112">
        <f>P425*(J425-(J425*L425)-((J425-(J425*L425))*M425))</f>
        <v>628425</v>
      </c>
      <c r="S425" s="112">
        <f t="shared" si="124"/>
        <v>566148.64864864864</v>
      </c>
    </row>
    <row r="426" spans="1:19" s="19" customFormat="1">
      <c r="A426" s="18"/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19" customFormat="1">
      <c r="A427" s="18" t="s">
        <v>292</v>
      </c>
      <c r="B427" s="19" t="s">
        <v>25</v>
      </c>
      <c r="C427" s="20">
        <v>34</v>
      </c>
      <c r="D427" s="21" t="s">
        <v>19</v>
      </c>
      <c r="E427" s="26">
        <v>4</v>
      </c>
      <c r="F427" s="22">
        <v>1</v>
      </c>
      <c r="G427" s="23" t="s">
        <v>20</v>
      </c>
      <c r="H427" s="22">
        <v>50</v>
      </c>
      <c r="I427" s="23" t="s">
        <v>19</v>
      </c>
      <c r="J427" s="24">
        <f>2250000/50</f>
        <v>45000</v>
      </c>
      <c r="K427" s="21" t="s">
        <v>19</v>
      </c>
      <c r="L427" s="25"/>
      <c r="M427" s="25">
        <v>0.17</v>
      </c>
      <c r="N427" s="22"/>
      <c r="O427" s="23" t="s">
        <v>19</v>
      </c>
      <c r="P427" s="20">
        <f>(C427+(E427*F427*H427))-N427</f>
        <v>234</v>
      </c>
      <c r="Q427" s="23" t="s">
        <v>19</v>
      </c>
      <c r="R427" s="24">
        <f>P427*(J427-(J427*L427)-((J427-(J427*L427))*M427))</f>
        <v>8739900</v>
      </c>
      <c r="S427" s="24">
        <f t="shared" si="124"/>
        <v>7873783.7837837832</v>
      </c>
    </row>
    <row r="428" spans="1:19" s="19" customFormat="1">
      <c r="A428" s="18" t="s">
        <v>293</v>
      </c>
      <c r="B428" s="19" t="s">
        <v>25</v>
      </c>
      <c r="C428" s="20"/>
      <c r="D428" s="21" t="s">
        <v>19</v>
      </c>
      <c r="E428" s="26">
        <v>1</v>
      </c>
      <c r="F428" s="22">
        <v>1</v>
      </c>
      <c r="G428" s="23" t="s">
        <v>20</v>
      </c>
      <c r="H428" s="22">
        <v>50</v>
      </c>
      <c r="I428" s="23" t="s">
        <v>19</v>
      </c>
      <c r="J428" s="24">
        <f>2750000/50</f>
        <v>55000</v>
      </c>
      <c r="K428" s="21" t="s">
        <v>19</v>
      </c>
      <c r="L428" s="25"/>
      <c r="M428" s="25">
        <v>0.17</v>
      </c>
      <c r="N428" s="22"/>
      <c r="O428" s="23" t="s">
        <v>19</v>
      </c>
      <c r="P428" s="20">
        <f>(C428+(E428*F428*H428))-N428</f>
        <v>50</v>
      </c>
      <c r="Q428" s="23" t="s">
        <v>19</v>
      </c>
      <c r="R428" s="24">
        <f>P428*(J428-(J428*L428)-((J428-(J428*L428))*M428))</f>
        <v>2282500</v>
      </c>
      <c r="S428" s="24">
        <f t="shared" si="124"/>
        <v>2056306.306306306</v>
      </c>
    </row>
    <row r="429" spans="1:19" s="19" customFormat="1">
      <c r="A429" s="49" t="s">
        <v>294</v>
      </c>
      <c r="B429" s="19" t="s">
        <v>25</v>
      </c>
      <c r="C429" s="20">
        <v>54</v>
      </c>
      <c r="D429" s="21" t="s">
        <v>19</v>
      </c>
      <c r="E429" s="26">
        <v>1</v>
      </c>
      <c r="F429" s="22">
        <v>1</v>
      </c>
      <c r="G429" s="23" t="s">
        <v>20</v>
      </c>
      <c r="H429" s="22">
        <v>50</v>
      </c>
      <c r="I429" s="23" t="s">
        <v>19</v>
      </c>
      <c r="J429" s="24">
        <f>4750000/50</f>
        <v>95000</v>
      </c>
      <c r="K429" s="21" t="s">
        <v>19</v>
      </c>
      <c r="L429" s="25"/>
      <c r="M429" s="25">
        <v>0.17</v>
      </c>
      <c r="N429" s="22"/>
      <c r="O429" s="23" t="s">
        <v>19</v>
      </c>
      <c r="P429" s="20">
        <f>(C429+(E429*F429*H429))-N429</f>
        <v>104</v>
      </c>
      <c r="Q429" s="23" t="s">
        <v>19</v>
      </c>
      <c r="R429" s="24">
        <f>P429*(J429-(J429*L429)-((J429-(J429*L429))*M429))</f>
        <v>8200400</v>
      </c>
      <c r="S429" s="24">
        <f t="shared" si="124"/>
        <v>7387747.7477477472</v>
      </c>
    </row>
    <row r="430" spans="1:19" s="19" customFormat="1">
      <c r="A430" s="18"/>
      <c r="C430" s="20"/>
      <c r="D430" s="21"/>
      <c r="E430" s="26"/>
      <c r="F430" s="22"/>
      <c r="G430" s="23"/>
      <c r="H430" s="22"/>
      <c r="I430" s="23"/>
      <c r="J430" s="24"/>
      <c r="K430" s="21"/>
      <c r="L430" s="25"/>
      <c r="M430" s="25"/>
      <c r="N430" s="22"/>
      <c r="O430" s="23"/>
      <c r="P430" s="20"/>
      <c r="Q430" s="23"/>
      <c r="R430" s="24"/>
      <c r="S430" s="24"/>
    </row>
    <row r="431" spans="1:19" s="19" customFormat="1" ht="15.75">
      <c r="A431" s="44" t="s">
        <v>295</v>
      </c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89" customFormat="1">
      <c r="A432" s="88" t="s">
        <v>787</v>
      </c>
      <c r="B432" s="89" t="s">
        <v>18</v>
      </c>
      <c r="C432" s="87"/>
      <c r="D432" s="90" t="s">
        <v>99</v>
      </c>
      <c r="E432" s="91"/>
      <c r="F432" s="92">
        <v>1</v>
      </c>
      <c r="G432" s="93" t="s">
        <v>20</v>
      </c>
      <c r="H432" s="92">
        <v>10</v>
      </c>
      <c r="I432" s="93" t="s">
        <v>99</v>
      </c>
      <c r="J432" s="94">
        <v>85000</v>
      </c>
      <c r="K432" s="90" t="s">
        <v>99</v>
      </c>
      <c r="L432" s="95">
        <v>0.125</v>
      </c>
      <c r="M432" s="95">
        <v>0.05</v>
      </c>
      <c r="N432" s="92"/>
      <c r="O432" s="93" t="s">
        <v>99</v>
      </c>
      <c r="P432" s="87">
        <f>(C432+(E432*F432*H432))-N432</f>
        <v>0</v>
      </c>
      <c r="Q432" s="93" t="s">
        <v>99</v>
      </c>
      <c r="R432" s="94">
        <f>P432*(J432-(J432*L432)-((J432-(J432*L432))*M432))</f>
        <v>0</v>
      </c>
      <c r="S432" s="94">
        <f t="shared" ref="S432:S433" si="129">R432/1.11</f>
        <v>0</v>
      </c>
    </row>
    <row r="433" spans="1:19" s="89" customFormat="1">
      <c r="A433" s="165" t="s">
        <v>296</v>
      </c>
      <c r="B433" s="89" t="s">
        <v>18</v>
      </c>
      <c r="C433" s="87"/>
      <c r="D433" s="90" t="s">
        <v>99</v>
      </c>
      <c r="E433" s="91">
        <v>2</v>
      </c>
      <c r="F433" s="92">
        <v>1</v>
      </c>
      <c r="G433" s="93" t="s">
        <v>20</v>
      </c>
      <c r="H433" s="92">
        <v>10</v>
      </c>
      <c r="I433" s="93" t="s">
        <v>99</v>
      </c>
      <c r="J433" s="94">
        <v>95000</v>
      </c>
      <c r="K433" s="90" t="s">
        <v>99</v>
      </c>
      <c r="L433" s="95">
        <v>0.125</v>
      </c>
      <c r="M433" s="95">
        <v>0.05</v>
      </c>
      <c r="N433" s="92"/>
      <c r="O433" s="93" t="s">
        <v>99</v>
      </c>
      <c r="P433" s="87">
        <f>(C433+(E433*F433*H433))-N433</f>
        <v>20</v>
      </c>
      <c r="Q433" s="93" t="s">
        <v>99</v>
      </c>
      <c r="R433" s="94">
        <f>P433*(J433-(J433*L433)-((J433-(J433*L433))*M433))</f>
        <v>1579375</v>
      </c>
      <c r="S433" s="94">
        <f t="shared" si="129"/>
        <v>1422860.3603603602</v>
      </c>
    </row>
    <row r="434" spans="1:19" s="89" customFormat="1">
      <c r="A434" s="88" t="s">
        <v>296</v>
      </c>
      <c r="B434" s="89" t="s">
        <v>18</v>
      </c>
      <c r="C434" s="87"/>
      <c r="D434" s="90" t="s">
        <v>99</v>
      </c>
      <c r="E434" s="91"/>
      <c r="F434" s="92">
        <v>1</v>
      </c>
      <c r="G434" s="93" t="s">
        <v>20</v>
      </c>
      <c r="H434" s="92">
        <v>10</v>
      </c>
      <c r="I434" s="93" t="s">
        <v>99</v>
      </c>
      <c r="J434" s="94">
        <v>104000</v>
      </c>
      <c r="K434" s="90" t="s">
        <v>99</v>
      </c>
      <c r="L434" s="95">
        <v>0.125</v>
      </c>
      <c r="M434" s="95">
        <v>0.05</v>
      </c>
      <c r="N434" s="92"/>
      <c r="O434" s="93" t="s">
        <v>99</v>
      </c>
      <c r="P434" s="87">
        <f>(C434+(E434*F434*H434))-N434</f>
        <v>0</v>
      </c>
      <c r="Q434" s="93" t="s">
        <v>99</v>
      </c>
      <c r="R434" s="94">
        <f>P434*(J434-(J434*L434)-((J434-(J434*L434))*M434))</f>
        <v>0</v>
      </c>
      <c r="S434" s="94">
        <f t="shared" si="124"/>
        <v>0</v>
      </c>
    </row>
    <row r="435" spans="1:19" s="19" customFormat="1">
      <c r="A435" s="18"/>
      <c r="C435" s="20"/>
      <c r="D435" s="21"/>
      <c r="E435" s="26"/>
      <c r="F435" s="22"/>
      <c r="G435" s="23"/>
      <c r="H435" s="22"/>
      <c r="I435" s="23"/>
      <c r="J435" s="24"/>
      <c r="K435" s="21"/>
      <c r="L435" s="25"/>
      <c r="M435" s="25"/>
      <c r="N435" s="22"/>
      <c r="O435" s="23"/>
      <c r="P435" s="20"/>
      <c r="Q435" s="23"/>
      <c r="R435" s="24"/>
      <c r="S435" s="24"/>
    </row>
    <row r="436" spans="1:19" s="19" customFormat="1">
      <c r="A436" s="18" t="s">
        <v>297</v>
      </c>
      <c r="B436" s="19" t="s">
        <v>25</v>
      </c>
      <c r="C436" s="20">
        <v>100</v>
      </c>
      <c r="D436" s="21" t="s">
        <v>99</v>
      </c>
      <c r="E436" s="26">
        <v>10</v>
      </c>
      <c r="F436" s="22">
        <v>1</v>
      </c>
      <c r="G436" s="23" t="s">
        <v>20</v>
      </c>
      <c r="H436" s="22">
        <v>10</v>
      </c>
      <c r="I436" s="23" t="s">
        <v>99</v>
      </c>
      <c r="J436" s="24">
        <f>1150000/10</f>
        <v>115000</v>
      </c>
      <c r="K436" s="21" t="s">
        <v>99</v>
      </c>
      <c r="L436" s="25"/>
      <c r="M436" s="25">
        <v>0.17</v>
      </c>
      <c r="N436" s="22"/>
      <c r="O436" s="23" t="s">
        <v>99</v>
      </c>
      <c r="P436" s="20">
        <f>(C436+(E436*F436*H436))-N436</f>
        <v>200</v>
      </c>
      <c r="Q436" s="23" t="s">
        <v>99</v>
      </c>
      <c r="R436" s="24">
        <f>P436*(J436-(J436*L436)-((J436-(J436*L436))*M436))</f>
        <v>19090000</v>
      </c>
      <c r="S436" s="24">
        <f t="shared" si="124"/>
        <v>17198198.198198196</v>
      </c>
    </row>
    <row r="437" spans="1:19" s="19" customFormat="1">
      <c r="A437" s="18"/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 ht="15.75">
      <c r="A438" s="44" t="s">
        <v>298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>
      <c r="A439" s="71" t="s">
        <v>299</v>
      </c>
      <c r="C439" s="20"/>
      <c r="D439" s="21"/>
      <c r="E439" s="26"/>
      <c r="F439" s="22"/>
      <c r="G439" s="23"/>
      <c r="H439" s="22"/>
      <c r="I439" s="23"/>
      <c r="J439" s="24"/>
      <c r="K439" s="21"/>
      <c r="L439" s="25"/>
      <c r="M439" s="25"/>
      <c r="N439" s="22"/>
      <c r="O439" s="23"/>
      <c r="P439" s="20"/>
      <c r="Q439" s="23"/>
      <c r="R439" s="24"/>
      <c r="S439" s="24"/>
    </row>
    <row r="440" spans="1:19" s="89" customFormat="1">
      <c r="A440" s="88" t="s">
        <v>300</v>
      </c>
      <c r="B440" s="89" t="s">
        <v>18</v>
      </c>
      <c r="C440" s="87"/>
      <c r="D440" s="90" t="s">
        <v>40</v>
      </c>
      <c r="E440" s="91"/>
      <c r="F440" s="92">
        <v>48</v>
      </c>
      <c r="G440" s="93" t="s">
        <v>33</v>
      </c>
      <c r="H440" s="92">
        <v>1</v>
      </c>
      <c r="I440" s="93" t="s">
        <v>40</v>
      </c>
      <c r="J440" s="94">
        <f>1625*12</f>
        <v>19500</v>
      </c>
      <c r="K440" s="90" t="s">
        <v>40</v>
      </c>
      <c r="L440" s="95">
        <v>0.125</v>
      </c>
      <c r="M440" s="95">
        <v>0.05</v>
      </c>
      <c r="N440" s="92"/>
      <c r="O440" s="93" t="s">
        <v>40</v>
      </c>
      <c r="P440" s="87">
        <f t="shared" ref="P440:P445" si="130">(C440+(E440*F440*H440))-N440</f>
        <v>0</v>
      </c>
      <c r="Q440" s="93" t="s">
        <v>40</v>
      </c>
      <c r="R440" s="94">
        <f t="shared" ref="R440:R445" si="131">P440*(J440-(J440*L440)-((J440-(J440*L440))*M440))</f>
        <v>0</v>
      </c>
      <c r="S440" s="94">
        <f t="shared" si="124"/>
        <v>0</v>
      </c>
    </row>
    <row r="441" spans="1:19" s="19" customFormat="1">
      <c r="A441" s="18" t="s">
        <v>723</v>
      </c>
      <c r="B441" s="19" t="s">
        <v>18</v>
      </c>
      <c r="C441" s="20">
        <v>16</v>
      </c>
      <c r="D441" s="21" t="s">
        <v>40</v>
      </c>
      <c r="E441" s="26"/>
      <c r="F441" s="22">
        <v>24</v>
      </c>
      <c r="G441" s="23" t="s">
        <v>33</v>
      </c>
      <c r="H441" s="22">
        <v>1</v>
      </c>
      <c r="I441" s="23" t="s">
        <v>40</v>
      </c>
      <c r="J441" s="24">
        <f>2500*12</f>
        <v>30000</v>
      </c>
      <c r="K441" s="21" t="s">
        <v>40</v>
      </c>
      <c r="L441" s="25">
        <v>0.125</v>
      </c>
      <c r="M441" s="25">
        <v>0.05</v>
      </c>
      <c r="N441" s="22"/>
      <c r="O441" s="23" t="s">
        <v>40</v>
      </c>
      <c r="P441" s="20">
        <f t="shared" si="130"/>
        <v>16</v>
      </c>
      <c r="Q441" s="23" t="s">
        <v>40</v>
      </c>
      <c r="R441" s="24">
        <f t="shared" si="131"/>
        <v>399000</v>
      </c>
      <c r="S441" s="24">
        <f t="shared" si="124"/>
        <v>359459.45945945941</v>
      </c>
    </row>
    <row r="442" spans="1:19" s="19" customFormat="1">
      <c r="A442" s="48" t="s">
        <v>301</v>
      </c>
      <c r="B442" s="19" t="s">
        <v>18</v>
      </c>
      <c r="C442" s="20"/>
      <c r="D442" s="21" t="s">
        <v>40</v>
      </c>
      <c r="E442" s="26">
        <v>2</v>
      </c>
      <c r="F442" s="22">
        <v>48</v>
      </c>
      <c r="G442" s="23" t="s">
        <v>33</v>
      </c>
      <c r="H442" s="22">
        <v>1</v>
      </c>
      <c r="I442" s="23" t="s">
        <v>40</v>
      </c>
      <c r="J442" s="24">
        <f>1550*12</f>
        <v>18600</v>
      </c>
      <c r="K442" s="21" t="s">
        <v>40</v>
      </c>
      <c r="L442" s="25">
        <v>0.125</v>
      </c>
      <c r="M442" s="25">
        <v>0.05</v>
      </c>
      <c r="N442" s="22"/>
      <c r="O442" s="23" t="s">
        <v>40</v>
      </c>
      <c r="P442" s="20">
        <f t="shared" si="130"/>
        <v>96</v>
      </c>
      <c r="Q442" s="23" t="s">
        <v>40</v>
      </c>
      <c r="R442" s="24">
        <f t="shared" si="131"/>
        <v>1484280</v>
      </c>
      <c r="S442" s="24">
        <f t="shared" si="124"/>
        <v>1337189.1891891891</v>
      </c>
    </row>
    <row r="443" spans="1:19" s="19" customFormat="1">
      <c r="A443" s="48" t="s">
        <v>302</v>
      </c>
      <c r="B443" s="19" t="s">
        <v>18</v>
      </c>
      <c r="C443" s="20">
        <v>24</v>
      </c>
      <c r="D443" s="21" t="s">
        <v>40</v>
      </c>
      <c r="E443" s="26">
        <v>3</v>
      </c>
      <c r="F443" s="22">
        <v>24</v>
      </c>
      <c r="G443" s="23" t="s">
        <v>33</v>
      </c>
      <c r="H443" s="22">
        <v>1</v>
      </c>
      <c r="I443" s="23" t="s">
        <v>40</v>
      </c>
      <c r="J443" s="24">
        <f>2150*12</f>
        <v>25800</v>
      </c>
      <c r="K443" s="21" t="s">
        <v>40</v>
      </c>
      <c r="L443" s="25">
        <v>0.125</v>
      </c>
      <c r="M443" s="25">
        <v>0.05</v>
      </c>
      <c r="N443" s="22"/>
      <c r="O443" s="23" t="s">
        <v>40</v>
      </c>
      <c r="P443" s="20">
        <f t="shared" si="130"/>
        <v>96</v>
      </c>
      <c r="Q443" s="23" t="s">
        <v>40</v>
      </c>
      <c r="R443" s="24">
        <f t="shared" si="131"/>
        <v>2058840</v>
      </c>
      <c r="S443" s="24">
        <f t="shared" si="124"/>
        <v>1854810.8108108107</v>
      </c>
    </row>
    <row r="444" spans="1:19" s="19" customFormat="1">
      <c r="A444" s="48" t="s">
        <v>828</v>
      </c>
      <c r="B444" s="19" t="s">
        <v>18</v>
      </c>
      <c r="C444" s="20"/>
      <c r="D444" s="21" t="s">
        <v>40</v>
      </c>
      <c r="E444" s="26">
        <v>1</v>
      </c>
      <c r="F444" s="22">
        <v>24</v>
      </c>
      <c r="G444" s="23" t="s">
        <v>33</v>
      </c>
      <c r="H444" s="22">
        <v>1</v>
      </c>
      <c r="I444" s="23" t="s">
        <v>40</v>
      </c>
      <c r="J444" s="24">
        <v>31200</v>
      </c>
      <c r="K444" s="21" t="s">
        <v>40</v>
      </c>
      <c r="L444" s="25">
        <v>0.125</v>
      </c>
      <c r="M444" s="25">
        <v>0.05</v>
      </c>
      <c r="N444" s="22"/>
      <c r="O444" s="23" t="s">
        <v>40</v>
      </c>
      <c r="P444" s="20">
        <f t="shared" si="130"/>
        <v>24</v>
      </c>
      <c r="Q444" s="23" t="s">
        <v>40</v>
      </c>
      <c r="R444" s="24">
        <f t="shared" si="131"/>
        <v>622440</v>
      </c>
      <c r="S444" s="24">
        <f t="shared" ref="S444" si="132">R444/1.11</f>
        <v>560756.75675675669</v>
      </c>
    </row>
    <row r="445" spans="1:19" s="89" customFormat="1">
      <c r="A445" s="88" t="s">
        <v>303</v>
      </c>
      <c r="B445" s="89" t="s">
        <v>18</v>
      </c>
      <c r="C445" s="87"/>
      <c r="D445" s="90" t="s">
        <v>40</v>
      </c>
      <c r="E445" s="91"/>
      <c r="F445" s="92">
        <v>24</v>
      </c>
      <c r="G445" s="93" t="s">
        <v>33</v>
      </c>
      <c r="H445" s="92">
        <v>1</v>
      </c>
      <c r="I445" s="93" t="s">
        <v>40</v>
      </c>
      <c r="J445" s="94">
        <f>3000*12</f>
        <v>36000</v>
      </c>
      <c r="K445" s="90" t="s">
        <v>40</v>
      </c>
      <c r="L445" s="95">
        <v>0.125</v>
      </c>
      <c r="M445" s="95">
        <v>0.05</v>
      </c>
      <c r="N445" s="92"/>
      <c r="O445" s="93" t="s">
        <v>40</v>
      </c>
      <c r="P445" s="87">
        <f t="shared" si="130"/>
        <v>0</v>
      </c>
      <c r="Q445" s="93" t="s">
        <v>40</v>
      </c>
      <c r="R445" s="94">
        <f t="shared" si="131"/>
        <v>0</v>
      </c>
      <c r="S445" s="94">
        <f t="shared" si="124"/>
        <v>0</v>
      </c>
    </row>
    <row r="446" spans="1:19" s="19" customFormat="1">
      <c r="A446" s="18"/>
      <c r="C446" s="20"/>
      <c r="D446" s="21"/>
      <c r="E446" s="26"/>
      <c r="F446" s="22"/>
      <c r="G446" s="23"/>
      <c r="H446" s="22"/>
      <c r="I446" s="23"/>
      <c r="J446" s="24"/>
      <c r="K446" s="21"/>
      <c r="L446" s="25"/>
      <c r="M446" s="25"/>
      <c r="N446" s="22"/>
      <c r="O446" s="23"/>
      <c r="P446" s="20"/>
      <c r="Q446" s="23"/>
      <c r="R446" s="24"/>
      <c r="S446" s="24"/>
    </row>
    <row r="447" spans="1:19" s="19" customFormat="1">
      <c r="A447" s="18" t="s">
        <v>304</v>
      </c>
      <c r="B447" s="19" t="s">
        <v>25</v>
      </c>
      <c r="C447" s="20">
        <v>40</v>
      </c>
      <c r="D447" s="21" t="s">
        <v>40</v>
      </c>
      <c r="E447" s="26">
        <v>8</v>
      </c>
      <c r="F447" s="22">
        <v>1</v>
      </c>
      <c r="G447" s="23" t="s">
        <v>20</v>
      </c>
      <c r="H447" s="22">
        <v>20</v>
      </c>
      <c r="I447" s="23" t="s">
        <v>40</v>
      </c>
      <c r="J447" s="24">
        <f>396000/20</f>
        <v>19800</v>
      </c>
      <c r="K447" s="21" t="s">
        <v>40</v>
      </c>
      <c r="L447" s="25"/>
      <c r="M447" s="25">
        <v>0.17</v>
      </c>
      <c r="N447" s="22"/>
      <c r="O447" s="23" t="s">
        <v>40</v>
      </c>
      <c r="P447" s="20">
        <f>(C447+(E447*F447*H447))-N447</f>
        <v>200</v>
      </c>
      <c r="Q447" s="23" t="s">
        <v>40</v>
      </c>
      <c r="R447" s="24">
        <f>P447*(J447-(J447*L447)-((J447-(J447*L447))*M447))</f>
        <v>3286800</v>
      </c>
      <c r="S447" s="24">
        <f t="shared" si="124"/>
        <v>2961081.0810810807</v>
      </c>
    </row>
    <row r="448" spans="1:19" s="19" customFormat="1">
      <c r="A448" s="18" t="s">
        <v>305</v>
      </c>
      <c r="B448" s="19" t="s">
        <v>25</v>
      </c>
      <c r="C448" s="20">
        <v>29</v>
      </c>
      <c r="D448" s="21" t="s">
        <v>40</v>
      </c>
      <c r="E448" s="26">
        <v>3</v>
      </c>
      <c r="F448" s="22">
        <v>1</v>
      </c>
      <c r="G448" s="23" t="s">
        <v>20</v>
      </c>
      <c r="H448" s="22">
        <v>20</v>
      </c>
      <c r="I448" s="23" t="s">
        <v>40</v>
      </c>
      <c r="J448" s="24">
        <f>504000/20</f>
        <v>25200</v>
      </c>
      <c r="K448" s="21" t="s">
        <v>40</v>
      </c>
      <c r="L448" s="25"/>
      <c r="M448" s="25">
        <v>0.17</v>
      </c>
      <c r="N448" s="22"/>
      <c r="O448" s="23" t="s">
        <v>40</v>
      </c>
      <c r="P448" s="20">
        <f>(C448+(E448*F448*H448))-N448</f>
        <v>89</v>
      </c>
      <c r="Q448" s="23" t="s">
        <v>40</v>
      </c>
      <c r="R448" s="24">
        <f>P448*(J448-(J448*L448)-((J448-(J448*L448))*M448))</f>
        <v>1861524</v>
      </c>
      <c r="S448" s="24">
        <f t="shared" si="124"/>
        <v>1677048.6486486485</v>
      </c>
    </row>
    <row r="449" spans="1:19" s="89" customFormat="1">
      <c r="A449" s="88" t="s">
        <v>306</v>
      </c>
      <c r="B449" s="89" t="s">
        <v>25</v>
      </c>
      <c r="C449" s="87"/>
      <c r="D449" s="90" t="s">
        <v>40</v>
      </c>
      <c r="E449" s="91"/>
      <c r="F449" s="92">
        <v>1</v>
      </c>
      <c r="G449" s="93" t="s">
        <v>20</v>
      </c>
      <c r="H449" s="92">
        <v>20</v>
      </c>
      <c r="I449" s="93" t="s">
        <v>40</v>
      </c>
      <c r="J449" s="94">
        <f>480000/20</f>
        <v>24000</v>
      </c>
      <c r="K449" s="90" t="s">
        <v>40</v>
      </c>
      <c r="L449" s="95"/>
      <c r="M449" s="95">
        <v>0.17</v>
      </c>
      <c r="N449" s="92"/>
      <c r="O449" s="93" t="s">
        <v>40</v>
      </c>
      <c r="P449" s="87">
        <f>(C449+(E449*F449*H449))-N449</f>
        <v>0</v>
      </c>
      <c r="Q449" s="93" t="s">
        <v>40</v>
      </c>
      <c r="R449" s="94">
        <f>P449*(J449-(J449*L449)-((J449-(J449*L449))*M449))</f>
        <v>0</v>
      </c>
      <c r="S449" s="94">
        <f t="shared" si="124"/>
        <v>0</v>
      </c>
    </row>
    <row r="450" spans="1:19" s="19" customFormat="1">
      <c r="A450" s="18"/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19" customFormat="1">
      <c r="A451" s="18" t="s">
        <v>844</v>
      </c>
      <c r="B451" s="19" t="s">
        <v>838</v>
      </c>
      <c r="C451" s="20">
        <v>430</v>
      </c>
      <c r="D451" s="21" t="s">
        <v>839</v>
      </c>
      <c r="E451" s="26">
        <v>9</v>
      </c>
      <c r="F451" s="22">
        <v>1</v>
      </c>
      <c r="G451" s="23" t="s">
        <v>20</v>
      </c>
      <c r="H451" s="22">
        <v>432</v>
      </c>
      <c r="I451" s="23" t="s">
        <v>839</v>
      </c>
      <c r="J451" s="24">
        <v>1400</v>
      </c>
      <c r="K451" s="21" t="s">
        <v>839</v>
      </c>
      <c r="L451" s="25"/>
      <c r="M451" s="25">
        <v>0.05</v>
      </c>
      <c r="N451" s="22"/>
      <c r="O451" s="23" t="s">
        <v>839</v>
      </c>
      <c r="P451" s="20">
        <f>(C451+(E451*F451*H451))-N451</f>
        <v>4318</v>
      </c>
      <c r="Q451" s="23" t="s">
        <v>839</v>
      </c>
      <c r="R451" s="24">
        <f>P451*(J451-(J451*L451)-((J451-(J451*L451))*M451))</f>
        <v>5742940</v>
      </c>
      <c r="S451" s="24">
        <f t="shared" ref="S451" si="133">R451/1.11</f>
        <v>5173819.8198198192</v>
      </c>
    </row>
    <row r="452" spans="1:19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>
      <c r="A453" s="71" t="s">
        <v>307</v>
      </c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>
        <f t="shared" si="124"/>
        <v>0</v>
      </c>
    </row>
    <row r="454" spans="1:19" s="19" customFormat="1">
      <c r="A454" s="18" t="s">
        <v>308</v>
      </c>
      <c r="B454" s="19" t="s">
        <v>18</v>
      </c>
      <c r="C454" s="20">
        <v>91</v>
      </c>
      <c r="D454" s="21" t="s">
        <v>33</v>
      </c>
      <c r="E454" s="26">
        <v>13</v>
      </c>
      <c r="F454" s="22">
        <v>1</v>
      </c>
      <c r="G454" s="23" t="s">
        <v>20</v>
      </c>
      <c r="H454" s="22">
        <v>64</v>
      </c>
      <c r="I454" s="23" t="s">
        <v>33</v>
      </c>
      <c r="J454" s="24">
        <f>2100*12</f>
        <v>25200</v>
      </c>
      <c r="K454" s="21" t="s">
        <v>33</v>
      </c>
      <c r="L454" s="25">
        <v>0.125</v>
      </c>
      <c r="M454" s="25">
        <v>0.05</v>
      </c>
      <c r="N454" s="22"/>
      <c r="O454" s="23" t="s">
        <v>33</v>
      </c>
      <c r="P454" s="20">
        <f t="shared" ref="P454:P461" si="134">(C454+(E454*F454*H454))-N454</f>
        <v>923</v>
      </c>
      <c r="Q454" s="23" t="s">
        <v>33</v>
      </c>
      <c r="R454" s="24">
        <f t="shared" ref="R454:R461" si="135">P454*(J454-(J454*L454)-((J454-(J454*L454))*M454))</f>
        <v>19334542.5</v>
      </c>
      <c r="S454" s="24">
        <f t="shared" si="124"/>
        <v>17418506.756756756</v>
      </c>
    </row>
    <row r="455" spans="1:19" s="19" customFormat="1">
      <c r="A455" s="18" t="s">
        <v>310</v>
      </c>
      <c r="B455" s="19" t="s">
        <v>18</v>
      </c>
      <c r="C455" s="20">
        <v>72</v>
      </c>
      <c r="D455" s="21" t="s">
        <v>33</v>
      </c>
      <c r="E455" s="26">
        <v>6</v>
      </c>
      <c r="F455" s="22">
        <v>1</v>
      </c>
      <c r="G455" s="23" t="s">
        <v>20</v>
      </c>
      <c r="H455" s="22">
        <v>36</v>
      </c>
      <c r="I455" s="23" t="s">
        <v>33</v>
      </c>
      <c r="J455" s="24">
        <f>2100*24</f>
        <v>50400</v>
      </c>
      <c r="K455" s="21" t="s">
        <v>33</v>
      </c>
      <c r="L455" s="25">
        <v>0.125</v>
      </c>
      <c r="M455" s="25">
        <v>0.05</v>
      </c>
      <c r="N455" s="22"/>
      <c r="O455" s="23" t="s">
        <v>33</v>
      </c>
      <c r="P455" s="20">
        <f t="shared" si="134"/>
        <v>288</v>
      </c>
      <c r="Q455" s="23" t="s">
        <v>33</v>
      </c>
      <c r="R455" s="24">
        <f t="shared" si="135"/>
        <v>12065760</v>
      </c>
      <c r="S455" s="24">
        <f>R455/1.11</f>
        <v>10870054.054054054</v>
      </c>
    </row>
    <row r="456" spans="1:19" s="89" customFormat="1">
      <c r="A456" s="148" t="s">
        <v>722</v>
      </c>
      <c r="B456" s="89" t="s">
        <v>18</v>
      </c>
      <c r="C456" s="87"/>
      <c r="D456" s="90" t="s">
        <v>33</v>
      </c>
      <c r="E456" s="91"/>
      <c r="F456" s="92">
        <v>1</v>
      </c>
      <c r="G456" s="93" t="s">
        <v>20</v>
      </c>
      <c r="H456" s="92">
        <v>36</v>
      </c>
      <c r="I456" s="93" t="s">
        <v>33</v>
      </c>
      <c r="J456" s="94">
        <f>2300*24</f>
        <v>55200</v>
      </c>
      <c r="K456" s="90" t="s">
        <v>33</v>
      </c>
      <c r="L456" s="95">
        <v>0.125</v>
      </c>
      <c r="M456" s="95">
        <v>0.05</v>
      </c>
      <c r="N456" s="92"/>
      <c r="O456" s="93" t="s">
        <v>33</v>
      </c>
      <c r="P456" s="87">
        <f t="shared" si="134"/>
        <v>0</v>
      </c>
      <c r="Q456" s="93" t="s">
        <v>33</v>
      </c>
      <c r="R456" s="94">
        <f t="shared" si="135"/>
        <v>0</v>
      </c>
      <c r="S456" s="94">
        <f>R456/1.11</f>
        <v>0</v>
      </c>
    </row>
    <row r="457" spans="1:19" s="89" customFormat="1">
      <c r="A457" s="88" t="s">
        <v>721</v>
      </c>
      <c r="B457" s="89" t="s">
        <v>18</v>
      </c>
      <c r="C457" s="87"/>
      <c r="D457" s="90" t="s">
        <v>33</v>
      </c>
      <c r="E457" s="91"/>
      <c r="F457" s="92">
        <v>1</v>
      </c>
      <c r="G457" s="93" t="s">
        <v>20</v>
      </c>
      <c r="H457" s="92">
        <v>32</v>
      </c>
      <c r="I457" s="93" t="s">
        <v>33</v>
      </c>
      <c r="J457" s="94">
        <f>1300*12</f>
        <v>15600</v>
      </c>
      <c r="K457" s="90" t="s">
        <v>33</v>
      </c>
      <c r="L457" s="95">
        <v>0.125</v>
      </c>
      <c r="M457" s="95">
        <v>0.05</v>
      </c>
      <c r="N457" s="92"/>
      <c r="O457" s="93" t="s">
        <v>33</v>
      </c>
      <c r="P457" s="87">
        <f t="shared" si="134"/>
        <v>0</v>
      </c>
      <c r="Q457" s="93" t="s">
        <v>33</v>
      </c>
      <c r="R457" s="94">
        <f t="shared" si="135"/>
        <v>0</v>
      </c>
      <c r="S457" s="94">
        <f>R457/1.11</f>
        <v>0</v>
      </c>
    </row>
    <row r="458" spans="1:19" s="19" customFormat="1">
      <c r="A458" s="18" t="s">
        <v>309</v>
      </c>
      <c r="B458" s="19" t="s">
        <v>18</v>
      </c>
      <c r="C458" s="20">
        <v>38</v>
      </c>
      <c r="D458" s="21" t="s">
        <v>33</v>
      </c>
      <c r="E458" s="26"/>
      <c r="F458" s="22">
        <v>1</v>
      </c>
      <c r="G458" s="23" t="s">
        <v>20</v>
      </c>
      <c r="H458" s="22">
        <v>54</v>
      </c>
      <c r="I458" s="23" t="s">
        <v>33</v>
      </c>
      <c r="J458" s="24">
        <f>3400*12</f>
        <v>40800</v>
      </c>
      <c r="K458" s="21" t="s">
        <v>33</v>
      </c>
      <c r="L458" s="25">
        <v>0.125</v>
      </c>
      <c r="M458" s="25">
        <v>0.05</v>
      </c>
      <c r="N458" s="22"/>
      <c r="O458" s="23" t="s">
        <v>33</v>
      </c>
      <c r="P458" s="20">
        <f t="shared" si="134"/>
        <v>38</v>
      </c>
      <c r="Q458" s="23" t="s">
        <v>33</v>
      </c>
      <c r="R458" s="24">
        <f t="shared" si="135"/>
        <v>1288770</v>
      </c>
      <c r="S458" s="24">
        <f t="shared" si="124"/>
        <v>1161054.054054054</v>
      </c>
    </row>
    <row r="459" spans="1:19" s="89" customFormat="1">
      <c r="A459" s="148" t="s">
        <v>764</v>
      </c>
      <c r="B459" s="89" t="s">
        <v>18</v>
      </c>
      <c r="C459" s="87"/>
      <c r="D459" s="90" t="s">
        <v>33</v>
      </c>
      <c r="E459" s="91"/>
      <c r="F459" s="92">
        <v>1</v>
      </c>
      <c r="G459" s="93" t="s">
        <v>20</v>
      </c>
      <c r="H459" s="92">
        <v>24</v>
      </c>
      <c r="I459" s="93" t="s">
        <v>33</v>
      </c>
      <c r="J459" s="94">
        <f>3300*24</f>
        <v>79200</v>
      </c>
      <c r="K459" s="90" t="s">
        <v>33</v>
      </c>
      <c r="L459" s="95">
        <v>0.125</v>
      </c>
      <c r="M459" s="95">
        <v>0.05</v>
      </c>
      <c r="N459" s="92"/>
      <c r="O459" s="93" t="s">
        <v>33</v>
      </c>
      <c r="P459" s="87">
        <f t="shared" si="134"/>
        <v>0</v>
      </c>
      <c r="Q459" s="93" t="s">
        <v>33</v>
      </c>
      <c r="R459" s="94">
        <f t="shared" si="135"/>
        <v>0</v>
      </c>
      <c r="S459" s="94">
        <f>R459/1.11</f>
        <v>0</v>
      </c>
    </row>
    <row r="460" spans="1:19" s="19" customFormat="1">
      <c r="A460" s="55" t="s">
        <v>311</v>
      </c>
      <c r="B460" s="19" t="s">
        <v>18</v>
      </c>
      <c r="C460" s="20"/>
      <c r="D460" s="21" t="s">
        <v>33</v>
      </c>
      <c r="E460" s="26">
        <v>12</v>
      </c>
      <c r="F460" s="22">
        <v>1</v>
      </c>
      <c r="G460" s="23" t="s">
        <v>20</v>
      </c>
      <c r="H460" s="22">
        <v>36</v>
      </c>
      <c r="I460" s="23" t="s">
        <v>33</v>
      </c>
      <c r="J460" s="24">
        <f>2450*24</f>
        <v>58800</v>
      </c>
      <c r="K460" s="21" t="s">
        <v>33</v>
      </c>
      <c r="L460" s="25">
        <v>0.125</v>
      </c>
      <c r="M460" s="25">
        <v>0.05</v>
      </c>
      <c r="N460" s="22"/>
      <c r="O460" s="23" t="s">
        <v>33</v>
      </c>
      <c r="P460" s="20">
        <f t="shared" si="134"/>
        <v>432</v>
      </c>
      <c r="Q460" s="23" t="s">
        <v>33</v>
      </c>
      <c r="R460" s="24">
        <f t="shared" si="135"/>
        <v>21115080</v>
      </c>
      <c r="S460" s="24">
        <f>R460/1.11</f>
        <v>19022594.594594594</v>
      </c>
    </row>
    <row r="461" spans="1:19" s="89" customFormat="1">
      <c r="A461" s="88" t="s">
        <v>718</v>
      </c>
      <c r="B461" s="89" t="s">
        <v>18</v>
      </c>
      <c r="C461" s="87"/>
      <c r="D461" s="90" t="s">
        <v>33</v>
      </c>
      <c r="E461" s="91"/>
      <c r="F461" s="92">
        <v>1</v>
      </c>
      <c r="G461" s="93" t="s">
        <v>20</v>
      </c>
      <c r="H461" s="92">
        <v>36</v>
      </c>
      <c r="I461" s="93" t="s">
        <v>33</v>
      </c>
      <c r="J461" s="94">
        <f>4600*12</f>
        <v>55200</v>
      </c>
      <c r="K461" s="90" t="s">
        <v>33</v>
      </c>
      <c r="L461" s="95">
        <v>0.125</v>
      </c>
      <c r="M461" s="95">
        <v>0.05</v>
      </c>
      <c r="N461" s="92"/>
      <c r="O461" s="93" t="s">
        <v>33</v>
      </c>
      <c r="P461" s="87">
        <f t="shared" si="134"/>
        <v>0</v>
      </c>
      <c r="Q461" s="93" t="s">
        <v>33</v>
      </c>
      <c r="R461" s="94">
        <f t="shared" si="135"/>
        <v>0</v>
      </c>
      <c r="S461" s="94">
        <f t="shared" ref="S461" si="136">R461/1.11</f>
        <v>0</v>
      </c>
    </row>
    <row r="462" spans="1:19" s="19" customFormat="1">
      <c r="A462" s="18"/>
      <c r="C462" s="20"/>
      <c r="D462" s="21"/>
      <c r="E462" s="26"/>
      <c r="F462" s="22"/>
      <c r="G462" s="23"/>
      <c r="H462" s="22"/>
      <c r="I462" s="23"/>
      <c r="J462" s="24"/>
      <c r="K462" s="21"/>
      <c r="L462" s="25"/>
      <c r="M462" s="25"/>
      <c r="N462" s="22"/>
      <c r="O462" s="23"/>
      <c r="P462" s="20"/>
      <c r="Q462" s="23"/>
      <c r="R462" s="24"/>
      <c r="S462" s="24"/>
    </row>
    <row r="463" spans="1:19" s="19" customFormat="1">
      <c r="A463" s="18" t="s">
        <v>312</v>
      </c>
      <c r="B463" s="19" t="s">
        <v>25</v>
      </c>
      <c r="C463" s="20">
        <v>77</v>
      </c>
      <c r="D463" s="21" t="s">
        <v>33</v>
      </c>
      <c r="E463" s="26">
        <v>10</v>
      </c>
      <c r="F463" s="22">
        <v>1</v>
      </c>
      <c r="G463" s="23" t="s">
        <v>20</v>
      </c>
      <c r="H463" s="22">
        <v>36</v>
      </c>
      <c r="I463" s="23" t="s">
        <v>33</v>
      </c>
      <c r="J463" s="24">
        <f>2376000/36</f>
        <v>66000</v>
      </c>
      <c r="K463" s="21" t="s">
        <v>33</v>
      </c>
      <c r="L463" s="25"/>
      <c r="M463" s="25">
        <v>0.17</v>
      </c>
      <c r="N463" s="22"/>
      <c r="O463" s="23" t="s">
        <v>33</v>
      </c>
      <c r="P463" s="20">
        <f>(C463+(E463*F463*H463))-N463</f>
        <v>437</v>
      </c>
      <c r="Q463" s="23" t="s">
        <v>33</v>
      </c>
      <c r="R463" s="24">
        <f>P463*(J463-(J463*L463)-((J463-(J463*L463))*M463))</f>
        <v>23938860</v>
      </c>
      <c r="S463" s="24">
        <f t="shared" si="124"/>
        <v>21566540.540540539</v>
      </c>
    </row>
    <row r="464" spans="1:19" s="19" customFormat="1">
      <c r="A464" s="18" t="s">
        <v>313</v>
      </c>
      <c r="B464" s="19" t="s">
        <v>25</v>
      </c>
      <c r="C464" s="20">
        <v>300</v>
      </c>
      <c r="D464" s="21" t="s">
        <v>33</v>
      </c>
      <c r="E464" s="26">
        <v>6</v>
      </c>
      <c r="F464" s="22">
        <v>1</v>
      </c>
      <c r="G464" s="23" t="s">
        <v>20</v>
      </c>
      <c r="H464" s="22">
        <v>36</v>
      </c>
      <c r="I464" s="23" t="s">
        <v>33</v>
      </c>
      <c r="J464" s="24">
        <f>2592000/36</f>
        <v>72000</v>
      </c>
      <c r="K464" s="21" t="s">
        <v>33</v>
      </c>
      <c r="L464" s="25"/>
      <c r="M464" s="25">
        <v>0.17</v>
      </c>
      <c r="N464" s="22"/>
      <c r="O464" s="23" t="s">
        <v>33</v>
      </c>
      <c r="P464" s="20">
        <f>(C464+(E464*F464*H464))-N464</f>
        <v>516</v>
      </c>
      <c r="Q464" s="23" t="s">
        <v>33</v>
      </c>
      <c r="R464" s="24">
        <f>P464*(J464-(J464*L464)-((J464-(J464*L464))*M464))</f>
        <v>30836160</v>
      </c>
      <c r="S464" s="24">
        <f t="shared" si="124"/>
        <v>27780324.324324321</v>
      </c>
    </row>
    <row r="465" spans="1:19" s="19" customFormat="1">
      <c r="A465" s="18" t="s">
        <v>314</v>
      </c>
      <c r="B465" s="19" t="s">
        <v>25</v>
      </c>
      <c r="C465" s="20">
        <v>202</v>
      </c>
      <c r="D465" s="21" t="s">
        <v>33</v>
      </c>
      <c r="E465" s="26"/>
      <c r="F465" s="22">
        <v>1</v>
      </c>
      <c r="G465" s="23" t="s">
        <v>20</v>
      </c>
      <c r="H465" s="22">
        <v>36</v>
      </c>
      <c r="I465" s="23" t="s">
        <v>33</v>
      </c>
      <c r="J465" s="24">
        <f>2160000/36</f>
        <v>60000</v>
      </c>
      <c r="K465" s="21" t="s">
        <v>33</v>
      </c>
      <c r="L465" s="25"/>
      <c r="M465" s="25">
        <v>0.17</v>
      </c>
      <c r="N465" s="22"/>
      <c r="O465" s="23" t="s">
        <v>33</v>
      </c>
      <c r="P465" s="20">
        <f>(C465+(E465*F465*H465))-N465</f>
        <v>202</v>
      </c>
      <c r="Q465" s="23" t="s">
        <v>33</v>
      </c>
      <c r="R465" s="24">
        <f>P465*(J465-(J465*L465)-((J465-(J465*L465))*M465))</f>
        <v>10059600</v>
      </c>
      <c r="S465" s="24">
        <f t="shared" si="124"/>
        <v>9062702.7027027011</v>
      </c>
    </row>
    <row r="466" spans="1:19" s="19" customFormat="1">
      <c r="A466" s="18"/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>
      <c r="A467" s="71" t="s">
        <v>770</v>
      </c>
      <c r="C467" s="20"/>
      <c r="D467" s="21"/>
      <c r="E467" s="26"/>
      <c r="F467" s="22"/>
      <c r="G467" s="23"/>
      <c r="H467" s="22"/>
      <c r="I467" s="23"/>
      <c r="J467" s="24"/>
      <c r="K467" s="21"/>
      <c r="L467" s="25"/>
      <c r="M467" s="25"/>
      <c r="N467" s="22"/>
      <c r="O467" s="23"/>
      <c r="P467" s="20"/>
      <c r="Q467" s="23"/>
      <c r="R467" s="24"/>
      <c r="S467" s="24"/>
    </row>
    <row r="468" spans="1:19" s="89" customFormat="1">
      <c r="A468" s="88" t="s">
        <v>315</v>
      </c>
      <c r="B468" s="89" t="s">
        <v>25</v>
      </c>
      <c r="C468" s="87"/>
      <c r="D468" s="90" t="s">
        <v>103</v>
      </c>
      <c r="E468" s="91"/>
      <c r="F468" s="92">
        <v>1</v>
      </c>
      <c r="G468" s="93" t="s">
        <v>20</v>
      </c>
      <c r="H468" s="92">
        <v>60</v>
      </c>
      <c r="I468" s="93" t="s">
        <v>103</v>
      </c>
      <c r="J468" s="94">
        <v>18600</v>
      </c>
      <c r="K468" s="90" t="s">
        <v>103</v>
      </c>
      <c r="L468" s="95"/>
      <c r="M468" s="95">
        <v>0.17</v>
      </c>
      <c r="N468" s="92"/>
      <c r="O468" s="93" t="s">
        <v>103</v>
      </c>
      <c r="P468" s="87">
        <f>(C468+(E468*F468*H468))-N468</f>
        <v>0</v>
      </c>
      <c r="Q468" s="93" t="s">
        <v>103</v>
      </c>
      <c r="R468" s="94">
        <f>P468*(J468-(J468*L468)-((J468-(J468*L468))*M468))</f>
        <v>0</v>
      </c>
      <c r="S468" s="94">
        <f t="shared" si="124"/>
        <v>0</v>
      </c>
    </row>
    <row r="469" spans="1:19" s="19" customFormat="1">
      <c r="A469" s="18"/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19" s="19" customFormat="1">
      <c r="A470" s="18" t="s">
        <v>771</v>
      </c>
      <c r="B470" s="18" t="s">
        <v>172</v>
      </c>
      <c r="C470" s="50">
        <v>800</v>
      </c>
      <c r="D470" s="51" t="s">
        <v>40</v>
      </c>
      <c r="E470" s="52"/>
      <c r="F470" s="53">
        <v>1</v>
      </c>
      <c r="G470" s="48" t="s">
        <v>20</v>
      </c>
      <c r="H470" s="53">
        <v>160</v>
      </c>
      <c r="I470" s="48" t="s">
        <v>40</v>
      </c>
      <c r="J470" s="29">
        <v>7750</v>
      </c>
      <c r="K470" s="51" t="s">
        <v>40</v>
      </c>
      <c r="L470" s="54">
        <v>0.05</v>
      </c>
      <c r="M470" s="54"/>
      <c r="N470" s="53"/>
      <c r="O470" s="48" t="s">
        <v>40</v>
      </c>
      <c r="P470" s="50">
        <f>(C470+(E470*F470*H470))-N470</f>
        <v>800</v>
      </c>
      <c r="Q470" s="48" t="s">
        <v>40</v>
      </c>
      <c r="R470" s="29">
        <f>P470*(J470-(J470*L470)-((J470-(J470*L470))*M470))</f>
        <v>5890000</v>
      </c>
      <c r="S470" s="29">
        <f t="shared" si="124"/>
        <v>5306306.3063063063</v>
      </c>
    </row>
    <row r="471" spans="1:19" s="19" customFormat="1">
      <c r="A471" s="18"/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/>
    </row>
    <row r="472" spans="1:19" s="19" customFormat="1">
      <c r="A472" s="71" t="s">
        <v>316</v>
      </c>
      <c r="C472" s="20"/>
      <c r="D472" s="21"/>
      <c r="E472" s="26"/>
      <c r="F472" s="22"/>
      <c r="G472" s="23"/>
      <c r="H472" s="22"/>
      <c r="I472" s="23"/>
      <c r="J472" s="24"/>
      <c r="K472" s="21"/>
      <c r="L472" s="25"/>
      <c r="M472" s="25"/>
      <c r="N472" s="22"/>
      <c r="O472" s="23"/>
      <c r="P472" s="20"/>
      <c r="Q472" s="23"/>
      <c r="R472" s="24"/>
      <c r="S472" s="24"/>
    </row>
    <row r="473" spans="1:19" s="19" customFormat="1">
      <c r="A473" s="18" t="s">
        <v>317</v>
      </c>
      <c r="B473" s="19" t="s">
        <v>318</v>
      </c>
      <c r="C473" s="20">
        <v>145</v>
      </c>
      <c r="D473" s="21" t="s">
        <v>319</v>
      </c>
      <c r="E473" s="26"/>
      <c r="F473" s="22">
        <v>1</v>
      </c>
      <c r="G473" s="23" t="s">
        <v>20</v>
      </c>
      <c r="H473" s="22">
        <v>25</v>
      </c>
      <c r="I473" s="23" t="s">
        <v>319</v>
      </c>
      <c r="J473" s="24">
        <v>55000</v>
      </c>
      <c r="K473" s="21" t="s">
        <v>319</v>
      </c>
      <c r="L473" s="25"/>
      <c r="M473" s="25"/>
      <c r="N473" s="22"/>
      <c r="O473" s="23" t="s">
        <v>319</v>
      </c>
      <c r="P473" s="20">
        <f>(C473+(E473*F473*H473))-N473</f>
        <v>145</v>
      </c>
      <c r="Q473" s="23" t="s">
        <v>319</v>
      </c>
      <c r="R473" s="24">
        <f>P473*(J473-(J473*L473)-((J473-(J473*L473))*M473))</f>
        <v>7975000</v>
      </c>
      <c r="S473" s="24">
        <f t="shared" si="124"/>
        <v>7184684.6846846845</v>
      </c>
    </row>
    <row r="474" spans="1:19" s="19" customFormat="1">
      <c r="A474" s="18"/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 ht="15.75">
      <c r="A475" s="44" t="s">
        <v>320</v>
      </c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19" s="89" customFormat="1">
      <c r="A476" s="88" t="s">
        <v>321</v>
      </c>
      <c r="B476" s="89" t="s">
        <v>18</v>
      </c>
      <c r="C476" s="87"/>
      <c r="D476" s="90" t="s">
        <v>99</v>
      </c>
      <c r="E476" s="91"/>
      <c r="F476" s="92">
        <v>1</v>
      </c>
      <c r="G476" s="93" t="s">
        <v>20</v>
      </c>
      <c r="H476" s="92">
        <v>192</v>
      </c>
      <c r="I476" s="93" t="s">
        <v>99</v>
      </c>
      <c r="J476" s="94">
        <v>3450</v>
      </c>
      <c r="K476" s="90" t="s">
        <v>99</v>
      </c>
      <c r="L476" s="95">
        <v>0.125</v>
      </c>
      <c r="M476" s="95">
        <v>0.05</v>
      </c>
      <c r="N476" s="92"/>
      <c r="O476" s="93" t="s">
        <v>99</v>
      </c>
      <c r="P476" s="87">
        <f t="shared" ref="P476:P481" si="137">(C476+(E476*F476*H476))-N476</f>
        <v>0</v>
      </c>
      <c r="Q476" s="93" t="s">
        <v>99</v>
      </c>
      <c r="R476" s="94">
        <f t="shared" ref="R476:R481" si="138">P476*(J476-(J476*L476)-((J476-(J476*L476))*M476))</f>
        <v>0</v>
      </c>
      <c r="S476" s="94">
        <f t="shared" ref="S476:S559" si="139">R476/1.11</f>
        <v>0</v>
      </c>
    </row>
    <row r="477" spans="1:19" s="89" customFormat="1">
      <c r="A477" s="88" t="s">
        <v>322</v>
      </c>
      <c r="B477" s="89" t="s">
        <v>18</v>
      </c>
      <c r="C477" s="87"/>
      <c r="D477" s="90" t="s">
        <v>99</v>
      </c>
      <c r="E477" s="91"/>
      <c r="F477" s="92">
        <v>1</v>
      </c>
      <c r="G477" s="93" t="s">
        <v>20</v>
      </c>
      <c r="H477" s="92">
        <v>160</v>
      </c>
      <c r="I477" s="93" t="s">
        <v>99</v>
      </c>
      <c r="J477" s="94">
        <v>5400</v>
      </c>
      <c r="K477" s="90" t="s">
        <v>99</v>
      </c>
      <c r="L477" s="95">
        <v>0.125</v>
      </c>
      <c r="M477" s="95">
        <v>0.05</v>
      </c>
      <c r="N477" s="92"/>
      <c r="O477" s="93" t="s">
        <v>99</v>
      </c>
      <c r="P477" s="87">
        <f t="shared" si="137"/>
        <v>0</v>
      </c>
      <c r="Q477" s="93" t="s">
        <v>99</v>
      </c>
      <c r="R477" s="94">
        <f t="shared" si="138"/>
        <v>0</v>
      </c>
      <c r="S477" s="94">
        <f t="shared" si="139"/>
        <v>0</v>
      </c>
    </row>
    <row r="478" spans="1:19" s="19" customFormat="1">
      <c r="A478" s="18" t="s">
        <v>323</v>
      </c>
      <c r="B478" s="19" t="s">
        <v>18</v>
      </c>
      <c r="C478" s="20"/>
      <c r="D478" s="21" t="s">
        <v>99</v>
      </c>
      <c r="E478" s="26">
        <v>2</v>
      </c>
      <c r="F478" s="22">
        <v>1</v>
      </c>
      <c r="G478" s="23" t="s">
        <v>20</v>
      </c>
      <c r="H478" s="22">
        <v>192</v>
      </c>
      <c r="I478" s="23" t="s">
        <v>99</v>
      </c>
      <c r="J478" s="24">
        <v>3600</v>
      </c>
      <c r="K478" s="21" t="s">
        <v>99</v>
      </c>
      <c r="L478" s="25">
        <v>0.125</v>
      </c>
      <c r="M478" s="25">
        <v>0.05</v>
      </c>
      <c r="N478" s="22"/>
      <c r="O478" s="23" t="s">
        <v>99</v>
      </c>
      <c r="P478" s="20">
        <f t="shared" si="137"/>
        <v>384</v>
      </c>
      <c r="Q478" s="23" t="s">
        <v>99</v>
      </c>
      <c r="R478" s="24">
        <f t="shared" si="138"/>
        <v>1149120</v>
      </c>
      <c r="S478" s="24">
        <f t="shared" si="139"/>
        <v>1035243.2432432432</v>
      </c>
    </row>
    <row r="479" spans="1:19" s="19" customFormat="1">
      <c r="A479" s="18" t="s">
        <v>324</v>
      </c>
      <c r="B479" s="19" t="s">
        <v>18</v>
      </c>
      <c r="C479" s="20">
        <v>43</v>
      </c>
      <c r="D479" s="21" t="s">
        <v>99</v>
      </c>
      <c r="E479" s="26">
        <v>6</v>
      </c>
      <c r="F479" s="22">
        <v>1</v>
      </c>
      <c r="G479" s="23" t="s">
        <v>20</v>
      </c>
      <c r="H479" s="22">
        <v>96</v>
      </c>
      <c r="I479" s="23" t="s">
        <v>99</v>
      </c>
      <c r="J479" s="24">
        <v>7000</v>
      </c>
      <c r="K479" s="21" t="s">
        <v>99</v>
      </c>
      <c r="L479" s="25">
        <v>0.125</v>
      </c>
      <c r="M479" s="25">
        <v>0.05</v>
      </c>
      <c r="N479" s="22"/>
      <c r="O479" s="23" t="s">
        <v>99</v>
      </c>
      <c r="P479" s="20">
        <f t="shared" si="137"/>
        <v>619</v>
      </c>
      <c r="Q479" s="23" t="s">
        <v>99</v>
      </c>
      <c r="R479" s="24">
        <f t="shared" si="138"/>
        <v>3601806.25</v>
      </c>
      <c r="S479" s="24">
        <f t="shared" si="139"/>
        <v>3244870.4954954954</v>
      </c>
    </row>
    <row r="480" spans="1:19" s="89" customFormat="1">
      <c r="A480" s="88" t="s">
        <v>755</v>
      </c>
      <c r="B480" s="89" t="s">
        <v>18</v>
      </c>
      <c r="C480" s="87"/>
      <c r="D480" s="90" t="s">
        <v>99</v>
      </c>
      <c r="E480" s="91"/>
      <c r="F480" s="92">
        <v>1</v>
      </c>
      <c r="G480" s="93" t="s">
        <v>20</v>
      </c>
      <c r="H480" s="92">
        <v>160</v>
      </c>
      <c r="I480" s="93" t="s">
        <v>99</v>
      </c>
      <c r="J480" s="94">
        <v>5700</v>
      </c>
      <c r="K480" s="90" t="s">
        <v>99</v>
      </c>
      <c r="L480" s="95">
        <v>0.125</v>
      </c>
      <c r="M480" s="95">
        <v>0.05</v>
      </c>
      <c r="N480" s="92"/>
      <c r="O480" s="93" t="s">
        <v>99</v>
      </c>
      <c r="P480" s="87">
        <f t="shared" si="137"/>
        <v>0</v>
      </c>
      <c r="Q480" s="93" t="s">
        <v>99</v>
      </c>
      <c r="R480" s="94">
        <f t="shared" si="138"/>
        <v>0</v>
      </c>
      <c r="S480" s="94">
        <f t="shared" si="139"/>
        <v>0</v>
      </c>
    </row>
    <row r="481" spans="1:20" s="89" customFormat="1">
      <c r="A481" s="88" t="s">
        <v>325</v>
      </c>
      <c r="B481" s="89" t="s">
        <v>18</v>
      </c>
      <c r="C481" s="87"/>
      <c r="D481" s="90" t="s">
        <v>99</v>
      </c>
      <c r="E481" s="91">
        <v>1</v>
      </c>
      <c r="F481" s="92">
        <v>1</v>
      </c>
      <c r="G481" s="93" t="s">
        <v>20</v>
      </c>
      <c r="H481" s="92">
        <v>80</v>
      </c>
      <c r="I481" s="93" t="s">
        <v>99</v>
      </c>
      <c r="J481" s="94">
        <v>10800</v>
      </c>
      <c r="K481" s="90" t="s">
        <v>99</v>
      </c>
      <c r="L481" s="95">
        <v>0.125</v>
      </c>
      <c r="M481" s="95">
        <v>0.05</v>
      </c>
      <c r="N481" s="92"/>
      <c r="O481" s="93" t="s">
        <v>99</v>
      </c>
      <c r="P481" s="87">
        <f t="shared" si="137"/>
        <v>80</v>
      </c>
      <c r="Q481" s="93" t="s">
        <v>99</v>
      </c>
      <c r="R481" s="94">
        <f t="shared" si="138"/>
        <v>718200</v>
      </c>
      <c r="S481" s="94">
        <f t="shared" si="139"/>
        <v>647027.02702702698</v>
      </c>
    </row>
    <row r="482" spans="1:20" s="19" customFormat="1">
      <c r="A482" s="18"/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20" s="19" customFormat="1">
      <c r="A483" s="18" t="s">
        <v>326</v>
      </c>
      <c r="B483" s="19" t="s">
        <v>25</v>
      </c>
      <c r="C483" s="20">
        <v>910</v>
      </c>
      <c r="D483" s="21" t="s">
        <v>99</v>
      </c>
      <c r="E483" s="26">
        <v>2</v>
      </c>
      <c r="F483" s="22">
        <v>1</v>
      </c>
      <c r="G483" s="23" t="s">
        <v>20</v>
      </c>
      <c r="H483" s="22">
        <v>192</v>
      </c>
      <c r="I483" s="23" t="s">
        <v>99</v>
      </c>
      <c r="J483" s="24">
        <f>844800/192</f>
        <v>4400</v>
      </c>
      <c r="K483" s="21" t="s">
        <v>99</v>
      </c>
      <c r="L483" s="25"/>
      <c r="M483" s="25">
        <v>0.17</v>
      </c>
      <c r="N483" s="22"/>
      <c r="O483" s="23" t="s">
        <v>99</v>
      </c>
      <c r="P483" s="20">
        <f>(C483+(E483*F483*H483))-N483</f>
        <v>1294</v>
      </c>
      <c r="Q483" s="23" t="s">
        <v>99</v>
      </c>
      <c r="R483" s="24">
        <f>P483*(J483-(J483*L483)-((J483-(J483*L483))*M483))</f>
        <v>4725688</v>
      </c>
      <c r="S483" s="24">
        <f t="shared" si="139"/>
        <v>4257376.5765765766</v>
      </c>
    </row>
    <row r="484" spans="1:20" s="19" customFormat="1">
      <c r="A484" s="18" t="s">
        <v>327</v>
      </c>
      <c r="B484" s="19" t="s">
        <v>25</v>
      </c>
      <c r="C484" s="20"/>
      <c r="D484" s="21" t="s">
        <v>99</v>
      </c>
      <c r="E484" s="26">
        <v>3</v>
      </c>
      <c r="F484" s="22">
        <v>1</v>
      </c>
      <c r="G484" s="23" t="s">
        <v>20</v>
      </c>
      <c r="H484" s="22">
        <v>96</v>
      </c>
      <c r="I484" s="23" t="s">
        <v>99</v>
      </c>
      <c r="J484" s="24">
        <f>801600/96</f>
        <v>8350</v>
      </c>
      <c r="K484" s="21" t="s">
        <v>99</v>
      </c>
      <c r="L484" s="25"/>
      <c r="M484" s="25">
        <v>0.17</v>
      </c>
      <c r="N484" s="22"/>
      <c r="O484" s="23" t="s">
        <v>99</v>
      </c>
      <c r="P484" s="20">
        <f>(C484+(E484*F484*H484))-N484</f>
        <v>288</v>
      </c>
      <c r="Q484" s="23" t="s">
        <v>99</v>
      </c>
      <c r="R484" s="24">
        <f>P484*(J484-(J484*L484)-((J484-(J484*L484))*M484))</f>
        <v>1995984</v>
      </c>
      <c r="S484" s="24">
        <f t="shared" si="139"/>
        <v>1798183.7837837837</v>
      </c>
    </row>
    <row r="485" spans="1:20" s="19" customFormat="1">
      <c r="A485" s="18" t="s">
        <v>328</v>
      </c>
      <c r="B485" s="19" t="s">
        <v>25</v>
      </c>
      <c r="C485" s="20">
        <v>160</v>
      </c>
      <c r="D485" s="21" t="s">
        <v>99</v>
      </c>
      <c r="E485" s="26"/>
      <c r="F485" s="22">
        <v>1</v>
      </c>
      <c r="G485" s="23" t="s">
        <v>20</v>
      </c>
      <c r="H485" s="22">
        <v>160</v>
      </c>
      <c r="I485" s="23" t="s">
        <v>99</v>
      </c>
      <c r="J485" s="24">
        <f>1104000/160</f>
        <v>6900</v>
      </c>
      <c r="K485" s="21" t="s">
        <v>99</v>
      </c>
      <c r="L485" s="25"/>
      <c r="M485" s="25">
        <v>0.17</v>
      </c>
      <c r="N485" s="22"/>
      <c r="O485" s="23" t="s">
        <v>99</v>
      </c>
      <c r="P485" s="20">
        <f>(C485+(E485*F485*H485))-N485</f>
        <v>160</v>
      </c>
      <c r="Q485" s="23" t="s">
        <v>99</v>
      </c>
      <c r="R485" s="24">
        <f>P485*(J485-(J485*L485)-((J485-(J485*L485))*M485))</f>
        <v>916320</v>
      </c>
      <c r="S485" s="24">
        <f t="shared" si="139"/>
        <v>825513.51351351349</v>
      </c>
    </row>
    <row r="486" spans="1:20" s="19" customFormat="1">
      <c r="A486" s="18" t="s">
        <v>329</v>
      </c>
      <c r="B486" s="19" t="s">
        <v>25</v>
      </c>
      <c r="C486" s="20"/>
      <c r="D486" s="21" t="s">
        <v>99</v>
      </c>
      <c r="E486" s="26">
        <v>4</v>
      </c>
      <c r="F486" s="22">
        <v>1</v>
      </c>
      <c r="G486" s="23" t="s">
        <v>20</v>
      </c>
      <c r="H486" s="22">
        <v>80</v>
      </c>
      <c r="I486" s="23" t="s">
        <v>99</v>
      </c>
      <c r="J486" s="24">
        <f>1040000/80</f>
        <v>13000</v>
      </c>
      <c r="K486" s="21" t="s">
        <v>99</v>
      </c>
      <c r="L486" s="25"/>
      <c r="M486" s="25">
        <v>0.17</v>
      </c>
      <c r="N486" s="22"/>
      <c r="O486" s="23" t="s">
        <v>99</v>
      </c>
      <c r="P486" s="20">
        <f>(C486+(E486*F486*H486))-N486</f>
        <v>320</v>
      </c>
      <c r="Q486" s="23" t="s">
        <v>99</v>
      </c>
      <c r="R486" s="24">
        <f>P486*(J486-(J486*L486)-((J486-(J486*L486))*M486))</f>
        <v>3452800</v>
      </c>
      <c r="S486" s="24">
        <f t="shared" si="139"/>
        <v>3110630.6306306305</v>
      </c>
    </row>
    <row r="487" spans="1:20" s="19" customFormat="1">
      <c r="A487" s="18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20" s="19" customFormat="1" ht="15.75">
      <c r="A488" s="44" t="s">
        <v>776</v>
      </c>
      <c r="C488" s="20"/>
      <c r="D488" s="21"/>
      <c r="E488" s="26"/>
      <c r="F488" s="22"/>
      <c r="G488" s="23"/>
      <c r="H488" s="22"/>
      <c r="I488" s="23"/>
      <c r="J488" s="24"/>
      <c r="K488" s="21"/>
      <c r="L488" s="73"/>
      <c r="M488" s="73"/>
      <c r="N488" s="22"/>
      <c r="O488" s="23"/>
      <c r="P488" s="20"/>
      <c r="Q488" s="23"/>
      <c r="R488" s="24"/>
      <c r="S488" s="24"/>
    </row>
    <row r="489" spans="1:20" s="19" customFormat="1">
      <c r="A489" s="18" t="s">
        <v>777</v>
      </c>
      <c r="B489" s="18" t="s">
        <v>172</v>
      </c>
      <c r="C489" s="50">
        <v>160</v>
      </c>
      <c r="D489" s="51" t="s">
        <v>19</v>
      </c>
      <c r="E489" s="52"/>
      <c r="F489" s="53">
        <v>1</v>
      </c>
      <c r="G489" s="48" t="s">
        <v>20</v>
      </c>
      <c r="H489" s="53">
        <v>10</v>
      </c>
      <c r="I489" s="48" t="s">
        <v>19</v>
      </c>
      <c r="J489" s="29">
        <v>55000</v>
      </c>
      <c r="K489" s="51" t="s">
        <v>19</v>
      </c>
      <c r="L489" s="54">
        <v>0.05</v>
      </c>
      <c r="M489" s="54"/>
      <c r="N489" s="53"/>
      <c r="O489" s="48" t="s">
        <v>19</v>
      </c>
      <c r="P489" s="50">
        <f>(C489+(E489*F489*H489))-N489</f>
        <v>160</v>
      </c>
      <c r="Q489" s="48" t="s">
        <v>19</v>
      </c>
      <c r="R489" s="29">
        <f>P489*(J489-(J489*L489)-((J489-(J489*L489))*M489))</f>
        <v>8360000</v>
      </c>
      <c r="S489" s="29">
        <f t="shared" ref="S489" si="140">R489/1.11</f>
        <v>7531531.5315315304</v>
      </c>
    </row>
    <row r="490" spans="1:20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20" s="19" customFormat="1" ht="15.75">
      <c r="A491" s="44" t="s">
        <v>330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73"/>
      <c r="M491" s="73"/>
      <c r="N491" s="22"/>
      <c r="O491" s="23"/>
      <c r="P491" s="20"/>
      <c r="Q491" s="23"/>
      <c r="R491" s="24"/>
      <c r="S491" s="24"/>
    </row>
    <row r="492" spans="1:20" s="19" customFormat="1">
      <c r="A492" s="71" t="s">
        <v>331</v>
      </c>
      <c r="C492" s="20"/>
      <c r="D492" s="21"/>
      <c r="E492" s="26"/>
      <c r="F492" s="22"/>
      <c r="G492" s="23"/>
      <c r="H492" s="22"/>
      <c r="I492" s="23"/>
      <c r="J492" s="24"/>
      <c r="K492" s="21"/>
      <c r="L492" s="73"/>
      <c r="M492" s="73"/>
      <c r="N492" s="22"/>
      <c r="O492" s="23"/>
      <c r="P492" s="20"/>
      <c r="Q492" s="23"/>
      <c r="R492" s="24"/>
      <c r="S492" s="24"/>
    </row>
    <row r="493" spans="1:20" s="89" customFormat="1">
      <c r="A493" s="88" t="s">
        <v>332</v>
      </c>
      <c r="B493" s="89" t="s">
        <v>18</v>
      </c>
      <c r="C493" s="87"/>
      <c r="D493" s="90" t="s">
        <v>19</v>
      </c>
      <c r="E493" s="91"/>
      <c r="F493" s="92">
        <v>1</v>
      </c>
      <c r="G493" s="93" t="s">
        <v>20</v>
      </c>
      <c r="H493" s="92">
        <v>24</v>
      </c>
      <c r="I493" s="93" t="s">
        <v>19</v>
      </c>
      <c r="J493" s="94">
        <v>35000</v>
      </c>
      <c r="K493" s="90" t="s">
        <v>19</v>
      </c>
      <c r="L493" s="95">
        <v>0.125</v>
      </c>
      <c r="M493" s="95">
        <v>0.05</v>
      </c>
      <c r="N493" s="92"/>
      <c r="O493" s="93" t="s">
        <v>19</v>
      </c>
      <c r="P493" s="87">
        <f>(C493+(E493*F493*H493))-N493</f>
        <v>0</v>
      </c>
      <c r="Q493" s="93" t="s">
        <v>19</v>
      </c>
      <c r="R493" s="94">
        <f>P493*(J493-(J493*L493)-((J493-(J493*L493))*M493))</f>
        <v>0</v>
      </c>
      <c r="S493" s="94">
        <f t="shared" si="139"/>
        <v>0</v>
      </c>
    </row>
    <row r="494" spans="1:20" s="19" customFormat="1">
      <c r="A494" s="18" t="s">
        <v>333</v>
      </c>
      <c r="B494" s="19" t="s">
        <v>18</v>
      </c>
      <c r="C494" s="20">
        <v>162</v>
      </c>
      <c r="D494" s="21" t="s">
        <v>19</v>
      </c>
      <c r="E494" s="26">
        <v>13</v>
      </c>
      <c r="F494" s="22">
        <v>1</v>
      </c>
      <c r="G494" s="23" t="s">
        <v>20</v>
      </c>
      <c r="H494" s="22">
        <v>72</v>
      </c>
      <c r="I494" s="23" t="s">
        <v>19</v>
      </c>
      <c r="J494" s="24">
        <v>15800</v>
      </c>
      <c r="K494" s="21" t="s">
        <v>19</v>
      </c>
      <c r="L494" s="25">
        <v>0.125</v>
      </c>
      <c r="M494" s="25">
        <v>0.05</v>
      </c>
      <c r="N494" s="22"/>
      <c r="O494" s="23" t="s">
        <v>19</v>
      </c>
      <c r="P494" s="20">
        <f>(C494+(E494*F494*H494))-N494</f>
        <v>1098</v>
      </c>
      <c r="Q494" s="23" t="s">
        <v>19</v>
      </c>
      <c r="R494" s="24">
        <f>P494*(J494-(J494*L494)-((J494-(J494*L494))*M494))</f>
        <v>14420857.5</v>
      </c>
      <c r="S494" s="24">
        <f t="shared" si="139"/>
        <v>12991763.513513513</v>
      </c>
      <c r="T494" s="24"/>
    </row>
    <row r="495" spans="1:20" s="19" customFormat="1">
      <c r="A495" s="18" t="s">
        <v>334</v>
      </c>
      <c r="B495" s="19" t="s">
        <v>18</v>
      </c>
      <c r="C495" s="20">
        <v>216</v>
      </c>
      <c r="D495" s="21" t="s">
        <v>19</v>
      </c>
      <c r="E495" s="26"/>
      <c r="F495" s="22">
        <v>1</v>
      </c>
      <c r="G495" s="23" t="s">
        <v>20</v>
      </c>
      <c r="H495" s="22">
        <v>72</v>
      </c>
      <c r="I495" s="23" t="s">
        <v>19</v>
      </c>
      <c r="J495" s="24">
        <v>15800</v>
      </c>
      <c r="K495" s="21" t="s">
        <v>19</v>
      </c>
      <c r="L495" s="25">
        <v>0.125</v>
      </c>
      <c r="M495" s="25">
        <v>0.05</v>
      </c>
      <c r="N495" s="22"/>
      <c r="O495" s="23" t="s">
        <v>19</v>
      </c>
      <c r="P495" s="20">
        <f>(C495+(E495*F495*H495))-N495</f>
        <v>216</v>
      </c>
      <c r="Q495" s="23" t="s">
        <v>19</v>
      </c>
      <c r="R495" s="24">
        <f>P495*(J495-(J495*L495)-((J495-(J495*L495))*M495))</f>
        <v>2836890</v>
      </c>
      <c r="S495" s="24">
        <f t="shared" si="139"/>
        <v>2555756.7567567565</v>
      </c>
      <c r="T495" s="24"/>
    </row>
    <row r="496" spans="1:20" s="89" customFormat="1">
      <c r="A496" s="88" t="s">
        <v>335</v>
      </c>
      <c r="B496" s="89" t="s">
        <v>18</v>
      </c>
      <c r="C496" s="87"/>
      <c r="D496" s="90" t="s">
        <v>19</v>
      </c>
      <c r="E496" s="91"/>
      <c r="F496" s="92">
        <v>1</v>
      </c>
      <c r="G496" s="93" t="s">
        <v>20</v>
      </c>
      <c r="H496" s="92">
        <v>72</v>
      </c>
      <c r="I496" s="93" t="s">
        <v>19</v>
      </c>
      <c r="J496" s="94">
        <v>20700</v>
      </c>
      <c r="K496" s="90" t="s">
        <v>19</v>
      </c>
      <c r="L496" s="95">
        <v>0.125</v>
      </c>
      <c r="M496" s="95">
        <v>0.05</v>
      </c>
      <c r="N496" s="92"/>
      <c r="O496" s="93" t="s">
        <v>19</v>
      </c>
      <c r="P496" s="87">
        <f>(C496+(E496*F496*H496))-N496</f>
        <v>0</v>
      </c>
      <c r="Q496" s="93" t="s">
        <v>19</v>
      </c>
      <c r="R496" s="94">
        <f>P496*(J496-(J496*L496)-((J496-(J496*L496))*M496))</f>
        <v>0</v>
      </c>
      <c r="S496" s="94">
        <f t="shared" si="139"/>
        <v>0</v>
      </c>
    </row>
    <row r="497" spans="1:19" s="19" customFormat="1">
      <c r="A497" s="18" t="s">
        <v>336</v>
      </c>
      <c r="B497" s="19" t="s">
        <v>18</v>
      </c>
      <c r="C497" s="20">
        <v>36</v>
      </c>
      <c r="D497" s="21" t="s">
        <v>19</v>
      </c>
      <c r="E497" s="26"/>
      <c r="F497" s="22">
        <v>1</v>
      </c>
      <c r="G497" s="23" t="s">
        <v>20</v>
      </c>
      <c r="H497" s="22">
        <v>72</v>
      </c>
      <c r="I497" s="23" t="s">
        <v>19</v>
      </c>
      <c r="J497" s="24">
        <v>20700</v>
      </c>
      <c r="K497" s="21" t="s">
        <v>19</v>
      </c>
      <c r="L497" s="25">
        <v>0.125</v>
      </c>
      <c r="M497" s="25">
        <v>0.05</v>
      </c>
      <c r="N497" s="22"/>
      <c r="O497" s="23" t="s">
        <v>19</v>
      </c>
      <c r="P497" s="20">
        <f>(C497+(E497*F497*H497))-N497</f>
        <v>36</v>
      </c>
      <c r="Q497" s="23" t="s">
        <v>19</v>
      </c>
      <c r="R497" s="24">
        <f>P497*(J497-(J497*L497)-((J497-(J497*L497))*M497))</f>
        <v>619447.5</v>
      </c>
      <c r="S497" s="24">
        <f t="shared" si="139"/>
        <v>558060.81081081077</v>
      </c>
    </row>
    <row r="498" spans="1:19" s="19" customFormat="1">
      <c r="A498" s="18"/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89" customFormat="1">
      <c r="A499" s="88" t="s">
        <v>337</v>
      </c>
      <c r="B499" s="89" t="s">
        <v>25</v>
      </c>
      <c r="C499" s="87"/>
      <c r="D499" s="90" t="s">
        <v>19</v>
      </c>
      <c r="E499" s="91"/>
      <c r="F499" s="92">
        <v>1</v>
      </c>
      <c r="G499" s="93" t="s">
        <v>20</v>
      </c>
      <c r="H499" s="92">
        <v>72</v>
      </c>
      <c r="I499" s="93" t="s">
        <v>19</v>
      </c>
      <c r="J499" s="94">
        <f>1310400/72</f>
        <v>18200</v>
      </c>
      <c r="K499" s="90" t="s">
        <v>19</v>
      </c>
      <c r="L499" s="95"/>
      <c r="M499" s="95">
        <v>0.17</v>
      </c>
      <c r="N499" s="92"/>
      <c r="O499" s="93" t="s">
        <v>19</v>
      </c>
      <c r="P499" s="87">
        <f>(C499+(E499*F499*H499))-N499</f>
        <v>0</v>
      </c>
      <c r="Q499" s="93" t="s">
        <v>19</v>
      </c>
      <c r="R499" s="94">
        <f>P499*(J499-(J499*L499)-((J499-(J499*L499))*M499))</f>
        <v>0</v>
      </c>
      <c r="S499" s="94">
        <f t="shared" si="139"/>
        <v>0</v>
      </c>
    </row>
    <row r="500" spans="1:19" s="19" customFormat="1">
      <c r="A500" s="18" t="s">
        <v>338</v>
      </c>
      <c r="B500" s="19" t="s">
        <v>25</v>
      </c>
      <c r="C500" s="20">
        <v>36</v>
      </c>
      <c r="D500" s="21" t="s">
        <v>19</v>
      </c>
      <c r="E500" s="26"/>
      <c r="F500" s="22">
        <v>1</v>
      </c>
      <c r="G500" s="23" t="s">
        <v>20</v>
      </c>
      <c r="H500" s="22">
        <v>72</v>
      </c>
      <c r="I500" s="23" t="s">
        <v>19</v>
      </c>
      <c r="J500" s="24">
        <f>1512000/72</f>
        <v>21000</v>
      </c>
      <c r="K500" s="21" t="s">
        <v>19</v>
      </c>
      <c r="L500" s="25">
        <v>0.125</v>
      </c>
      <c r="M500" s="25">
        <v>0.05</v>
      </c>
      <c r="N500" s="22"/>
      <c r="O500" s="23" t="s">
        <v>19</v>
      </c>
      <c r="P500" s="20">
        <f>(C500+(E500*F500*H500))-N500</f>
        <v>36</v>
      </c>
      <c r="Q500" s="23" t="s">
        <v>19</v>
      </c>
      <c r="R500" s="24">
        <f>P500*(J500-(J500*L500)-((J500-(J500*L500))*M500))</f>
        <v>628425</v>
      </c>
      <c r="S500" s="24">
        <f t="shared" si="139"/>
        <v>566148.64864864864</v>
      </c>
    </row>
    <row r="501" spans="1:19" s="89" customFormat="1">
      <c r="A501" s="88" t="s">
        <v>782</v>
      </c>
      <c r="B501" s="89" t="s">
        <v>25</v>
      </c>
      <c r="C501" s="87"/>
      <c r="D501" s="90" t="s">
        <v>19</v>
      </c>
      <c r="E501" s="91"/>
      <c r="F501" s="92">
        <v>1</v>
      </c>
      <c r="G501" s="93" t="s">
        <v>20</v>
      </c>
      <c r="H501" s="92">
        <v>72</v>
      </c>
      <c r="I501" s="93" t="s">
        <v>19</v>
      </c>
      <c r="J501" s="94">
        <f>1224000/72</f>
        <v>17000</v>
      </c>
      <c r="K501" s="90" t="s">
        <v>19</v>
      </c>
      <c r="L501" s="95"/>
      <c r="M501" s="95">
        <v>0.17</v>
      </c>
      <c r="N501" s="92"/>
      <c r="O501" s="93" t="s">
        <v>19</v>
      </c>
      <c r="P501" s="87">
        <f>(C501+(E501*F501*H501))-N501</f>
        <v>0</v>
      </c>
      <c r="Q501" s="93" t="s">
        <v>19</v>
      </c>
      <c r="R501" s="94">
        <f>P501*(J501-(J501*L501)-((J501-(J501*L501))*M501))</f>
        <v>0</v>
      </c>
      <c r="S501" s="94">
        <f t="shared" si="139"/>
        <v>0</v>
      </c>
    </row>
    <row r="502" spans="1:19" s="89" customFormat="1">
      <c r="A502" s="88" t="s">
        <v>339</v>
      </c>
      <c r="B502" s="89" t="s">
        <v>25</v>
      </c>
      <c r="C502" s="87"/>
      <c r="D502" s="90" t="s">
        <v>19</v>
      </c>
      <c r="E502" s="91"/>
      <c r="F502" s="92">
        <v>1</v>
      </c>
      <c r="G502" s="93" t="s">
        <v>20</v>
      </c>
      <c r="H502" s="92">
        <v>120</v>
      </c>
      <c r="I502" s="93" t="s">
        <v>19</v>
      </c>
      <c r="J502" s="94">
        <v>9000</v>
      </c>
      <c r="K502" s="90" t="s">
        <v>19</v>
      </c>
      <c r="L502" s="95"/>
      <c r="M502" s="95">
        <v>0.17</v>
      </c>
      <c r="N502" s="92"/>
      <c r="O502" s="93" t="s">
        <v>19</v>
      </c>
      <c r="P502" s="87">
        <f>(C502+(E502*F502*H502))-N502</f>
        <v>0</v>
      </c>
      <c r="Q502" s="93" t="s">
        <v>19</v>
      </c>
      <c r="R502" s="94">
        <f>P502*(J502-(J502*L502)-((J502-(J502*L502))*M502))</f>
        <v>0</v>
      </c>
      <c r="S502" s="94">
        <f t="shared" si="139"/>
        <v>0</v>
      </c>
    </row>
    <row r="503" spans="1:19" s="19" customFormat="1">
      <c r="A503" s="18"/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19" customFormat="1">
      <c r="A504" s="71" t="s">
        <v>340</v>
      </c>
      <c r="C504" s="20"/>
      <c r="D504" s="21"/>
      <c r="E504" s="26"/>
      <c r="F504" s="22"/>
      <c r="G504" s="23"/>
      <c r="H504" s="22"/>
      <c r="I504" s="23"/>
      <c r="J504" s="24"/>
      <c r="K504" s="21"/>
      <c r="L504" s="25"/>
      <c r="M504" s="25"/>
      <c r="N504" s="22"/>
      <c r="O504" s="23"/>
      <c r="P504" s="20"/>
      <c r="Q504" s="23"/>
      <c r="R504" s="24"/>
      <c r="S504" s="24"/>
    </row>
    <row r="505" spans="1:19" s="89" customFormat="1">
      <c r="A505" s="88" t="s">
        <v>341</v>
      </c>
      <c r="B505" s="89" t="s">
        <v>18</v>
      </c>
      <c r="C505" s="87"/>
      <c r="D505" s="90" t="s">
        <v>19</v>
      </c>
      <c r="E505" s="91"/>
      <c r="F505" s="92">
        <v>2</v>
      </c>
      <c r="G505" s="93" t="s">
        <v>33</v>
      </c>
      <c r="H505" s="92">
        <v>24</v>
      </c>
      <c r="I505" s="93" t="s">
        <v>19</v>
      </c>
      <c r="J505" s="94">
        <v>9200</v>
      </c>
      <c r="K505" s="90" t="s">
        <v>19</v>
      </c>
      <c r="L505" s="95">
        <v>0.125</v>
      </c>
      <c r="M505" s="95">
        <v>0.05</v>
      </c>
      <c r="N505" s="92"/>
      <c r="O505" s="93" t="s">
        <v>19</v>
      </c>
      <c r="P505" s="87">
        <f>(C505+(E505*F505*H505))-N505</f>
        <v>0</v>
      </c>
      <c r="Q505" s="93" t="s">
        <v>19</v>
      </c>
      <c r="R505" s="94">
        <f>P505*(J505-(J505*L505)-((J505-(J505*L505))*M505))</f>
        <v>0</v>
      </c>
      <c r="S505" s="94">
        <f t="shared" si="139"/>
        <v>0</v>
      </c>
    </row>
    <row r="506" spans="1:19" s="89" customFormat="1">
      <c r="A506" s="88" t="s">
        <v>732</v>
      </c>
      <c r="B506" s="89" t="s">
        <v>18</v>
      </c>
      <c r="C506" s="87"/>
      <c r="D506" s="90" t="s">
        <v>19</v>
      </c>
      <c r="E506" s="91"/>
      <c r="F506" s="92">
        <v>4</v>
      </c>
      <c r="G506" s="93" t="s">
        <v>33</v>
      </c>
      <c r="H506" s="92">
        <v>24</v>
      </c>
      <c r="I506" s="93" t="s">
        <v>19</v>
      </c>
      <c r="J506" s="94">
        <v>6300</v>
      </c>
      <c r="K506" s="90" t="s">
        <v>19</v>
      </c>
      <c r="L506" s="95">
        <v>0.125</v>
      </c>
      <c r="M506" s="95">
        <v>0.05</v>
      </c>
      <c r="N506" s="92"/>
      <c r="O506" s="93" t="s">
        <v>19</v>
      </c>
      <c r="P506" s="87">
        <f>(C506+(E506*F506*H506))-N506</f>
        <v>0</v>
      </c>
      <c r="Q506" s="93" t="s">
        <v>19</v>
      </c>
      <c r="R506" s="94">
        <f>P506*(J506-(J506*L506)-((J506-(J506*L506))*M506))</f>
        <v>0</v>
      </c>
      <c r="S506" s="94">
        <f t="shared" si="139"/>
        <v>0</v>
      </c>
    </row>
    <row r="507" spans="1:19" s="19" customFormat="1">
      <c r="A507" s="18"/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>
      <c r="A508" s="18" t="s">
        <v>342</v>
      </c>
      <c r="B508" s="19" t="s">
        <v>25</v>
      </c>
      <c r="C508" s="20"/>
      <c r="D508" s="21" t="s">
        <v>40</v>
      </c>
      <c r="E508" s="26">
        <v>4</v>
      </c>
      <c r="F508" s="22">
        <v>1</v>
      </c>
      <c r="G508" s="23" t="s">
        <v>20</v>
      </c>
      <c r="H508" s="22">
        <v>12</v>
      </c>
      <c r="I508" s="23" t="s">
        <v>40</v>
      </c>
      <c r="J508" s="24">
        <f>741600/12</f>
        <v>61800</v>
      </c>
      <c r="K508" s="21" t="s">
        <v>40</v>
      </c>
      <c r="L508" s="25"/>
      <c r="M508" s="25">
        <v>0.17</v>
      </c>
      <c r="N508" s="22"/>
      <c r="O508" s="23" t="s">
        <v>40</v>
      </c>
      <c r="P508" s="20">
        <f>(C508+(E508*F508*H508))-N508</f>
        <v>48</v>
      </c>
      <c r="Q508" s="23" t="s">
        <v>40</v>
      </c>
      <c r="R508" s="24">
        <f>P508*(J508-(J508*L508)-((J508-(J508*L508))*M508))</f>
        <v>2462112</v>
      </c>
      <c r="S508" s="24">
        <f t="shared" si="139"/>
        <v>2218118.9189189188</v>
      </c>
    </row>
    <row r="509" spans="1:19" s="19" customFormat="1">
      <c r="A509" s="18" t="s">
        <v>343</v>
      </c>
      <c r="B509" s="19" t="s">
        <v>25</v>
      </c>
      <c r="C509" s="20">
        <v>23</v>
      </c>
      <c r="D509" s="21" t="s">
        <v>40</v>
      </c>
      <c r="E509" s="26">
        <v>2</v>
      </c>
      <c r="F509" s="22">
        <v>1</v>
      </c>
      <c r="G509" s="23" t="s">
        <v>20</v>
      </c>
      <c r="H509" s="22">
        <v>20</v>
      </c>
      <c r="I509" s="23" t="s">
        <v>40</v>
      </c>
      <c r="J509" s="24">
        <f>804000/20</f>
        <v>40200</v>
      </c>
      <c r="K509" s="21" t="s">
        <v>40</v>
      </c>
      <c r="L509" s="25"/>
      <c r="M509" s="25">
        <v>0.17</v>
      </c>
      <c r="N509" s="22"/>
      <c r="O509" s="23" t="s">
        <v>40</v>
      </c>
      <c r="P509" s="20">
        <f>(C509+(E509*F509*H509))-N509</f>
        <v>63</v>
      </c>
      <c r="Q509" s="23" t="s">
        <v>40</v>
      </c>
      <c r="R509" s="24">
        <f>P509*(J509-(J509*L509)-((J509-(J509*L509))*M509))</f>
        <v>2102058</v>
      </c>
      <c r="S509" s="24">
        <f t="shared" si="139"/>
        <v>1893745.9459459458</v>
      </c>
    </row>
    <row r="510" spans="1:19" s="89" customFormat="1">
      <c r="A510" s="88" t="s">
        <v>344</v>
      </c>
      <c r="B510" s="89" t="s">
        <v>25</v>
      </c>
      <c r="C510" s="87"/>
      <c r="D510" s="90" t="s">
        <v>40</v>
      </c>
      <c r="E510" s="91">
        <v>1</v>
      </c>
      <c r="F510" s="92">
        <v>1</v>
      </c>
      <c r="G510" s="93" t="s">
        <v>20</v>
      </c>
      <c r="H510" s="92">
        <v>6</v>
      </c>
      <c r="I510" s="93" t="s">
        <v>40</v>
      </c>
      <c r="J510" s="94">
        <f>810000/6</f>
        <v>135000</v>
      </c>
      <c r="K510" s="90" t="s">
        <v>40</v>
      </c>
      <c r="L510" s="95"/>
      <c r="M510" s="95">
        <v>0.17</v>
      </c>
      <c r="N510" s="92"/>
      <c r="O510" s="93" t="s">
        <v>40</v>
      </c>
      <c r="P510" s="87">
        <f>(C510+(E510*F510*H510))-N510</f>
        <v>6</v>
      </c>
      <c r="Q510" s="93" t="s">
        <v>40</v>
      </c>
      <c r="R510" s="94">
        <f>P510*(J510-(J510*L510)-((J510-(J510*L510))*M510))</f>
        <v>672300</v>
      </c>
      <c r="S510" s="94">
        <f t="shared" si="139"/>
        <v>605675.67567567562</v>
      </c>
    </row>
    <row r="511" spans="1:19" s="19" customFormat="1">
      <c r="A511" s="18"/>
      <c r="C511" s="20"/>
      <c r="D511" s="21"/>
      <c r="E511" s="26"/>
      <c r="F511" s="22"/>
      <c r="G511" s="23"/>
      <c r="H511" s="22"/>
      <c r="I511" s="23"/>
      <c r="J511" s="24"/>
      <c r="K511" s="21"/>
      <c r="L511" s="25"/>
      <c r="M511" s="25"/>
      <c r="N511" s="22"/>
      <c r="O511" s="23"/>
      <c r="P511" s="20"/>
      <c r="Q511" s="23"/>
      <c r="R511" s="24"/>
      <c r="S511" s="24"/>
    </row>
    <row r="512" spans="1:19" s="19" customFormat="1">
      <c r="A512" s="71" t="s">
        <v>345</v>
      </c>
      <c r="C512" s="20"/>
      <c r="D512" s="21"/>
      <c r="E512" s="26"/>
      <c r="F512" s="22"/>
      <c r="G512" s="23"/>
      <c r="H512" s="22"/>
      <c r="I512" s="23"/>
      <c r="J512" s="24"/>
      <c r="K512" s="21"/>
      <c r="L512" s="73"/>
      <c r="M512" s="73"/>
      <c r="N512" s="22"/>
      <c r="O512" s="23"/>
      <c r="P512" s="20"/>
      <c r="Q512" s="23"/>
      <c r="R512" s="24"/>
      <c r="S512" s="24"/>
    </row>
    <row r="513" spans="1:20" s="89" customFormat="1">
      <c r="A513" s="88" t="s">
        <v>346</v>
      </c>
      <c r="B513" s="89" t="s">
        <v>18</v>
      </c>
      <c r="C513" s="87"/>
      <c r="D513" s="90" t="s">
        <v>152</v>
      </c>
      <c r="E513" s="91"/>
      <c r="F513" s="92">
        <v>36</v>
      </c>
      <c r="G513" s="93" t="s">
        <v>33</v>
      </c>
      <c r="H513" s="92">
        <v>30</v>
      </c>
      <c r="I513" s="93" t="s">
        <v>152</v>
      </c>
      <c r="J513" s="94">
        <v>3200</v>
      </c>
      <c r="K513" s="90" t="s">
        <v>152</v>
      </c>
      <c r="L513" s="95">
        <v>0.125</v>
      </c>
      <c r="M513" s="95">
        <v>0.05</v>
      </c>
      <c r="N513" s="92"/>
      <c r="O513" s="93" t="s">
        <v>152</v>
      </c>
      <c r="P513" s="87">
        <f>(C513+(E513*F513*H513))-N513</f>
        <v>0</v>
      </c>
      <c r="Q513" s="93" t="s">
        <v>152</v>
      </c>
      <c r="R513" s="94">
        <f>P513*(J513-(J513*L513)-((J513-(J513*L513))*M513))</f>
        <v>0</v>
      </c>
      <c r="S513" s="94">
        <f t="shared" si="139"/>
        <v>0</v>
      </c>
      <c r="T513" s="94"/>
    </row>
    <row r="514" spans="1:20" s="89" customFormat="1">
      <c r="A514" s="88" t="s">
        <v>347</v>
      </c>
      <c r="B514" s="89" t="s">
        <v>18</v>
      </c>
      <c r="C514" s="87"/>
      <c r="D514" s="90" t="s">
        <v>152</v>
      </c>
      <c r="E514" s="91"/>
      <c r="F514" s="92">
        <v>36</v>
      </c>
      <c r="G514" s="93" t="s">
        <v>33</v>
      </c>
      <c r="H514" s="92">
        <v>30</v>
      </c>
      <c r="I514" s="93" t="s">
        <v>152</v>
      </c>
      <c r="J514" s="94">
        <v>2900</v>
      </c>
      <c r="K514" s="90" t="s">
        <v>152</v>
      </c>
      <c r="L514" s="95">
        <v>0.125</v>
      </c>
      <c r="M514" s="95">
        <v>0.05</v>
      </c>
      <c r="N514" s="92"/>
      <c r="O514" s="93" t="s">
        <v>152</v>
      </c>
      <c r="P514" s="87">
        <f>(C514+(E514*F514*H514))-N514</f>
        <v>0</v>
      </c>
      <c r="Q514" s="93" t="s">
        <v>152</v>
      </c>
      <c r="R514" s="94">
        <f>P514*(J514-(J514*L514)-((J514-(J514*L514))*M514))</f>
        <v>0</v>
      </c>
      <c r="S514" s="94">
        <f t="shared" si="139"/>
        <v>0</v>
      </c>
      <c r="T514" s="94"/>
    </row>
    <row r="515" spans="1:20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20" s="19" customFormat="1" ht="15.75">
      <c r="A516" s="44" t="s">
        <v>348</v>
      </c>
      <c r="C516" s="20"/>
      <c r="D516" s="21"/>
      <c r="E516" s="26"/>
      <c r="F516" s="22"/>
      <c r="G516" s="23"/>
      <c r="H516" s="22"/>
      <c r="I516" s="23"/>
      <c r="J516" s="24"/>
      <c r="K516" s="21"/>
      <c r="L516" s="25"/>
      <c r="M516" s="25"/>
      <c r="N516" s="22"/>
      <c r="O516" s="23"/>
      <c r="P516" s="20"/>
      <c r="Q516" s="23"/>
      <c r="R516" s="24"/>
      <c r="S516" s="24"/>
    </row>
    <row r="517" spans="1:20" s="19" customFormat="1">
      <c r="A517" s="49" t="s">
        <v>351</v>
      </c>
      <c r="B517" s="19" t="s">
        <v>18</v>
      </c>
      <c r="C517" s="20"/>
      <c r="D517" s="21" t="s">
        <v>99</v>
      </c>
      <c r="E517" s="26">
        <v>2</v>
      </c>
      <c r="F517" s="22">
        <v>1</v>
      </c>
      <c r="G517" s="23" t="s">
        <v>20</v>
      </c>
      <c r="H517" s="22">
        <v>100</v>
      </c>
      <c r="I517" s="23" t="s">
        <v>99</v>
      </c>
      <c r="J517" s="24">
        <v>8400</v>
      </c>
      <c r="K517" s="21" t="s">
        <v>99</v>
      </c>
      <c r="L517" s="25">
        <v>0.125</v>
      </c>
      <c r="M517" s="25">
        <v>0.05</v>
      </c>
      <c r="N517" s="22"/>
      <c r="O517" s="23" t="s">
        <v>99</v>
      </c>
      <c r="P517" s="20">
        <f>(C517+(E517*F517*H517))-N517</f>
        <v>200</v>
      </c>
      <c r="Q517" s="23" t="s">
        <v>99</v>
      </c>
      <c r="R517" s="24">
        <f>P517*(J517-(J517*L517)-((J517-(J517*L517))*M517))</f>
        <v>1396500</v>
      </c>
      <c r="S517" s="24">
        <f>R517/1.11</f>
        <v>1258108.1081081079</v>
      </c>
      <c r="T517" s="24"/>
    </row>
    <row r="518" spans="1:20" s="19" customFormat="1">
      <c r="A518" s="49" t="s">
        <v>352</v>
      </c>
      <c r="B518" s="19" t="s">
        <v>18</v>
      </c>
      <c r="C518" s="20"/>
      <c r="D518" s="21" t="s">
        <v>99</v>
      </c>
      <c r="E518" s="26">
        <v>2</v>
      </c>
      <c r="F518" s="22">
        <v>1</v>
      </c>
      <c r="G518" s="23" t="s">
        <v>20</v>
      </c>
      <c r="H518" s="22">
        <v>100</v>
      </c>
      <c r="I518" s="23" t="s">
        <v>99</v>
      </c>
      <c r="J518" s="24">
        <v>8400</v>
      </c>
      <c r="K518" s="21" t="s">
        <v>99</v>
      </c>
      <c r="L518" s="25">
        <v>0.125</v>
      </c>
      <c r="M518" s="25">
        <v>0.05</v>
      </c>
      <c r="N518" s="22"/>
      <c r="O518" s="23" t="s">
        <v>99</v>
      </c>
      <c r="P518" s="20">
        <f>(C518+(E518*F518*H518))-N518</f>
        <v>200</v>
      </c>
      <c r="Q518" s="23" t="s">
        <v>99</v>
      </c>
      <c r="R518" s="24">
        <f>P518*(J518-(J518*L518)-((J518-(J518*L518))*M518))</f>
        <v>1396500</v>
      </c>
      <c r="S518" s="24">
        <f>R518/1.11</f>
        <v>1258108.1081081079</v>
      </c>
      <c r="T518" s="24"/>
    </row>
    <row r="519" spans="1:20" s="19" customFormat="1">
      <c r="A519" s="49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  <c r="T519" s="24"/>
    </row>
    <row r="520" spans="1:20" s="19" customFormat="1">
      <c r="A520" s="49" t="s">
        <v>349</v>
      </c>
      <c r="B520" s="19" t="s">
        <v>25</v>
      </c>
      <c r="C520" s="20">
        <v>60</v>
      </c>
      <c r="D520" s="21" t="s">
        <v>33</v>
      </c>
      <c r="E520" s="26"/>
      <c r="F520" s="22">
        <v>10</v>
      </c>
      <c r="G520" s="23" t="s">
        <v>99</v>
      </c>
      <c r="H520" s="22">
        <v>10</v>
      </c>
      <c r="I520" s="23" t="s">
        <v>33</v>
      </c>
      <c r="J520" s="24">
        <f>980000/100</f>
        <v>9800</v>
      </c>
      <c r="K520" s="21" t="s">
        <v>33</v>
      </c>
      <c r="L520" s="25"/>
      <c r="M520" s="25">
        <v>0.17</v>
      </c>
      <c r="N520" s="22"/>
      <c r="O520" s="23" t="s">
        <v>33</v>
      </c>
      <c r="P520" s="20">
        <f>(C520+(E520*F520*H520))-N520</f>
        <v>60</v>
      </c>
      <c r="Q520" s="23" t="s">
        <v>33</v>
      </c>
      <c r="R520" s="24">
        <f>P520*(J520-(J520*L520)-((J520-(J520*L520))*M520))</f>
        <v>488040</v>
      </c>
      <c r="S520" s="24">
        <f t="shared" si="139"/>
        <v>439675.67567567562</v>
      </c>
    </row>
    <row r="521" spans="1:20" s="89" customFormat="1">
      <c r="A521" s="145" t="s">
        <v>350</v>
      </c>
      <c r="B521" s="89" t="s">
        <v>25</v>
      </c>
      <c r="C521" s="87"/>
      <c r="D521" s="90" t="s">
        <v>33</v>
      </c>
      <c r="E521" s="91">
        <v>1</v>
      </c>
      <c r="F521" s="92">
        <v>10</v>
      </c>
      <c r="G521" s="93" t="s">
        <v>99</v>
      </c>
      <c r="H521" s="92">
        <v>10</v>
      </c>
      <c r="I521" s="93" t="s">
        <v>33</v>
      </c>
      <c r="J521" s="94">
        <f>980000/100</f>
        <v>9800</v>
      </c>
      <c r="K521" s="90" t="s">
        <v>33</v>
      </c>
      <c r="L521" s="95"/>
      <c r="M521" s="95">
        <v>0.17</v>
      </c>
      <c r="N521" s="92"/>
      <c r="O521" s="93" t="s">
        <v>33</v>
      </c>
      <c r="P521" s="87">
        <f>(C521+(E521*F521*H521))-N521</f>
        <v>100</v>
      </c>
      <c r="Q521" s="93" t="s">
        <v>33</v>
      </c>
      <c r="R521" s="94">
        <f>P521*(J521-(J521*L521)-((J521-(J521*L521))*M521))</f>
        <v>813400</v>
      </c>
      <c r="S521" s="94">
        <f t="shared" si="139"/>
        <v>732792.79279279278</v>
      </c>
    </row>
    <row r="522" spans="1:20" s="19" customFormat="1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20" s="19" customFormat="1" ht="15.75">
      <c r="A523" s="44" t="s">
        <v>353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20" s="19" customFormat="1">
      <c r="A524" s="71" t="s">
        <v>354</v>
      </c>
      <c r="C524" s="20"/>
      <c r="D524" s="21"/>
      <c r="E524" s="26"/>
      <c r="F524" s="22"/>
      <c r="G524" s="23"/>
      <c r="H524" s="22"/>
      <c r="I524" s="23"/>
      <c r="J524" s="24"/>
      <c r="K524" s="21"/>
      <c r="L524" s="25"/>
      <c r="M524" s="25"/>
      <c r="N524" s="22"/>
      <c r="O524" s="23"/>
      <c r="P524" s="20"/>
      <c r="Q524" s="23"/>
      <c r="R524" s="24"/>
      <c r="S524" s="24"/>
    </row>
    <row r="525" spans="1:20" s="89" customFormat="1">
      <c r="A525" s="88" t="s">
        <v>355</v>
      </c>
      <c r="B525" s="89" t="s">
        <v>18</v>
      </c>
      <c r="C525" s="87"/>
      <c r="D525" s="90" t="s">
        <v>40</v>
      </c>
      <c r="E525" s="91"/>
      <c r="F525" s="92">
        <v>1</v>
      </c>
      <c r="G525" s="93" t="s">
        <v>20</v>
      </c>
      <c r="H525" s="92">
        <v>144</v>
      </c>
      <c r="I525" s="93" t="s">
        <v>40</v>
      </c>
      <c r="J525" s="94">
        <v>28200</v>
      </c>
      <c r="K525" s="90" t="s">
        <v>40</v>
      </c>
      <c r="L525" s="95">
        <v>0.125</v>
      </c>
      <c r="M525" s="95">
        <v>0.05</v>
      </c>
      <c r="N525" s="92"/>
      <c r="O525" s="93" t="s">
        <v>40</v>
      </c>
      <c r="P525" s="87">
        <f t="shared" ref="P525:P535" si="141">(C525+(E525*F525*H525))-N525</f>
        <v>0</v>
      </c>
      <c r="Q525" s="93" t="s">
        <v>40</v>
      </c>
      <c r="R525" s="94">
        <f t="shared" ref="R525:R534" si="142">P525*(J525-(J525*L525)-((J525-(J525*L525))*M525))</f>
        <v>0</v>
      </c>
      <c r="S525" s="94">
        <f t="shared" si="139"/>
        <v>0</v>
      </c>
    </row>
    <row r="526" spans="1:20" s="89" customFormat="1">
      <c r="A526" s="88" t="s">
        <v>356</v>
      </c>
      <c r="B526" s="89" t="s">
        <v>18</v>
      </c>
      <c r="C526" s="87"/>
      <c r="D526" s="90" t="s">
        <v>40</v>
      </c>
      <c r="E526" s="91"/>
      <c r="F526" s="92">
        <v>1</v>
      </c>
      <c r="G526" s="93" t="s">
        <v>20</v>
      </c>
      <c r="H526" s="92">
        <v>144</v>
      </c>
      <c r="I526" s="93" t="s">
        <v>40</v>
      </c>
      <c r="J526" s="94">
        <v>7800</v>
      </c>
      <c r="K526" s="90" t="s">
        <v>40</v>
      </c>
      <c r="L526" s="95">
        <v>0.1</v>
      </c>
      <c r="M526" s="95">
        <v>0.05</v>
      </c>
      <c r="N526" s="92"/>
      <c r="O526" s="93" t="s">
        <v>40</v>
      </c>
      <c r="P526" s="87">
        <f t="shared" si="141"/>
        <v>0</v>
      </c>
      <c r="Q526" s="93" t="s">
        <v>40</v>
      </c>
      <c r="R526" s="94">
        <f t="shared" si="142"/>
        <v>0</v>
      </c>
      <c r="S526" s="94">
        <f t="shared" si="139"/>
        <v>0</v>
      </c>
    </row>
    <row r="527" spans="1:20" s="19" customFormat="1">
      <c r="A527" s="18" t="s">
        <v>357</v>
      </c>
      <c r="B527" s="19" t="s">
        <v>18</v>
      </c>
      <c r="C527" s="20">
        <v>300</v>
      </c>
      <c r="D527" s="21" t="s">
        <v>40</v>
      </c>
      <c r="E527" s="26"/>
      <c r="F527" s="22">
        <v>1</v>
      </c>
      <c r="G527" s="23" t="s">
        <v>20</v>
      </c>
      <c r="H527" s="22">
        <v>144</v>
      </c>
      <c r="I527" s="23" t="s">
        <v>40</v>
      </c>
      <c r="J527" s="24">
        <v>6900</v>
      </c>
      <c r="K527" s="21" t="s">
        <v>40</v>
      </c>
      <c r="L527" s="25">
        <v>0.125</v>
      </c>
      <c r="M527" s="25">
        <v>0.05</v>
      </c>
      <c r="N527" s="22"/>
      <c r="O527" s="23" t="s">
        <v>40</v>
      </c>
      <c r="P527" s="20">
        <f t="shared" si="141"/>
        <v>300</v>
      </c>
      <c r="Q527" s="23" t="s">
        <v>40</v>
      </c>
      <c r="R527" s="24">
        <f t="shared" si="142"/>
        <v>1720687.5</v>
      </c>
      <c r="S527" s="24">
        <f t="shared" si="139"/>
        <v>1550168.9189189188</v>
      </c>
    </row>
    <row r="528" spans="1:20" s="89" customFormat="1">
      <c r="A528" s="88" t="s">
        <v>754</v>
      </c>
      <c r="B528" s="89" t="s">
        <v>18</v>
      </c>
      <c r="C528" s="87"/>
      <c r="D528" s="90" t="s">
        <v>40</v>
      </c>
      <c r="E528" s="91"/>
      <c r="F528" s="92">
        <v>1</v>
      </c>
      <c r="G528" s="93" t="s">
        <v>20</v>
      </c>
      <c r="H528" s="92">
        <v>144</v>
      </c>
      <c r="I528" s="93" t="s">
        <v>40</v>
      </c>
      <c r="J528" s="94">
        <v>7020</v>
      </c>
      <c r="K528" s="90" t="s">
        <v>40</v>
      </c>
      <c r="L528" s="95">
        <v>0.125</v>
      </c>
      <c r="M528" s="95">
        <v>0.05</v>
      </c>
      <c r="N528" s="92"/>
      <c r="O528" s="93" t="s">
        <v>40</v>
      </c>
      <c r="P528" s="87">
        <f t="shared" si="141"/>
        <v>0</v>
      </c>
      <c r="Q528" s="93" t="s">
        <v>40</v>
      </c>
      <c r="R528" s="94">
        <f t="shared" si="142"/>
        <v>0</v>
      </c>
      <c r="S528" s="94">
        <f t="shared" si="139"/>
        <v>0</v>
      </c>
    </row>
    <row r="529" spans="1:19" s="106" customFormat="1">
      <c r="A529" s="166" t="s">
        <v>358</v>
      </c>
      <c r="B529" s="106" t="s">
        <v>18</v>
      </c>
      <c r="C529" s="107"/>
      <c r="D529" s="108" t="s">
        <v>40</v>
      </c>
      <c r="E529" s="109">
        <v>1</v>
      </c>
      <c r="F529" s="110">
        <v>1</v>
      </c>
      <c r="G529" s="111" t="s">
        <v>20</v>
      </c>
      <c r="H529" s="110">
        <v>144</v>
      </c>
      <c r="I529" s="111" t="s">
        <v>40</v>
      </c>
      <c r="J529" s="112">
        <v>7200</v>
      </c>
      <c r="K529" s="108" t="s">
        <v>40</v>
      </c>
      <c r="L529" s="113">
        <v>0.125</v>
      </c>
      <c r="M529" s="113">
        <v>0.05</v>
      </c>
      <c r="N529" s="110"/>
      <c r="O529" s="111" t="s">
        <v>40</v>
      </c>
      <c r="P529" s="107">
        <f t="shared" ref="P529" si="143">(C529+(E529*F529*H529))-N529</f>
        <v>144</v>
      </c>
      <c r="Q529" s="111" t="s">
        <v>40</v>
      </c>
      <c r="R529" s="112">
        <f t="shared" ref="R529" si="144">P529*(J529-(J529*L529)-((J529-(J529*L529))*M529))</f>
        <v>861840</v>
      </c>
      <c r="S529" s="112">
        <f t="shared" ref="S529" si="145">R529/1.11</f>
        <v>776432.43243243231</v>
      </c>
    </row>
    <row r="530" spans="1:19" s="89" customFormat="1">
      <c r="A530" s="88" t="s">
        <v>358</v>
      </c>
      <c r="B530" s="89" t="s">
        <v>18</v>
      </c>
      <c r="C530" s="87"/>
      <c r="D530" s="90" t="s">
        <v>40</v>
      </c>
      <c r="E530" s="91"/>
      <c r="F530" s="92">
        <v>1</v>
      </c>
      <c r="G530" s="93" t="s">
        <v>20</v>
      </c>
      <c r="H530" s="92">
        <v>144</v>
      </c>
      <c r="I530" s="93" t="s">
        <v>40</v>
      </c>
      <c r="J530" s="94">
        <v>7020</v>
      </c>
      <c r="K530" s="90" t="s">
        <v>40</v>
      </c>
      <c r="L530" s="95">
        <v>0.125</v>
      </c>
      <c r="M530" s="95">
        <v>0.05</v>
      </c>
      <c r="N530" s="92"/>
      <c r="O530" s="93" t="s">
        <v>40</v>
      </c>
      <c r="P530" s="87">
        <f t="shared" si="141"/>
        <v>0</v>
      </c>
      <c r="Q530" s="93" t="s">
        <v>40</v>
      </c>
      <c r="R530" s="94">
        <f t="shared" si="142"/>
        <v>0</v>
      </c>
      <c r="S530" s="94">
        <f t="shared" si="139"/>
        <v>0</v>
      </c>
    </row>
    <row r="531" spans="1:19" s="89" customFormat="1">
      <c r="A531" s="88" t="s">
        <v>720</v>
      </c>
      <c r="B531" s="89" t="s">
        <v>18</v>
      </c>
      <c r="C531" s="87"/>
      <c r="D531" s="90" t="s">
        <v>40</v>
      </c>
      <c r="E531" s="91"/>
      <c r="F531" s="92">
        <v>1</v>
      </c>
      <c r="G531" s="93" t="s">
        <v>20</v>
      </c>
      <c r="H531" s="92">
        <v>144</v>
      </c>
      <c r="I531" s="93" t="s">
        <v>40</v>
      </c>
      <c r="J531" s="94">
        <v>6600</v>
      </c>
      <c r="K531" s="90" t="s">
        <v>40</v>
      </c>
      <c r="L531" s="95">
        <v>0.125</v>
      </c>
      <c r="M531" s="95">
        <v>0.05</v>
      </c>
      <c r="N531" s="92"/>
      <c r="O531" s="93" t="s">
        <v>40</v>
      </c>
      <c r="P531" s="87">
        <f t="shared" si="141"/>
        <v>0</v>
      </c>
      <c r="Q531" s="93" t="s">
        <v>40</v>
      </c>
      <c r="R531" s="94">
        <f t="shared" si="142"/>
        <v>0</v>
      </c>
      <c r="S531" s="94">
        <f t="shared" si="139"/>
        <v>0</v>
      </c>
    </row>
    <row r="532" spans="1:19" s="19" customFormat="1">
      <c r="A532" s="18" t="s">
        <v>650</v>
      </c>
      <c r="B532" s="19" t="s">
        <v>18</v>
      </c>
      <c r="C532" s="20"/>
      <c r="D532" s="21" t="s">
        <v>40</v>
      </c>
      <c r="E532" s="26">
        <v>1</v>
      </c>
      <c r="F532" s="22">
        <v>1</v>
      </c>
      <c r="G532" s="23" t="s">
        <v>20</v>
      </c>
      <c r="H532" s="22">
        <v>144</v>
      </c>
      <c r="I532" s="23" t="s">
        <v>40</v>
      </c>
      <c r="J532" s="24">
        <v>6120</v>
      </c>
      <c r="K532" s="21" t="s">
        <v>40</v>
      </c>
      <c r="L532" s="25">
        <v>0.125</v>
      </c>
      <c r="M532" s="25">
        <v>0.05</v>
      </c>
      <c r="N532" s="22"/>
      <c r="O532" s="23" t="s">
        <v>40</v>
      </c>
      <c r="P532" s="20">
        <f t="shared" ref="P532" si="146">(C532+(E532*F532*H532))-N532</f>
        <v>144</v>
      </c>
      <c r="Q532" s="23" t="s">
        <v>40</v>
      </c>
      <c r="R532" s="24">
        <f t="shared" ref="R532" si="147">P532*(J532-(J532*L532)-((J532-(J532*L532))*M532))</f>
        <v>732564</v>
      </c>
      <c r="S532" s="24">
        <f t="shared" ref="S532" si="148">R532/1.11</f>
        <v>659967.56756756746</v>
      </c>
    </row>
    <row r="533" spans="1:19" s="89" customFormat="1">
      <c r="A533" s="88" t="s">
        <v>696</v>
      </c>
      <c r="B533" s="89" t="s">
        <v>18</v>
      </c>
      <c r="C533" s="87"/>
      <c r="D533" s="90" t="s">
        <v>40</v>
      </c>
      <c r="E533" s="91"/>
      <c r="F533" s="92">
        <v>1</v>
      </c>
      <c r="G533" s="93" t="s">
        <v>20</v>
      </c>
      <c r="H533" s="92">
        <v>144</v>
      </c>
      <c r="I533" s="93" t="s">
        <v>40</v>
      </c>
      <c r="J533" s="94">
        <v>6000</v>
      </c>
      <c r="K533" s="90" t="s">
        <v>40</v>
      </c>
      <c r="L533" s="95">
        <v>0.125</v>
      </c>
      <c r="M533" s="95">
        <v>0.05</v>
      </c>
      <c r="N533" s="92"/>
      <c r="O533" s="93" t="s">
        <v>40</v>
      </c>
      <c r="P533" s="87">
        <f t="shared" si="141"/>
        <v>0</v>
      </c>
      <c r="Q533" s="93" t="s">
        <v>40</v>
      </c>
      <c r="R533" s="94">
        <f t="shared" si="142"/>
        <v>0</v>
      </c>
      <c r="S533" s="94">
        <f t="shared" si="139"/>
        <v>0</v>
      </c>
    </row>
    <row r="534" spans="1:19" s="19" customFormat="1">
      <c r="A534" s="18" t="s">
        <v>359</v>
      </c>
      <c r="B534" s="19" t="s">
        <v>18</v>
      </c>
      <c r="C534" s="20">
        <v>864</v>
      </c>
      <c r="D534" s="21" t="s">
        <v>40</v>
      </c>
      <c r="E534" s="26"/>
      <c r="F534" s="22">
        <v>1</v>
      </c>
      <c r="G534" s="23" t="s">
        <v>20</v>
      </c>
      <c r="H534" s="22">
        <v>144</v>
      </c>
      <c r="I534" s="23" t="s">
        <v>40</v>
      </c>
      <c r="J534" s="24">
        <v>5100</v>
      </c>
      <c r="K534" s="21" t="s">
        <v>40</v>
      </c>
      <c r="L534" s="25">
        <v>0.125</v>
      </c>
      <c r="M534" s="25">
        <v>0.05</v>
      </c>
      <c r="N534" s="22"/>
      <c r="O534" s="23" t="s">
        <v>40</v>
      </c>
      <c r="P534" s="20">
        <f t="shared" si="141"/>
        <v>864</v>
      </c>
      <c r="Q534" s="23" t="s">
        <v>40</v>
      </c>
      <c r="R534" s="24">
        <f t="shared" si="142"/>
        <v>3662820</v>
      </c>
      <c r="S534" s="24">
        <f t="shared" si="139"/>
        <v>3299837.8378378376</v>
      </c>
    </row>
    <row r="535" spans="1:19" s="19" customFormat="1">
      <c r="A535" s="31" t="s">
        <v>835</v>
      </c>
      <c r="B535" s="32" t="s">
        <v>18</v>
      </c>
      <c r="C535" s="76">
        <v>36</v>
      </c>
      <c r="D535" s="34" t="s">
        <v>40</v>
      </c>
      <c r="E535" s="35"/>
      <c r="F535" s="36">
        <v>1</v>
      </c>
      <c r="G535" s="37" t="s">
        <v>20</v>
      </c>
      <c r="H535" s="36">
        <v>144</v>
      </c>
      <c r="I535" s="37" t="s">
        <v>40</v>
      </c>
      <c r="J535" s="38"/>
      <c r="K535" s="34" t="s">
        <v>40</v>
      </c>
      <c r="L535" s="39">
        <v>0.1</v>
      </c>
      <c r="M535" s="39">
        <v>0.05</v>
      </c>
      <c r="N535" s="36"/>
      <c r="O535" s="37" t="s">
        <v>40</v>
      </c>
      <c r="P535" s="33">
        <f t="shared" si="141"/>
        <v>36</v>
      </c>
      <c r="Q535" s="37" t="s">
        <v>40</v>
      </c>
      <c r="R535" s="38">
        <f>P535*(J535-(J535*L535)-((J535-(J535*L535))*M535))</f>
        <v>0</v>
      </c>
      <c r="S535" s="38">
        <f t="shared" ref="S535" si="149">R535/1.11</f>
        <v>0</v>
      </c>
    </row>
    <row r="536" spans="1:19" s="19" customFormat="1">
      <c r="A536" s="31" t="s">
        <v>360</v>
      </c>
      <c r="B536" s="32" t="s">
        <v>18</v>
      </c>
      <c r="C536" s="76"/>
      <c r="D536" s="34" t="s">
        <v>40</v>
      </c>
      <c r="E536" s="35"/>
      <c r="F536" s="36">
        <v>1</v>
      </c>
      <c r="G536" s="37" t="s">
        <v>20</v>
      </c>
      <c r="H536" s="36">
        <v>144</v>
      </c>
      <c r="I536" s="37" t="s">
        <v>40</v>
      </c>
      <c r="J536" s="38">
        <v>12600</v>
      </c>
      <c r="K536" s="34" t="s">
        <v>40</v>
      </c>
      <c r="L536" s="39">
        <v>0.125</v>
      </c>
      <c r="M536" s="39">
        <v>0.05</v>
      </c>
      <c r="N536" s="36"/>
      <c r="O536" s="37" t="s">
        <v>40</v>
      </c>
      <c r="P536" s="33">
        <f>(C536+(E536*F536*H536))-N536</f>
        <v>0</v>
      </c>
      <c r="Q536" s="37" t="s">
        <v>40</v>
      </c>
      <c r="R536" s="38">
        <f>P536*(J536-(J536*L536)-((J536-(J536*L536))*M536))</f>
        <v>0</v>
      </c>
      <c r="S536" s="38">
        <f>R536/1.11</f>
        <v>0</v>
      </c>
    </row>
    <row r="537" spans="1:19" s="19" customFormat="1">
      <c r="A537" s="18"/>
      <c r="C537" s="57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89" customFormat="1">
      <c r="A538" s="145" t="s">
        <v>361</v>
      </c>
      <c r="B538" s="89" t="s">
        <v>25</v>
      </c>
      <c r="C538" s="87"/>
      <c r="D538" s="90" t="s">
        <v>40</v>
      </c>
      <c r="E538" s="91"/>
      <c r="F538" s="92">
        <v>1</v>
      </c>
      <c r="G538" s="93" t="s">
        <v>20</v>
      </c>
      <c r="H538" s="92">
        <v>144</v>
      </c>
      <c r="I538" s="93" t="s">
        <v>40</v>
      </c>
      <c r="J538" s="94">
        <v>22200</v>
      </c>
      <c r="K538" s="90" t="s">
        <v>40</v>
      </c>
      <c r="L538" s="95"/>
      <c r="M538" s="95">
        <v>0.17</v>
      </c>
      <c r="N538" s="92"/>
      <c r="O538" s="93" t="s">
        <v>40</v>
      </c>
      <c r="P538" s="87">
        <f t="shared" ref="P538:P544" si="150">(C538+(E538*F538*H538))-N538</f>
        <v>0</v>
      </c>
      <c r="Q538" s="93" t="s">
        <v>40</v>
      </c>
      <c r="R538" s="94">
        <f t="shared" ref="R538:R544" si="151">P538*(J538-(J538*L538)-((J538-(J538*L538))*M538))</f>
        <v>0</v>
      </c>
      <c r="S538" s="94">
        <f t="shared" si="139"/>
        <v>0</v>
      </c>
    </row>
    <row r="539" spans="1:19" s="89" customFormat="1">
      <c r="A539" s="145" t="s">
        <v>362</v>
      </c>
      <c r="B539" s="89" t="s">
        <v>25</v>
      </c>
      <c r="C539" s="87"/>
      <c r="D539" s="90" t="s">
        <v>40</v>
      </c>
      <c r="E539" s="91"/>
      <c r="F539" s="92">
        <v>1</v>
      </c>
      <c r="G539" s="93" t="s">
        <v>20</v>
      </c>
      <c r="H539" s="92">
        <v>144</v>
      </c>
      <c r="I539" s="93" t="s">
        <v>40</v>
      </c>
      <c r="J539" s="94">
        <f>1728000/144</f>
        <v>12000</v>
      </c>
      <c r="K539" s="90" t="s">
        <v>40</v>
      </c>
      <c r="L539" s="95"/>
      <c r="M539" s="95">
        <v>0.17</v>
      </c>
      <c r="N539" s="92"/>
      <c r="O539" s="93" t="s">
        <v>40</v>
      </c>
      <c r="P539" s="87">
        <f t="shared" si="150"/>
        <v>0</v>
      </c>
      <c r="Q539" s="93" t="s">
        <v>40</v>
      </c>
      <c r="R539" s="94">
        <f t="shared" si="151"/>
        <v>0</v>
      </c>
      <c r="S539" s="94">
        <f t="shared" si="139"/>
        <v>0</v>
      </c>
    </row>
    <row r="540" spans="1:19" s="89" customFormat="1">
      <c r="A540" s="145" t="s">
        <v>363</v>
      </c>
      <c r="B540" s="89" t="s">
        <v>25</v>
      </c>
      <c r="C540" s="87"/>
      <c r="D540" s="90" t="s">
        <v>40</v>
      </c>
      <c r="E540" s="91"/>
      <c r="F540" s="92">
        <v>1</v>
      </c>
      <c r="G540" s="93" t="s">
        <v>20</v>
      </c>
      <c r="H540" s="92">
        <v>144</v>
      </c>
      <c r="I540" s="93" t="s">
        <v>40</v>
      </c>
      <c r="J540" s="94">
        <v>13800</v>
      </c>
      <c r="K540" s="90" t="s">
        <v>40</v>
      </c>
      <c r="L540" s="95"/>
      <c r="M540" s="95">
        <v>0.17</v>
      </c>
      <c r="N540" s="92"/>
      <c r="O540" s="93" t="s">
        <v>40</v>
      </c>
      <c r="P540" s="87">
        <f t="shared" si="150"/>
        <v>0</v>
      </c>
      <c r="Q540" s="93" t="s">
        <v>40</v>
      </c>
      <c r="R540" s="94">
        <f t="shared" si="151"/>
        <v>0</v>
      </c>
      <c r="S540" s="94">
        <f t="shared" si="139"/>
        <v>0</v>
      </c>
    </row>
    <row r="541" spans="1:19" s="89" customFormat="1">
      <c r="A541" s="145" t="s">
        <v>364</v>
      </c>
      <c r="B541" s="89" t="s">
        <v>25</v>
      </c>
      <c r="C541" s="87"/>
      <c r="D541" s="90" t="s">
        <v>40</v>
      </c>
      <c r="E541" s="91"/>
      <c r="F541" s="92">
        <v>1</v>
      </c>
      <c r="G541" s="93" t="s">
        <v>20</v>
      </c>
      <c r="H541" s="92">
        <v>144</v>
      </c>
      <c r="I541" s="93" t="s">
        <v>40</v>
      </c>
      <c r="J541" s="94">
        <v>13800</v>
      </c>
      <c r="K541" s="90" t="s">
        <v>40</v>
      </c>
      <c r="L541" s="95"/>
      <c r="M541" s="95">
        <v>0.17</v>
      </c>
      <c r="N541" s="92"/>
      <c r="O541" s="93" t="s">
        <v>40</v>
      </c>
      <c r="P541" s="87">
        <f t="shared" si="150"/>
        <v>0</v>
      </c>
      <c r="Q541" s="93" t="s">
        <v>40</v>
      </c>
      <c r="R541" s="94">
        <f t="shared" si="151"/>
        <v>0</v>
      </c>
      <c r="S541" s="94">
        <f t="shared" si="139"/>
        <v>0</v>
      </c>
    </row>
    <row r="542" spans="1:19" s="89" customFormat="1">
      <c r="A542" s="145" t="s">
        <v>365</v>
      </c>
      <c r="B542" s="89" t="s">
        <v>25</v>
      </c>
      <c r="C542" s="87"/>
      <c r="D542" s="90" t="s">
        <v>40</v>
      </c>
      <c r="E542" s="91"/>
      <c r="F542" s="92">
        <v>1</v>
      </c>
      <c r="G542" s="93" t="s">
        <v>20</v>
      </c>
      <c r="H542" s="92">
        <v>144</v>
      </c>
      <c r="I542" s="93" t="s">
        <v>40</v>
      </c>
      <c r="J542" s="94">
        <v>13800</v>
      </c>
      <c r="K542" s="90" t="s">
        <v>40</v>
      </c>
      <c r="L542" s="95"/>
      <c r="M542" s="95">
        <v>0.17</v>
      </c>
      <c r="N542" s="92"/>
      <c r="O542" s="93" t="s">
        <v>40</v>
      </c>
      <c r="P542" s="87">
        <f t="shared" si="150"/>
        <v>0</v>
      </c>
      <c r="Q542" s="93" t="s">
        <v>40</v>
      </c>
      <c r="R542" s="94">
        <f t="shared" si="151"/>
        <v>0</v>
      </c>
      <c r="S542" s="94">
        <f t="shared" si="139"/>
        <v>0</v>
      </c>
    </row>
    <row r="543" spans="1:19" s="89" customFormat="1">
      <c r="A543" s="145" t="s">
        <v>366</v>
      </c>
      <c r="B543" s="89" t="s">
        <v>25</v>
      </c>
      <c r="C543" s="87"/>
      <c r="D543" s="90" t="s">
        <v>40</v>
      </c>
      <c r="E543" s="91"/>
      <c r="F543" s="92">
        <v>1</v>
      </c>
      <c r="G543" s="93" t="s">
        <v>20</v>
      </c>
      <c r="H543" s="92">
        <v>144</v>
      </c>
      <c r="I543" s="93" t="s">
        <v>40</v>
      </c>
      <c r="J543" s="94">
        <f>1987200/144</f>
        <v>13800</v>
      </c>
      <c r="K543" s="90" t="s">
        <v>40</v>
      </c>
      <c r="L543" s="95"/>
      <c r="M543" s="95">
        <v>0.17</v>
      </c>
      <c r="N543" s="92"/>
      <c r="O543" s="93" t="s">
        <v>40</v>
      </c>
      <c r="P543" s="87">
        <f t="shared" si="150"/>
        <v>0</v>
      </c>
      <c r="Q543" s="93" t="s">
        <v>40</v>
      </c>
      <c r="R543" s="94">
        <f t="shared" si="151"/>
        <v>0</v>
      </c>
      <c r="S543" s="94">
        <f t="shared" si="139"/>
        <v>0</v>
      </c>
    </row>
    <row r="544" spans="1:19" s="19" customFormat="1">
      <c r="A544" s="49" t="s">
        <v>367</v>
      </c>
      <c r="B544" s="19" t="s">
        <v>25</v>
      </c>
      <c r="C544" s="20">
        <v>108</v>
      </c>
      <c r="D544" s="21" t="s">
        <v>40</v>
      </c>
      <c r="E544" s="26"/>
      <c r="F544" s="22">
        <v>1</v>
      </c>
      <c r="G544" s="23" t="s">
        <v>20</v>
      </c>
      <c r="H544" s="22">
        <v>144</v>
      </c>
      <c r="I544" s="23" t="s">
        <v>40</v>
      </c>
      <c r="J544" s="24">
        <f>2073600/12/12</f>
        <v>14400</v>
      </c>
      <c r="K544" s="21" t="s">
        <v>40</v>
      </c>
      <c r="L544" s="25"/>
      <c r="M544" s="25">
        <v>0.17</v>
      </c>
      <c r="N544" s="22"/>
      <c r="O544" s="23" t="s">
        <v>40</v>
      </c>
      <c r="P544" s="20">
        <f t="shared" si="150"/>
        <v>108</v>
      </c>
      <c r="Q544" s="23" t="s">
        <v>40</v>
      </c>
      <c r="R544" s="24">
        <f t="shared" si="151"/>
        <v>1290816</v>
      </c>
      <c r="S544" s="24">
        <f t="shared" si="139"/>
        <v>1162897.2972972973</v>
      </c>
    </row>
    <row r="545" spans="1:19" s="19" customFormat="1">
      <c r="A545" s="49"/>
      <c r="C545" s="20"/>
      <c r="D545" s="21"/>
      <c r="E545" s="26"/>
      <c r="F545" s="22"/>
      <c r="G545" s="23"/>
      <c r="H545" s="22"/>
      <c r="I545" s="23"/>
      <c r="J545" s="24"/>
      <c r="K545" s="21"/>
      <c r="L545" s="25"/>
      <c r="M545" s="25"/>
      <c r="N545" s="22"/>
      <c r="O545" s="23"/>
      <c r="P545" s="20"/>
      <c r="Q545" s="23"/>
      <c r="R545" s="24"/>
      <c r="S545" s="24"/>
    </row>
    <row r="546" spans="1:19" s="19" customFormat="1">
      <c r="A546" s="71" t="s">
        <v>368</v>
      </c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19" customFormat="1">
      <c r="A547" s="18" t="s">
        <v>369</v>
      </c>
      <c r="B547" s="19" t="s">
        <v>182</v>
      </c>
      <c r="C547" s="20">
        <v>2109</v>
      </c>
      <c r="D547" s="21" t="s">
        <v>40</v>
      </c>
      <c r="E547" s="26"/>
      <c r="F547" s="22">
        <v>1</v>
      </c>
      <c r="G547" s="23" t="s">
        <v>20</v>
      </c>
      <c r="H547" s="22">
        <v>240</v>
      </c>
      <c r="I547" s="23" t="s">
        <v>40</v>
      </c>
      <c r="J547" s="24">
        <v>10000</v>
      </c>
      <c r="K547" s="21" t="s">
        <v>40</v>
      </c>
      <c r="L547" s="25"/>
      <c r="M547" s="25"/>
      <c r="N547" s="22"/>
      <c r="O547" s="23" t="s">
        <v>40</v>
      </c>
      <c r="P547" s="20">
        <f>(C547+(E547*F547*H547))-N547</f>
        <v>2109</v>
      </c>
      <c r="Q547" s="23" t="s">
        <v>40</v>
      </c>
      <c r="R547" s="24">
        <f>P547*(J547-(J547*L547)-((J547-(J547*L547))*M547))</f>
        <v>21090000</v>
      </c>
      <c r="S547" s="24">
        <f t="shared" si="139"/>
        <v>19000000</v>
      </c>
    </row>
    <row r="548" spans="1:19" s="19" customFormat="1">
      <c r="A548" s="18" t="s">
        <v>370</v>
      </c>
      <c r="B548" s="19" t="s">
        <v>182</v>
      </c>
      <c r="C548" s="20">
        <v>1472</v>
      </c>
      <c r="D548" s="21" t="s">
        <v>40</v>
      </c>
      <c r="E548" s="26"/>
      <c r="F548" s="22">
        <v>1</v>
      </c>
      <c r="G548" s="23" t="s">
        <v>20</v>
      </c>
      <c r="H548" s="22">
        <v>240</v>
      </c>
      <c r="I548" s="23" t="s">
        <v>40</v>
      </c>
      <c r="J548" s="24">
        <v>10000</v>
      </c>
      <c r="K548" s="21" t="s">
        <v>40</v>
      </c>
      <c r="L548" s="25"/>
      <c r="M548" s="25"/>
      <c r="N548" s="22"/>
      <c r="O548" s="23" t="s">
        <v>40</v>
      </c>
      <c r="P548" s="20">
        <f>(C548+(E548*F548*H548))-N548</f>
        <v>1472</v>
      </c>
      <c r="Q548" s="23" t="s">
        <v>40</v>
      </c>
      <c r="R548" s="24">
        <f>P548*(J548-(J548*L548)-((J548-(J548*L548))*M548))</f>
        <v>14720000</v>
      </c>
      <c r="S548" s="24">
        <f t="shared" si="139"/>
        <v>13261261.26126126</v>
      </c>
    </row>
    <row r="549" spans="1:19" s="19" customFormat="1">
      <c r="A549" s="18" t="s">
        <v>371</v>
      </c>
      <c r="B549" s="19" t="s">
        <v>182</v>
      </c>
      <c r="C549" s="20">
        <v>1145</v>
      </c>
      <c r="D549" s="21" t="s">
        <v>40</v>
      </c>
      <c r="E549" s="26"/>
      <c r="F549" s="22">
        <v>1</v>
      </c>
      <c r="G549" s="23" t="s">
        <v>20</v>
      </c>
      <c r="H549" s="22">
        <v>240</v>
      </c>
      <c r="I549" s="23" t="s">
        <v>40</v>
      </c>
      <c r="J549" s="24">
        <v>10000</v>
      </c>
      <c r="K549" s="21" t="s">
        <v>40</v>
      </c>
      <c r="L549" s="25"/>
      <c r="M549" s="25"/>
      <c r="N549" s="22"/>
      <c r="O549" s="23" t="s">
        <v>40</v>
      </c>
      <c r="P549" s="20">
        <f>(C549+(E549*F549*H549))-N549</f>
        <v>1145</v>
      </c>
      <c r="Q549" s="23" t="s">
        <v>40</v>
      </c>
      <c r="R549" s="24">
        <f>P549*(J549-(J549*L549)-((J549-(J549*L549))*M549))</f>
        <v>11450000</v>
      </c>
      <c r="S549" s="24">
        <f t="shared" si="139"/>
        <v>10315315.315315314</v>
      </c>
    </row>
    <row r="550" spans="1:19" s="19" customFormat="1">
      <c r="A550" s="18" t="s">
        <v>372</v>
      </c>
      <c r="B550" s="19" t="s">
        <v>182</v>
      </c>
      <c r="C550" s="20">
        <v>19</v>
      </c>
      <c r="D550" s="21" t="s">
        <v>40</v>
      </c>
      <c r="E550" s="26"/>
      <c r="F550" s="22">
        <v>1</v>
      </c>
      <c r="G550" s="23" t="s">
        <v>20</v>
      </c>
      <c r="H550" s="22">
        <v>240</v>
      </c>
      <c r="I550" s="23" t="s">
        <v>40</v>
      </c>
      <c r="J550" s="24">
        <v>10000</v>
      </c>
      <c r="K550" s="21" t="s">
        <v>40</v>
      </c>
      <c r="L550" s="25"/>
      <c r="M550" s="25"/>
      <c r="N550" s="22"/>
      <c r="O550" s="23" t="s">
        <v>40</v>
      </c>
      <c r="P550" s="20">
        <f>(C550+(E550*F550*H550))-N550</f>
        <v>19</v>
      </c>
      <c r="Q550" s="23" t="s">
        <v>40</v>
      </c>
      <c r="R550" s="24">
        <f>P550*(J550-(J550*L550)-((J550-(J550*L550))*M550))</f>
        <v>190000</v>
      </c>
      <c r="S550" s="24">
        <f t="shared" si="139"/>
        <v>171171.17117117115</v>
      </c>
    </row>
    <row r="551" spans="1:19" s="19" customFormat="1">
      <c r="A551" s="18"/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89" customFormat="1">
      <c r="A552" s="88" t="s">
        <v>402</v>
      </c>
      <c r="B552" s="89" t="s">
        <v>261</v>
      </c>
      <c r="C552" s="87"/>
      <c r="D552" s="90" t="s">
        <v>40</v>
      </c>
      <c r="E552" s="91"/>
      <c r="F552" s="92">
        <v>1</v>
      </c>
      <c r="G552" s="93" t="s">
        <v>20</v>
      </c>
      <c r="H552" s="92">
        <v>120</v>
      </c>
      <c r="I552" s="93" t="s">
        <v>40</v>
      </c>
      <c r="J552" s="94">
        <v>25500</v>
      </c>
      <c r="K552" s="90" t="s">
        <v>40</v>
      </c>
      <c r="L552" s="95"/>
      <c r="M552" s="95"/>
      <c r="N552" s="92"/>
      <c r="O552" s="93" t="s">
        <v>40</v>
      </c>
      <c r="P552" s="87">
        <f>(C552+(E552*F552*H552))-N552</f>
        <v>0</v>
      </c>
      <c r="Q552" s="93" t="s">
        <v>40</v>
      </c>
      <c r="R552" s="94">
        <f>P552*(J552-(J552*L552)-((J552-(J552*L552))*M552))</f>
        <v>0</v>
      </c>
      <c r="S552" s="94">
        <f>R552/1.11</f>
        <v>0</v>
      </c>
    </row>
    <row r="553" spans="1:19" s="89" customFormat="1">
      <c r="A553" s="88" t="s">
        <v>743</v>
      </c>
      <c r="B553" s="89" t="s">
        <v>261</v>
      </c>
      <c r="C553" s="87"/>
      <c r="D553" s="90" t="s">
        <v>40</v>
      </c>
      <c r="E553" s="91"/>
      <c r="F553" s="92">
        <v>1</v>
      </c>
      <c r="G553" s="93" t="s">
        <v>20</v>
      </c>
      <c r="H553" s="92">
        <v>120</v>
      </c>
      <c r="I553" s="93" t="s">
        <v>40</v>
      </c>
      <c r="J553" s="94">
        <v>19000</v>
      </c>
      <c r="K553" s="90" t="s">
        <v>40</v>
      </c>
      <c r="L553" s="95"/>
      <c r="M553" s="95"/>
      <c r="N553" s="92"/>
      <c r="O553" s="93" t="s">
        <v>40</v>
      </c>
      <c r="P553" s="87">
        <f>(C553+(E553*F553*H553))-N553</f>
        <v>0</v>
      </c>
      <c r="Q553" s="93" t="s">
        <v>40</v>
      </c>
      <c r="R553" s="94">
        <f>P553*(J553-(J553*L553)-((J553-(J553*L553))*M553))</f>
        <v>0</v>
      </c>
      <c r="S553" s="94">
        <f t="shared" ref="S553" si="152">R553/1.11</f>
        <v>0</v>
      </c>
    </row>
    <row r="554" spans="1:19" s="19" customFormat="1">
      <c r="A554" s="18"/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89" customFormat="1">
      <c r="A555" s="88" t="s">
        <v>373</v>
      </c>
      <c r="B555" s="89" t="s">
        <v>18</v>
      </c>
      <c r="C555" s="87"/>
      <c r="D555" s="90" t="s">
        <v>40</v>
      </c>
      <c r="E555" s="91"/>
      <c r="F555" s="92">
        <v>1</v>
      </c>
      <c r="G555" s="93" t="s">
        <v>20</v>
      </c>
      <c r="H555" s="92">
        <v>144</v>
      </c>
      <c r="I555" s="93" t="s">
        <v>40</v>
      </c>
      <c r="J555" s="94">
        <v>19800</v>
      </c>
      <c r="K555" s="90" t="s">
        <v>40</v>
      </c>
      <c r="L555" s="95">
        <v>0.125</v>
      </c>
      <c r="M555" s="95">
        <v>0.05</v>
      </c>
      <c r="N555" s="92"/>
      <c r="O555" s="93" t="s">
        <v>40</v>
      </c>
      <c r="P555" s="87">
        <f t="shared" ref="P555:P571" si="153">(C555+(E555*F555*H555))-N555</f>
        <v>0</v>
      </c>
      <c r="Q555" s="93" t="s">
        <v>40</v>
      </c>
      <c r="R555" s="94">
        <f t="shared" ref="R555:R571" si="154">P555*(J555-(J555*L555)-((J555-(J555*L555))*M555))</f>
        <v>0</v>
      </c>
      <c r="S555" s="94">
        <f t="shared" si="139"/>
        <v>0</v>
      </c>
    </row>
    <row r="556" spans="1:19" s="89" customFormat="1">
      <c r="A556" s="88" t="s">
        <v>374</v>
      </c>
      <c r="B556" s="89" t="s">
        <v>18</v>
      </c>
      <c r="C556" s="87"/>
      <c r="D556" s="90" t="s">
        <v>40</v>
      </c>
      <c r="E556" s="91"/>
      <c r="F556" s="92">
        <v>1</v>
      </c>
      <c r="G556" s="93" t="s">
        <v>20</v>
      </c>
      <c r="H556" s="92">
        <v>144</v>
      </c>
      <c r="I556" s="93" t="s">
        <v>40</v>
      </c>
      <c r="J556" s="94">
        <v>20400</v>
      </c>
      <c r="K556" s="90" t="s">
        <v>40</v>
      </c>
      <c r="L556" s="95">
        <v>0.125</v>
      </c>
      <c r="M556" s="95">
        <v>0.05</v>
      </c>
      <c r="N556" s="92"/>
      <c r="O556" s="93" t="s">
        <v>40</v>
      </c>
      <c r="P556" s="87">
        <f t="shared" si="153"/>
        <v>0</v>
      </c>
      <c r="Q556" s="93" t="s">
        <v>40</v>
      </c>
      <c r="R556" s="94">
        <f t="shared" si="154"/>
        <v>0</v>
      </c>
      <c r="S556" s="94">
        <f t="shared" si="139"/>
        <v>0</v>
      </c>
    </row>
    <row r="557" spans="1:19" s="89" customFormat="1">
      <c r="A557" s="145" t="s">
        <v>659</v>
      </c>
      <c r="B557" s="89" t="s">
        <v>18</v>
      </c>
      <c r="C557" s="87"/>
      <c r="D557" s="90" t="s">
        <v>40</v>
      </c>
      <c r="E557" s="91"/>
      <c r="F557" s="92">
        <v>1</v>
      </c>
      <c r="G557" s="93" t="s">
        <v>20</v>
      </c>
      <c r="H557" s="92">
        <v>144</v>
      </c>
      <c r="I557" s="93" t="s">
        <v>40</v>
      </c>
      <c r="J557" s="94">
        <v>69600</v>
      </c>
      <c r="K557" s="90" t="s">
        <v>40</v>
      </c>
      <c r="L557" s="95">
        <v>0.125</v>
      </c>
      <c r="M557" s="95">
        <v>0.05</v>
      </c>
      <c r="N557" s="92"/>
      <c r="O557" s="93" t="s">
        <v>40</v>
      </c>
      <c r="P557" s="87">
        <f t="shared" si="153"/>
        <v>0</v>
      </c>
      <c r="Q557" s="93" t="s">
        <v>40</v>
      </c>
      <c r="R557" s="94">
        <f t="shared" si="154"/>
        <v>0</v>
      </c>
      <c r="S557" s="94">
        <f t="shared" si="139"/>
        <v>0</v>
      </c>
    </row>
    <row r="558" spans="1:19" s="89" customFormat="1">
      <c r="A558" s="145" t="s">
        <v>790</v>
      </c>
      <c r="B558" s="89" t="s">
        <v>18</v>
      </c>
      <c r="C558" s="87"/>
      <c r="D558" s="90" t="s">
        <v>40</v>
      </c>
      <c r="E558" s="91"/>
      <c r="F558" s="92">
        <v>1</v>
      </c>
      <c r="G558" s="93" t="s">
        <v>20</v>
      </c>
      <c r="H558" s="92">
        <v>144</v>
      </c>
      <c r="I558" s="93" t="s">
        <v>40</v>
      </c>
      <c r="J558" s="94">
        <v>32400</v>
      </c>
      <c r="K558" s="90" t="s">
        <v>40</v>
      </c>
      <c r="L558" s="95">
        <v>0.125</v>
      </c>
      <c r="M558" s="95">
        <v>0.05</v>
      </c>
      <c r="N558" s="92"/>
      <c r="O558" s="93" t="s">
        <v>40</v>
      </c>
      <c r="P558" s="87">
        <f t="shared" si="153"/>
        <v>0</v>
      </c>
      <c r="Q558" s="93" t="s">
        <v>40</v>
      </c>
      <c r="R558" s="94">
        <f t="shared" si="154"/>
        <v>0</v>
      </c>
      <c r="S558" s="94">
        <f t="shared" si="139"/>
        <v>0</v>
      </c>
    </row>
    <row r="559" spans="1:19" s="89" customFormat="1">
      <c r="A559" s="145" t="s">
        <v>375</v>
      </c>
      <c r="B559" s="89" t="s">
        <v>18</v>
      </c>
      <c r="C559" s="87"/>
      <c r="D559" s="90" t="s">
        <v>40</v>
      </c>
      <c r="E559" s="91"/>
      <c r="F559" s="92">
        <v>1</v>
      </c>
      <c r="G559" s="93" t="s">
        <v>20</v>
      </c>
      <c r="H559" s="92">
        <v>144</v>
      </c>
      <c r="I559" s="93" t="s">
        <v>40</v>
      </c>
      <c r="J559" s="94">
        <v>27000</v>
      </c>
      <c r="K559" s="90" t="s">
        <v>40</v>
      </c>
      <c r="L559" s="95">
        <v>0.125</v>
      </c>
      <c r="M559" s="95">
        <v>0.05</v>
      </c>
      <c r="N559" s="92"/>
      <c r="O559" s="93" t="s">
        <v>40</v>
      </c>
      <c r="P559" s="87">
        <f t="shared" si="153"/>
        <v>0</v>
      </c>
      <c r="Q559" s="93" t="s">
        <v>40</v>
      </c>
      <c r="R559" s="94">
        <f t="shared" si="154"/>
        <v>0</v>
      </c>
      <c r="S559" s="94">
        <f t="shared" si="139"/>
        <v>0</v>
      </c>
    </row>
    <row r="560" spans="1:19" s="89" customFormat="1">
      <c r="A560" s="145" t="s">
        <v>715</v>
      </c>
      <c r="B560" s="89" t="s">
        <v>18</v>
      </c>
      <c r="C560" s="87"/>
      <c r="D560" s="90" t="s">
        <v>40</v>
      </c>
      <c r="E560" s="91"/>
      <c r="F560" s="92">
        <v>1</v>
      </c>
      <c r="G560" s="93" t="s">
        <v>20</v>
      </c>
      <c r="H560" s="92">
        <v>144</v>
      </c>
      <c r="I560" s="93" t="s">
        <v>40</v>
      </c>
      <c r="J560" s="94">
        <v>21600</v>
      </c>
      <c r="K560" s="90" t="s">
        <v>40</v>
      </c>
      <c r="L560" s="95">
        <v>0.125</v>
      </c>
      <c r="M560" s="95">
        <v>0.05</v>
      </c>
      <c r="N560" s="92"/>
      <c r="O560" s="93" t="s">
        <v>40</v>
      </c>
      <c r="P560" s="87">
        <f t="shared" si="153"/>
        <v>0</v>
      </c>
      <c r="Q560" s="93" t="s">
        <v>40</v>
      </c>
      <c r="R560" s="94">
        <f t="shared" si="154"/>
        <v>0</v>
      </c>
      <c r="S560" s="94">
        <f t="shared" ref="S560:S619" si="155">R560/1.11</f>
        <v>0</v>
      </c>
    </row>
    <row r="561" spans="1:19" s="89" customFormat="1">
      <c r="A561" s="145" t="s">
        <v>376</v>
      </c>
      <c r="B561" s="89" t="s">
        <v>18</v>
      </c>
      <c r="C561" s="87"/>
      <c r="D561" s="90" t="s">
        <v>40</v>
      </c>
      <c r="E561" s="91"/>
      <c r="F561" s="92">
        <v>1</v>
      </c>
      <c r="G561" s="93" t="s">
        <v>20</v>
      </c>
      <c r="H561" s="92">
        <v>144</v>
      </c>
      <c r="I561" s="93" t="s">
        <v>40</v>
      </c>
      <c r="J561" s="94">
        <v>43200</v>
      </c>
      <c r="K561" s="90" t="s">
        <v>40</v>
      </c>
      <c r="L561" s="95">
        <v>0.125</v>
      </c>
      <c r="M561" s="95">
        <v>0.05</v>
      </c>
      <c r="N561" s="92"/>
      <c r="O561" s="93" t="s">
        <v>40</v>
      </c>
      <c r="P561" s="87">
        <f t="shared" si="153"/>
        <v>0</v>
      </c>
      <c r="Q561" s="93" t="s">
        <v>40</v>
      </c>
      <c r="R561" s="94">
        <f t="shared" si="154"/>
        <v>0</v>
      </c>
      <c r="S561" s="94">
        <f t="shared" si="155"/>
        <v>0</v>
      </c>
    </row>
    <row r="562" spans="1:19" s="89" customFormat="1">
      <c r="A562" s="145" t="s">
        <v>377</v>
      </c>
      <c r="B562" s="89" t="s">
        <v>18</v>
      </c>
      <c r="C562" s="87"/>
      <c r="D562" s="90" t="s">
        <v>40</v>
      </c>
      <c r="E562" s="91"/>
      <c r="F562" s="92">
        <v>1</v>
      </c>
      <c r="G562" s="93" t="s">
        <v>20</v>
      </c>
      <c r="H562" s="92">
        <v>144</v>
      </c>
      <c r="I562" s="93" t="s">
        <v>40</v>
      </c>
      <c r="J562" s="94">
        <v>22800</v>
      </c>
      <c r="K562" s="90" t="s">
        <v>40</v>
      </c>
      <c r="L562" s="95">
        <v>0.125</v>
      </c>
      <c r="M562" s="95">
        <v>0.05</v>
      </c>
      <c r="N562" s="92"/>
      <c r="O562" s="93" t="s">
        <v>40</v>
      </c>
      <c r="P562" s="87">
        <f t="shared" si="153"/>
        <v>0</v>
      </c>
      <c r="Q562" s="93" t="s">
        <v>40</v>
      </c>
      <c r="R562" s="94">
        <f t="shared" si="154"/>
        <v>0</v>
      </c>
      <c r="S562" s="94">
        <f t="shared" si="155"/>
        <v>0</v>
      </c>
    </row>
    <row r="563" spans="1:19" s="19" customFormat="1">
      <c r="A563" s="149" t="s">
        <v>378</v>
      </c>
      <c r="B563" s="32" t="s">
        <v>18</v>
      </c>
      <c r="C563" s="33"/>
      <c r="D563" s="34" t="s">
        <v>40</v>
      </c>
      <c r="E563" s="35">
        <v>1</v>
      </c>
      <c r="F563" s="36">
        <v>1</v>
      </c>
      <c r="G563" s="37" t="s">
        <v>20</v>
      </c>
      <c r="H563" s="36">
        <v>144</v>
      </c>
      <c r="I563" s="37" t="s">
        <v>40</v>
      </c>
      <c r="J563" s="38">
        <v>28200</v>
      </c>
      <c r="K563" s="34" t="s">
        <v>40</v>
      </c>
      <c r="L563" s="39">
        <v>0.125</v>
      </c>
      <c r="M563" s="39">
        <v>0.05</v>
      </c>
      <c r="N563" s="36"/>
      <c r="O563" s="150" t="s">
        <v>40</v>
      </c>
      <c r="P563" s="33">
        <f t="shared" ref="P563:P564" si="156">(C563+(E563*F563*H563))-N563</f>
        <v>144</v>
      </c>
      <c r="Q563" s="37" t="s">
        <v>40</v>
      </c>
      <c r="R563" s="38">
        <f t="shared" ref="R563:R564" si="157">P563*(J563-(J563*L563)-((J563-(J563*L563))*M563))</f>
        <v>3375540</v>
      </c>
      <c r="S563" s="38">
        <f t="shared" ref="S563:S564" si="158">R563/1.11</f>
        <v>3041027.0270270268</v>
      </c>
    </row>
    <row r="564" spans="1:19" s="19" customFormat="1">
      <c r="A564" s="149" t="s">
        <v>378</v>
      </c>
      <c r="B564" s="32" t="s">
        <v>18</v>
      </c>
      <c r="C564" s="33">
        <v>312</v>
      </c>
      <c r="D564" s="34" t="s">
        <v>40</v>
      </c>
      <c r="E564" s="35"/>
      <c r="F564" s="36">
        <v>1</v>
      </c>
      <c r="G564" s="37" t="s">
        <v>20</v>
      </c>
      <c r="H564" s="36">
        <v>144</v>
      </c>
      <c r="I564" s="37" t="s">
        <v>40</v>
      </c>
      <c r="J564" s="38">
        <v>26400</v>
      </c>
      <c r="K564" s="34" t="s">
        <v>40</v>
      </c>
      <c r="L564" s="39">
        <v>0.125</v>
      </c>
      <c r="M564" s="39">
        <v>0.05</v>
      </c>
      <c r="N564" s="36"/>
      <c r="O564" s="150" t="s">
        <v>40</v>
      </c>
      <c r="P564" s="33">
        <f t="shared" si="156"/>
        <v>312</v>
      </c>
      <c r="Q564" s="37" t="s">
        <v>40</v>
      </c>
      <c r="R564" s="38">
        <f t="shared" si="157"/>
        <v>6846840</v>
      </c>
      <c r="S564" s="38">
        <f t="shared" si="158"/>
        <v>6168324.3243243238</v>
      </c>
    </row>
    <row r="565" spans="1:19" s="19" customFormat="1">
      <c r="A565" s="149" t="s">
        <v>873</v>
      </c>
      <c r="B565" s="32" t="s">
        <v>18</v>
      </c>
      <c r="C565" s="33">
        <v>351</v>
      </c>
      <c r="D565" s="34" t="s">
        <v>40</v>
      </c>
      <c r="E565" s="35"/>
      <c r="F565" s="36">
        <v>1</v>
      </c>
      <c r="G565" s="37" t="s">
        <v>20</v>
      </c>
      <c r="H565" s="36">
        <v>144</v>
      </c>
      <c r="I565" s="37" t="s">
        <v>40</v>
      </c>
      <c r="J565" s="38"/>
      <c r="K565" s="34" t="s">
        <v>40</v>
      </c>
      <c r="L565" s="39">
        <v>0.125</v>
      </c>
      <c r="M565" s="39">
        <v>0.05</v>
      </c>
      <c r="N565" s="36"/>
      <c r="O565" s="150" t="s">
        <v>40</v>
      </c>
      <c r="P565" s="33">
        <f t="shared" si="153"/>
        <v>351</v>
      </c>
      <c r="Q565" s="37" t="s">
        <v>40</v>
      </c>
      <c r="R565" s="38">
        <f t="shared" si="154"/>
        <v>0</v>
      </c>
      <c r="S565" s="38">
        <f t="shared" si="155"/>
        <v>0</v>
      </c>
    </row>
    <row r="566" spans="1:19" s="19" customFormat="1">
      <c r="A566" s="49" t="s">
        <v>379</v>
      </c>
      <c r="B566" s="19" t="s">
        <v>18</v>
      </c>
      <c r="C566" s="20">
        <v>233</v>
      </c>
      <c r="D566" s="21" t="s">
        <v>40</v>
      </c>
      <c r="E566" s="26">
        <v>1</v>
      </c>
      <c r="F566" s="22">
        <v>1</v>
      </c>
      <c r="G566" s="23" t="s">
        <v>20</v>
      </c>
      <c r="H566" s="22">
        <v>144</v>
      </c>
      <c r="I566" s="23" t="s">
        <v>40</v>
      </c>
      <c r="J566" s="24">
        <v>27600</v>
      </c>
      <c r="K566" s="21" t="s">
        <v>40</v>
      </c>
      <c r="L566" s="25">
        <v>0.125</v>
      </c>
      <c r="M566" s="25">
        <v>0.05</v>
      </c>
      <c r="N566" s="22"/>
      <c r="O566" s="23" t="s">
        <v>40</v>
      </c>
      <c r="P566" s="20">
        <f t="shared" si="153"/>
        <v>377</v>
      </c>
      <c r="Q566" s="23" t="s">
        <v>40</v>
      </c>
      <c r="R566" s="24">
        <f t="shared" si="154"/>
        <v>8649322.5</v>
      </c>
      <c r="S566" s="24">
        <f t="shared" si="155"/>
        <v>7792182.4324324317</v>
      </c>
    </row>
    <row r="567" spans="1:19" s="80" customFormat="1">
      <c r="A567" s="145" t="s">
        <v>380</v>
      </c>
      <c r="B567" s="80" t="s">
        <v>18</v>
      </c>
      <c r="C567" s="81"/>
      <c r="D567" s="82" t="s">
        <v>40</v>
      </c>
      <c r="E567" s="83"/>
      <c r="F567" s="84">
        <v>1</v>
      </c>
      <c r="G567" s="85" t="s">
        <v>20</v>
      </c>
      <c r="H567" s="84">
        <v>144</v>
      </c>
      <c r="I567" s="85" t="s">
        <v>40</v>
      </c>
      <c r="J567" s="16">
        <v>25800</v>
      </c>
      <c r="K567" s="82" t="s">
        <v>40</v>
      </c>
      <c r="L567" s="86">
        <v>0.125</v>
      </c>
      <c r="M567" s="86">
        <v>0.05</v>
      </c>
      <c r="N567" s="84"/>
      <c r="O567" s="85" t="s">
        <v>40</v>
      </c>
      <c r="P567" s="81">
        <f t="shared" si="153"/>
        <v>0</v>
      </c>
      <c r="Q567" s="85" t="s">
        <v>40</v>
      </c>
      <c r="R567" s="16">
        <f t="shared" si="154"/>
        <v>0</v>
      </c>
      <c r="S567" s="16">
        <f t="shared" si="155"/>
        <v>0</v>
      </c>
    </row>
    <row r="568" spans="1:19">
      <c r="A568" s="17" t="s">
        <v>381</v>
      </c>
      <c r="B568" s="2" t="s">
        <v>18</v>
      </c>
      <c r="D568" s="4" t="s">
        <v>40</v>
      </c>
      <c r="E568" s="5">
        <v>4</v>
      </c>
      <c r="F568" s="6">
        <v>1</v>
      </c>
      <c r="G568" s="7" t="s">
        <v>20</v>
      </c>
      <c r="H568" s="6">
        <v>144</v>
      </c>
      <c r="I568" s="7" t="s">
        <v>40</v>
      </c>
      <c r="J568" s="8">
        <v>14100</v>
      </c>
      <c r="K568" s="4" t="s">
        <v>40</v>
      </c>
      <c r="L568" s="9">
        <v>0.125</v>
      </c>
      <c r="M568" s="9">
        <v>0.05</v>
      </c>
      <c r="O568" s="7" t="s">
        <v>40</v>
      </c>
      <c r="P568" s="3">
        <f t="shared" si="153"/>
        <v>576</v>
      </c>
      <c r="Q568" s="7" t="s">
        <v>40</v>
      </c>
      <c r="R568" s="8">
        <f t="shared" si="154"/>
        <v>6751080</v>
      </c>
      <c r="S568" s="8">
        <f t="shared" si="155"/>
        <v>6082054.0540540535</v>
      </c>
    </row>
    <row r="569" spans="1:19" s="80" customFormat="1">
      <c r="A569" s="79" t="s">
        <v>702</v>
      </c>
      <c r="B569" s="80" t="s">
        <v>18</v>
      </c>
      <c r="C569" s="81"/>
      <c r="D569" s="82" t="s">
        <v>40</v>
      </c>
      <c r="E569" s="83"/>
      <c r="F569" s="84">
        <v>1</v>
      </c>
      <c r="G569" s="85" t="s">
        <v>20</v>
      </c>
      <c r="H569" s="84">
        <v>144</v>
      </c>
      <c r="I569" s="85" t="s">
        <v>40</v>
      </c>
      <c r="J569" s="16">
        <v>25800</v>
      </c>
      <c r="K569" s="82" t="s">
        <v>40</v>
      </c>
      <c r="L569" s="86">
        <v>0.125</v>
      </c>
      <c r="M569" s="86">
        <v>0.05</v>
      </c>
      <c r="N569" s="84"/>
      <c r="O569" s="85" t="s">
        <v>40</v>
      </c>
      <c r="P569" s="81">
        <f t="shared" si="153"/>
        <v>0</v>
      </c>
      <c r="Q569" s="85" t="s">
        <v>40</v>
      </c>
      <c r="R569" s="16">
        <f t="shared" si="154"/>
        <v>0</v>
      </c>
      <c r="S569" s="16">
        <f t="shared" si="155"/>
        <v>0</v>
      </c>
    </row>
    <row r="570" spans="1:19">
      <c r="A570" s="17" t="s">
        <v>382</v>
      </c>
      <c r="B570" s="2" t="s">
        <v>18</v>
      </c>
      <c r="C570" s="3">
        <v>432</v>
      </c>
      <c r="D570" s="4" t="s">
        <v>40</v>
      </c>
      <c r="E570" s="5">
        <v>3</v>
      </c>
      <c r="F570" s="6">
        <v>1</v>
      </c>
      <c r="G570" s="7" t="s">
        <v>20</v>
      </c>
      <c r="H570" s="6">
        <v>144</v>
      </c>
      <c r="I570" s="7" t="s">
        <v>40</v>
      </c>
      <c r="J570" s="8">
        <v>20400</v>
      </c>
      <c r="K570" s="4" t="s">
        <v>40</v>
      </c>
      <c r="L570" s="9">
        <v>0.125</v>
      </c>
      <c r="M570" s="9">
        <v>0.05</v>
      </c>
      <c r="O570" s="7" t="s">
        <v>40</v>
      </c>
      <c r="P570" s="3">
        <f t="shared" si="153"/>
        <v>864</v>
      </c>
      <c r="Q570" s="7" t="s">
        <v>40</v>
      </c>
      <c r="R570" s="8">
        <f t="shared" si="154"/>
        <v>14651280</v>
      </c>
      <c r="S570" s="8">
        <f t="shared" si="155"/>
        <v>13199351.351351351</v>
      </c>
    </row>
    <row r="571" spans="1:19" s="80" customFormat="1">
      <c r="A571" s="79" t="s">
        <v>799</v>
      </c>
      <c r="B571" s="80" t="s">
        <v>18</v>
      </c>
      <c r="C571" s="81"/>
      <c r="D571" s="82" t="s">
        <v>40</v>
      </c>
      <c r="E571" s="83"/>
      <c r="F571" s="84">
        <v>1</v>
      </c>
      <c r="G571" s="85" t="s">
        <v>20</v>
      </c>
      <c r="H571" s="84">
        <v>144</v>
      </c>
      <c r="I571" s="85" t="s">
        <v>40</v>
      </c>
      <c r="J571" s="16">
        <v>17400</v>
      </c>
      <c r="K571" s="82" t="s">
        <v>40</v>
      </c>
      <c r="L571" s="86">
        <v>0.125</v>
      </c>
      <c r="M571" s="86">
        <v>0.1</v>
      </c>
      <c r="N571" s="84"/>
      <c r="O571" s="85" t="s">
        <v>40</v>
      </c>
      <c r="P571" s="81">
        <f t="shared" si="153"/>
        <v>0</v>
      </c>
      <c r="Q571" s="85" t="s">
        <v>40</v>
      </c>
      <c r="R571" s="16">
        <f t="shared" si="154"/>
        <v>0</v>
      </c>
      <c r="S571" s="16">
        <f t="shared" si="155"/>
        <v>0</v>
      </c>
    </row>
    <row r="573" spans="1:19" s="80" customFormat="1">
      <c r="A573" s="79" t="s">
        <v>383</v>
      </c>
      <c r="B573" s="80" t="s">
        <v>25</v>
      </c>
      <c r="C573" s="87"/>
      <c r="D573" s="82" t="s">
        <v>40</v>
      </c>
      <c r="E573" s="83"/>
      <c r="F573" s="84">
        <v>1</v>
      </c>
      <c r="G573" s="85" t="s">
        <v>20</v>
      </c>
      <c r="H573" s="84">
        <v>144</v>
      </c>
      <c r="I573" s="85" t="s">
        <v>40</v>
      </c>
      <c r="J573" s="16">
        <v>25200</v>
      </c>
      <c r="K573" s="82" t="s">
        <v>40</v>
      </c>
      <c r="L573" s="86"/>
      <c r="M573" s="86">
        <v>0.17</v>
      </c>
      <c r="N573" s="84"/>
      <c r="O573" s="85" t="s">
        <v>40</v>
      </c>
      <c r="P573" s="81">
        <f t="shared" ref="P573:P601" si="159">(C573+(E573*F573*H573))-N573</f>
        <v>0</v>
      </c>
      <c r="Q573" s="85" t="s">
        <v>40</v>
      </c>
      <c r="R573" s="16">
        <f t="shared" ref="R573:R601" si="160">P573*(J573-(J573*L573)-((J573-(J573*L573))*M573))</f>
        <v>0</v>
      </c>
      <c r="S573" s="16">
        <f t="shared" si="155"/>
        <v>0</v>
      </c>
    </row>
    <row r="574" spans="1:19">
      <c r="A574" s="17" t="s">
        <v>675</v>
      </c>
      <c r="B574" s="2" t="s">
        <v>25</v>
      </c>
      <c r="C574" s="3">
        <v>432</v>
      </c>
      <c r="D574" s="4" t="s">
        <v>40</v>
      </c>
      <c r="E574" s="5">
        <v>2</v>
      </c>
      <c r="F574" s="6">
        <v>1</v>
      </c>
      <c r="G574" s="7" t="s">
        <v>20</v>
      </c>
      <c r="H574" s="6">
        <v>144</v>
      </c>
      <c r="I574" s="7" t="s">
        <v>40</v>
      </c>
      <c r="J574" s="8">
        <f>3758400/144</f>
        <v>26100</v>
      </c>
      <c r="K574" s="4" t="s">
        <v>40</v>
      </c>
      <c r="M574" s="9">
        <v>0.17</v>
      </c>
      <c r="O574" s="7" t="s">
        <v>40</v>
      </c>
      <c r="P574" s="3">
        <f t="shared" si="159"/>
        <v>720</v>
      </c>
      <c r="Q574" s="7" t="s">
        <v>40</v>
      </c>
      <c r="R574" s="8">
        <f t="shared" si="160"/>
        <v>15597360</v>
      </c>
      <c r="S574" s="8">
        <f t="shared" si="155"/>
        <v>14051675.675675675</v>
      </c>
    </row>
    <row r="575" spans="1:19">
      <c r="A575" s="17" t="s">
        <v>384</v>
      </c>
      <c r="B575" s="2" t="s">
        <v>25</v>
      </c>
      <c r="C575" s="3">
        <v>60</v>
      </c>
      <c r="D575" s="4" t="s">
        <v>40</v>
      </c>
      <c r="F575" s="6">
        <v>1</v>
      </c>
      <c r="G575" s="7" t="s">
        <v>20</v>
      </c>
      <c r="H575" s="6">
        <v>144</v>
      </c>
      <c r="I575" s="7" t="s">
        <v>40</v>
      </c>
      <c r="J575" s="8">
        <f>3715200/144</f>
        <v>25800</v>
      </c>
      <c r="K575" s="4" t="s">
        <v>40</v>
      </c>
      <c r="M575" s="9">
        <v>0.17</v>
      </c>
      <c r="O575" s="7" t="s">
        <v>40</v>
      </c>
      <c r="P575" s="3">
        <f t="shared" si="159"/>
        <v>60</v>
      </c>
      <c r="Q575" s="7" t="s">
        <v>40</v>
      </c>
      <c r="R575" s="8">
        <f t="shared" si="160"/>
        <v>1284840</v>
      </c>
      <c r="S575" s="8">
        <f t="shared" si="155"/>
        <v>1157513.5135135134</v>
      </c>
    </row>
    <row r="576" spans="1:19" s="80" customFormat="1">
      <c r="A576" s="79" t="s">
        <v>395</v>
      </c>
      <c r="B576" s="80" t="s">
        <v>25</v>
      </c>
      <c r="C576" s="87"/>
      <c r="D576" s="82" t="s">
        <v>40</v>
      </c>
      <c r="E576" s="83"/>
      <c r="F576" s="84">
        <v>1</v>
      </c>
      <c r="G576" s="85" t="s">
        <v>20</v>
      </c>
      <c r="H576" s="84">
        <v>144</v>
      </c>
      <c r="I576" s="85" t="s">
        <v>40</v>
      </c>
      <c r="J576" s="16">
        <v>25800</v>
      </c>
      <c r="K576" s="82" t="s">
        <v>40</v>
      </c>
      <c r="L576" s="86"/>
      <c r="M576" s="86">
        <v>0.17</v>
      </c>
      <c r="N576" s="84"/>
      <c r="O576" s="85" t="s">
        <v>40</v>
      </c>
      <c r="P576" s="81">
        <f t="shared" si="159"/>
        <v>0</v>
      </c>
      <c r="Q576" s="85" t="s">
        <v>40</v>
      </c>
      <c r="R576" s="16">
        <f t="shared" si="160"/>
        <v>0</v>
      </c>
      <c r="S576" s="16">
        <f>R576/1.11</f>
        <v>0</v>
      </c>
    </row>
    <row r="577" spans="1:19">
      <c r="A577" s="49" t="s">
        <v>779</v>
      </c>
      <c r="B577" s="2" t="s">
        <v>25</v>
      </c>
      <c r="C577" s="3">
        <v>288</v>
      </c>
      <c r="D577" s="4" t="s">
        <v>40</v>
      </c>
      <c r="F577" s="6">
        <v>1</v>
      </c>
      <c r="G577" s="7" t="s">
        <v>20</v>
      </c>
      <c r="H577" s="6">
        <v>144</v>
      </c>
      <c r="I577" s="7" t="s">
        <v>40</v>
      </c>
      <c r="J577" s="8">
        <f>3628800/144</f>
        <v>25200</v>
      </c>
      <c r="K577" s="4" t="s">
        <v>40</v>
      </c>
      <c r="M577" s="9">
        <v>0.17</v>
      </c>
      <c r="O577" s="7" t="s">
        <v>40</v>
      </c>
      <c r="P577" s="3">
        <f t="shared" si="159"/>
        <v>288</v>
      </c>
      <c r="Q577" s="7" t="s">
        <v>40</v>
      </c>
      <c r="R577" s="8">
        <f t="shared" si="160"/>
        <v>6023808</v>
      </c>
      <c r="S577" s="8">
        <f t="shared" ref="S577" si="161">R577/1.11</f>
        <v>5426854.0540540535</v>
      </c>
    </row>
    <row r="578" spans="1:19">
      <c r="A578" s="49" t="s">
        <v>385</v>
      </c>
      <c r="B578" s="2" t="s">
        <v>25</v>
      </c>
      <c r="C578" s="3">
        <v>1676</v>
      </c>
      <c r="D578" s="4" t="s">
        <v>40</v>
      </c>
      <c r="E578" s="5">
        <v>15</v>
      </c>
      <c r="F578" s="6">
        <v>1</v>
      </c>
      <c r="G578" s="7" t="s">
        <v>20</v>
      </c>
      <c r="H578" s="6">
        <v>144</v>
      </c>
      <c r="I578" s="7" t="s">
        <v>40</v>
      </c>
      <c r="J578" s="8">
        <f>3758400/144</f>
        <v>26100</v>
      </c>
      <c r="K578" s="4" t="s">
        <v>40</v>
      </c>
      <c r="M578" s="9">
        <v>0.17</v>
      </c>
      <c r="O578" s="7" t="s">
        <v>40</v>
      </c>
      <c r="P578" s="3">
        <f t="shared" si="159"/>
        <v>3836</v>
      </c>
      <c r="Q578" s="7" t="s">
        <v>40</v>
      </c>
      <c r="R578" s="8">
        <f t="shared" si="160"/>
        <v>83099268</v>
      </c>
      <c r="S578" s="8">
        <f t="shared" si="155"/>
        <v>74864205.405405402</v>
      </c>
    </row>
    <row r="579" spans="1:19" s="80" customFormat="1">
      <c r="A579" s="145" t="s">
        <v>386</v>
      </c>
      <c r="B579" s="80" t="s">
        <v>25</v>
      </c>
      <c r="C579" s="87"/>
      <c r="D579" s="82" t="s">
        <v>40</v>
      </c>
      <c r="E579" s="83"/>
      <c r="F579" s="84">
        <v>1</v>
      </c>
      <c r="G579" s="85" t="s">
        <v>20</v>
      </c>
      <c r="H579" s="84">
        <v>144</v>
      </c>
      <c r="I579" s="85" t="s">
        <v>40</v>
      </c>
      <c r="J579" s="16">
        <f>3628800/144</f>
        <v>25200</v>
      </c>
      <c r="K579" s="82" t="s">
        <v>40</v>
      </c>
      <c r="L579" s="86"/>
      <c r="M579" s="86">
        <v>0.17</v>
      </c>
      <c r="N579" s="84"/>
      <c r="O579" s="85" t="s">
        <v>40</v>
      </c>
      <c r="P579" s="81">
        <f t="shared" si="159"/>
        <v>0</v>
      </c>
      <c r="Q579" s="85" t="s">
        <v>40</v>
      </c>
      <c r="R579" s="16">
        <f t="shared" si="160"/>
        <v>0</v>
      </c>
      <c r="S579" s="16">
        <f t="shared" si="155"/>
        <v>0</v>
      </c>
    </row>
    <row r="580" spans="1:19" s="80" customFormat="1">
      <c r="A580" s="145" t="s">
        <v>387</v>
      </c>
      <c r="B580" s="80" t="s">
        <v>25</v>
      </c>
      <c r="C580" s="87"/>
      <c r="D580" s="82" t="s">
        <v>40</v>
      </c>
      <c r="E580" s="83"/>
      <c r="F580" s="84">
        <v>1</v>
      </c>
      <c r="G580" s="85" t="s">
        <v>20</v>
      </c>
      <c r="H580" s="84">
        <v>144</v>
      </c>
      <c r="I580" s="85" t="s">
        <v>40</v>
      </c>
      <c r="J580" s="16">
        <f>3628800/144</f>
        <v>25200</v>
      </c>
      <c r="K580" s="82" t="s">
        <v>40</v>
      </c>
      <c r="L580" s="86"/>
      <c r="M580" s="86">
        <v>0.17</v>
      </c>
      <c r="N580" s="84"/>
      <c r="O580" s="85" t="s">
        <v>40</v>
      </c>
      <c r="P580" s="81">
        <f t="shared" si="159"/>
        <v>0</v>
      </c>
      <c r="Q580" s="85" t="s">
        <v>40</v>
      </c>
      <c r="R580" s="16">
        <f t="shared" si="160"/>
        <v>0</v>
      </c>
      <c r="S580" s="16">
        <f t="shared" si="155"/>
        <v>0</v>
      </c>
    </row>
    <row r="581" spans="1:19" s="89" customFormat="1">
      <c r="A581" s="88" t="s">
        <v>874</v>
      </c>
      <c r="B581" s="89" t="s">
        <v>25</v>
      </c>
      <c r="C581" s="151"/>
      <c r="D581" s="90" t="s">
        <v>40</v>
      </c>
      <c r="E581" s="91"/>
      <c r="F581" s="92">
        <v>1</v>
      </c>
      <c r="G581" s="93" t="s">
        <v>20</v>
      </c>
      <c r="H581" s="92">
        <v>144</v>
      </c>
      <c r="I581" s="93" t="s">
        <v>40</v>
      </c>
      <c r="J581" s="94">
        <f>5875200/144</f>
        <v>40800</v>
      </c>
      <c r="K581" s="90" t="s">
        <v>40</v>
      </c>
      <c r="L581" s="95"/>
      <c r="M581" s="95">
        <v>0.17</v>
      </c>
      <c r="N581" s="92"/>
      <c r="O581" s="93" t="s">
        <v>40</v>
      </c>
      <c r="P581" s="87">
        <f t="shared" si="159"/>
        <v>0</v>
      </c>
      <c r="Q581" s="93" t="s">
        <v>40</v>
      </c>
      <c r="R581" s="94">
        <f t="shared" si="160"/>
        <v>0</v>
      </c>
      <c r="S581" s="94">
        <f t="shared" si="155"/>
        <v>0</v>
      </c>
    </row>
    <row r="582" spans="1:19" s="19" customFormat="1">
      <c r="A582" s="18" t="s">
        <v>388</v>
      </c>
      <c r="B582" s="19" t="s">
        <v>25</v>
      </c>
      <c r="C582" s="20"/>
      <c r="D582" s="21" t="s">
        <v>40</v>
      </c>
      <c r="E582" s="26">
        <v>123</v>
      </c>
      <c r="F582" s="22">
        <v>1</v>
      </c>
      <c r="G582" s="23" t="s">
        <v>20</v>
      </c>
      <c r="H582" s="22">
        <v>144</v>
      </c>
      <c r="I582" s="23" t="s">
        <v>40</v>
      </c>
      <c r="J582" s="24">
        <f>5616000/144</f>
        <v>39000</v>
      </c>
      <c r="K582" s="21" t="s">
        <v>40</v>
      </c>
      <c r="L582" s="25">
        <v>2.5000000000000001E-2</v>
      </c>
      <c r="M582" s="25">
        <v>0.17</v>
      </c>
      <c r="N582" s="22"/>
      <c r="O582" s="23" t="s">
        <v>40</v>
      </c>
      <c r="P582" s="20">
        <f t="shared" ref="P582" si="162">(C582+(E582*F582*H582))-N582</f>
        <v>17712</v>
      </c>
      <c r="Q582" s="23" t="s">
        <v>40</v>
      </c>
      <c r="R582" s="24">
        <f t="shared" ref="R582" si="163">P582*(J582-(J582*L582)-((J582-(J582*L582))*M582))</f>
        <v>559004004</v>
      </c>
      <c r="S582" s="24">
        <f t="shared" ref="S582" si="164">R582/1.11</f>
        <v>503607210.81081074</v>
      </c>
    </row>
    <row r="583" spans="1:19" s="19" customFormat="1">
      <c r="A583" s="164" t="s">
        <v>388</v>
      </c>
      <c r="B583" s="19" t="s">
        <v>25</v>
      </c>
      <c r="C583" s="20">
        <v>1965</v>
      </c>
      <c r="D583" s="21" t="s">
        <v>40</v>
      </c>
      <c r="E583" s="26">
        <v>22</v>
      </c>
      <c r="F583" s="22">
        <v>1</v>
      </c>
      <c r="G583" s="23" t="s">
        <v>20</v>
      </c>
      <c r="H583" s="22">
        <v>144</v>
      </c>
      <c r="I583" s="23" t="s">
        <v>40</v>
      </c>
      <c r="J583" s="24">
        <f>5616000/144</f>
        <v>39000</v>
      </c>
      <c r="K583" s="21" t="s">
        <v>40</v>
      </c>
      <c r="L583" s="25"/>
      <c r="M583" s="25">
        <v>0.17</v>
      </c>
      <c r="N583" s="22"/>
      <c r="O583" s="23" t="s">
        <v>40</v>
      </c>
      <c r="P583" s="20">
        <f t="shared" si="159"/>
        <v>5133</v>
      </c>
      <c r="Q583" s="23" t="s">
        <v>40</v>
      </c>
      <c r="R583" s="24">
        <f t="shared" si="160"/>
        <v>166155210</v>
      </c>
      <c r="S583" s="24">
        <f t="shared" si="155"/>
        <v>149689378.37837836</v>
      </c>
    </row>
    <row r="584" spans="1:19" s="80" customFormat="1">
      <c r="A584" s="165" t="s">
        <v>389</v>
      </c>
      <c r="B584" s="80" t="s">
        <v>25</v>
      </c>
      <c r="C584" s="87"/>
      <c r="D584" s="82" t="s">
        <v>40</v>
      </c>
      <c r="E584" s="83">
        <v>58</v>
      </c>
      <c r="F584" s="84">
        <v>1</v>
      </c>
      <c r="G584" s="85" t="s">
        <v>20</v>
      </c>
      <c r="H584" s="84">
        <v>144</v>
      </c>
      <c r="I584" s="85" t="s">
        <v>40</v>
      </c>
      <c r="J584" s="16">
        <v>39000</v>
      </c>
      <c r="K584" s="82" t="s">
        <v>40</v>
      </c>
      <c r="L584" s="86">
        <v>2.5000000000000001E-2</v>
      </c>
      <c r="M584" s="86">
        <v>0.17</v>
      </c>
      <c r="N584" s="84"/>
      <c r="O584" s="85" t="s">
        <v>40</v>
      </c>
      <c r="P584" s="81">
        <f t="shared" ref="P584" si="165">(C584+(E584*F584*H584))-N584</f>
        <v>8352</v>
      </c>
      <c r="Q584" s="85" t="s">
        <v>40</v>
      </c>
      <c r="R584" s="16">
        <f t="shared" ref="R584" si="166">P584*(J584-(J584*L584)-((J584-(J584*L584))*M584))</f>
        <v>263595384</v>
      </c>
      <c r="S584" s="16">
        <f t="shared" ref="S584" si="167">R584/1.11</f>
        <v>237473318.91891891</v>
      </c>
    </row>
    <row r="585" spans="1:19" s="80" customFormat="1">
      <c r="A585" s="79" t="s">
        <v>389</v>
      </c>
      <c r="B585" s="80" t="s">
        <v>25</v>
      </c>
      <c r="C585" s="87"/>
      <c r="D585" s="82" t="s">
        <v>40</v>
      </c>
      <c r="E585" s="83"/>
      <c r="F585" s="84">
        <v>1</v>
      </c>
      <c r="G585" s="85" t="s">
        <v>20</v>
      </c>
      <c r="H585" s="84">
        <v>144</v>
      </c>
      <c r="I585" s="85" t="s">
        <v>40</v>
      </c>
      <c r="J585" s="16">
        <f>5356800/144</f>
        <v>37200</v>
      </c>
      <c r="K585" s="82" t="s">
        <v>40</v>
      </c>
      <c r="L585" s="86"/>
      <c r="M585" s="86">
        <v>0.17</v>
      </c>
      <c r="N585" s="84"/>
      <c r="O585" s="85" t="s">
        <v>40</v>
      </c>
      <c r="P585" s="81">
        <f t="shared" si="159"/>
        <v>0</v>
      </c>
      <c r="Q585" s="85" t="s">
        <v>40</v>
      </c>
      <c r="R585" s="16">
        <f t="shared" si="160"/>
        <v>0</v>
      </c>
      <c r="S585" s="16">
        <f t="shared" si="155"/>
        <v>0</v>
      </c>
    </row>
    <row r="586" spans="1:19" s="80" customFormat="1">
      <c r="A586" s="165" t="s">
        <v>877</v>
      </c>
      <c r="B586" s="80" t="s">
        <v>25</v>
      </c>
      <c r="C586" s="87"/>
      <c r="D586" s="82" t="s">
        <v>40</v>
      </c>
      <c r="E586" s="83">
        <v>1</v>
      </c>
      <c r="F586" s="84">
        <v>1</v>
      </c>
      <c r="G586" s="85" t="s">
        <v>20</v>
      </c>
      <c r="H586" s="84">
        <v>144</v>
      </c>
      <c r="I586" s="85" t="s">
        <v>40</v>
      </c>
      <c r="J586" s="16">
        <v>39000</v>
      </c>
      <c r="K586" s="82" t="s">
        <v>40</v>
      </c>
      <c r="L586" s="86"/>
      <c r="M586" s="86">
        <v>0.17</v>
      </c>
      <c r="N586" s="84"/>
      <c r="O586" s="85" t="s">
        <v>40</v>
      </c>
      <c r="P586" s="81">
        <f t="shared" si="159"/>
        <v>144</v>
      </c>
      <c r="Q586" s="85" t="s">
        <v>40</v>
      </c>
      <c r="R586" s="24">
        <f t="shared" ref="R586" si="168">P586*(J586-(J586*L586)-((J586-(J586*L586))*M586))</f>
        <v>4661280</v>
      </c>
      <c r="S586" s="24">
        <f t="shared" ref="S586" si="169">R586/1.11</f>
        <v>4199351.3513513505</v>
      </c>
    </row>
    <row r="587" spans="1:19" s="19" customFormat="1">
      <c r="A587" s="18" t="s">
        <v>390</v>
      </c>
      <c r="B587" s="19" t="s">
        <v>25</v>
      </c>
      <c r="C587" s="20">
        <v>537</v>
      </c>
      <c r="D587" s="21" t="s">
        <v>40</v>
      </c>
      <c r="E587" s="26"/>
      <c r="F587" s="22">
        <v>1</v>
      </c>
      <c r="G587" s="23" t="s">
        <v>20</v>
      </c>
      <c r="H587" s="22">
        <v>144</v>
      </c>
      <c r="I587" s="23" t="s">
        <v>40</v>
      </c>
      <c r="J587" s="24">
        <f>5356800/144</f>
        <v>37200</v>
      </c>
      <c r="K587" s="21" t="s">
        <v>40</v>
      </c>
      <c r="L587" s="25"/>
      <c r="M587" s="25">
        <v>0.17</v>
      </c>
      <c r="N587" s="22"/>
      <c r="O587" s="23" t="s">
        <v>40</v>
      </c>
      <c r="P587" s="20">
        <f t="shared" si="159"/>
        <v>537</v>
      </c>
      <c r="Q587" s="23" t="s">
        <v>40</v>
      </c>
      <c r="R587" s="24">
        <f t="shared" si="160"/>
        <v>16580412</v>
      </c>
      <c r="S587" s="24">
        <f t="shared" si="155"/>
        <v>14937308.108108107</v>
      </c>
    </row>
    <row r="588" spans="1:19" s="19" customFormat="1">
      <c r="A588" s="18" t="s">
        <v>747</v>
      </c>
      <c r="B588" s="19" t="s">
        <v>25</v>
      </c>
      <c r="C588" s="20">
        <v>566</v>
      </c>
      <c r="D588" s="21" t="s">
        <v>40</v>
      </c>
      <c r="E588" s="26"/>
      <c r="F588" s="22">
        <v>1</v>
      </c>
      <c r="G588" s="23" t="s">
        <v>20</v>
      </c>
      <c r="H588" s="22">
        <v>144</v>
      </c>
      <c r="I588" s="23" t="s">
        <v>40</v>
      </c>
      <c r="J588" s="24">
        <f>5702400/144</f>
        <v>39600</v>
      </c>
      <c r="K588" s="21" t="s">
        <v>40</v>
      </c>
      <c r="L588" s="25"/>
      <c r="M588" s="25">
        <v>0.17</v>
      </c>
      <c r="N588" s="22"/>
      <c r="O588" s="23" t="s">
        <v>40</v>
      </c>
      <c r="P588" s="20">
        <f t="shared" si="159"/>
        <v>566</v>
      </c>
      <c r="Q588" s="23" t="s">
        <v>40</v>
      </c>
      <c r="R588" s="24">
        <f t="shared" si="160"/>
        <v>18603288</v>
      </c>
      <c r="S588" s="24">
        <f t="shared" si="155"/>
        <v>16759718.918918917</v>
      </c>
    </row>
    <row r="589" spans="1:19" s="19" customFormat="1">
      <c r="A589" s="18" t="s">
        <v>748</v>
      </c>
      <c r="B589" s="19" t="s">
        <v>25</v>
      </c>
      <c r="C589" s="57"/>
      <c r="D589" s="21" t="s">
        <v>40</v>
      </c>
      <c r="E589" s="26">
        <v>1</v>
      </c>
      <c r="F589" s="22">
        <v>1</v>
      </c>
      <c r="G589" s="23" t="s">
        <v>20</v>
      </c>
      <c r="H589" s="22">
        <v>144</v>
      </c>
      <c r="I589" s="23" t="s">
        <v>40</v>
      </c>
      <c r="J589" s="24">
        <f>5702400/144</f>
        <v>39600</v>
      </c>
      <c r="K589" s="21" t="s">
        <v>40</v>
      </c>
      <c r="L589" s="25"/>
      <c r="M589" s="25">
        <v>0.17</v>
      </c>
      <c r="N589" s="22"/>
      <c r="O589" s="23" t="s">
        <v>40</v>
      </c>
      <c r="P589" s="20">
        <f t="shared" si="159"/>
        <v>144</v>
      </c>
      <c r="Q589" s="23" t="s">
        <v>40</v>
      </c>
      <c r="R589" s="24">
        <f t="shared" si="160"/>
        <v>4732992</v>
      </c>
      <c r="S589" s="24">
        <f t="shared" si="155"/>
        <v>4263956.7567567565</v>
      </c>
    </row>
    <row r="590" spans="1:19" s="19" customFormat="1">
      <c r="A590" s="18" t="s">
        <v>391</v>
      </c>
      <c r="B590" s="19" t="s">
        <v>25</v>
      </c>
      <c r="C590" s="20">
        <v>318</v>
      </c>
      <c r="D590" s="21" t="s">
        <v>40</v>
      </c>
      <c r="E590" s="26">
        <v>7</v>
      </c>
      <c r="F590" s="22">
        <v>1</v>
      </c>
      <c r="G590" s="23" t="s">
        <v>20</v>
      </c>
      <c r="H590" s="22">
        <v>144</v>
      </c>
      <c r="I590" s="23" t="s">
        <v>40</v>
      </c>
      <c r="J590" s="24">
        <f>5702400/144</f>
        <v>39600</v>
      </c>
      <c r="K590" s="21" t="s">
        <v>40</v>
      </c>
      <c r="L590" s="25"/>
      <c r="M590" s="25">
        <v>0.17</v>
      </c>
      <c r="N590" s="22"/>
      <c r="O590" s="23" t="s">
        <v>40</v>
      </c>
      <c r="P590" s="20">
        <f t="shared" si="159"/>
        <v>1326</v>
      </c>
      <c r="Q590" s="23" t="s">
        <v>40</v>
      </c>
      <c r="R590" s="24">
        <f t="shared" si="160"/>
        <v>43582968</v>
      </c>
      <c r="S590" s="24">
        <f t="shared" si="155"/>
        <v>39263935.135135129</v>
      </c>
    </row>
    <row r="591" spans="1:19">
      <c r="A591" s="17" t="s">
        <v>392</v>
      </c>
      <c r="B591" s="2" t="s">
        <v>25</v>
      </c>
      <c r="C591" s="3">
        <v>738</v>
      </c>
      <c r="D591" s="4" t="s">
        <v>40</v>
      </c>
      <c r="E591" s="5">
        <v>3</v>
      </c>
      <c r="F591" s="6">
        <v>1</v>
      </c>
      <c r="G591" s="7" t="s">
        <v>20</v>
      </c>
      <c r="H591" s="6">
        <v>144</v>
      </c>
      <c r="I591" s="7" t="s">
        <v>40</v>
      </c>
      <c r="J591" s="8">
        <f>2764800/144</f>
        <v>19200</v>
      </c>
      <c r="K591" s="4" t="s">
        <v>40</v>
      </c>
      <c r="M591" s="9">
        <v>0.17</v>
      </c>
      <c r="O591" s="7" t="s">
        <v>40</v>
      </c>
      <c r="P591" s="3">
        <f t="shared" si="159"/>
        <v>1170</v>
      </c>
      <c r="Q591" s="7" t="s">
        <v>40</v>
      </c>
      <c r="R591" s="8">
        <f t="shared" si="160"/>
        <v>18645120</v>
      </c>
      <c r="S591" s="8">
        <f t="shared" si="155"/>
        <v>16797405.405405402</v>
      </c>
    </row>
    <row r="592" spans="1:19" s="80" customFormat="1">
      <c r="A592" s="79" t="s">
        <v>393</v>
      </c>
      <c r="B592" s="80" t="s">
        <v>25</v>
      </c>
      <c r="C592" s="81"/>
      <c r="D592" s="82" t="s">
        <v>40</v>
      </c>
      <c r="E592" s="83"/>
      <c r="F592" s="84">
        <v>1</v>
      </c>
      <c r="G592" s="85" t="s">
        <v>20</v>
      </c>
      <c r="H592" s="84">
        <v>144</v>
      </c>
      <c r="I592" s="85" t="s">
        <v>40</v>
      </c>
      <c r="J592" s="16">
        <f>2764800/144</f>
        <v>19200</v>
      </c>
      <c r="K592" s="82" t="s">
        <v>40</v>
      </c>
      <c r="L592" s="86"/>
      <c r="M592" s="86">
        <v>0.17</v>
      </c>
      <c r="N592" s="84"/>
      <c r="O592" s="85" t="s">
        <v>40</v>
      </c>
      <c r="P592" s="81">
        <f t="shared" si="159"/>
        <v>0</v>
      </c>
      <c r="Q592" s="85" t="s">
        <v>40</v>
      </c>
      <c r="R592" s="16">
        <f t="shared" si="160"/>
        <v>0</v>
      </c>
      <c r="S592" s="16">
        <f t="shared" si="155"/>
        <v>0</v>
      </c>
    </row>
    <row r="593" spans="1:19" s="80" customFormat="1">
      <c r="A593" s="79" t="s">
        <v>394</v>
      </c>
      <c r="B593" s="80" t="s">
        <v>25</v>
      </c>
      <c r="C593" s="81"/>
      <c r="D593" s="82" t="s">
        <v>40</v>
      </c>
      <c r="E593" s="83"/>
      <c r="F593" s="84">
        <v>1</v>
      </c>
      <c r="G593" s="85" t="s">
        <v>20</v>
      </c>
      <c r="H593" s="84">
        <v>144</v>
      </c>
      <c r="I593" s="85" t="s">
        <v>40</v>
      </c>
      <c r="J593" s="16">
        <v>23400</v>
      </c>
      <c r="K593" s="82" t="s">
        <v>40</v>
      </c>
      <c r="L593" s="86"/>
      <c r="M593" s="86">
        <v>0.17</v>
      </c>
      <c r="N593" s="84"/>
      <c r="O593" s="85" t="s">
        <v>40</v>
      </c>
      <c r="P593" s="81">
        <f t="shared" si="159"/>
        <v>0</v>
      </c>
      <c r="Q593" s="85" t="s">
        <v>40</v>
      </c>
      <c r="R593" s="16">
        <f t="shared" si="160"/>
        <v>0</v>
      </c>
      <c r="S593" s="16">
        <f t="shared" si="155"/>
        <v>0</v>
      </c>
    </row>
    <row r="594" spans="1:19" s="19" customFormat="1">
      <c r="A594" s="18" t="s">
        <v>396</v>
      </c>
      <c r="B594" s="19" t="s">
        <v>25</v>
      </c>
      <c r="C594" s="20">
        <v>423</v>
      </c>
      <c r="D594" s="21" t="s">
        <v>40</v>
      </c>
      <c r="E594" s="26">
        <v>1</v>
      </c>
      <c r="F594" s="22">
        <v>1</v>
      </c>
      <c r="G594" s="23" t="s">
        <v>20</v>
      </c>
      <c r="H594" s="22">
        <v>144</v>
      </c>
      <c r="I594" s="23" t="s">
        <v>40</v>
      </c>
      <c r="J594" s="24">
        <f>3542400/144</f>
        <v>24600</v>
      </c>
      <c r="K594" s="21" t="s">
        <v>40</v>
      </c>
      <c r="L594" s="25"/>
      <c r="M594" s="25">
        <v>0.17</v>
      </c>
      <c r="N594" s="22"/>
      <c r="O594" s="23" t="s">
        <v>40</v>
      </c>
      <c r="P594" s="20">
        <f t="shared" si="159"/>
        <v>567</v>
      </c>
      <c r="Q594" s="23" t="s">
        <v>40</v>
      </c>
      <c r="R594" s="24">
        <f t="shared" si="160"/>
        <v>11577006</v>
      </c>
      <c r="S594" s="24">
        <f t="shared" si="155"/>
        <v>10429735.135135135</v>
      </c>
    </row>
    <row r="595" spans="1:19" s="19" customFormat="1">
      <c r="A595" s="18" t="s">
        <v>397</v>
      </c>
      <c r="B595" s="19" t="s">
        <v>25</v>
      </c>
      <c r="C595" s="20">
        <v>2721</v>
      </c>
      <c r="D595" s="21" t="s">
        <v>40</v>
      </c>
      <c r="E595" s="26">
        <v>24</v>
      </c>
      <c r="F595" s="22">
        <v>1</v>
      </c>
      <c r="G595" s="23" t="s">
        <v>20</v>
      </c>
      <c r="H595" s="22">
        <v>144</v>
      </c>
      <c r="I595" s="23" t="s">
        <v>40</v>
      </c>
      <c r="J595" s="24">
        <f>3110400/144</f>
        <v>21600</v>
      </c>
      <c r="K595" s="21" t="s">
        <v>40</v>
      </c>
      <c r="L595" s="25"/>
      <c r="M595" s="25">
        <v>0.17</v>
      </c>
      <c r="N595" s="22"/>
      <c r="O595" s="23" t="s">
        <v>40</v>
      </c>
      <c r="P595" s="20">
        <f t="shared" si="159"/>
        <v>6177</v>
      </c>
      <c r="Q595" s="23" t="s">
        <v>40</v>
      </c>
      <c r="R595" s="24">
        <f t="shared" si="160"/>
        <v>110741256</v>
      </c>
      <c r="S595" s="24">
        <f t="shared" si="155"/>
        <v>99766897.297297284</v>
      </c>
    </row>
    <row r="596" spans="1:19" s="19" customFormat="1">
      <c r="A596" s="18" t="s">
        <v>781</v>
      </c>
      <c r="B596" s="19" t="s">
        <v>25</v>
      </c>
      <c r="C596" s="20"/>
      <c r="D596" s="21" t="s">
        <v>40</v>
      </c>
      <c r="E596" s="26">
        <v>4</v>
      </c>
      <c r="F596" s="22">
        <v>1</v>
      </c>
      <c r="G596" s="23" t="s">
        <v>20</v>
      </c>
      <c r="H596" s="22">
        <v>144</v>
      </c>
      <c r="I596" s="23" t="s">
        <v>40</v>
      </c>
      <c r="J596" s="24">
        <f>3456000/144</f>
        <v>24000</v>
      </c>
      <c r="K596" s="21" t="s">
        <v>40</v>
      </c>
      <c r="L596" s="25"/>
      <c r="M596" s="25">
        <v>0.17</v>
      </c>
      <c r="N596" s="22"/>
      <c r="O596" s="23" t="s">
        <v>40</v>
      </c>
      <c r="P596" s="20">
        <f t="shared" si="159"/>
        <v>576</v>
      </c>
      <c r="Q596" s="23" t="s">
        <v>40</v>
      </c>
      <c r="R596" s="24">
        <f t="shared" si="160"/>
        <v>11473920</v>
      </c>
      <c r="S596" s="24">
        <f t="shared" si="155"/>
        <v>10336864.864864863</v>
      </c>
    </row>
    <row r="597" spans="1:19" s="19" customFormat="1">
      <c r="A597" s="18" t="s">
        <v>398</v>
      </c>
      <c r="B597" s="19" t="s">
        <v>25</v>
      </c>
      <c r="C597" s="20">
        <v>576</v>
      </c>
      <c r="D597" s="21" t="s">
        <v>40</v>
      </c>
      <c r="E597" s="26">
        <v>3</v>
      </c>
      <c r="F597" s="22">
        <v>1</v>
      </c>
      <c r="G597" s="23" t="s">
        <v>20</v>
      </c>
      <c r="H597" s="22">
        <v>144</v>
      </c>
      <c r="I597" s="23" t="s">
        <v>40</v>
      </c>
      <c r="J597" s="24">
        <f>3758400/144</f>
        <v>26100</v>
      </c>
      <c r="K597" s="21" t="s">
        <v>40</v>
      </c>
      <c r="L597" s="25"/>
      <c r="M597" s="25">
        <v>0.17</v>
      </c>
      <c r="N597" s="22"/>
      <c r="O597" s="23" t="s">
        <v>40</v>
      </c>
      <c r="P597" s="20">
        <f t="shared" si="159"/>
        <v>1008</v>
      </c>
      <c r="Q597" s="23" t="s">
        <v>40</v>
      </c>
      <c r="R597" s="24">
        <f t="shared" si="160"/>
        <v>21836304</v>
      </c>
      <c r="S597" s="24">
        <f t="shared" si="155"/>
        <v>19672345.945945945</v>
      </c>
    </row>
    <row r="598" spans="1:19" s="19" customFormat="1">
      <c r="A598" s="18" t="s">
        <v>710</v>
      </c>
      <c r="B598" s="19" t="s">
        <v>25</v>
      </c>
      <c r="C598" s="20">
        <v>27</v>
      </c>
      <c r="D598" s="21" t="s">
        <v>40</v>
      </c>
      <c r="E598" s="26"/>
      <c r="F598" s="22">
        <v>1</v>
      </c>
      <c r="G598" s="23" t="s">
        <v>20</v>
      </c>
      <c r="H598" s="22">
        <v>144</v>
      </c>
      <c r="I598" s="23" t="s">
        <v>40</v>
      </c>
      <c r="J598" s="24">
        <f>5616000/144</f>
        <v>39000</v>
      </c>
      <c r="K598" s="21" t="s">
        <v>40</v>
      </c>
      <c r="L598" s="25"/>
      <c r="M598" s="25">
        <v>0.17</v>
      </c>
      <c r="N598" s="22"/>
      <c r="O598" s="23" t="s">
        <v>40</v>
      </c>
      <c r="P598" s="20">
        <f t="shared" si="159"/>
        <v>27</v>
      </c>
      <c r="Q598" s="23" t="s">
        <v>40</v>
      </c>
      <c r="R598" s="24">
        <f t="shared" si="160"/>
        <v>873990</v>
      </c>
      <c r="S598" s="24">
        <f t="shared" si="155"/>
        <v>787378.37837837834</v>
      </c>
    </row>
    <row r="599" spans="1:19" s="19" customFormat="1">
      <c r="A599" s="18" t="s">
        <v>399</v>
      </c>
      <c r="B599" s="19" t="s">
        <v>25</v>
      </c>
      <c r="C599" s="20"/>
      <c r="D599" s="21" t="s">
        <v>40</v>
      </c>
      <c r="E599" s="26">
        <v>2</v>
      </c>
      <c r="F599" s="22">
        <v>1</v>
      </c>
      <c r="G599" s="23" t="s">
        <v>20</v>
      </c>
      <c r="H599" s="22">
        <v>144</v>
      </c>
      <c r="I599" s="23" t="s">
        <v>40</v>
      </c>
      <c r="J599" s="24">
        <f>5270400/144</f>
        <v>36600</v>
      </c>
      <c r="K599" s="21" t="s">
        <v>40</v>
      </c>
      <c r="L599" s="25"/>
      <c r="M599" s="25">
        <v>0.17</v>
      </c>
      <c r="N599" s="22"/>
      <c r="O599" s="23" t="s">
        <v>40</v>
      </c>
      <c r="P599" s="20">
        <f t="shared" si="159"/>
        <v>288</v>
      </c>
      <c r="Q599" s="23" t="s">
        <v>40</v>
      </c>
      <c r="R599" s="24">
        <f t="shared" si="160"/>
        <v>8748864</v>
      </c>
      <c r="S599" s="24">
        <f t="shared" si="155"/>
        <v>7881859.4594594585</v>
      </c>
    </row>
    <row r="600" spans="1:19" s="89" customFormat="1">
      <c r="A600" s="88" t="s">
        <v>400</v>
      </c>
      <c r="B600" s="89" t="s">
        <v>25</v>
      </c>
      <c r="C600" s="87"/>
      <c r="D600" s="90" t="s">
        <v>40</v>
      </c>
      <c r="E600" s="91"/>
      <c r="F600" s="92">
        <v>1</v>
      </c>
      <c r="G600" s="93" t="s">
        <v>20</v>
      </c>
      <c r="H600" s="92">
        <v>144</v>
      </c>
      <c r="I600" s="93" t="s">
        <v>40</v>
      </c>
      <c r="J600" s="94">
        <f>5616000/144</f>
        <v>39000</v>
      </c>
      <c r="K600" s="90" t="s">
        <v>40</v>
      </c>
      <c r="L600" s="95"/>
      <c r="M600" s="95">
        <v>0.17</v>
      </c>
      <c r="N600" s="92"/>
      <c r="O600" s="93" t="s">
        <v>40</v>
      </c>
      <c r="P600" s="87">
        <f t="shared" si="159"/>
        <v>0</v>
      </c>
      <c r="Q600" s="93" t="s">
        <v>40</v>
      </c>
      <c r="R600" s="94">
        <f t="shared" si="160"/>
        <v>0</v>
      </c>
      <c r="S600" s="94">
        <f t="shared" si="155"/>
        <v>0</v>
      </c>
    </row>
    <row r="601" spans="1:19">
      <c r="A601" s="17" t="s">
        <v>401</v>
      </c>
      <c r="B601" s="2" t="s">
        <v>25</v>
      </c>
      <c r="D601" s="4" t="s">
        <v>40</v>
      </c>
      <c r="E601" s="5">
        <v>2</v>
      </c>
      <c r="F601" s="6">
        <v>1</v>
      </c>
      <c r="G601" s="7" t="s">
        <v>20</v>
      </c>
      <c r="H601" s="6">
        <v>144</v>
      </c>
      <c r="I601" s="7" t="s">
        <v>40</v>
      </c>
      <c r="J601" s="8">
        <f>5616000/144</f>
        <v>39000</v>
      </c>
      <c r="K601" s="4" t="s">
        <v>40</v>
      </c>
      <c r="M601" s="9">
        <v>0.17</v>
      </c>
      <c r="O601" s="7" t="s">
        <v>40</v>
      </c>
      <c r="P601" s="3">
        <f t="shared" si="159"/>
        <v>288</v>
      </c>
      <c r="Q601" s="7" t="s">
        <v>40</v>
      </c>
      <c r="R601" s="8">
        <f t="shared" si="160"/>
        <v>9322560</v>
      </c>
      <c r="S601" s="8">
        <f t="shared" si="155"/>
        <v>8398702.7027027011</v>
      </c>
    </row>
    <row r="603" spans="1:19" s="19" customFormat="1">
      <c r="A603" s="18" t="s">
        <v>403</v>
      </c>
      <c r="B603" s="19" t="s">
        <v>261</v>
      </c>
      <c r="C603" s="20">
        <v>2304</v>
      </c>
      <c r="D603" s="21" t="s">
        <v>40</v>
      </c>
      <c r="E603" s="26"/>
      <c r="F603" s="22">
        <v>1</v>
      </c>
      <c r="G603" s="23" t="s">
        <v>20</v>
      </c>
      <c r="H603" s="22">
        <v>144</v>
      </c>
      <c r="I603" s="23" t="s">
        <v>40</v>
      </c>
      <c r="J603" s="24">
        <v>22500</v>
      </c>
      <c r="K603" s="21" t="s">
        <v>40</v>
      </c>
      <c r="L603" s="25"/>
      <c r="M603" s="25"/>
      <c r="N603" s="22"/>
      <c r="O603" s="23" t="s">
        <v>40</v>
      </c>
      <c r="P603" s="20">
        <f t="shared" ref="P603:P608" si="170">(C603+(E603*F603*H603))-N603</f>
        <v>2304</v>
      </c>
      <c r="Q603" s="23" t="s">
        <v>40</v>
      </c>
      <c r="R603" s="24">
        <f t="shared" ref="R603:R608" si="171">P603*(J603-(J603*L603)-((J603-(J603*L603))*M603))</f>
        <v>51840000</v>
      </c>
      <c r="S603" s="24">
        <f t="shared" si="155"/>
        <v>46702702.702702701</v>
      </c>
    </row>
    <row r="604" spans="1:19" s="80" customFormat="1">
      <c r="A604" s="79" t="s">
        <v>404</v>
      </c>
      <c r="B604" s="80" t="s">
        <v>261</v>
      </c>
      <c r="C604" s="81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16">
        <v>26000</v>
      </c>
      <c r="K604" s="82" t="s">
        <v>40</v>
      </c>
      <c r="L604" s="86"/>
      <c r="M604" s="86"/>
      <c r="N604" s="84"/>
      <c r="O604" s="85" t="s">
        <v>40</v>
      </c>
      <c r="P604" s="81">
        <f t="shared" si="170"/>
        <v>0</v>
      </c>
      <c r="Q604" s="85" t="s">
        <v>40</v>
      </c>
      <c r="R604" s="16">
        <f t="shared" si="171"/>
        <v>0</v>
      </c>
      <c r="S604" s="16">
        <f t="shared" si="155"/>
        <v>0</v>
      </c>
    </row>
    <row r="605" spans="1:19" s="19" customFormat="1">
      <c r="A605" s="18" t="s">
        <v>405</v>
      </c>
      <c r="B605" s="19" t="s">
        <v>261</v>
      </c>
      <c r="C605" s="20">
        <v>90</v>
      </c>
      <c r="D605" s="21" t="s">
        <v>40</v>
      </c>
      <c r="E605" s="26">
        <v>3</v>
      </c>
      <c r="F605" s="22">
        <v>1</v>
      </c>
      <c r="G605" s="23" t="s">
        <v>20</v>
      </c>
      <c r="H605" s="22">
        <v>96</v>
      </c>
      <c r="I605" s="23" t="s">
        <v>40</v>
      </c>
      <c r="J605" s="24">
        <v>31500</v>
      </c>
      <c r="K605" s="21" t="s">
        <v>40</v>
      </c>
      <c r="L605" s="25"/>
      <c r="M605" s="25"/>
      <c r="N605" s="22"/>
      <c r="O605" s="23" t="s">
        <v>40</v>
      </c>
      <c r="P605" s="20">
        <f t="shared" si="170"/>
        <v>378</v>
      </c>
      <c r="Q605" s="23" t="s">
        <v>40</v>
      </c>
      <c r="R605" s="24">
        <f t="shared" si="171"/>
        <v>11907000</v>
      </c>
      <c r="S605" s="24">
        <f t="shared" si="155"/>
        <v>10727027.027027026</v>
      </c>
    </row>
    <row r="606" spans="1:19" s="80" customFormat="1">
      <c r="A606" s="79" t="s">
        <v>716</v>
      </c>
      <c r="B606" s="80" t="s">
        <v>261</v>
      </c>
      <c r="C606" s="81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16">
        <f>31818+(31818*10%)</f>
        <v>34999.800000000003</v>
      </c>
      <c r="K606" s="82" t="s">
        <v>40</v>
      </c>
      <c r="L606" s="86"/>
      <c r="M606" s="86"/>
      <c r="N606" s="84"/>
      <c r="O606" s="85" t="s">
        <v>40</v>
      </c>
      <c r="P606" s="81">
        <f t="shared" si="170"/>
        <v>0</v>
      </c>
      <c r="Q606" s="85" t="s">
        <v>40</v>
      </c>
      <c r="R606" s="16">
        <f t="shared" si="171"/>
        <v>0</v>
      </c>
      <c r="S606" s="16">
        <f t="shared" si="155"/>
        <v>0</v>
      </c>
    </row>
    <row r="607" spans="1:19">
      <c r="A607" s="17" t="s">
        <v>836</v>
      </c>
      <c r="B607" s="2" t="s">
        <v>261</v>
      </c>
      <c r="C607" s="3">
        <f>115+69+60+144</f>
        <v>388</v>
      </c>
      <c r="D607" s="4" t="s">
        <v>40</v>
      </c>
      <c r="F607" s="6">
        <v>1</v>
      </c>
      <c r="G607" s="7" t="s">
        <v>20</v>
      </c>
      <c r="H607" s="6">
        <v>144</v>
      </c>
      <c r="I607" s="7" t="s">
        <v>40</v>
      </c>
      <c r="J607" s="8">
        <v>16175</v>
      </c>
      <c r="K607" s="4" t="s">
        <v>40</v>
      </c>
      <c r="O607" s="7" t="s">
        <v>40</v>
      </c>
      <c r="P607" s="3">
        <f t="shared" si="170"/>
        <v>388</v>
      </c>
      <c r="Q607" s="7" t="s">
        <v>40</v>
      </c>
      <c r="R607" s="8">
        <f t="shared" si="171"/>
        <v>6275900</v>
      </c>
      <c r="S607" s="8">
        <f t="shared" si="155"/>
        <v>5653963.9639639631</v>
      </c>
    </row>
    <row r="608" spans="1:19" s="19" customFormat="1">
      <c r="A608" s="18" t="s">
        <v>819</v>
      </c>
      <c r="B608" s="19" t="s">
        <v>261</v>
      </c>
      <c r="C608" s="20"/>
      <c r="D608" s="21" t="s">
        <v>40</v>
      </c>
      <c r="E608" s="26">
        <v>1</v>
      </c>
      <c r="F608" s="22">
        <v>1</v>
      </c>
      <c r="G608" s="23" t="s">
        <v>20</v>
      </c>
      <c r="H608" s="22">
        <v>120</v>
      </c>
      <c r="I608" s="23" t="s">
        <v>40</v>
      </c>
      <c r="J608" s="24">
        <v>18250</v>
      </c>
      <c r="K608" s="21" t="s">
        <v>40</v>
      </c>
      <c r="L608" s="25"/>
      <c r="M608" s="25"/>
      <c r="N608" s="22"/>
      <c r="O608" s="23" t="s">
        <v>40</v>
      </c>
      <c r="P608" s="20">
        <f t="shared" si="170"/>
        <v>120</v>
      </c>
      <c r="Q608" s="23" t="s">
        <v>40</v>
      </c>
      <c r="R608" s="24">
        <f t="shared" si="171"/>
        <v>2190000</v>
      </c>
      <c r="S608" s="24">
        <f t="shared" si="155"/>
        <v>1972972.9729729728</v>
      </c>
    </row>
    <row r="609" spans="1:19" s="19" customFormat="1">
      <c r="A609" s="18" t="s">
        <v>820</v>
      </c>
      <c r="B609" s="19" t="s">
        <v>261</v>
      </c>
      <c r="C609" s="20"/>
      <c r="D609" s="21" t="s">
        <v>40</v>
      </c>
      <c r="E609" s="26">
        <v>1</v>
      </c>
      <c r="F609" s="22">
        <v>1</v>
      </c>
      <c r="G609" s="23" t="s">
        <v>20</v>
      </c>
      <c r="H609" s="22">
        <v>120</v>
      </c>
      <c r="I609" s="23" t="s">
        <v>40</v>
      </c>
      <c r="J609" s="24">
        <v>18250</v>
      </c>
      <c r="K609" s="21" t="s">
        <v>40</v>
      </c>
      <c r="L609" s="25"/>
      <c r="M609" s="25"/>
      <c r="N609" s="22"/>
      <c r="O609" s="23" t="s">
        <v>40</v>
      </c>
      <c r="P609" s="20">
        <f t="shared" ref="P609:P611" si="172">(C609+(E609*F609*H609))-N609</f>
        <v>120</v>
      </c>
      <c r="Q609" s="23" t="s">
        <v>40</v>
      </c>
      <c r="R609" s="24">
        <f t="shared" ref="R609:R611" si="173">P609*(J609-(J609*L609)-((J609-(J609*L609))*M609))</f>
        <v>2190000</v>
      </c>
      <c r="S609" s="24">
        <f t="shared" ref="S609:S611" si="174">R609/1.11</f>
        <v>1972972.9729729728</v>
      </c>
    </row>
    <row r="610" spans="1:19" s="19" customFormat="1">
      <c r="A610" s="18" t="s">
        <v>821</v>
      </c>
      <c r="B610" s="19" t="s">
        <v>261</v>
      </c>
      <c r="C610" s="20"/>
      <c r="D610" s="21" t="s">
        <v>40</v>
      </c>
      <c r="E610" s="26">
        <v>1</v>
      </c>
      <c r="F610" s="22">
        <v>1</v>
      </c>
      <c r="G610" s="23" t="s">
        <v>20</v>
      </c>
      <c r="H610" s="22">
        <v>120</v>
      </c>
      <c r="I610" s="23" t="s">
        <v>40</v>
      </c>
      <c r="J610" s="24">
        <v>18250</v>
      </c>
      <c r="K610" s="21" t="s">
        <v>40</v>
      </c>
      <c r="L610" s="25"/>
      <c r="M610" s="25"/>
      <c r="N610" s="22"/>
      <c r="O610" s="23" t="s">
        <v>40</v>
      </c>
      <c r="P610" s="20">
        <f t="shared" si="172"/>
        <v>120</v>
      </c>
      <c r="Q610" s="23" t="s">
        <v>40</v>
      </c>
      <c r="R610" s="24">
        <f t="shared" si="173"/>
        <v>2190000</v>
      </c>
      <c r="S610" s="24">
        <f t="shared" si="174"/>
        <v>1972972.9729729728</v>
      </c>
    </row>
    <row r="611" spans="1:19" s="19" customFormat="1">
      <c r="A611" s="18" t="s">
        <v>822</v>
      </c>
      <c r="B611" s="19" t="s">
        <v>261</v>
      </c>
      <c r="C611" s="20"/>
      <c r="D611" s="21" t="s">
        <v>40</v>
      </c>
      <c r="E611" s="26">
        <v>1</v>
      </c>
      <c r="F611" s="22">
        <v>1</v>
      </c>
      <c r="G611" s="23" t="s">
        <v>20</v>
      </c>
      <c r="H611" s="22">
        <v>120</v>
      </c>
      <c r="I611" s="23" t="s">
        <v>40</v>
      </c>
      <c r="J611" s="24">
        <v>18250</v>
      </c>
      <c r="K611" s="21" t="s">
        <v>40</v>
      </c>
      <c r="L611" s="25"/>
      <c r="M611" s="25"/>
      <c r="N611" s="22"/>
      <c r="O611" s="23" t="s">
        <v>40</v>
      </c>
      <c r="P611" s="20">
        <f t="shared" si="172"/>
        <v>120</v>
      </c>
      <c r="Q611" s="23" t="s">
        <v>40</v>
      </c>
      <c r="R611" s="24">
        <f t="shared" si="173"/>
        <v>2190000</v>
      </c>
      <c r="S611" s="24">
        <f t="shared" si="174"/>
        <v>1972972.9729729728</v>
      </c>
    </row>
    <row r="613" spans="1:19">
      <c r="A613" s="17" t="s">
        <v>705</v>
      </c>
      <c r="B613" s="2" t="s">
        <v>691</v>
      </c>
      <c r="C613" s="3">
        <v>43</v>
      </c>
      <c r="D613" s="4" t="s">
        <v>40</v>
      </c>
      <c r="F613" s="6">
        <v>1</v>
      </c>
      <c r="G613" s="7" t="s">
        <v>20</v>
      </c>
      <c r="H613" s="6">
        <v>96</v>
      </c>
      <c r="I613" s="7" t="s">
        <v>40</v>
      </c>
      <c r="J613" s="8">
        <v>26500</v>
      </c>
      <c r="K613" s="4" t="s">
        <v>40</v>
      </c>
      <c r="O613" s="7" t="s">
        <v>40</v>
      </c>
      <c r="P613" s="3">
        <f>(C613+(E613*F613*H613))-N613</f>
        <v>43</v>
      </c>
      <c r="Q613" s="7" t="s">
        <v>40</v>
      </c>
      <c r="R613" s="8">
        <f>P613*(J613-(J613*L613)-((J613-(J613*L613))*M613))</f>
        <v>1139500</v>
      </c>
      <c r="S613" s="8">
        <f t="shared" si="155"/>
        <v>1026576.5765765765</v>
      </c>
    </row>
    <row r="615" spans="1:19">
      <c r="A615" s="17" t="s">
        <v>744</v>
      </c>
      <c r="B615" s="2" t="s">
        <v>172</v>
      </c>
      <c r="C615" s="3">
        <v>249</v>
      </c>
      <c r="D615" s="4" t="s">
        <v>40</v>
      </c>
      <c r="F615" s="6">
        <v>1</v>
      </c>
      <c r="G615" s="7" t="s">
        <v>20</v>
      </c>
      <c r="H615" s="6">
        <v>144</v>
      </c>
      <c r="I615" s="7" t="s">
        <v>40</v>
      </c>
      <c r="J615" s="8">
        <v>19000</v>
      </c>
      <c r="K615" s="4" t="s">
        <v>40</v>
      </c>
      <c r="L615" s="9">
        <v>0.02</v>
      </c>
      <c r="O615" s="7" t="s">
        <v>40</v>
      </c>
      <c r="P615" s="3">
        <f>(C615+(E615*F615*H615))-N615</f>
        <v>249</v>
      </c>
      <c r="Q615" s="7" t="s">
        <v>40</v>
      </c>
      <c r="R615" s="8">
        <f>P615*(J615-(J615*L615)-((J615-(J615*L615))*M615))</f>
        <v>4636380</v>
      </c>
      <c r="S615" s="8">
        <f t="shared" ref="S615" si="175">R615/1.11</f>
        <v>4176918.9189189184</v>
      </c>
    </row>
    <row r="616" spans="1:19">
      <c r="A616" s="17" t="s">
        <v>406</v>
      </c>
      <c r="B616" s="2" t="s">
        <v>172</v>
      </c>
      <c r="C616" s="3">
        <v>360</v>
      </c>
      <c r="D616" s="4" t="s">
        <v>40</v>
      </c>
      <c r="F616" s="6">
        <v>1</v>
      </c>
      <c r="G616" s="7" t="s">
        <v>20</v>
      </c>
      <c r="H616" s="6">
        <v>192</v>
      </c>
      <c r="I616" s="7" t="s">
        <v>40</v>
      </c>
      <c r="J616" s="8">
        <v>12750</v>
      </c>
      <c r="K616" s="4" t="s">
        <v>40</v>
      </c>
      <c r="L616" s="9">
        <v>0.05</v>
      </c>
      <c r="O616" s="7" t="s">
        <v>40</v>
      </c>
      <c r="P616" s="3">
        <f>(C616+(E616*F616*H616))-N616</f>
        <v>360</v>
      </c>
      <c r="Q616" s="7" t="s">
        <v>40</v>
      </c>
      <c r="R616" s="8">
        <f>P616*(J616-(J616*L616)-((J616-(J616*L616))*M616))</f>
        <v>4360500</v>
      </c>
      <c r="S616" s="8">
        <f t="shared" si="155"/>
        <v>3928378.3783783782</v>
      </c>
    </row>
    <row r="618" spans="1:19">
      <c r="A618" s="15" t="s">
        <v>407</v>
      </c>
    </row>
    <row r="619" spans="1:19" s="89" customFormat="1">
      <c r="A619" s="152" t="s">
        <v>408</v>
      </c>
      <c r="B619" s="89" t="s">
        <v>18</v>
      </c>
      <c r="C619" s="87"/>
      <c r="D619" s="90" t="s">
        <v>152</v>
      </c>
      <c r="E619" s="91"/>
      <c r="F619" s="92">
        <v>8</v>
      </c>
      <c r="G619" s="93" t="s">
        <v>33</v>
      </c>
      <c r="H619" s="92">
        <v>24</v>
      </c>
      <c r="I619" s="93" t="s">
        <v>152</v>
      </c>
      <c r="J619" s="94">
        <v>16500</v>
      </c>
      <c r="K619" s="90" t="s">
        <v>152</v>
      </c>
      <c r="L619" s="95">
        <v>0.125</v>
      </c>
      <c r="M619" s="95">
        <v>0.05</v>
      </c>
      <c r="N619" s="92"/>
      <c r="O619" s="93" t="s">
        <v>152</v>
      </c>
      <c r="P619" s="87">
        <f t="shared" ref="P619:P624" si="176">(C619+(E619*F619*H619))-N619</f>
        <v>0</v>
      </c>
      <c r="Q619" s="93" t="s">
        <v>152</v>
      </c>
      <c r="R619" s="94">
        <f t="shared" ref="R619:R624" si="177">P619*(J619-(J619*L619)-((J619-(J619*L619))*M619))</f>
        <v>0</v>
      </c>
      <c r="S619" s="94">
        <f t="shared" si="155"/>
        <v>0</v>
      </c>
    </row>
    <row r="620" spans="1:19" s="80" customFormat="1">
      <c r="A620" s="152" t="s">
        <v>800</v>
      </c>
      <c r="B620" s="80" t="s">
        <v>18</v>
      </c>
      <c r="C620" s="81"/>
      <c r="D620" s="82" t="s">
        <v>152</v>
      </c>
      <c r="E620" s="83"/>
      <c r="F620" s="84">
        <v>12</v>
      </c>
      <c r="G620" s="85" t="s">
        <v>33</v>
      </c>
      <c r="H620" s="84">
        <v>24</v>
      </c>
      <c r="I620" s="85" t="s">
        <v>152</v>
      </c>
      <c r="J620" s="16">
        <v>14400</v>
      </c>
      <c r="K620" s="82" t="s">
        <v>152</v>
      </c>
      <c r="L620" s="86">
        <v>0.125</v>
      </c>
      <c r="M620" s="86">
        <v>0.05</v>
      </c>
      <c r="N620" s="84"/>
      <c r="O620" s="85" t="s">
        <v>152</v>
      </c>
      <c r="P620" s="81">
        <f t="shared" si="176"/>
        <v>0</v>
      </c>
      <c r="Q620" s="85" t="s">
        <v>152</v>
      </c>
      <c r="R620" s="16">
        <f t="shared" si="177"/>
        <v>0</v>
      </c>
      <c r="S620" s="16">
        <f t="shared" ref="S620:S722" si="178">R620/1.11</f>
        <v>0</v>
      </c>
    </row>
    <row r="621" spans="1:19">
      <c r="A621" s="58" t="s">
        <v>409</v>
      </c>
      <c r="B621" s="2" t="s">
        <v>18</v>
      </c>
      <c r="C621" s="3">
        <v>7</v>
      </c>
      <c r="D621" s="4" t="s">
        <v>152</v>
      </c>
      <c r="F621" s="6">
        <v>8</v>
      </c>
      <c r="G621" s="7" t="s">
        <v>33</v>
      </c>
      <c r="H621" s="6">
        <v>30</v>
      </c>
      <c r="I621" s="7" t="s">
        <v>152</v>
      </c>
      <c r="K621" s="4" t="s">
        <v>152</v>
      </c>
      <c r="L621" s="9">
        <v>0.1</v>
      </c>
      <c r="M621" s="9">
        <v>0.05</v>
      </c>
      <c r="O621" s="7" t="s">
        <v>152</v>
      </c>
      <c r="P621" s="3">
        <f t="shared" si="176"/>
        <v>7</v>
      </c>
      <c r="Q621" s="7" t="s">
        <v>152</v>
      </c>
      <c r="R621" s="8">
        <f t="shared" si="177"/>
        <v>0</v>
      </c>
      <c r="S621" s="8">
        <f t="shared" si="178"/>
        <v>0</v>
      </c>
    </row>
    <row r="622" spans="1:19" s="80" customFormat="1">
      <c r="A622" s="152" t="s">
        <v>410</v>
      </c>
      <c r="B622" s="80" t="s">
        <v>18</v>
      </c>
      <c r="C622" s="81"/>
      <c r="D622" s="82" t="s">
        <v>152</v>
      </c>
      <c r="E622" s="83"/>
      <c r="F622" s="84">
        <v>8</v>
      </c>
      <c r="G622" s="85" t="s">
        <v>33</v>
      </c>
      <c r="H622" s="84">
        <v>24</v>
      </c>
      <c r="I622" s="85" t="s">
        <v>152</v>
      </c>
      <c r="J622" s="16">
        <v>21000</v>
      </c>
      <c r="K622" s="82" t="s">
        <v>152</v>
      </c>
      <c r="L622" s="86">
        <v>0.125</v>
      </c>
      <c r="M622" s="86">
        <v>0.05</v>
      </c>
      <c r="N622" s="84"/>
      <c r="O622" s="85" t="s">
        <v>152</v>
      </c>
      <c r="P622" s="81">
        <f t="shared" si="176"/>
        <v>0</v>
      </c>
      <c r="Q622" s="85" t="s">
        <v>152</v>
      </c>
      <c r="R622" s="16">
        <f t="shared" si="177"/>
        <v>0</v>
      </c>
      <c r="S622" s="16">
        <f t="shared" si="178"/>
        <v>0</v>
      </c>
    </row>
    <row r="623" spans="1:19" s="80" customFormat="1">
      <c r="A623" s="152" t="s">
        <v>411</v>
      </c>
      <c r="B623" s="80" t="s">
        <v>18</v>
      </c>
      <c r="C623" s="81"/>
      <c r="D623" s="82" t="s">
        <v>152</v>
      </c>
      <c r="E623" s="83">
        <v>3</v>
      </c>
      <c r="F623" s="84">
        <v>8</v>
      </c>
      <c r="G623" s="85" t="s">
        <v>33</v>
      </c>
      <c r="H623" s="84">
        <v>24</v>
      </c>
      <c r="I623" s="85" t="s">
        <v>152</v>
      </c>
      <c r="J623" s="16">
        <v>16800</v>
      </c>
      <c r="K623" s="82" t="s">
        <v>152</v>
      </c>
      <c r="L623" s="86">
        <v>0.125</v>
      </c>
      <c r="M623" s="86">
        <v>0.05</v>
      </c>
      <c r="N623" s="84"/>
      <c r="O623" s="85" t="s">
        <v>152</v>
      </c>
      <c r="P623" s="81">
        <f t="shared" si="176"/>
        <v>576</v>
      </c>
      <c r="Q623" s="85" t="s">
        <v>152</v>
      </c>
      <c r="R623" s="16">
        <f t="shared" si="177"/>
        <v>8043840</v>
      </c>
      <c r="S623" s="16">
        <f t="shared" si="178"/>
        <v>7246702.702702702</v>
      </c>
    </row>
    <row r="624" spans="1:19" s="80" customFormat="1">
      <c r="A624" s="152" t="s">
        <v>412</v>
      </c>
      <c r="B624" s="80" t="s">
        <v>18</v>
      </c>
      <c r="C624" s="81"/>
      <c r="D624" s="82" t="s">
        <v>152</v>
      </c>
      <c r="E624" s="83"/>
      <c r="F624" s="84">
        <v>6</v>
      </c>
      <c r="G624" s="85" t="s">
        <v>33</v>
      </c>
      <c r="H624" s="84">
        <v>24</v>
      </c>
      <c r="I624" s="85" t="s">
        <v>152</v>
      </c>
      <c r="J624" s="16">
        <v>21000</v>
      </c>
      <c r="K624" s="82" t="s">
        <v>152</v>
      </c>
      <c r="L624" s="86">
        <v>0.125</v>
      </c>
      <c r="M624" s="86">
        <v>0.05</v>
      </c>
      <c r="N624" s="84"/>
      <c r="O624" s="85" t="s">
        <v>152</v>
      </c>
      <c r="P624" s="81">
        <f t="shared" si="176"/>
        <v>0</v>
      </c>
      <c r="Q624" s="85" t="s">
        <v>152</v>
      </c>
      <c r="R624" s="16">
        <f t="shared" si="177"/>
        <v>0</v>
      </c>
      <c r="S624" s="16">
        <f t="shared" si="178"/>
        <v>0</v>
      </c>
    </row>
    <row r="625" spans="1:19" s="80" customFormat="1">
      <c r="A625" s="153"/>
      <c r="C625" s="81"/>
      <c r="D625" s="82"/>
      <c r="E625" s="83"/>
      <c r="F625" s="84"/>
      <c r="G625" s="85"/>
      <c r="H625" s="84"/>
      <c r="I625" s="85"/>
      <c r="J625" s="16"/>
      <c r="K625" s="82"/>
      <c r="L625" s="86"/>
      <c r="M625" s="86"/>
      <c r="N625" s="84"/>
      <c r="O625" s="85"/>
      <c r="P625" s="81"/>
      <c r="Q625" s="85"/>
      <c r="R625" s="16"/>
      <c r="S625" s="16"/>
    </row>
    <row r="626" spans="1:19" s="80" customFormat="1">
      <c r="A626" s="79" t="s">
        <v>413</v>
      </c>
      <c r="B626" s="80" t="s">
        <v>25</v>
      </c>
      <c r="C626" s="81"/>
      <c r="D626" s="82" t="s">
        <v>152</v>
      </c>
      <c r="E626" s="83"/>
      <c r="F626" s="84">
        <v>8</v>
      </c>
      <c r="G626" s="85" t="s">
        <v>33</v>
      </c>
      <c r="H626" s="84">
        <v>30</v>
      </c>
      <c r="I626" s="85" t="s">
        <v>152</v>
      </c>
      <c r="J626" s="16">
        <f>4800000/8/30</f>
        <v>20000</v>
      </c>
      <c r="K626" s="82" t="s">
        <v>152</v>
      </c>
      <c r="L626" s="86"/>
      <c r="M626" s="86">
        <v>0.17</v>
      </c>
      <c r="N626" s="84"/>
      <c r="O626" s="85" t="s">
        <v>152</v>
      </c>
      <c r="P626" s="81">
        <f>(C626+(E626*F626*H626))-N626</f>
        <v>0</v>
      </c>
      <c r="Q626" s="85" t="s">
        <v>152</v>
      </c>
      <c r="R626" s="16">
        <f>P626*(J626-(J626*L626)-((J626-(J626*L626))*M626))</f>
        <v>0</v>
      </c>
      <c r="S626" s="16">
        <f t="shared" si="178"/>
        <v>0</v>
      </c>
    </row>
    <row r="627" spans="1:19" s="80" customFormat="1">
      <c r="A627" s="79" t="s">
        <v>676</v>
      </c>
      <c r="B627" s="80" t="s">
        <v>25</v>
      </c>
      <c r="C627" s="81"/>
      <c r="D627" s="82" t="s">
        <v>152</v>
      </c>
      <c r="E627" s="83"/>
      <c r="F627" s="84">
        <v>6</v>
      </c>
      <c r="G627" s="85" t="s">
        <v>33</v>
      </c>
      <c r="H627" s="84">
        <v>30</v>
      </c>
      <c r="I627" s="85" t="s">
        <v>152</v>
      </c>
      <c r="J627" s="16">
        <f>2664000/6/30</f>
        <v>14800</v>
      </c>
      <c r="K627" s="82" t="s">
        <v>152</v>
      </c>
      <c r="L627" s="86"/>
      <c r="M627" s="86">
        <v>0.17</v>
      </c>
      <c r="N627" s="84"/>
      <c r="O627" s="85" t="s">
        <v>152</v>
      </c>
      <c r="P627" s="81">
        <f>(C627+(E627*F627*H627))-N627</f>
        <v>0</v>
      </c>
      <c r="Q627" s="85" t="s">
        <v>152</v>
      </c>
      <c r="R627" s="16">
        <f>P627*(J627-(J627*L627)-((J627-(J627*L627))*M627))</f>
        <v>0</v>
      </c>
      <c r="S627" s="16">
        <f t="shared" si="178"/>
        <v>0</v>
      </c>
    </row>
    <row r="629" spans="1:19">
      <c r="A629" s="15" t="s">
        <v>414</v>
      </c>
    </row>
    <row r="630" spans="1:19" s="80" customFormat="1">
      <c r="A630" s="79" t="s">
        <v>415</v>
      </c>
      <c r="B630" s="80" t="s">
        <v>18</v>
      </c>
      <c r="C630" s="81"/>
      <c r="D630" s="82" t="s">
        <v>40</v>
      </c>
      <c r="E630" s="83"/>
      <c r="F630" s="84">
        <v>48</v>
      </c>
      <c r="G630" s="85" t="s">
        <v>33</v>
      </c>
      <c r="H630" s="84">
        <v>12</v>
      </c>
      <c r="I630" s="85" t="s">
        <v>19</v>
      </c>
      <c r="J630" s="16">
        <v>5800</v>
      </c>
      <c r="K630" s="82" t="s">
        <v>19</v>
      </c>
      <c r="L630" s="86">
        <v>0.125</v>
      </c>
      <c r="M630" s="86">
        <v>0.05</v>
      </c>
      <c r="N630" s="84"/>
      <c r="O630" s="85" t="s">
        <v>19</v>
      </c>
      <c r="P630" s="81">
        <f>(C630+(E630*F630*H630))-N630</f>
        <v>0</v>
      </c>
      <c r="Q630" s="85" t="s">
        <v>19</v>
      </c>
      <c r="R630" s="16">
        <f>P630*(J630-(J630*L630)-((J630-(J630*L630))*M630))</f>
        <v>0</v>
      </c>
      <c r="S630" s="16">
        <f>R630/1.11</f>
        <v>0</v>
      </c>
    </row>
    <row r="632" spans="1:19">
      <c r="A632" s="58" t="s">
        <v>772</v>
      </c>
      <c r="B632" s="2" t="s">
        <v>25</v>
      </c>
      <c r="C632" s="3">
        <v>576</v>
      </c>
      <c r="D632" s="4" t="s">
        <v>19</v>
      </c>
      <c r="F632" s="6">
        <v>24</v>
      </c>
      <c r="G632" s="7" t="s">
        <v>33</v>
      </c>
      <c r="H632" s="6">
        <v>24</v>
      </c>
      <c r="I632" s="7" t="s">
        <v>19</v>
      </c>
      <c r="J632" s="8">
        <f>2822400/24/24</f>
        <v>4900</v>
      </c>
      <c r="K632" s="4" t="s">
        <v>19</v>
      </c>
      <c r="M632" s="9">
        <v>0.17</v>
      </c>
      <c r="O632" s="7" t="s">
        <v>19</v>
      </c>
      <c r="P632" s="3">
        <f>(C632+(E632*F632*H632))-N632</f>
        <v>576</v>
      </c>
      <c r="Q632" s="7" t="s">
        <v>19</v>
      </c>
      <c r="R632" s="8">
        <f>P632*(J632-(J632*L632)-((J632-(J632*L632))*M632))</f>
        <v>2342592</v>
      </c>
      <c r="S632" s="8">
        <f t="shared" si="178"/>
        <v>2110443.2432432431</v>
      </c>
    </row>
    <row r="633" spans="1:19">
      <c r="A633" s="58" t="s">
        <v>773</v>
      </c>
      <c r="B633" s="2" t="s">
        <v>25</v>
      </c>
      <c r="C633" s="3">
        <v>4</v>
      </c>
      <c r="D633" s="4" t="s">
        <v>40</v>
      </c>
      <c r="F633" s="6">
        <v>24</v>
      </c>
      <c r="G633" s="7" t="s">
        <v>33</v>
      </c>
      <c r="H633" s="6">
        <v>2</v>
      </c>
      <c r="I633" s="7" t="s">
        <v>40</v>
      </c>
      <c r="J633" s="8">
        <f>2592000/24/2</f>
        <v>54000</v>
      </c>
      <c r="K633" s="4" t="s">
        <v>40</v>
      </c>
      <c r="M633" s="9">
        <v>0.17</v>
      </c>
      <c r="O633" s="7" t="s">
        <v>40</v>
      </c>
      <c r="P633" s="3">
        <f>(C633+(E633*F633*H633))-N633</f>
        <v>4</v>
      </c>
      <c r="Q633" s="7" t="s">
        <v>40</v>
      </c>
      <c r="R633" s="8">
        <f>P633*(J633-(J633*L633)-((J633-(J633*L633))*M633))</f>
        <v>179280</v>
      </c>
      <c r="S633" s="8">
        <f t="shared" si="178"/>
        <v>161513.51351351349</v>
      </c>
    </row>
    <row r="634" spans="1:19">
      <c r="A634" s="58" t="s">
        <v>774</v>
      </c>
      <c r="B634" s="2" t="s">
        <v>25</v>
      </c>
      <c r="C634" s="3">
        <v>576</v>
      </c>
      <c r="D634" s="4" t="s">
        <v>19</v>
      </c>
      <c r="F634" s="6">
        <v>24</v>
      </c>
      <c r="G634" s="7" t="s">
        <v>33</v>
      </c>
      <c r="H634" s="6">
        <v>24</v>
      </c>
      <c r="I634" s="7" t="s">
        <v>19</v>
      </c>
      <c r="J634" s="8">
        <f>1900800/24/24</f>
        <v>3300</v>
      </c>
      <c r="K634" s="4" t="s">
        <v>19</v>
      </c>
      <c r="M634" s="9">
        <v>0.17</v>
      </c>
      <c r="O634" s="7" t="s">
        <v>19</v>
      </c>
      <c r="P634" s="3">
        <f>(C634+(E634*F634*H634))-N634</f>
        <v>576</v>
      </c>
      <c r="Q634" s="7" t="s">
        <v>19</v>
      </c>
      <c r="R634" s="8">
        <f>P634*(J634-(J634*L634)-((J634-(J634*L634))*M634))</f>
        <v>1577664</v>
      </c>
      <c r="S634" s="8">
        <f t="shared" si="178"/>
        <v>1421318.9189189188</v>
      </c>
    </row>
    <row r="635" spans="1:19">
      <c r="A635" s="59"/>
    </row>
    <row r="636" spans="1:19">
      <c r="A636" s="15" t="s">
        <v>416</v>
      </c>
    </row>
    <row r="637" spans="1:19" s="80" customFormat="1">
      <c r="A637" s="79" t="s">
        <v>417</v>
      </c>
      <c r="B637" s="80" t="s">
        <v>18</v>
      </c>
      <c r="C637" s="81"/>
      <c r="D637" s="82" t="s">
        <v>99</v>
      </c>
      <c r="E637" s="83"/>
      <c r="F637" s="84">
        <v>18</v>
      </c>
      <c r="G637" s="85" t="s">
        <v>33</v>
      </c>
      <c r="H637" s="84">
        <v>12</v>
      </c>
      <c r="I637" s="85" t="s">
        <v>99</v>
      </c>
      <c r="J637" s="16">
        <f>36000/12</f>
        <v>3000</v>
      </c>
      <c r="K637" s="82" t="s">
        <v>99</v>
      </c>
      <c r="L637" s="86">
        <v>0.125</v>
      </c>
      <c r="M637" s="86">
        <v>0.05</v>
      </c>
      <c r="N637" s="84"/>
      <c r="O637" s="85" t="s">
        <v>99</v>
      </c>
      <c r="P637" s="81">
        <f>(C637+(E637*F637*H637))-N637</f>
        <v>0</v>
      </c>
      <c r="Q637" s="85" t="s">
        <v>99</v>
      </c>
      <c r="R637" s="16">
        <f>P637*(J637-(J637*L637)-((J637-(J637*L637))*M637))</f>
        <v>0</v>
      </c>
      <c r="S637" s="16">
        <f t="shared" si="178"/>
        <v>0</v>
      </c>
    </row>
    <row r="638" spans="1:19" s="80" customFormat="1">
      <c r="A638" s="79" t="s">
        <v>418</v>
      </c>
      <c r="B638" s="80" t="s">
        <v>18</v>
      </c>
      <c r="C638" s="81"/>
      <c r="D638" s="82" t="s">
        <v>40</v>
      </c>
      <c r="E638" s="83"/>
      <c r="F638" s="84">
        <v>18</v>
      </c>
      <c r="G638" s="85" t="s">
        <v>33</v>
      </c>
      <c r="H638" s="84">
        <v>24</v>
      </c>
      <c r="I638" s="85" t="s">
        <v>40</v>
      </c>
      <c r="J638" s="16">
        <v>27600</v>
      </c>
      <c r="K638" s="82" t="s">
        <v>40</v>
      </c>
      <c r="L638" s="86">
        <v>0.125</v>
      </c>
      <c r="M638" s="86">
        <v>0.05</v>
      </c>
      <c r="N638" s="84"/>
      <c r="O638" s="85" t="s">
        <v>40</v>
      </c>
      <c r="P638" s="81">
        <f>(C638+(E638*F638*H638))-N638</f>
        <v>0</v>
      </c>
      <c r="Q638" s="85" t="s">
        <v>40</v>
      </c>
      <c r="R638" s="16">
        <f>P638*(J638-(J638*L638)-((J638-(J638*L638))*M638))</f>
        <v>0</v>
      </c>
      <c r="S638" s="16">
        <f t="shared" si="178"/>
        <v>0</v>
      </c>
    </row>
    <row r="639" spans="1:19" s="80" customFormat="1">
      <c r="A639" s="79"/>
      <c r="C639" s="81"/>
      <c r="D639" s="82"/>
      <c r="E639" s="83"/>
      <c r="F639" s="84"/>
      <c r="G639" s="85"/>
      <c r="H639" s="84"/>
      <c r="I639" s="85"/>
      <c r="J639" s="16"/>
      <c r="K639" s="82"/>
      <c r="L639" s="86"/>
      <c r="M639" s="86"/>
      <c r="N639" s="84"/>
      <c r="O639" s="85"/>
      <c r="P639" s="81"/>
      <c r="Q639" s="85"/>
      <c r="R639" s="16"/>
      <c r="S639" s="16"/>
    </row>
    <row r="640" spans="1:19" s="80" customFormat="1">
      <c r="A640" s="79" t="s">
        <v>419</v>
      </c>
      <c r="B640" s="80" t="s">
        <v>261</v>
      </c>
      <c r="C640" s="81"/>
      <c r="D640" s="82" t="s">
        <v>40</v>
      </c>
      <c r="E640" s="83"/>
      <c r="F640" s="84">
        <v>1</v>
      </c>
      <c r="G640" s="85" t="s">
        <v>20</v>
      </c>
      <c r="H640" s="84">
        <v>96</v>
      </c>
      <c r="I640" s="85" t="s">
        <v>40</v>
      </c>
      <c r="J640" s="16">
        <v>9500</v>
      </c>
      <c r="K640" s="82" t="s">
        <v>40</v>
      </c>
      <c r="L640" s="86"/>
      <c r="M640" s="86"/>
      <c r="N640" s="84"/>
      <c r="O640" s="85" t="s">
        <v>40</v>
      </c>
      <c r="P640" s="81">
        <f>(C640+(E640*F640*H640))-N640</f>
        <v>0</v>
      </c>
      <c r="Q640" s="85" t="s">
        <v>40</v>
      </c>
      <c r="R640" s="16">
        <f>P640*(J640-(J640*L640)-((J640-(J640*L640))*M640))</f>
        <v>0</v>
      </c>
      <c r="S640" s="16">
        <f t="shared" si="178"/>
        <v>0</v>
      </c>
    </row>
    <row r="642" spans="1:19">
      <c r="A642" s="17" t="s">
        <v>420</v>
      </c>
      <c r="B642" s="2" t="s">
        <v>25</v>
      </c>
      <c r="C642" s="3">
        <v>417</v>
      </c>
      <c r="D642" s="4" t="s">
        <v>19</v>
      </c>
      <c r="F642" s="6">
        <v>144</v>
      </c>
      <c r="G642" s="7" t="s">
        <v>33</v>
      </c>
      <c r="H642" s="6">
        <v>2</v>
      </c>
      <c r="I642" s="7" t="s">
        <v>40</v>
      </c>
      <c r="J642" s="8">
        <f>6739200/144/2</f>
        <v>23400</v>
      </c>
      <c r="K642" s="4" t="s">
        <v>40</v>
      </c>
      <c r="M642" s="9">
        <v>0.17</v>
      </c>
      <c r="O642" s="7" t="s">
        <v>40</v>
      </c>
      <c r="P642" s="3">
        <f>(C642+(E642*F642*H642))-N642</f>
        <v>417</v>
      </c>
      <c r="Q642" s="7" t="s">
        <v>40</v>
      </c>
      <c r="R642" s="8">
        <f>P642*(J642-(J642*L642)-((J642-(J642*L642))*M642))</f>
        <v>8098974</v>
      </c>
      <c r="S642" s="8">
        <f t="shared" si="178"/>
        <v>7296372.9729729723</v>
      </c>
    </row>
    <row r="643" spans="1:19" s="80" customFormat="1">
      <c r="A643" s="79" t="s">
        <v>421</v>
      </c>
      <c r="B643" s="80" t="s">
        <v>25</v>
      </c>
      <c r="C643" s="81"/>
      <c r="D643" s="82" t="s">
        <v>33</v>
      </c>
      <c r="E643" s="83"/>
      <c r="F643" s="84">
        <v>1</v>
      </c>
      <c r="G643" s="85" t="s">
        <v>20</v>
      </c>
      <c r="H643" s="84">
        <v>120</v>
      </c>
      <c r="I643" s="85" t="s">
        <v>33</v>
      </c>
      <c r="J643" s="16">
        <f>2160000/120</f>
        <v>18000</v>
      </c>
      <c r="K643" s="82" t="s">
        <v>33</v>
      </c>
      <c r="L643" s="86"/>
      <c r="M643" s="86">
        <v>0.17</v>
      </c>
      <c r="N643" s="84"/>
      <c r="O643" s="85" t="s">
        <v>33</v>
      </c>
      <c r="P643" s="81">
        <f>(C643+(E643*F643*H643))-N643</f>
        <v>0</v>
      </c>
      <c r="Q643" s="85" t="s">
        <v>33</v>
      </c>
      <c r="R643" s="16">
        <f>P643*(J643-(J643*L643)-((J643-(J643*L643))*M643))</f>
        <v>0</v>
      </c>
      <c r="S643" s="16">
        <f t="shared" si="178"/>
        <v>0</v>
      </c>
    </row>
    <row r="645" spans="1:19">
      <c r="A645" s="17" t="s">
        <v>422</v>
      </c>
      <c r="B645" s="2" t="s">
        <v>182</v>
      </c>
      <c r="C645" s="3">
        <v>2400</v>
      </c>
      <c r="D645" s="4" t="s">
        <v>33</v>
      </c>
      <c r="F645" s="6">
        <v>1</v>
      </c>
      <c r="G645" s="7" t="s">
        <v>20</v>
      </c>
      <c r="H645" s="6">
        <v>240</v>
      </c>
      <c r="I645" s="7" t="s">
        <v>33</v>
      </c>
      <c r="J645" s="8">
        <v>5500</v>
      </c>
      <c r="K645" s="4" t="s">
        <v>33</v>
      </c>
      <c r="O645" s="7" t="s">
        <v>33</v>
      </c>
      <c r="P645" s="3">
        <f>(C645+(E645*F645*H645))-N645</f>
        <v>2400</v>
      </c>
      <c r="Q645" s="7" t="s">
        <v>33</v>
      </c>
      <c r="R645" s="8">
        <f>P645*(J645-(J645*L645)-((J645-(J645*L645))*M645))</f>
        <v>13200000</v>
      </c>
      <c r="S645" s="8">
        <f t="shared" si="178"/>
        <v>11891891.891891891</v>
      </c>
    </row>
    <row r="647" spans="1:19">
      <c r="A647" s="15" t="s">
        <v>513</v>
      </c>
    </row>
    <row r="648" spans="1:19" s="19" customFormat="1">
      <c r="A648" s="18" t="s">
        <v>807</v>
      </c>
      <c r="B648" s="19" t="s">
        <v>18</v>
      </c>
      <c r="C648" s="20">
        <f>1440+420</f>
        <v>1860</v>
      </c>
      <c r="D648" s="21" t="s">
        <v>19</v>
      </c>
      <c r="E648" s="26"/>
      <c r="F648" s="22">
        <v>48</v>
      </c>
      <c r="G648" s="23" t="s">
        <v>33</v>
      </c>
      <c r="H648" s="22">
        <v>12</v>
      </c>
      <c r="I648" s="23" t="s">
        <v>19</v>
      </c>
      <c r="J648" s="24">
        <v>2350</v>
      </c>
      <c r="K648" s="21" t="s">
        <v>19</v>
      </c>
      <c r="L648" s="25">
        <v>0.1</v>
      </c>
      <c r="M648" s="25">
        <v>0.05</v>
      </c>
      <c r="N648" s="22"/>
      <c r="O648" s="23" t="s">
        <v>19</v>
      </c>
      <c r="P648" s="20">
        <f>(C648+(E648*F648*H648))-N648</f>
        <v>1860</v>
      </c>
      <c r="Q648" s="23" t="s">
        <v>19</v>
      </c>
      <c r="R648" s="24">
        <f>P648*(J648-(J648*L648)-((J648-(J648*L648))*M648))</f>
        <v>3737205</v>
      </c>
      <c r="S648" s="8">
        <f>R648/1.11</f>
        <v>3366851.351351351</v>
      </c>
    </row>
    <row r="649" spans="1:19" s="19" customFormat="1">
      <c r="A649" s="18" t="s">
        <v>807</v>
      </c>
      <c r="B649" s="19" t="s">
        <v>18</v>
      </c>
      <c r="C649" s="20">
        <f>192+468</f>
        <v>660</v>
      </c>
      <c r="D649" s="21" t="s">
        <v>19</v>
      </c>
      <c r="E649" s="26"/>
      <c r="F649" s="22">
        <v>48</v>
      </c>
      <c r="G649" s="23" t="s">
        <v>33</v>
      </c>
      <c r="H649" s="22">
        <v>12</v>
      </c>
      <c r="I649" s="23" t="s">
        <v>19</v>
      </c>
      <c r="J649" s="24">
        <v>2350</v>
      </c>
      <c r="K649" s="21" t="s">
        <v>19</v>
      </c>
      <c r="L649" s="25">
        <v>0.125</v>
      </c>
      <c r="M649" s="25">
        <v>0.05</v>
      </c>
      <c r="N649" s="22"/>
      <c r="O649" s="23" t="s">
        <v>19</v>
      </c>
      <c r="P649" s="20">
        <f>(C649+(E649*F649*H649))-N649</f>
        <v>660</v>
      </c>
      <c r="Q649" s="23" t="s">
        <v>19</v>
      </c>
      <c r="R649" s="24">
        <f>P649*(J649-(J649*L649)-((J649-(J649*L649))*M649))</f>
        <v>1289268.75</v>
      </c>
      <c r="S649" s="8">
        <f>R649/1.11</f>
        <v>1161503.3783783782</v>
      </c>
    </row>
    <row r="650" spans="1:19" s="19" customFormat="1">
      <c r="A650" s="18"/>
      <c r="C650" s="20"/>
      <c r="D650" s="21"/>
      <c r="E650" s="26"/>
      <c r="F650" s="22"/>
      <c r="G650" s="23"/>
      <c r="H650" s="22"/>
      <c r="I650" s="23"/>
      <c r="J650" s="24"/>
      <c r="K650" s="21"/>
      <c r="L650" s="25"/>
      <c r="M650" s="25"/>
      <c r="N650" s="22"/>
      <c r="O650" s="23"/>
      <c r="P650" s="20"/>
      <c r="Q650" s="23"/>
      <c r="R650" s="24"/>
      <c r="S650" s="8"/>
    </row>
    <row r="651" spans="1:19" s="80" customFormat="1">
      <c r="A651" s="148" t="s">
        <v>514</v>
      </c>
      <c r="B651" s="80" t="s">
        <v>25</v>
      </c>
      <c r="C651" s="81"/>
      <c r="D651" s="82" t="s">
        <v>40</v>
      </c>
      <c r="E651" s="83"/>
      <c r="F651" s="84">
        <v>1</v>
      </c>
      <c r="G651" s="85" t="s">
        <v>20</v>
      </c>
      <c r="H651" s="84">
        <v>60</v>
      </c>
      <c r="I651" s="85" t="s">
        <v>40</v>
      </c>
      <c r="J651" s="16">
        <f>2160000/60</f>
        <v>36000</v>
      </c>
      <c r="K651" s="82" t="s">
        <v>40</v>
      </c>
      <c r="L651" s="86"/>
      <c r="M651" s="86">
        <v>0.17</v>
      </c>
      <c r="N651" s="84"/>
      <c r="O651" s="85" t="s">
        <v>40</v>
      </c>
      <c r="P651" s="81">
        <f>(C651+(E651*F651*H651))-N651</f>
        <v>0</v>
      </c>
      <c r="Q651" s="85" t="s">
        <v>40</v>
      </c>
      <c r="R651" s="16">
        <f>P651*(J651-(J651*L651)-((J651-(J651*L651))*M651))</f>
        <v>0</v>
      </c>
      <c r="S651" s="16">
        <f>R651/1.11</f>
        <v>0</v>
      </c>
    </row>
    <row r="652" spans="1:19">
      <c r="A652" s="55" t="s">
        <v>515</v>
      </c>
      <c r="B652" s="2" t="s">
        <v>25</v>
      </c>
      <c r="C652" s="3">
        <v>175</v>
      </c>
      <c r="D652" s="4" t="s">
        <v>40</v>
      </c>
      <c r="F652" s="6">
        <v>12</v>
      </c>
      <c r="G652" s="7" t="s">
        <v>84</v>
      </c>
      <c r="H652" s="6">
        <v>12</v>
      </c>
      <c r="I652" s="7" t="s">
        <v>40</v>
      </c>
      <c r="J652" s="8">
        <f>1555200/144</f>
        <v>10800</v>
      </c>
      <c r="K652" s="4" t="s">
        <v>40</v>
      </c>
      <c r="L652" s="9">
        <v>0.05</v>
      </c>
      <c r="M652" s="9">
        <v>0.17</v>
      </c>
      <c r="O652" s="7" t="s">
        <v>40</v>
      </c>
      <c r="P652" s="3">
        <f>(C652+(E652*F652*H652))-N652</f>
        <v>175</v>
      </c>
      <c r="Q652" s="7" t="s">
        <v>40</v>
      </c>
      <c r="R652" s="8">
        <f>P652*(J652-(J652*L652)-((J652-(J652*L652))*M652))</f>
        <v>1490264.9999999998</v>
      </c>
      <c r="S652" s="8">
        <f>R652/1.11</f>
        <v>1342581.0810810807</v>
      </c>
    </row>
    <row r="653" spans="1:19">
      <c r="A653" s="49"/>
    </row>
    <row r="654" spans="1:19">
      <c r="A654" s="15" t="s">
        <v>516</v>
      </c>
    </row>
    <row r="655" spans="1:19" s="80" customFormat="1">
      <c r="A655" s="148" t="s">
        <v>517</v>
      </c>
      <c r="B655" s="80" t="s">
        <v>25</v>
      </c>
      <c r="C655" s="81"/>
      <c r="D655" s="82" t="s">
        <v>40</v>
      </c>
      <c r="E655" s="83"/>
      <c r="F655" s="84">
        <v>1</v>
      </c>
      <c r="G655" s="85" t="s">
        <v>20</v>
      </c>
      <c r="H655" s="84">
        <v>60</v>
      </c>
      <c r="I655" s="85" t="s">
        <v>40</v>
      </c>
      <c r="J655" s="16">
        <f>2268000/60</f>
        <v>37800</v>
      </c>
      <c r="K655" s="82" t="s">
        <v>40</v>
      </c>
      <c r="L655" s="86"/>
      <c r="M655" s="86">
        <v>0.17</v>
      </c>
      <c r="N655" s="84"/>
      <c r="O655" s="85" t="s">
        <v>40</v>
      </c>
      <c r="P655" s="81">
        <f>(C655+(E655*F655*H655))-N655</f>
        <v>0</v>
      </c>
      <c r="Q655" s="85" t="s">
        <v>40</v>
      </c>
      <c r="R655" s="16">
        <f>P655*(J655-(J655*L655)-((J655-(J655*L655))*M655))</f>
        <v>0</v>
      </c>
      <c r="S655" s="16">
        <f>R655/1.11</f>
        <v>0</v>
      </c>
    </row>
    <row r="657" spans="1:19" s="19" customFormat="1">
      <c r="A657" s="31" t="s">
        <v>740</v>
      </c>
      <c r="B657" s="32" t="s">
        <v>598</v>
      </c>
      <c r="C657" s="33">
        <v>12</v>
      </c>
      <c r="D657" s="34" t="s">
        <v>152</v>
      </c>
      <c r="E657" s="35"/>
      <c r="F657" s="36">
        <v>1</v>
      </c>
      <c r="G657" s="37" t="s">
        <v>152</v>
      </c>
      <c r="H657" s="36">
        <v>1</v>
      </c>
      <c r="I657" s="37" t="s">
        <v>152</v>
      </c>
      <c r="J657" s="38">
        <v>4000</v>
      </c>
      <c r="K657" s="34" t="s">
        <v>19</v>
      </c>
      <c r="L657" s="39"/>
      <c r="M657" s="39">
        <v>1.0999999999999999E-2</v>
      </c>
      <c r="N657" s="36"/>
      <c r="O657" s="37" t="s">
        <v>19</v>
      </c>
      <c r="P657" s="33">
        <f>(C657+(E657*F657*H657))-N657</f>
        <v>12</v>
      </c>
      <c r="Q657" s="37" t="s">
        <v>19</v>
      </c>
      <c r="R657" s="38">
        <f>P657*(J657-(J657*L657)-((J657-(J657*L657))*M657))</f>
        <v>47472</v>
      </c>
      <c r="S657" s="38">
        <f t="shared" ref="S657" si="179">R657/1.11</f>
        <v>42767.567567567567</v>
      </c>
    </row>
    <row r="658" spans="1:19" s="19" customFormat="1">
      <c r="A658" s="31" t="s">
        <v>875</v>
      </c>
      <c r="B658" s="32" t="s">
        <v>598</v>
      </c>
      <c r="C658" s="33">
        <v>48</v>
      </c>
      <c r="D658" s="34" t="s">
        <v>152</v>
      </c>
      <c r="E658" s="35"/>
      <c r="F658" s="36">
        <v>1</v>
      </c>
      <c r="G658" s="37" t="s">
        <v>152</v>
      </c>
      <c r="H658" s="36">
        <v>1</v>
      </c>
      <c r="I658" s="37" t="s">
        <v>152</v>
      </c>
      <c r="J658" s="38"/>
      <c r="K658" s="34" t="s">
        <v>19</v>
      </c>
      <c r="L658" s="39"/>
      <c r="M658" s="39">
        <v>1.0999999999999999E-2</v>
      </c>
      <c r="N658" s="36"/>
      <c r="O658" s="37" t="s">
        <v>19</v>
      </c>
      <c r="P658" s="33">
        <f>(C658+(E658*F658*H658))-N658</f>
        <v>48</v>
      </c>
      <c r="Q658" s="37" t="s">
        <v>19</v>
      </c>
      <c r="R658" s="38">
        <f>P658*(J658-(J658*L658)-((J658-(J658*L658))*M658))</f>
        <v>0</v>
      </c>
      <c r="S658" s="38">
        <f t="shared" ref="S658" si="180">R658/1.11</f>
        <v>0</v>
      </c>
    </row>
    <row r="659" spans="1:19">
      <c r="A659" s="49"/>
    </row>
    <row r="660" spans="1:19">
      <c r="A660" s="15" t="s">
        <v>518</v>
      </c>
    </row>
    <row r="661" spans="1:19" s="89" customFormat="1">
      <c r="A661" s="88" t="s">
        <v>519</v>
      </c>
      <c r="B661" s="89" t="s">
        <v>18</v>
      </c>
      <c r="C661" s="87"/>
      <c r="D661" s="90" t="s">
        <v>152</v>
      </c>
      <c r="E661" s="91"/>
      <c r="F661" s="92">
        <v>8</v>
      </c>
      <c r="G661" s="93" t="s">
        <v>33</v>
      </c>
      <c r="H661" s="92">
        <v>12</v>
      </c>
      <c r="I661" s="93" t="s">
        <v>152</v>
      </c>
      <c r="J661" s="94">
        <v>17000</v>
      </c>
      <c r="K661" s="90" t="s">
        <v>152</v>
      </c>
      <c r="L661" s="95">
        <v>0.125</v>
      </c>
      <c r="M661" s="95">
        <v>0.05</v>
      </c>
      <c r="N661" s="92"/>
      <c r="O661" s="93" t="s">
        <v>152</v>
      </c>
      <c r="P661" s="87">
        <f>(C661+(E661*F661*H661))-N661</f>
        <v>0</v>
      </c>
      <c r="Q661" s="93" t="s">
        <v>152</v>
      </c>
      <c r="R661" s="94">
        <f>P661*(J661-(J661*L661)-((J661-(J661*L661))*M661))</f>
        <v>0</v>
      </c>
      <c r="S661" s="16">
        <f>R661/1.11</f>
        <v>0</v>
      </c>
    </row>
    <row r="662" spans="1:19" s="89" customFormat="1">
      <c r="A662" s="88" t="s">
        <v>520</v>
      </c>
      <c r="B662" s="89" t="s">
        <v>18</v>
      </c>
      <c r="C662" s="87"/>
      <c r="D662" s="90" t="s">
        <v>152</v>
      </c>
      <c r="E662" s="91"/>
      <c r="F662" s="92">
        <v>8</v>
      </c>
      <c r="G662" s="93" t="s">
        <v>33</v>
      </c>
      <c r="H662" s="92">
        <v>6</v>
      </c>
      <c r="I662" s="93" t="s">
        <v>152</v>
      </c>
      <c r="J662" s="94">
        <v>34000</v>
      </c>
      <c r="K662" s="90" t="s">
        <v>152</v>
      </c>
      <c r="L662" s="95">
        <v>0.125</v>
      </c>
      <c r="M662" s="95">
        <v>0.05</v>
      </c>
      <c r="N662" s="92"/>
      <c r="O662" s="93" t="s">
        <v>152</v>
      </c>
      <c r="P662" s="87">
        <f>(C662+(E662*F662*H662))-N662</f>
        <v>0</v>
      </c>
      <c r="Q662" s="93" t="s">
        <v>152</v>
      </c>
      <c r="R662" s="94">
        <f>P662*(J662-(J662*L662)-((J662-(J662*L662))*M662))</f>
        <v>0</v>
      </c>
      <c r="S662" s="16">
        <f>R662/1.11</f>
        <v>0</v>
      </c>
    </row>
    <row r="663" spans="1:19" s="19" customFormat="1">
      <c r="A663" s="18" t="s">
        <v>521</v>
      </c>
      <c r="B663" s="19" t="s">
        <v>18</v>
      </c>
      <c r="C663" s="20">
        <v>62</v>
      </c>
      <c r="D663" s="21" t="s">
        <v>152</v>
      </c>
      <c r="E663" s="26">
        <v>1</v>
      </c>
      <c r="F663" s="22">
        <v>6</v>
      </c>
      <c r="G663" s="23" t="s">
        <v>33</v>
      </c>
      <c r="H663" s="22">
        <v>24</v>
      </c>
      <c r="I663" s="23" t="s">
        <v>152</v>
      </c>
      <c r="J663" s="24">
        <v>31500</v>
      </c>
      <c r="K663" s="21" t="s">
        <v>152</v>
      </c>
      <c r="L663" s="25">
        <v>0.125</v>
      </c>
      <c r="M663" s="25">
        <v>0.05</v>
      </c>
      <c r="N663" s="22"/>
      <c r="O663" s="23" t="s">
        <v>152</v>
      </c>
      <c r="P663" s="20">
        <f>(C663+(E663*F663*H663))-N663</f>
        <v>206</v>
      </c>
      <c r="Q663" s="23" t="s">
        <v>152</v>
      </c>
      <c r="R663" s="24">
        <f>P663*(J663-(J663*L663)-((J663-(J663*L663))*M663))</f>
        <v>5393981.25</v>
      </c>
      <c r="S663" s="8">
        <f>R663/1.11</f>
        <v>4859442.5675675673</v>
      </c>
    </row>
    <row r="664" spans="1:19" s="89" customFormat="1">
      <c r="A664" s="88" t="s">
        <v>522</v>
      </c>
      <c r="B664" s="89" t="s">
        <v>18</v>
      </c>
      <c r="C664" s="87"/>
      <c r="D664" s="90" t="s">
        <v>152</v>
      </c>
      <c r="E664" s="91"/>
      <c r="F664" s="92">
        <v>6</v>
      </c>
      <c r="G664" s="93" t="s">
        <v>33</v>
      </c>
      <c r="H664" s="92">
        <v>12</v>
      </c>
      <c r="I664" s="93" t="s">
        <v>152</v>
      </c>
      <c r="J664" s="94">
        <v>63000</v>
      </c>
      <c r="K664" s="90" t="s">
        <v>152</v>
      </c>
      <c r="L664" s="95">
        <v>0.125</v>
      </c>
      <c r="M664" s="95">
        <v>0.05</v>
      </c>
      <c r="N664" s="92"/>
      <c r="O664" s="93" t="s">
        <v>152</v>
      </c>
      <c r="P664" s="87">
        <f>(C664+(E664*F664*H664))-N664</f>
        <v>0</v>
      </c>
      <c r="Q664" s="93" t="s">
        <v>152</v>
      </c>
      <c r="R664" s="94">
        <f>P664*(J664-(J664*L664)-((J664-(J664*L664))*M664))</f>
        <v>0</v>
      </c>
      <c r="S664" s="16">
        <f>R664/1.11</f>
        <v>0</v>
      </c>
    </row>
    <row r="665" spans="1:19" s="89" customFormat="1">
      <c r="A665" s="88" t="s">
        <v>523</v>
      </c>
      <c r="B665" s="89" t="s">
        <v>18</v>
      </c>
      <c r="C665" s="87"/>
      <c r="D665" s="90" t="s">
        <v>152</v>
      </c>
      <c r="E665" s="91"/>
      <c r="F665" s="92">
        <v>6</v>
      </c>
      <c r="G665" s="93" t="s">
        <v>33</v>
      </c>
      <c r="H665" s="92">
        <v>24</v>
      </c>
      <c r="I665" s="93" t="s">
        <v>152</v>
      </c>
      <c r="J665" s="94"/>
      <c r="K665" s="90" t="s">
        <v>152</v>
      </c>
      <c r="L665" s="95">
        <v>0.1</v>
      </c>
      <c r="M665" s="95">
        <v>0.05</v>
      </c>
      <c r="N665" s="92"/>
      <c r="O665" s="93" t="s">
        <v>152</v>
      </c>
      <c r="P665" s="87">
        <f>(C665+(E665*F665*H665))-N665</f>
        <v>0</v>
      </c>
      <c r="Q665" s="93" t="s">
        <v>152</v>
      </c>
      <c r="R665" s="94">
        <f>P665*(J665-(J665*L665)-((J665-(J665*L665))*M665))</f>
        <v>0</v>
      </c>
      <c r="S665" s="16">
        <f>R665/1.11</f>
        <v>0</v>
      </c>
    </row>
    <row r="666" spans="1:19" s="89" customFormat="1">
      <c r="A666" s="88"/>
      <c r="C666" s="87"/>
      <c r="D666" s="90"/>
      <c r="E666" s="91"/>
      <c r="F666" s="92"/>
      <c r="G666" s="93"/>
      <c r="H666" s="92"/>
      <c r="I666" s="93"/>
      <c r="J666" s="94"/>
      <c r="K666" s="90"/>
      <c r="L666" s="95"/>
      <c r="M666" s="95"/>
      <c r="N666" s="92"/>
      <c r="O666" s="93"/>
      <c r="P666" s="87"/>
      <c r="Q666" s="93"/>
      <c r="R666" s="94"/>
      <c r="S666" s="16"/>
    </row>
    <row r="667" spans="1:19" s="106" customFormat="1">
      <c r="A667" s="166" t="s">
        <v>879</v>
      </c>
      <c r="B667" s="106" t="s">
        <v>25</v>
      </c>
      <c r="C667" s="107"/>
      <c r="D667" s="108" t="s">
        <v>152</v>
      </c>
      <c r="E667" s="109">
        <v>5</v>
      </c>
      <c r="F667" s="110">
        <v>6</v>
      </c>
      <c r="G667" s="111" t="s">
        <v>33</v>
      </c>
      <c r="H667" s="110">
        <v>24</v>
      </c>
      <c r="I667" s="111" t="s">
        <v>152</v>
      </c>
      <c r="J667" s="112">
        <v>25000</v>
      </c>
      <c r="K667" s="108" t="s">
        <v>152</v>
      </c>
      <c r="L667" s="113">
        <v>0.05</v>
      </c>
      <c r="M667" s="113">
        <v>0.17</v>
      </c>
      <c r="N667" s="110"/>
      <c r="O667" s="111" t="s">
        <v>152</v>
      </c>
      <c r="P667" s="107">
        <f>(C667+(E667*F667*H667))-N667</f>
        <v>720</v>
      </c>
      <c r="Q667" s="111" t="s">
        <v>152</v>
      </c>
      <c r="R667" s="112">
        <f>P667*(J667-(J667*L667)-((J667-(J667*L667))*M667))</f>
        <v>14193000</v>
      </c>
      <c r="S667" s="104">
        <f>R667/1.11</f>
        <v>12786486.486486485</v>
      </c>
    </row>
    <row r="669" spans="1:19" ht="15.75">
      <c r="A669" s="14" t="s">
        <v>423</v>
      </c>
    </row>
    <row r="670" spans="1:19" s="19" customFormat="1">
      <c r="A670" s="18" t="s">
        <v>424</v>
      </c>
      <c r="B670" s="19" t="s">
        <v>18</v>
      </c>
      <c r="C670" s="20">
        <v>59</v>
      </c>
      <c r="D670" s="21" t="s">
        <v>84</v>
      </c>
      <c r="E670" s="26">
        <v>45</v>
      </c>
      <c r="F670" s="22">
        <v>1</v>
      </c>
      <c r="G670" s="23" t="s">
        <v>20</v>
      </c>
      <c r="H670" s="22">
        <v>30</v>
      </c>
      <c r="I670" s="23" t="s">
        <v>84</v>
      </c>
      <c r="J670" s="24">
        <v>104400</v>
      </c>
      <c r="K670" s="21" t="s">
        <v>84</v>
      </c>
      <c r="L670" s="25">
        <v>0.125</v>
      </c>
      <c r="M670" s="25">
        <v>0.05</v>
      </c>
      <c r="N670" s="22"/>
      <c r="O670" s="23" t="s">
        <v>84</v>
      </c>
      <c r="P670" s="20">
        <f t="shared" ref="P670:P676" si="181">(C670+(E670*F670*H670))-N670</f>
        <v>1409</v>
      </c>
      <c r="Q670" s="23" t="s">
        <v>84</v>
      </c>
      <c r="R670" s="24">
        <f t="shared" ref="R670:R676" si="182">P670*(J670-(J670*L670)-((J670-(J670*L670))*M670))</f>
        <v>122276542.5</v>
      </c>
      <c r="S670" s="24">
        <f t="shared" si="178"/>
        <v>110159047.29729728</v>
      </c>
    </row>
    <row r="671" spans="1:19" s="89" customFormat="1">
      <c r="A671" s="88" t="s">
        <v>655</v>
      </c>
      <c r="B671" s="89" t="s">
        <v>18</v>
      </c>
      <c r="C671" s="87"/>
      <c r="D671" s="90" t="s">
        <v>84</v>
      </c>
      <c r="E671" s="91"/>
      <c r="F671" s="92">
        <v>1</v>
      </c>
      <c r="G671" s="93" t="s">
        <v>20</v>
      </c>
      <c r="H671" s="92">
        <v>30</v>
      </c>
      <c r="I671" s="93" t="s">
        <v>84</v>
      </c>
      <c r="J671" s="94">
        <v>102000</v>
      </c>
      <c r="K671" s="90" t="s">
        <v>84</v>
      </c>
      <c r="L671" s="95">
        <v>0.125</v>
      </c>
      <c r="M671" s="95">
        <v>0.05</v>
      </c>
      <c r="N671" s="92"/>
      <c r="O671" s="93" t="s">
        <v>84</v>
      </c>
      <c r="P671" s="87">
        <f t="shared" si="181"/>
        <v>0</v>
      </c>
      <c r="Q671" s="93" t="s">
        <v>84</v>
      </c>
      <c r="R671" s="94">
        <f t="shared" si="182"/>
        <v>0</v>
      </c>
      <c r="S671" s="94">
        <f t="shared" si="178"/>
        <v>0</v>
      </c>
    </row>
    <row r="672" spans="1:19" s="80" customFormat="1">
      <c r="A672" s="79" t="s">
        <v>425</v>
      </c>
      <c r="B672" s="80" t="s">
        <v>18</v>
      </c>
      <c r="C672" s="81"/>
      <c r="D672" s="82" t="s">
        <v>84</v>
      </c>
      <c r="E672" s="83"/>
      <c r="F672" s="84">
        <v>1</v>
      </c>
      <c r="G672" s="85" t="s">
        <v>20</v>
      </c>
      <c r="H672" s="84">
        <v>30</v>
      </c>
      <c r="I672" s="85" t="s">
        <v>84</v>
      </c>
      <c r="J672" s="16">
        <v>99000</v>
      </c>
      <c r="K672" s="82" t="s">
        <v>84</v>
      </c>
      <c r="L672" s="86">
        <v>0.125</v>
      </c>
      <c r="M672" s="86">
        <v>0.05</v>
      </c>
      <c r="N672" s="84"/>
      <c r="O672" s="85" t="s">
        <v>84</v>
      </c>
      <c r="P672" s="81">
        <f t="shared" si="181"/>
        <v>0</v>
      </c>
      <c r="Q672" s="85" t="s">
        <v>84</v>
      </c>
      <c r="R672" s="16">
        <f t="shared" si="182"/>
        <v>0</v>
      </c>
      <c r="S672" s="16">
        <f t="shared" si="178"/>
        <v>0</v>
      </c>
    </row>
    <row r="673" spans="1:19">
      <c r="A673" s="17" t="s">
        <v>426</v>
      </c>
      <c r="B673" s="2" t="s">
        <v>18</v>
      </c>
      <c r="D673" s="4" t="s">
        <v>84</v>
      </c>
      <c r="E673" s="5">
        <v>2</v>
      </c>
      <c r="F673" s="6">
        <v>1</v>
      </c>
      <c r="G673" s="7" t="s">
        <v>20</v>
      </c>
      <c r="H673" s="6">
        <v>30</v>
      </c>
      <c r="I673" s="7" t="s">
        <v>84</v>
      </c>
      <c r="J673" s="8">
        <v>96000</v>
      </c>
      <c r="K673" s="4" t="s">
        <v>84</v>
      </c>
      <c r="L673" s="9">
        <v>0.125</v>
      </c>
      <c r="M673" s="9">
        <v>0.05</v>
      </c>
      <c r="O673" s="7" t="s">
        <v>84</v>
      </c>
      <c r="P673" s="3">
        <f t="shared" si="181"/>
        <v>60</v>
      </c>
      <c r="Q673" s="7" t="s">
        <v>84</v>
      </c>
      <c r="R673" s="8">
        <f t="shared" si="182"/>
        <v>4788000</v>
      </c>
      <c r="S673" s="8">
        <f t="shared" si="178"/>
        <v>4313513.5135135129</v>
      </c>
    </row>
    <row r="674" spans="1:19" s="80" customFormat="1">
      <c r="A674" s="79" t="s">
        <v>427</v>
      </c>
      <c r="B674" s="80" t="s">
        <v>18</v>
      </c>
      <c r="C674" s="81"/>
      <c r="D674" s="82" t="s">
        <v>84</v>
      </c>
      <c r="E674" s="83"/>
      <c r="F674" s="84">
        <v>1</v>
      </c>
      <c r="G674" s="85" t="s">
        <v>20</v>
      </c>
      <c r="H674" s="84">
        <v>30</v>
      </c>
      <c r="I674" s="85" t="s">
        <v>84</v>
      </c>
      <c r="J674" s="16">
        <v>109000</v>
      </c>
      <c r="K674" s="82" t="s">
        <v>84</v>
      </c>
      <c r="L674" s="86">
        <v>0.125</v>
      </c>
      <c r="M674" s="86">
        <v>0.05</v>
      </c>
      <c r="N674" s="84"/>
      <c r="O674" s="85" t="s">
        <v>84</v>
      </c>
      <c r="P674" s="81">
        <f t="shared" si="181"/>
        <v>0</v>
      </c>
      <c r="Q674" s="85" t="s">
        <v>84</v>
      </c>
      <c r="R674" s="16">
        <f t="shared" si="182"/>
        <v>0</v>
      </c>
      <c r="S674" s="16">
        <f t="shared" si="178"/>
        <v>0</v>
      </c>
    </row>
    <row r="675" spans="1:19" s="80" customFormat="1">
      <c r="A675" s="79" t="s">
        <v>798</v>
      </c>
      <c r="B675" s="80" t="s">
        <v>18</v>
      </c>
      <c r="C675" s="81"/>
      <c r="D675" s="82" t="s">
        <v>84</v>
      </c>
      <c r="E675" s="83"/>
      <c r="F675" s="84">
        <v>1</v>
      </c>
      <c r="G675" s="85" t="s">
        <v>20</v>
      </c>
      <c r="H675" s="84">
        <v>30</v>
      </c>
      <c r="I675" s="85" t="s">
        <v>84</v>
      </c>
      <c r="J675" s="16">
        <v>144000</v>
      </c>
      <c r="K675" s="82" t="s">
        <v>84</v>
      </c>
      <c r="L675" s="86">
        <v>0.125</v>
      </c>
      <c r="M675" s="86">
        <v>0.05</v>
      </c>
      <c r="N675" s="84"/>
      <c r="O675" s="85" t="s">
        <v>84</v>
      </c>
      <c r="P675" s="81">
        <f t="shared" si="181"/>
        <v>0</v>
      </c>
      <c r="Q675" s="85" t="s">
        <v>84</v>
      </c>
      <c r="R675" s="16">
        <f t="shared" si="182"/>
        <v>0</v>
      </c>
      <c r="S675" s="16">
        <f t="shared" si="178"/>
        <v>0</v>
      </c>
    </row>
    <row r="676" spans="1:19" s="80" customFormat="1">
      <c r="A676" s="79" t="s">
        <v>734</v>
      </c>
      <c r="B676" s="80" t="s">
        <v>18</v>
      </c>
      <c r="C676" s="81"/>
      <c r="D676" s="82" t="s">
        <v>84</v>
      </c>
      <c r="E676" s="83"/>
      <c r="F676" s="84">
        <v>1</v>
      </c>
      <c r="G676" s="85" t="s">
        <v>20</v>
      </c>
      <c r="H676" s="84">
        <v>30</v>
      </c>
      <c r="I676" s="85" t="s">
        <v>84</v>
      </c>
      <c r="J676" s="16">
        <v>144000</v>
      </c>
      <c r="K676" s="82" t="s">
        <v>84</v>
      </c>
      <c r="L676" s="86">
        <v>0.125</v>
      </c>
      <c r="M676" s="86">
        <v>0.05</v>
      </c>
      <c r="N676" s="84"/>
      <c r="O676" s="85" t="s">
        <v>84</v>
      </c>
      <c r="P676" s="81">
        <f t="shared" si="181"/>
        <v>0</v>
      </c>
      <c r="Q676" s="85" t="s">
        <v>84</v>
      </c>
      <c r="R676" s="16">
        <f t="shared" si="182"/>
        <v>0</v>
      </c>
      <c r="S676" s="16">
        <f t="shared" si="178"/>
        <v>0</v>
      </c>
    </row>
    <row r="678" spans="1:19" s="17" customFormat="1">
      <c r="A678" s="49" t="s">
        <v>753</v>
      </c>
      <c r="B678" s="17" t="s">
        <v>25</v>
      </c>
      <c r="C678" s="60">
        <v>5</v>
      </c>
      <c r="D678" s="61" t="s">
        <v>84</v>
      </c>
      <c r="E678" s="41"/>
      <c r="F678" s="62">
        <v>1</v>
      </c>
      <c r="G678" s="63" t="s">
        <v>20</v>
      </c>
      <c r="H678" s="62">
        <v>20</v>
      </c>
      <c r="I678" s="63" t="s">
        <v>84</v>
      </c>
      <c r="J678" s="64">
        <f>2448000/20</f>
        <v>122400</v>
      </c>
      <c r="K678" s="61" t="s">
        <v>84</v>
      </c>
      <c r="L678" s="65"/>
      <c r="M678" s="65">
        <v>0.17</v>
      </c>
      <c r="N678" s="62"/>
      <c r="O678" s="63" t="s">
        <v>84</v>
      </c>
      <c r="P678" s="60">
        <f t="shared" ref="P678:P696" si="183">(C678+(E678*F678*H678))-N678</f>
        <v>5</v>
      </c>
      <c r="Q678" s="63" t="s">
        <v>84</v>
      </c>
      <c r="R678" s="64">
        <f t="shared" ref="R678:R696" si="184">P678*(J678-(J678*L678)-((J678-(J678*L678))*M678))</f>
        <v>507960</v>
      </c>
      <c r="S678" s="8">
        <f t="shared" ref="S678:S679" si="185">R678/1.11</f>
        <v>457621.6216216216</v>
      </c>
    </row>
    <row r="679" spans="1:19" s="18" customFormat="1">
      <c r="A679" s="49" t="s">
        <v>428</v>
      </c>
      <c r="B679" s="18" t="s">
        <v>25</v>
      </c>
      <c r="C679" s="50">
        <v>40</v>
      </c>
      <c r="D679" s="51" t="s">
        <v>84</v>
      </c>
      <c r="E679" s="52">
        <v>1</v>
      </c>
      <c r="F679" s="53">
        <v>1</v>
      </c>
      <c r="G679" s="48" t="s">
        <v>20</v>
      </c>
      <c r="H679" s="53">
        <v>20</v>
      </c>
      <c r="I679" s="48" t="s">
        <v>84</v>
      </c>
      <c r="J679" s="29">
        <v>115200</v>
      </c>
      <c r="K679" s="51" t="s">
        <v>84</v>
      </c>
      <c r="L679" s="54"/>
      <c r="M679" s="54">
        <v>0.17</v>
      </c>
      <c r="N679" s="53"/>
      <c r="O679" s="48" t="s">
        <v>84</v>
      </c>
      <c r="P679" s="50">
        <f t="shared" ref="P679" si="186">(C679+(E679*F679*H679))-N679</f>
        <v>60</v>
      </c>
      <c r="Q679" s="48" t="s">
        <v>84</v>
      </c>
      <c r="R679" s="29">
        <f t="shared" ref="R679" si="187">P679*(J679-(J679*L679)-((J679-(J679*L679))*M679))</f>
        <v>5736960</v>
      </c>
      <c r="S679" s="24">
        <f t="shared" si="185"/>
        <v>5168432.4324324317</v>
      </c>
    </row>
    <row r="680" spans="1:19" s="79" customFormat="1">
      <c r="A680" s="145" t="s">
        <v>745</v>
      </c>
      <c r="B680" s="79" t="s">
        <v>25</v>
      </c>
      <c r="C680" s="154"/>
      <c r="D680" s="155" t="s">
        <v>84</v>
      </c>
      <c r="E680" s="156"/>
      <c r="F680" s="157">
        <v>1</v>
      </c>
      <c r="G680" s="158" t="s">
        <v>20</v>
      </c>
      <c r="H680" s="157">
        <v>20</v>
      </c>
      <c r="I680" s="158" t="s">
        <v>84</v>
      </c>
      <c r="J680" s="159">
        <f>2880000/20</f>
        <v>144000</v>
      </c>
      <c r="K680" s="155" t="s">
        <v>84</v>
      </c>
      <c r="L680" s="160"/>
      <c r="M680" s="160">
        <v>0.17</v>
      </c>
      <c r="N680" s="157"/>
      <c r="O680" s="158" t="s">
        <v>84</v>
      </c>
      <c r="P680" s="154">
        <f t="shared" si="183"/>
        <v>0</v>
      </c>
      <c r="Q680" s="158" t="s">
        <v>84</v>
      </c>
      <c r="R680" s="159">
        <f t="shared" si="184"/>
        <v>0</v>
      </c>
      <c r="S680" s="16">
        <f t="shared" si="178"/>
        <v>0</v>
      </c>
    </row>
    <row r="681" spans="1:19" s="17" customFormat="1">
      <c r="A681" s="49" t="s">
        <v>658</v>
      </c>
      <c r="B681" s="17" t="s">
        <v>25</v>
      </c>
      <c r="C681" s="60">
        <v>60</v>
      </c>
      <c r="D681" s="61" t="s">
        <v>84</v>
      </c>
      <c r="E681" s="41"/>
      <c r="F681" s="62">
        <v>1</v>
      </c>
      <c r="G681" s="63" t="s">
        <v>20</v>
      </c>
      <c r="H681" s="62">
        <v>20</v>
      </c>
      <c r="I681" s="63" t="s">
        <v>84</v>
      </c>
      <c r="J681" s="64">
        <f>2448000/20</f>
        <v>122400</v>
      </c>
      <c r="K681" s="61" t="s">
        <v>84</v>
      </c>
      <c r="L681" s="65"/>
      <c r="M681" s="65">
        <v>0.17</v>
      </c>
      <c r="N681" s="62"/>
      <c r="O681" s="63" t="s">
        <v>84</v>
      </c>
      <c r="P681" s="60">
        <f t="shared" si="183"/>
        <v>60</v>
      </c>
      <c r="Q681" s="63" t="s">
        <v>84</v>
      </c>
      <c r="R681" s="64">
        <f t="shared" si="184"/>
        <v>6095520</v>
      </c>
      <c r="S681" s="8">
        <f t="shared" si="178"/>
        <v>5491459.4594594594</v>
      </c>
    </row>
    <row r="682" spans="1:19" s="17" customFormat="1">
      <c r="A682" s="49" t="s">
        <v>429</v>
      </c>
      <c r="B682" s="17" t="s">
        <v>25</v>
      </c>
      <c r="C682" s="60">
        <v>20</v>
      </c>
      <c r="D682" s="61" t="s">
        <v>84</v>
      </c>
      <c r="E682" s="41">
        <v>13</v>
      </c>
      <c r="F682" s="62">
        <v>1</v>
      </c>
      <c r="G682" s="63" t="s">
        <v>20</v>
      </c>
      <c r="H682" s="62">
        <v>20</v>
      </c>
      <c r="I682" s="63" t="s">
        <v>84</v>
      </c>
      <c r="J682" s="64">
        <f>2112000/20</f>
        <v>105600</v>
      </c>
      <c r="K682" s="61" t="s">
        <v>84</v>
      </c>
      <c r="L682" s="65"/>
      <c r="M682" s="65">
        <v>0.17</v>
      </c>
      <c r="N682" s="62"/>
      <c r="O682" s="63" t="s">
        <v>84</v>
      </c>
      <c r="P682" s="60">
        <f t="shared" si="183"/>
        <v>280</v>
      </c>
      <c r="Q682" s="63" t="s">
        <v>84</v>
      </c>
      <c r="R682" s="64">
        <f t="shared" si="184"/>
        <v>24541440</v>
      </c>
      <c r="S682" s="8">
        <f t="shared" si="178"/>
        <v>22109405.405405402</v>
      </c>
    </row>
    <row r="683" spans="1:19" s="17" customFormat="1">
      <c r="A683" s="49" t="s">
        <v>430</v>
      </c>
      <c r="B683" s="17" t="s">
        <v>25</v>
      </c>
      <c r="C683" s="60"/>
      <c r="D683" s="61" t="s">
        <v>84</v>
      </c>
      <c r="E683" s="41">
        <v>2</v>
      </c>
      <c r="F683" s="62">
        <v>1</v>
      </c>
      <c r="G683" s="63" t="s">
        <v>20</v>
      </c>
      <c r="H683" s="62">
        <v>20</v>
      </c>
      <c r="I683" s="63" t="s">
        <v>84</v>
      </c>
      <c r="J683" s="64">
        <f>2448000/20</f>
        <v>122400</v>
      </c>
      <c r="K683" s="61" t="s">
        <v>84</v>
      </c>
      <c r="L683" s="65"/>
      <c r="M683" s="65">
        <v>0.17</v>
      </c>
      <c r="N683" s="62"/>
      <c r="O683" s="63" t="s">
        <v>84</v>
      </c>
      <c r="P683" s="60">
        <f t="shared" si="183"/>
        <v>40</v>
      </c>
      <c r="Q683" s="63" t="s">
        <v>84</v>
      </c>
      <c r="R683" s="64">
        <f t="shared" si="184"/>
        <v>4063680</v>
      </c>
      <c r="S683" s="8">
        <f t="shared" si="178"/>
        <v>3660972.9729729728</v>
      </c>
    </row>
    <row r="684" spans="1:19" s="17" customFormat="1">
      <c r="A684" s="49" t="s">
        <v>431</v>
      </c>
      <c r="B684" s="17" t="s">
        <v>25</v>
      </c>
      <c r="C684" s="60">
        <v>20</v>
      </c>
      <c r="D684" s="61" t="s">
        <v>84</v>
      </c>
      <c r="E684" s="41"/>
      <c r="F684" s="62">
        <v>1</v>
      </c>
      <c r="G684" s="63" t="s">
        <v>20</v>
      </c>
      <c r="H684" s="62">
        <v>20</v>
      </c>
      <c r="I684" s="63" t="s">
        <v>84</v>
      </c>
      <c r="J684" s="64">
        <f>2256000/20</f>
        <v>112800</v>
      </c>
      <c r="K684" s="61" t="s">
        <v>84</v>
      </c>
      <c r="L684" s="65"/>
      <c r="M684" s="65">
        <v>0.17</v>
      </c>
      <c r="N684" s="62"/>
      <c r="O684" s="63" t="s">
        <v>84</v>
      </c>
      <c r="P684" s="60">
        <f t="shared" si="183"/>
        <v>20</v>
      </c>
      <c r="Q684" s="63" t="s">
        <v>84</v>
      </c>
      <c r="R684" s="64">
        <f t="shared" si="184"/>
        <v>1872480</v>
      </c>
      <c r="S684" s="8">
        <f t="shared" si="178"/>
        <v>1686918.9189189188</v>
      </c>
    </row>
    <row r="685" spans="1:19" s="17" customFormat="1">
      <c r="A685" s="49" t="s">
        <v>432</v>
      </c>
      <c r="B685" s="17" t="s">
        <v>25</v>
      </c>
      <c r="C685" s="50"/>
      <c r="D685" s="61" t="s">
        <v>84</v>
      </c>
      <c r="E685" s="41">
        <v>1</v>
      </c>
      <c r="F685" s="62">
        <v>1</v>
      </c>
      <c r="G685" s="63" t="s">
        <v>20</v>
      </c>
      <c r="H685" s="62">
        <v>20</v>
      </c>
      <c r="I685" s="63" t="s">
        <v>84</v>
      </c>
      <c r="J685" s="64">
        <f>8500*12</f>
        <v>102000</v>
      </c>
      <c r="K685" s="61" t="s">
        <v>84</v>
      </c>
      <c r="L685" s="65"/>
      <c r="M685" s="65">
        <v>0.17</v>
      </c>
      <c r="N685" s="66"/>
      <c r="O685" s="63" t="s">
        <v>84</v>
      </c>
      <c r="P685" s="60">
        <f t="shared" si="183"/>
        <v>20</v>
      </c>
      <c r="Q685" s="63" t="s">
        <v>84</v>
      </c>
      <c r="R685" s="64">
        <f t="shared" si="184"/>
        <v>1693200</v>
      </c>
      <c r="S685" s="8">
        <f t="shared" si="178"/>
        <v>1525405.4054054052</v>
      </c>
    </row>
    <row r="686" spans="1:19" s="79" customFormat="1">
      <c r="A686" s="145" t="s">
        <v>433</v>
      </c>
      <c r="B686" s="79" t="s">
        <v>25</v>
      </c>
      <c r="C686" s="161"/>
      <c r="D686" s="155" t="s">
        <v>84</v>
      </c>
      <c r="E686" s="156"/>
      <c r="F686" s="157">
        <v>1</v>
      </c>
      <c r="G686" s="158" t="s">
        <v>20</v>
      </c>
      <c r="H686" s="157">
        <v>20</v>
      </c>
      <c r="I686" s="158" t="s">
        <v>84</v>
      </c>
      <c r="J686" s="159">
        <v>103200</v>
      </c>
      <c r="K686" s="155" t="s">
        <v>84</v>
      </c>
      <c r="L686" s="160"/>
      <c r="M686" s="160">
        <v>0.17</v>
      </c>
      <c r="N686" s="157"/>
      <c r="O686" s="158" t="s">
        <v>84</v>
      </c>
      <c r="P686" s="154">
        <f t="shared" si="183"/>
        <v>0</v>
      </c>
      <c r="Q686" s="158" t="s">
        <v>84</v>
      </c>
      <c r="R686" s="159">
        <f t="shared" si="184"/>
        <v>0</v>
      </c>
      <c r="S686" s="16">
        <f t="shared" si="178"/>
        <v>0</v>
      </c>
    </row>
    <row r="687" spans="1:19" s="80" customFormat="1">
      <c r="A687" s="79" t="s">
        <v>434</v>
      </c>
      <c r="B687" s="80" t="s">
        <v>25</v>
      </c>
      <c r="C687" s="87"/>
      <c r="D687" s="82" t="s">
        <v>84</v>
      </c>
      <c r="E687" s="83"/>
      <c r="F687" s="84">
        <v>1</v>
      </c>
      <c r="G687" s="85" t="s">
        <v>20</v>
      </c>
      <c r="H687" s="84">
        <v>20</v>
      </c>
      <c r="I687" s="85" t="s">
        <v>84</v>
      </c>
      <c r="J687" s="16">
        <f>1980000/20</f>
        <v>99000</v>
      </c>
      <c r="K687" s="82" t="s">
        <v>84</v>
      </c>
      <c r="L687" s="86"/>
      <c r="M687" s="86">
        <v>0.17</v>
      </c>
      <c r="N687" s="84"/>
      <c r="O687" s="85" t="s">
        <v>84</v>
      </c>
      <c r="P687" s="81">
        <f t="shared" si="183"/>
        <v>0</v>
      </c>
      <c r="Q687" s="85" t="s">
        <v>84</v>
      </c>
      <c r="R687" s="16">
        <f t="shared" si="184"/>
        <v>0</v>
      </c>
      <c r="S687" s="16">
        <f t="shared" si="178"/>
        <v>0</v>
      </c>
    </row>
    <row r="688" spans="1:19" s="18" customFormat="1">
      <c r="A688" s="49" t="s">
        <v>435</v>
      </c>
      <c r="B688" s="18" t="s">
        <v>25</v>
      </c>
      <c r="C688" s="50">
        <v>115</v>
      </c>
      <c r="D688" s="51" t="s">
        <v>84</v>
      </c>
      <c r="E688" s="52">
        <v>1</v>
      </c>
      <c r="F688" s="53">
        <v>1</v>
      </c>
      <c r="G688" s="48" t="s">
        <v>20</v>
      </c>
      <c r="H688" s="53">
        <v>20</v>
      </c>
      <c r="I688" s="48" t="s">
        <v>84</v>
      </c>
      <c r="J688" s="29">
        <f>2208000/20</f>
        <v>110400</v>
      </c>
      <c r="K688" s="51" t="s">
        <v>84</v>
      </c>
      <c r="L688" s="54"/>
      <c r="M688" s="54">
        <v>0.17</v>
      </c>
      <c r="N688" s="53"/>
      <c r="O688" s="48" t="s">
        <v>84</v>
      </c>
      <c r="P688" s="50">
        <f t="shared" si="183"/>
        <v>135</v>
      </c>
      <c r="Q688" s="48" t="s">
        <v>84</v>
      </c>
      <c r="R688" s="29">
        <f t="shared" si="184"/>
        <v>12370320</v>
      </c>
      <c r="S688" s="24">
        <f t="shared" si="178"/>
        <v>11144432.432432432</v>
      </c>
    </row>
    <row r="689" spans="1:19" s="18" customFormat="1">
      <c r="A689" s="49" t="s">
        <v>436</v>
      </c>
      <c r="B689" s="18" t="s">
        <v>25</v>
      </c>
      <c r="C689" s="50">
        <v>96</v>
      </c>
      <c r="D689" s="51" t="s">
        <v>84</v>
      </c>
      <c r="E689" s="52">
        <v>1</v>
      </c>
      <c r="F689" s="53">
        <v>1</v>
      </c>
      <c r="G689" s="48" t="s">
        <v>20</v>
      </c>
      <c r="H689" s="53">
        <v>20</v>
      </c>
      <c r="I689" s="48" t="s">
        <v>84</v>
      </c>
      <c r="J689" s="29">
        <f>2208000/20</f>
        <v>110400</v>
      </c>
      <c r="K689" s="51" t="s">
        <v>84</v>
      </c>
      <c r="L689" s="54"/>
      <c r="M689" s="54">
        <v>0.17</v>
      </c>
      <c r="N689" s="53"/>
      <c r="O689" s="48" t="s">
        <v>84</v>
      </c>
      <c r="P689" s="50">
        <f t="shared" si="183"/>
        <v>116</v>
      </c>
      <c r="Q689" s="48" t="s">
        <v>84</v>
      </c>
      <c r="R689" s="29">
        <f t="shared" si="184"/>
        <v>10629312</v>
      </c>
      <c r="S689" s="24">
        <f t="shared" si="178"/>
        <v>9575956.7567567565</v>
      </c>
    </row>
    <row r="690" spans="1:19" s="17" customFormat="1">
      <c r="A690" s="49" t="s">
        <v>437</v>
      </c>
      <c r="B690" s="17" t="s">
        <v>25</v>
      </c>
      <c r="C690" s="60">
        <v>19</v>
      </c>
      <c r="D690" s="61" t="s">
        <v>84</v>
      </c>
      <c r="E690" s="41"/>
      <c r="F690" s="62">
        <v>1</v>
      </c>
      <c r="G690" s="63" t="s">
        <v>20</v>
      </c>
      <c r="H690" s="62">
        <v>20</v>
      </c>
      <c r="I690" s="63" t="s">
        <v>84</v>
      </c>
      <c r="J690" s="64">
        <f>2112000/20</f>
        <v>105600</v>
      </c>
      <c r="K690" s="61" t="s">
        <v>84</v>
      </c>
      <c r="L690" s="65"/>
      <c r="M690" s="65">
        <v>0.17</v>
      </c>
      <c r="N690" s="62"/>
      <c r="O690" s="63" t="s">
        <v>84</v>
      </c>
      <c r="P690" s="60">
        <f t="shared" si="183"/>
        <v>19</v>
      </c>
      <c r="Q690" s="63" t="s">
        <v>84</v>
      </c>
      <c r="R690" s="64">
        <f t="shared" si="184"/>
        <v>1665312</v>
      </c>
      <c r="S690" s="8">
        <f t="shared" si="178"/>
        <v>1500281.0810810809</v>
      </c>
    </row>
    <row r="691" spans="1:19" s="79" customFormat="1">
      <c r="A691" s="145" t="s">
        <v>438</v>
      </c>
      <c r="B691" s="79" t="s">
        <v>25</v>
      </c>
      <c r="C691" s="154"/>
      <c r="D691" s="155" t="s">
        <v>84</v>
      </c>
      <c r="E691" s="156"/>
      <c r="F691" s="157">
        <v>1</v>
      </c>
      <c r="G691" s="158" t="s">
        <v>20</v>
      </c>
      <c r="H691" s="157">
        <v>20</v>
      </c>
      <c r="I691" s="158" t="s">
        <v>84</v>
      </c>
      <c r="J691" s="159">
        <f>2160000/20</f>
        <v>108000</v>
      </c>
      <c r="K691" s="155" t="s">
        <v>84</v>
      </c>
      <c r="L691" s="160"/>
      <c r="M691" s="160">
        <v>0.17</v>
      </c>
      <c r="N691" s="157"/>
      <c r="O691" s="158" t="s">
        <v>84</v>
      </c>
      <c r="P691" s="154">
        <f t="shared" si="183"/>
        <v>0</v>
      </c>
      <c r="Q691" s="158" t="s">
        <v>84</v>
      </c>
      <c r="R691" s="159">
        <f t="shared" si="184"/>
        <v>0</v>
      </c>
      <c r="S691" s="16">
        <f t="shared" si="178"/>
        <v>0</v>
      </c>
    </row>
    <row r="692" spans="1:19" s="17" customFormat="1">
      <c r="A692" s="49" t="s">
        <v>439</v>
      </c>
      <c r="B692" s="17" t="s">
        <v>25</v>
      </c>
      <c r="C692" s="60"/>
      <c r="D692" s="61" t="s">
        <v>84</v>
      </c>
      <c r="E692" s="41">
        <v>12</v>
      </c>
      <c r="F692" s="62">
        <v>1</v>
      </c>
      <c r="G692" s="63" t="s">
        <v>20</v>
      </c>
      <c r="H692" s="62">
        <v>20</v>
      </c>
      <c r="I692" s="63" t="s">
        <v>84</v>
      </c>
      <c r="J692" s="64">
        <f>2160000/20</f>
        <v>108000</v>
      </c>
      <c r="K692" s="61" t="s">
        <v>84</v>
      </c>
      <c r="L692" s="65"/>
      <c r="M692" s="65">
        <v>0.17</v>
      </c>
      <c r="N692" s="62"/>
      <c r="O692" s="63" t="s">
        <v>84</v>
      </c>
      <c r="P692" s="60">
        <f t="shared" si="183"/>
        <v>240</v>
      </c>
      <c r="Q692" s="63" t="s">
        <v>84</v>
      </c>
      <c r="R692" s="64">
        <f t="shared" si="184"/>
        <v>21513600</v>
      </c>
      <c r="S692" s="8">
        <f t="shared" si="178"/>
        <v>19381621.62162162</v>
      </c>
    </row>
    <row r="693" spans="1:19" s="79" customFormat="1">
      <c r="A693" s="145" t="s">
        <v>711</v>
      </c>
      <c r="B693" s="79" t="s">
        <v>25</v>
      </c>
      <c r="C693" s="154"/>
      <c r="D693" s="155" t="s">
        <v>84</v>
      </c>
      <c r="E693" s="156"/>
      <c r="F693" s="157">
        <v>1</v>
      </c>
      <c r="G693" s="158" t="s">
        <v>20</v>
      </c>
      <c r="H693" s="157">
        <v>20</v>
      </c>
      <c r="I693" s="158" t="s">
        <v>84</v>
      </c>
      <c r="J693" s="159">
        <f>2256000/20</f>
        <v>112800</v>
      </c>
      <c r="K693" s="155" t="s">
        <v>84</v>
      </c>
      <c r="L693" s="160"/>
      <c r="M693" s="160">
        <v>0.17</v>
      </c>
      <c r="N693" s="157"/>
      <c r="O693" s="158" t="s">
        <v>84</v>
      </c>
      <c r="P693" s="154">
        <f t="shared" si="183"/>
        <v>0</v>
      </c>
      <c r="Q693" s="158" t="s">
        <v>84</v>
      </c>
      <c r="R693" s="159">
        <f t="shared" si="184"/>
        <v>0</v>
      </c>
      <c r="S693" s="16">
        <f t="shared" si="178"/>
        <v>0</v>
      </c>
    </row>
    <row r="694" spans="1:19" s="17" customFormat="1">
      <c r="A694" s="49" t="s">
        <v>440</v>
      </c>
      <c r="B694" s="17" t="s">
        <v>25</v>
      </c>
      <c r="C694" s="60"/>
      <c r="D694" s="61" t="s">
        <v>84</v>
      </c>
      <c r="E694" s="41">
        <v>1</v>
      </c>
      <c r="F694" s="62">
        <v>1</v>
      </c>
      <c r="G694" s="63" t="s">
        <v>20</v>
      </c>
      <c r="H694" s="62">
        <v>20</v>
      </c>
      <c r="I694" s="63" t="s">
        <v>84</v>
      </c>
      <c r="J694" s="64">
        <f>2112000/20</f>
        <v>105600</v>
      </c>
      <c r="K694" s="61" t="s">
        <v>84</v>
      </c>
      <c r="L694" s="65"/>
      <c r="M694" s="65">
        <v>0.17</v>
      </c>
      <c r="N694" s="62"/>
      <c r="O694" s="63" t="s">
        <v>84</v>
      </c>
      <c r="P694" s="60">
        <f t="shared" si="183"/>
        <v>20</v>
      </c>
      <c r="Q694" s="63" t="s">
        <v>84</v>
      </c>
      <c r="R694" s="64">
        <f t="shared" si="184"/>
        <v>1752960</v>
      </c>
      <c r="S694" s="8">
        <f t="shared" si="178"/>
        <v>1579243.2432432431</v>
      </c>
    </row>
    <row r="695" spans="1:19" s="79" customFormat="1">
      <c r="A695" s="145" t="s">
        <v>441</v>
      </c>
      <c r="B695" s="79" t="s">
        <v>25</v>
      </c>
      <c r="C695" s="154"/>
      <c r="D695" s="155" t="s">
        <v>84</v>
      </c>
      <c r="E695" s="156"/>
      <c r="F695" s="157">
        <v>1</v>
      </c>
      <c r="G695" s="158" t="s">
        <v>20</v>
      </c>
      <c r="H695" s="157">
        <v>20</v>
      </c>
      <c r="I695" s="158" t="s">
        <v>84</v>
      </c>
      <c r="J695" s="159">
        <f>2352000/20</f>
        <v>117600</v>
      </c>
      <c r="K695" s="155" t="s">
        <v>84</v>
      </c>
      <c r="L695" s="160"/>
      <c r="M695" s="160">
        <v>0.17</v>
      </c>
      <c r="N695" s="157"/>
      <c r="O695" s="158" t="s">
        <v>84</v>
      </c>
      <c r="P695" s="154">
        <f t="shared" si="183"/>
        <v>0</v>
      </c>
      <c r="Q695" s="158" t="s">
        <v>84</v>
      </c>
      <c r="R695" s="159">
        <f t="shared" si="184"/>
        <v>0</v>
      </c>
      <c r="S695" s="16">
        <f t="shared" si="178"/>
        <v>0</v>
      </c>
    </row>
    <row r="696" spans="1:19" s="17" customFormat="1">
      <c r="A696" s="49" t="s">
        <v>746</v>
      </c>
      <c r="B696" s="17" t="s">
        <v>25</v>
      </c>
      <c r="C696" s="60"/>
      <c r="D696" s="61" t="s">
        <v>84</v>
      </c>
      <c r="E696" s="41">
        <v>1</v>
      </c>
      <c r="F696" s="62">
        <v>1</v>
      </c>
      <c r="G696" s="63" t="s">
        <v>20</v>
      </c>
      <c r="H696" s="62">
        <v>20</v>
      </c>
      <c r="I696" s="63" t="s">
        <v>84</v>
      </c>
      <c r="J696" s="64">
        <f>2256000/20</f>
        <v>112800</v>
      </c>
      <c r="K696" s="61" t="s">
        <v>84</v>
      </c>
      <c r="L696" s="65"/>
      <c r="M696" s="65">
        <v>0.17</v>
      </c>
      <c r="N696" s="62"/>
      <c r="O696" s="63" t="s">
        <v>84</v>
      </c>
      <c r="P696" s="60">
        <f t="shared" si="183"/>
        <v>20</v>
      </c>
      <c r="Q696" s="63" t="s">
        <v>84</v>
      </c>
      <c r="R696" s="64">
        <f t="shared" si="184"/>
        <v>1872480</v>
      </c>
      <c r="S696" s="8">
        <f t="shared" si="178"/>
        <v>1686918.9189189188</v>
      </c>
    </row>
    <row r="697" spans="1:19" s="17" customFormat="1">
      <c r="A697" s="49"/>
      <c r="C697" s="60"/>
      <c r="D697" s="61"/>
      <c r="E697" s="41"/>
      <c r="F697" s="62"/>
      <c r="G697" s="63"/>
      <c r="H697" s="62"/>
      <c r="I697" s="63"/>
      <c r="J697" s="64"/>
      <c r="K697" s="61"/>
      <c r="L697" s="65"/>
      <c r="M697" s="65"/>
      <c r="N697" s="62"/>
      <c r="O697" s="63"/>
      <c r="P697" s="60"/>
      <c r="Q697" s="63"/>
      <c r="R697" s="64"/>
      <c r="S697" s="8"/>
    </row>
    <row r="698" spans="1:19" s="17" customFormat="1">
      <c r="A698" s="49" t="s">
        <v>442</v>
      </c>
      <c r="B698" s="17" t="s">
        <v>182</v>
      </c>
      <c r="C698" s="60">
        <v>181</v>
      </c>
      <c r="D698" s="61" t="s">
        <v>84</v>
      </c>
      <c r="E698" s="41"/>
      <c r="F698" s="62">
        <v>1</v>
      </c>
      <c r="G698" s="63" t="s">
        <v>20</v>
      </c>
      <c r="H698" s="62">
        <v>30</v>
      </c>
      <c r="I698" s="63" t="s">
        <v>84</v>
      </c>
      <c r="J698" s="64">
        <v>155000</v>
      </c>
      <c r="K698" s="61" t="s">
        <v>84</v>
      </c>
      <c r="L698" s="65"/>
      <c r="M698" s="65"/>
      <c r="N698" s="62"/>
      <c r="O698" s="63" t="s">
        <v>84</v>
      </c>
      <c r="P698" s="60">
        <f>(C698+(E698*F698*H698))-N698</f>
        <v>181</v>
      </c>
      <c r="Q698" s="63" t="s">
        <v>84</v>
      </c>
      <c r="R698" s="64">
        <f>P698*(J698-(J698*L698)-((J698-(J698*L698))*M698))</f>
        <v>28055000</v>
      </c>
      <c r="S698" s="8">
        <f t="shared" si="178"/>
        <v>25274774.774774771</v>
      </c>
    </row>
    <row r="699" spans="1:19" s="17" customFormat="1">
      <c r="A699" s="49"/>
      <c r="C699" s="60"/>
      <c r="D699" s="61"/>
      <c r="E699" s="41"/>
      <c r="F699" s="62"/>
      <c r="G699" s="63"/>
      <c r="H699" s="62"/>
      <c r="I699" s="63"/>
      <c r="J699" s="64"/>
      <c r="K699" s="61"/>
      <c r="L699" s="65"/>
      <c r="M699" s="65"/>
      <c r="N699" s="62"/>
      <c r="O699" s="63"/>
      <c r="P699" s="60"/>
      <c r="Q699" s="63"/>
      <c r="R699" s="64"/>
      <c r="S699" s="8"/>
    </row>
    <row r="700" spans="1:19">
      <c r="A700" s="15" t="s">
        <v>443</v>
      </c>
    </row>
    <row r="701" spans="1:19">
      <c r="A701" s="17" t="s">
        <v>444</v>
      </c>
      <c r="B701" s="2" t="s">
        <v>182</v>
      </c>
      <c r="C701" s="3">
        <v>103</v>
      </c>
      <c r="D701" s="4" t="s">
        <v>33</v>
      </c>
      <c r="F701" s="6">
        <v>1</v>
      </c>
      <c r="G701" s="7" t="s">
        <v>20</v>
      </c>
      <c r="H701" s="6">
        <v>40</v>
      </c>
      <c r="I701" s="7" t="s">
        <v>33</v>
      </c>
      <c r="J701" s="8">
        <v>33600</v>
      </c>
      <c r="K701" s="4" t="s">
        <v>33</v>
      </c>
      <c r="O701" s="7" t="s">
        <v>33</v>
      </c>
      <c r="P701" s="3">
        <f>(C701+(E701*F701*H701))-N701</f>
        <v>103</v>
      </c>
      <c r="Q701" s="7" t="s">
        <v>33</v>
      </c>
      <c r="R701" s="8">
        <f>P701*(J701-(J701*L701)-((J701-(J701*L701))*M701))</f>
        <v>3460800</v>
      </c>
      <c r="S701" s="8">
        <f t="shared" si="178"/>
        <v>3117837.8378378376</v>
      </c>
    </row>
    <row r="702" spans="1:19">
      <c r="A702" s="17" t="s">
        <v>445</v>
      </c>
      <c r="B702" s="2" t="s">
        <v>182</v>
      </c>
      <c r="C702" s="3">
        <v>118</v>
      </c>
      <c r="D702" s="4" t="s">
        <v>33</v>
      </c>
      <c r="F702" s="6">
        <v>1</v>
      </c>
      <c r="G702" s="7" t="s">
        <v>20</v>
      </c>
      <c r="H702" s="6">
        <v>40</v>
      </c>
      <c r="I702" s="7" t="s">
        <v>33</v>
      </c>
      <c r="J702" s="8">
        <v>33600</v>
      </c>
      <c r="K702" s="4" t="s">
        <v>33</v>
      </c>
      <c r="O702" s="7" t="s">
        <v>33</v>
      </c>
      <c r="P702" s="3">
        <f>(C702+(E702*F702*H702))-N702</f>
        <v>118</v>
      </c>
      <c r="Q702" s="7" t="s">
        <v>33</v>
      </c>
      <c r="R702" s="8">
        <f>P702*(J702-(J702*L702)-((J702-(J702*L702))*M702))</f>
        <v>3964800</v>
      </c>
      <c r="S702" s="8">
        <f t="shared" si="178"/>
        <v>3571891.8918918916</v>
      </c>
    </row>
    <row r="703" spans="1:19">
      <c r="A703" s="17" t="s">
        <v>446</v>
      </c>
      <c r="B703" s="2" t="s">
        <v>182</v>
      </c>
      <c r="C703" s="3">
        <v>318</v>
      </c>
      <c r="D703" s="4" t="s">
        <v>33</v>
      </c>
      <c r="F703" s="6">
        <v>1</v>
      </c>
      <c r="G703" s="7" t="s">
        <v>20</v>
      </c>
      <c r="H703" s="6">
        <v>40</v>
      </c>
      <c r="I703" s="7" t="s">
        <v>33</v>
      </c>
      <c r="J703" s="8">
        <v>33600</v>
      </c>
      <c r="K703" s="4" t="s">
        <v>33</v>
      </c>
      <c r="O703" s="7" t="s">
        <v>33</v>
      </c>
      <c r="P703" s="3">
        <f>(C703+(E703*F703*H703))-N703</f>
        <v>318</v>
      </c>
      <c r="Q703" s="7" t="s">
        <v>33</v>
      </c>
      <c r="R703" s="8">
        <f>P703*(J703-(J703*L703)-((J703-(J703*L703))*M703))</f>
        <v>10684800</v>
      </c>
      <c r="S703" s="8">
        <f t="shared" si="178"/>
        <v>9625945.9459459446</v>
      </c>
    </row>
    <row r="704" spans="1:19" s="80" customFormat="1">
      <c r="A704" s="79" t="s">
        <v>447</v>
      </c>
      <c r="B704" s="80" t="s">
        <v>182</v>
      </c>
      <c r="C704" s="87"/>
      <c r="D704" s="82" t="s">
        <v>33</v>
      </c>
      <c r="E704" s="83"/>
      <c r="F704" s="84">
        <v>1</v>
      </c>
      <c r="G704" s="85" t="s">
        <v>20</v>
      </c>
      <c r="H704" s="84">
        <v>40</v>
      </c>
      <c r="I704" s="85" t="s">
        <v>33</v>
      </c>
      <c r="J704" s="16">
        <v>33600</v>
      </c>
      <c r="K704" s="82" t="s">
        <v>33</v>
      </c>
      <c r="L704" s="86"/>
      <c r="M704" s="86"/>
      <c r="N704" s="84"/>
      <c r="O704" s="85" t="s">
        <v>33</v>
      </c>
      <c r="P704" s="81">
        <f>(C704+(E704*F704*H704))-N704</f>
        <v>0</v>
      </c>
      <c r="Q704" s="85" t="s">
        <v>33</v>
      </c>
      <c r="R704" s="16">
        <f>P704*(J704-(J704*L704)-((J704-(J704*L704))*M704))</f>
        <v>0</v>
      </c>
      <c r="S704" s="16">
        <f t="shared" si="178"/>
        <v>0</v>
      </c>
    </row>
    <row r="705" spans="1:19" s="80" customFormat="1">
      <c r="A705" s="79" t="s">
        <v>448</v>
      </c>
      <c r="B705" s="80" t="s">
        <v>182</v>
      </c>
      <c r="C705" s="87"/>
      <c r="D705" s="82" t="s">
        <v>33</v>
      </c>
      <c r="E705" s="83"/>
      <c r="F705" s="84">
        <v>1</v>
      </c>
      <c r="G705" s="85" t="s">
        <v>20</v>
      </c>
      <c r="H705" s="84">
        <v>24</v>
      </c>
      <c r="I705" s="85" t="s">
        <v>33</v>
      </c>
      <c r="J705" s="16">
        <v>38400</v>
      </c>
      <c r="K705" s="82" t="s">
        <v>33</v>
      </c>
      <c r="L705" s="86"/>
      <c r="M705" s="86"/>
      <c r="N705" s="84"/>
      <c r="O705" s="85" t="s">
        <v>33</v>
      </c>
      <c r="P705" s="81">
        <f>(C705+(E705*F705*H705))-N705</f>
        <v>0</v>
      </c>
      <c r="Q705" s="85" t="s">
        <v>33</v>
      </c>
      <c r="R705" s="16">
        <f>P705*(J705-(J705*L705)-((J705-(J705*L705))*M705))</f>
        <v>0</v>
      </c>
      <c r="S705" s="16">
        <f t="shared" si="178"/>
        <v>0</v>
      </c>
    </row>
    <row r="706" spans="1:19">
      <c r="C706" s="20"/>
    </row>
    <row r="707" spans="1:19">
      <c r="A707" s="15" t="s">
        <v>449</v>
      </c>
      <c r="C707" s="20"/>
    </row>
    <row r="708" spans="1:19">
      <c r="A708" s="59" t="s">
        <v>450</v>
      </c>
      <c r="B708" s="2" t="s">
        <v>18</v>
      </c>
      <c r="C708" s="20">
        <v>698</v>
      </c>
      <c r="D708" s="4" t="s">
        <v>84</v>
      </c>
      <c r="F708" s="6">
        <v>1</v>
      </c>
      <c r="G708" s="7" t="s">
        <v>20</v>
      </c>
      <c r="H708" s="6">
        <v>12</v>
      </c>
      <c r="I708" s="7" t="s">
        <v>84</v>
      </c>
      <c r="J708" s="8">
        <v>255600</v>
      </c>
      <c r="K708" s="4" t="s">
        <v>84</v>
      </c>
      <c r="L708" s="9">
        <v>0.125</v>
      </c>
      <c r="M708" s="9">
        <v>0.05</v>
      </c>
      <c r="O708" s="7" t="s">
        <v>84</v>
      </c>
      <c r="P708" s="3">
        <f>(C708+(E708*F708*H708))-N708</f>
        <v>698</v>
      </c>
      <c r="Q708" s="7" t="s">
        <v>84</v>
      </c>
      <c r="R708" s="8">
        <f>P708*(J708-(J708*L708)-((J708-(J708*L708))*M708))</f>
        <v>148302315</v>
      </c>
      <c r="S708" s="8">
        <f t="shared" ref="S708:S709" si="188">R708/1.11</f>
        <v>133605689.18918918</v>
      </c>
    </row>
    <row r="709" spans="1:19" s="80" customFormat="1">
      <c r="A709" s="153" t="s">
        <v>451</v>
      </c>
      <c r="B709" s="80" t="s">
        <v>25</v>
      </c>
      <c r="C709" s="87"/>
      <c r="D709" s="82" t="s">
        <v>40</v>
      </c>
      <c r="E709" s="83"/>
      <c r="F709" s="84">
        <v>12</v>
      </c>
      <c r="G709" s="85" t="s">
        <v>33</v>
      </c>
      <c r="H709" s="84">
        <v>6</v>
      </c>
      <c r="I709" s="85" t="s">
        <v>40</v>
      </c>
      <c r="J709" s="16">
        <v>21000</v>
      </c>
      <c r="K709" s="82" t="s">
        <v>40</v>
      </c>
      <c r="L709" s="86"/>
      <c r="M709" s="86">
        <v>0.17</v>
      </c>
      <c r="N709" s="84"/>
      <c r="O709" s="85" t="s">
        <v>40</v>
      </c>
      <c r="P709" s="81">
        <f>(C709+(E709*F709*H709))-N709</f>
        <v>0</v>
      </c>
      <c r="Q709" s="85" t="s">
        <v>40</v>
      </c>
      <c r="R709" s="16">
        <f>P709*(J709-(J709*L709)-((J709-(J709*L709))*M709))</f>
        <v>0</v>
      </c>
      <c r="S709" s="16">
        <f t="shared" si="188"/>
        <v>0</v>
      </c>
    </row>
    <row r="710" spans="1:19">
      <c r="A710" s="59"/>
      <c r="C710" s="20"/>
    </row>
    <row r="711" spans="1:19">
      <c r="A711" s="15" t="s">
        <v>452</v>
      </c>
      <c r="C711" s="20"/>
    </row>
    <row r="712" spans="1:19" s="80" customFormat="1">
      <c r="A712" s="153" t="s">
        <v>453</v>
      </c>
      <c r="B712" s="80" t="s">
        <v>18</v>
      </c>
      <c r="C712" s="87"/>
      <c r="D712" s="82" t="s">
        <v>40</v>
      </c>
      <c r="E712" s="83"/>
      <c r="F712" s="84">
        <v>1</v>
      </c>
      <c r="G712" s="85" t="s">
        <v>20</v>
      </c>
      <c r="H712" s="84">
        <v>144</v>
      </c>
      <c r="I712" s="85" t="s">
        <v>40</v>
      </c>
      <c r="J712" s="16">
        <v>49200</v>
      </c>
      <c r="K712" s="82" t="s">
        <v>40</v>
      </c>
      <c r="L712" s="86">
        <v>0.125</v>
      </c>
      <c r="M712" s="86">
        <v>0.05</v>
      </c>
      <c r="N712" s="84"/>
      <c r="O712" s="85" t="s">
        <v>40</v>
      </c>
      <c r="P712" s="81">
        <f t="shared" ref="P712:P718" si="189">(C712+(E712*F712*H712))-N712</f>
        <v>0</v>
      </c>
      <c r="Q712" s="85" t="s">
        <v>40</v>
      </c>
      <c r="R712" s="16">
        <f t="shared" ref="R712:R718" si="190">P712*(J712-(J712*L712)-((J712-(J712*L712))*M712))</f>
        <v>0</v>
      </c>
      <c r="S712" s="16">
        <f t="shared" si="178"/>
        <v>0</v>
      </c>
    </row>
    <row r="713" spans="1:19" s="89" customFormat="1">
      <c r="A713" s="153" t="s">
        <v>454</v>
      </c>
      <c r="B713" s="89" t="s">
        <v>18</v>
      </c>
      <c r="C713" s="87"/>
      <c r="D713" s="90" t="s">
        <v>40</v>
      </c>
      <c r="E713" s="91"/>
      <c r="F713" s="92">
        <v>1</v>
      </c>
      <c r="G713" s="93" t="s">
        <v>20</v>
      </c>
      <c r="H713" s="92">
        <v>120</v>
      </c>
      <c r="I713" s="93" t="s">
        <v>40</v>
      </c>
      <c r="J713" s="94">
        <v>30600</v>
      </c>
      <c r="K713" s="90" t="s">
        <v>40</v>
      </c>
      <c r="L713" s="95">
        <v>0.125</v>
      </c>
      <c r="M713" s="95">
        <v>0.05</v>
      </c>
      <c r="N713" s="92"/>
      <c r="O713" s="93" t="s">
        <v>40</v>
      </c>
      <c r="P713" s="87">
        <f t="shared" si="189"/>
        <v>0</v>
      </c>
      <c r="Q713" s="93" t="s">
        <v>40</v>
      </c>
      <c r="R713" s="94">
        <f t="shared" si="190"/>
        <v>0</v>
      </c>
      <c r="S713" s="94">
        <f t="shared" si="178"/>
        <v>0</v>
      </c>
    </row>
    <row r="714" spans="1:19">
      <c r="A714" s="59" t="s">
        <v>455</v>
      </c>
      <c r="B714" s="2" t="s">
        <v>18</v>
      </c>
      <c r="C714" s="3">
        <v>108</v>
      </c>
      <c r="D714" s="4" t="s">
        <v>40</v>
      </c>
      <c r="F714" s="6">
        <v>1</v>
      </c>
      <c r="G714" s="7" t="s">
        <v>20</v>
      </c>
      <c r="H714" s="6">
        <v>144</v>
      </c>
      <c r="I714" s="7" t="s">
        <v>40</v>
      </c>
      <c r="J714" s="8">
        <v>23400</v>
      </c>
      <c r="K714" s="4" t="s">
        <v>40</v>
      </c>
      <c r="L714" s="9">
        <v>0.125</v>
      </c>
      <c r="M714" s="9">
        <v>0.05</v>
      </c>
      <c r="O714" s="7" t="s">
        <v>40</v>
      </c>
      <c r="P714" s="3">
        <f t="shared" si="189"/>
        <v>108</v>
      </c>
      <c r="Q714" s="7" t="s">
        <v>40</v>
      </c>
      <c r="R714" s="8">
        <f t="shared" si="190"/>
        <v>2100735</v>
      </c>
      <c r="S714" s="8">
        <f t="shared" si="178"/>
        <v>1892554.054054054</v>
      </c>
    </row>
    <row r="715" spans="1:19" s="80" customFormat="1">
      <c r="A715" s="153" t="s">
        <v>456</v>
      </c>
      <c r="B715" s="80" t="s">
        <v>18</v>
      </c>
      <c r="C715" s="81"/>
      <c r="D715" s="82" t="s">
        <v>40</v>
      </c>
      <c r="E715" s="83"/>
      <c r="F715" s="84">
        <v>1</v>
      </c>
      <c r="G715" s="85" t="s">
        <v>20</v>
      </c>
      <c r="H715" s="84">
        <v>144</v>
      </c>
      <c r="I715" s="85" t="s">
        <v>40</v>
      </c>
      <c r="J715" s="16">
        <v>40800</v>
      </c>
      <c r="K715" s="82" t="s">
        <v>40</v>
      </c>
      <c r="L715" s="86">
        <v>0.125</v>
      </c>
      <c r="M715" s="86">
        <v>0.05</v>
      </c>
      <c r="N715" s="84"/>
      <c r="O715" s="85" t="s">
        <v>40</v>
      </c>
      <c r="P715" s="81">
        <f t="shared" si="189"/>
        <v>0</v>
      </c>
      <c r="Q715" s="85" t="s">
        <v>40</v>
      </c>
      <c r="R715" s="16">
        <f t="shared" si="190"/>
        <v>0</v>
      </c>
      <c r="S715" s="16">
        <f t="shared" si="178"/>
        <v>0</v>
      </c>
    </row>
    <row r="716" spans="1:19">
      <c r="A716" s="59" t="s">
        <v>735</v>
      </c>
      <c r="B716" s="2" t="s">
        <v>18</v>
      </c>
      <c r="C716" s="3">
        <v>144</v>
      </c>
      <c r="D716" s="4" t="s">
        <v>40</v>
      </c>
      <c r="F716" s="6">
        <v>1</v>
      </c>
      <c r="G716" s="7" t="s">
        <v>20</v>
      </c>
      <c r="H716" s="6">
        <v>144</v>
      </c>
      <c r="I716" s="7" t="s">
        <v>40</v>
      </c>
      <c r="J716" s="8">
        <v>40800</v>
      </c>
      <c r="K716" s="4" t="s">
        <v>40</v>
      </c>
      <c r="L716" s="9">
        <v>0.125</v>
      </c>
      <c r="M716" s="9">
        <v>0.05</v>
      </c>
      <c r="O716" s="7" t="s">
        <v>40</v>
      </c>
      <c r="P716" s="3">
        <f t="shared" si="189"/>
        <v>144</v>
      </c>
      <c r="Q716" s="7" t="s">
        <v>40</v>
      </c>
      <c r="R716" s="8">
        <f t="shared" si="190"/>
        <v>4883760</v>
      </c>
      <c r="S716" s="8">
        <f t="shared" si="178"/>
        <v>4399783.7837837832</v>
      </c>
    </row>
    <row r="717" spans="1:19" s="19" customFormat="1">
      <c r="A717" s="59" t="s">
        <v>457</v>
      </c>
      <c r="B717" s="19" t="s">
        <v>18</v>
      </c>
      <c r="C717" s="20"/>
      <c r="D717" s="21" t="s">
        <v>40</v>
      </c>
      <c r="E717" s="26">
        <v>1</v>
      </c>
      <c r="F717" s="22">
        <v>1</v>
      </c>
      <c r="G717" s="23" t="s">
        <v>20</v>
      </c>
      <c r="H717" s="22">
        <v>144</v>
      </c>
      <c r="I717" s="23" t="s">
        <v>40</v>
      </c>
      <c r="J717" s="24">
        <v>40800</v>
      </c>
      <c r="K717" s="21" t="s">
        <v>40</v>
      </c>
      <c r="L717" s="25">
        <v>0.125</v>
      </c>
      <c r="M717" s="25">
        <v>0.05</v>
      </c>
      <c r="N717" s="22"/>
      <c r="O717" s="23" t="s">
        <v>40</v>
      </c>
      <c r="P717" s="20">
        <f t="shared" ref="P717" si="191">(C717+(E717*F717*H717))-N717</f>
        <v>144</v>
      </c>
      <c r="Q717" s="23" t="s">
        <v>40</v>
      </c>
      <c r="R717" s="24">
        <f t="shared" ref="R717" si="192">P717*(J717-(J717*L717)-((J717-(J717*L717))*M717))</f>
        <v>4883760</v>
      </c>
      <c r="S717" s="24">
        <f t="shared" ref="S717" si="193">R717/1.11</f>
        <v>4399783.7837837832</v>
      </c>
    </row>
    <row r="718" spans="1:19" s="80" customFormat="1">
      <c r="A718" s="153" t="s">
        <v>795</v>
      </c>
      <c r="B718" s="80" t="s">
        <v>18</v>
      </c>
      <c r="C718" s="81"/>
      <c r="D718" s="82" t="s">
        <v>40</v>
      </c>
      <c r="E718" s="83"/>
      <c r="F718" s="84">
        <v>1</v>
      </c>
      <c r="G718" s="85" t="s">
        <v>20</v>
      </c>
      <c r="H718" s="84">
        <v>144</v>
      </c>
      <c r="I718" s="85" t="s">
        <v>40</v>
      </c>
      <c r="J718" s="16">
        <v>25200</v>
      </c>
      <c r="K718" s="82" t="s">
        <v>40</v>
      </c>
      <c r="L718" s="86">
        <v>0.125</v>
      </c>
      <c r="M718" s="86">
        <v>0.05</v>
      </c>
      <c r="N718" s="84"/>
      <c r="O718" s="85" t="s">
        <v>40</v>
      </c>
      <c r="P718" s="81">
        <f t="shared" si="189"/>
        <v>0</v>
      </c>
      <c r="Q718" s="85" t="s">
        <v>40</v>
      </c>
      <c r="R718" s="16">
        <f t="shared" si="190"/>
        <v>0</v>
      </c>
      <c r="S718" s="16">
        <f t="shared" si="178"/>
        <v>0</v>
      </c>
    </row>
    <row r="719" spans="1:19">
      <c r="A719" s="59"/>
    </row>
    <row r="720" spans="1:19">
      <c r="A720" s="17" t="s">
        <v>458</v>
      </c>
      <c r="B720" s="2" t="s">
        <v>25</v>
      </c>
      <c r="C720" s="3">
        <v>142</v>
      </c>
      <c r="D720" s="4" t="s">
        <v>40</v>
      </c>
      <c r="F720" s="6">
        <v>1</v>
      </c>
      <c r="G720" s="7" t="s">
        <v>20</v>
      </c>
      <c r="H720" s="6">
        <v>144</v>
      </c>
      <c r="I720" s="7" t="s">
        <v>40</v>
      </c>
      <c r="J720" s="8">
        <f>6739200/144</f>
        <v>46800</v>
      </c>
      <c r="K720" s="4" t="s">
        <v>40</v>
      </c>
      <c r="M720" s="9">
        <v>0.17</v>
      </c>
      <c r="O720" s="7" t="s">
        <v>40</v>
      </c>
      <c r="P720" s="3">
        <f>(C720+(E720*F720*H720))-N720</f>
        <v>142</v>
      </c>
      <c r="Q720" s="7" t="s">
        <v>40</v>
      </c>
      <c r="R720" s="8">
        <f>P720*(J720-(J720*L720)-((J720-(J720*L720))*M720))</f>
        <v>5515848</v>
      </c>
      <c r="S720" s="8">
        <f t="shared" si="178"/>
        <v>4969232.4324324317</v>
      </c>
    </row>
    <row r="721" spans="1:19" s="80" customFormat="1">
      <c r="A721" s="79" t="s">
        <v>459</v>
      </c>
      <c r="B721" s="80" t="s">
        <v>25</v>
      </c>
      <c r="C721" s="87"/>
      <c r="D721" s="82" t="s">
        <v>40</v>
      </c>
      <c r="E721" s="83"/>
      <c r="F721" s="84">
        <v>1</v>
      </c>
      <c r="G721" s="85" t="s">
        <v>20</v>
      </c>
      <c r="H721" s="84">
        <v>144</v>
      </c>
      <c r="I721" s="85" t="s">
        <v>40</v>
      </c>
      <c r="J721" s="16">
        <f>4492800/144</f>
        <v>31200</v>
      </c>
      <c r="K721" s="82" t="s">
        <v>40</v>
      </c>
      <c r="L721" s="86"/>
      <c r="M721" s="86">
        <v>0.17</v>
      </c>
      <c r="N721" s="84"/>
      <c r="O721" s="85" t="s">
        <v>40</v>
      </c>
      <c r="P721" s="81">
        <f>(C721+(E721*F721*H721))-N721</f>
        <v>0</v>
      </c>
      <c r="Q721" s="85" t="s">
        <v>40</v>
      </c>
      <c r="R721" s="16">
        <f>P721*(J721-(J721*L721)-((J721-(J721*L721))*M721))</f>
        <v>0</v>
      </c>
      <c r="S721" s="16">
        <f t="shared" si="178"/>
        <v>0</v>
      </c>
    </row>
    <row r="722" spans="1:19" s="80" customFormat="1">
      <c r="A722" s="79" t="s">
        <v>460</v>
      </c>
      <c r="B722" s="80" t="s">
        <v>25</v>
      </c>
      <c r="C722" s="87"/>
      <c r="D722" s="82" t="s">
        <v>40</v>
      </c>
      <c r="E722" s="83"/>
      <c r="F722" s="84">
        <v>1</v>
      </c>
      <c r="G722" s="85" t="s">
        <v>20</v>
      </c>
      <c r="H722" s="84">
        <v>144</v>
      </c>
      <c r="I722" s="85" t="s">
        <v>40</v>
      </c>
      <c r="J722" s="16">
        <v>29400</v>
      </c>
      <c r="K722" s="82" t="s">
        <v>40</v>
      </c>
      <c r="L722" s="86"/>
      <c r="M722" s="86">
        <v>0.17</v>
      </c>
      <c r="N722" s="84"/>
      <c r="O722" s="85" t="s">
        <v>40</v>
      </c>
      <c r="P722" s="81">
        <f>(C722+(E722*F722*H722))-N722</f>
        <v>0</v>
      </c>
      <c r="Q722" s="85" t="s">
        <v>40</v>
      </c>
      <c r="R722" s="16">
        <f>P722*(J722-(J722*L722)-((J722-(J722*L722))*M722))</f>
        <v>0</v>
      </c>
      <c r="S722" s="16">
        <f t="shared" si="178"/>
        <v>0</v>
      </c>
    </row>
    <row r="723" spans="1:19" s="80" customFormat="1">
      <c r="A723" s="79" t="s">
        <v>461</v>
      </c>
      <c r="B723" s="80" t="s">
        <v>25</v>
      </c>
      <c r="C723" s="87"/>
      <c r="D723" s="82" t="s">
        <v>40</v>
      </c>
      <c r="E723" s="83"/>
      <c r="F723" s="84">
        <v>1</v>
      </c>
      <c r="G723" s="85" t="s">
        <v>20</v>
      </c>
      <c r="H723" s="84">
        <v>144</v>
      </c>
      <c r="I723" s="85" t="s">
        <v>40</v>
      </c>
      <c r="J723" s="16">
        <f>2764800/144</f>
        <v>19200</v>
      </c>
      <c r="K723" s="82" t="s">
        <v>40</v>
      </c>
      <c r="L723" s="86"/>
      <c r="M723" s="86">
        <v>0.17</v>
      </c>
      <c r="N723" s="84"/>
      <c r="O723" s="85" t="s">
        <v>40</v>
      </c>
      <c r="P723" s="81">
        <f>(C723+(E723*F723*H723))-N723</f>
        <v>0</v>
      </c>
      <c r="Q723" s="85" t="s">
        <v>40</v>
      </c>
      <c r="R723" s="16">
        <f>P723*(J723-(J723*L723)-((J723-(J723*L723))*M723))</f>
        <v>0</v>
      </c>
      <c r="S723" s="16">
        <f t="shared" ref="S723:S819" si="194">R723/1.11</f>
        <v>0</v>
      </c>
    </row>
    <row r="724" spans="1:19" s="80" customFormat="1">
      <c r="A724" s="79" t="s">
        <v>462</v>
      </c>
      <c r="B724" s="80" t="s">
        <v>25</v>
      </c>
      <c r="C724" s="87"/>
      <c r="D724" s="82" t="s">
        <v>40</v>
      </c>
      <c r="E724" s="83"/>
      <c r="F724" s="84">
        <v>1</v>
      </c>
      <c r="G724" s="85" t="s">
        <v>20</v>
      </c>
      <c r="H724" s="84">
        <v>144</v>
      </c>
      <c r="I724" s="85" t="s">
        <v>40</v>
      </c>
      <c r="J724" s="16">
        <f>3369600/144</f>
        <v>23400</v>
      </c>
      <c r="K724" s="82" t="s">
        <v>40</v>
      </c>
      <c r="L724" s="86"/>
      <c r="M724" s="86">
        <v>0.17</v>
      </c>
      <c r="N724" s="84"/>
      <c r="O724" s="85" t="s">
        <v>40</v>
      </c>
      <c r="P724" s="81">
        <f>(C724+(E724*F724*H724))-N724</f>
        <v>0</v>
      </c>
      <c r="Q724" s="85" t="s">
        <v>40</v>
      </c>
      <c r="R724" s="16">
        <f>P724*(J724-(J724*L724)-((J724-(J724*L724))*M724))</f>
        <v>0</v>
      </c>
      <c r="S724" s="16">
        <f t="shared" si="194"/>
        <v>0</v>
      </c>
    </row>
    <row r="725" spans="1:19" s="80" customFormat="1">
      <c r="A725" s="79"/>
      <c r="C725" s="87"/>
      <c r="D725" s="82"/>
      <c r="E725" s="83"/>
      <c r="F725" s="84"/>
      <c r="G725" s="85"/>
      <c r="H725" s="84"/>
      <c r="I725" s="85"/>
      <c r="J725" s="16"/>
      <c r="K725" s="82"/>
      <c r="L725" s="86"/>
      <c r="M725" s="86"/>
      <c r="N725" s="84"/>
      <c r="O725" s="85"/>
      <c r="P725" s="81"/>
      <c r="Q725" s="85"/>
      <c r="R725" s="16"/>
      <c r="S725" s="16"/>
    </row>
    <row r="726" spans="1:19" s="80" customFormat="1">
      <c r="A726" s="79" t="s">
        <v>463</v>
      </c>
      <c r="B726" s="80" t="s">
        <v>261</v>
      </c>
      <c r="C726" s="87"/>
      <c r="D726" s="82" t="s">
        <v>40</v>
      </c>
      <c r="E726" s="83"/>
      <c r="F726" s="84">
        <v>1</v>
      </c>
      <c r="G726" s="85" t="s">
        <v>20</v>
      </c>
      <c r="H726" s="84">
        <v>144</v>
      </c>
      <c r="I726" s="85" t="s">
        <v>40</v>
      </c>
      <c r="J726" s="16">
        <v>12500</v>
      </c>
      <c r="K726" s="82" t="s">
        <v>40</v>
      </c>
      <c r="L726" s="86"/>
      <c r="M726" s="86"/>
      <c r="N726" s="84"/>
      <c r="O726" s="85" t="s">
        <v>40</v>
      </c>
      <c r="P726" s="81">
        <f>(C726+(E726*F726*H726))-N726</f>
        <v>0</v>
      </c>
      <c r="Q726" s="85" t="s">
        <v>40</v>
      </c>
      <c r="R726" s="16">
        <f>P726*(J726-(J726*L726)-((J726-(J726*L726))*M726))</f>
        <v>0</v>
      </c>
      <c r="S726" s="16">
        <f>R726/1.11</f>
        <v>0</v>
      </c>
    </row>
    <row r="727" spans="1:19" s="80" customFormat="1">
      <c r="A727" s="79" t="s">
        <v>464</v>
      </c>
      <c r="B727" s="80" t="s">
        <v>261</v>
      </c>
      <c r="C727" s="87"/>
      <c r="D727" s="82" t="s">
        <v>40</v>
      </c>
      <c r="E727" s="83"/>
      <c r="F727" s="84">
        <v>1</v>
      </c>
      <c r="G727" s="85" t="s">
        <v>20</v>
      </c>
      <c r="H727" s="84">
        <v>144</v>
      </c>
      <c r="I727" s="85" t="s">
        <v>40</v>
      </c>
      <c r="J727" s="16">
        <v>12500</v>
      </c>
      <c r="K727" s="82" t="s">
        <v>40</v>
      </c>
      <c r="L727" s="86"/>
      <c r="M727" s="86"/>
      <c r="N727" s="84"/>
      <c r="O727" s="85" t="s">
        <v>40</v>
      </c>
      <c r="P727" s="81">
        <f>(C727+(E727*F727*H727))-N727</f>
        <v>0</v>
      </c>
      <c r="Q727" s="85" t="s">
        <v>40</v>
      </c>
      <c r="R727" s="16">
        <f>P727*(J727-(J727*L727)-((J727-(J727*L727))*M727))</f>
        <v>0</v>
      </c>
      <c r="S727" s="16">
        <f>R727/1.11</f>
        <v>0</v>
      </c>
    </row>
    <row r="728" spans="1:19">
      <c r="A728" s="17" t="s">
        <v>465</v>
      </c>
      <c r="B728" s="2" t="s">
        <v>261</v>
      </c>
      <c r="C728" s="3">
        <v>96</v>
      </c>
      <c r="D728" s="4" t="s">
        <v>40</v>
      </c>
      <c r="F728" s="6">
        <v>1</v>
      </c>
      <c r="G728" s="7" t="s">
        <v>20</v>
      </c>
      <c r="H728" s="6">
        <v>96</v>
      </c>
      <c r="I728" s="7" t="s">
        <v>40</v>
      </c>
      <c r="J728" s="8">
        <v>27500</v>
      </c>
      <c r="K728" s="4" t="s">
        <v>40</v>
      </c>
      <c r="O728" s="7" t="s">
        <v>40</v>
      </c>
      <c r="P728" s="3">
        <f>(C728+(E728*F728*H728))-N728</f>
        <v>96</v>
      </c>
      <c r="Q728" s="7" t="s">
        <v>40</v>
      </c>
      <c r="R728" s="8">
        <f>P728*(J728-(J728*L728)-((J728-(J728*L728))*M728))</f>
        <v>2640000</v>
      </c>
      <c r="S728" s="8">
        <f>R728/1.11</f>
        <v>2378378.3783783782</v>
      </c>
    </row>
    <row r="730" spans="1:19">
      <c r="A730" s="15" t="s">
        <v>666</v>
      </c>
    </row>
    <row r="731" spans="1:19">
      <c r="A731" s="59" t="s">
        <v>667</v>
      </c>
      <c r="B731" s="2" t="s">
        <v>18</v>
      </c>
      <c r="D731" s="4" t="s">
        <v>84</v>
      </c>
      <c r="E731" s="5">
        <v>8</v>
      </c>
      <c r="F731" s="6">
        <v>1</v>
      </c>
      <c r="G731" s="7" t="s">
        <v>20</v>
      </c>
      <c r="H731" s="6">
        <v>12</v>
      </c>
      <c r="I731" s="7" t="s">
        <v>84</v>
      </c>
      <c r="J731" s="8">
        <v>176400</v>
      </c>
      <c r="K731" s="4" t="s">
        <v>84</v>
      </c>
      <c r="L731" s="9">
        <v>0.125</v>
      </c>
      <c r="M731" s="9">
        <v>0.05</v>
      </c>
      <c r="O731" s="7" t="s">
        <v>84</v>
      </c>
      <c r="P731" s="3">
        <f t="shared" ref="P731:P736" si="195">(C731+(E731*F731*H731))-N731</f>
        <v>96</v>
      </c>
      <c r="Q731" s="7" t="s">
        <v>84</v>
      </c>
      <c r="R731" s="8">
        <f t="shared" ref="R731:R736" si="196">P731*(J731-(J731*L731)-((J731-(J731*L731))*M731))</f>
        <v>14076720</v>
      </c>
      <c r="S731" s="8">
        <f t="shared" si="194"/>
        <v>12681729.729729729</v>
      </c>
    </row>
    <row r="732" spans="1:19" s="80" customFormat="1">
      <c r="A732" s="153" t="s">
        <v>668</v>
      </c>
      <c r="B732" s="80" t="s">
        <v>18</v>
      </c>
      <c r="C732" s="81"/>
      <c r="D732" s="82" t="s">
        <v>84</v>
      </c>
      <c r="E732" s="83"/>
      <c r="F732" s="84">
        <v>12</v>
      </c>
      <c r="G732" s="85" t="s">
        <v>33</v>
      </c>
      <c r="H732" s="84">
        <v>1</v>
      </c>
      <c r="I732" s="85" t="s">
        <v>84</v>
      </c>
      <c r="J732" s="16">
        <v>183600</v>
      </c>
      <c r="K732" s="82" t="s">
        <v>84</v>
      </c>
      <c r="L732" s="86">
        <v>0.125</v>
      </c>
      <c r="M732" s="86">
        <v>0.05</v>
      </c>
      <c r="N732" s="84"/>
      <c r="O732" s="85" t="s">
        <v>84</v>
      </c>
      <c r="P732" s="81">
        <f t="shared" si="195"/>
        <v>0</v>
      </c>
      <c r="Q732" s="85" t="s">
        <v>84</v>
      </c>
      <c r="R732" s="16">
        <f t="shared" si="196"/>
        <v>0</v>
      </c>
      <c r="S732" s="16">
        <f t="shared" si="194"/>
        <v>0</v>
      </c>
    </row>
    <row r="733" spans="1:19" s="19" customFormat="1">
      <c r="A733" s="59" t="s">
        <v>669</v>
      </c>
      <c r="B733" s="19" t="s">
        <v>18</v>
      </c>
      <c r="C733" s="20"/>
      <c r="D733" s="21" t="s">
        <v>40</v>
      </c>
      <c r="E733" s="26">
        <v>6</v>
      </c>
      <c r="F733" s="22">
        <v>12</v>
      </c>
      <c r="G733" s="23" t="s">
        <v>84</v>
      </c>
      <c r="H733" s="22">
        <v>12</v>
      </c>
      <c r="I733" s="23" t="s">
        <v>40</v>
      </c>
      <c r="J733" s="24">
        <v>19800</v>
      </c>
      <c r="K733" s="21" t="s">
        <v>40</v>
      </c>
      <c r="L733" s="25">
        <v>0.125</v>
      </c>
      <c r="M733" s="25">
        <v>0.05</v>
      </c>
      <c r="N733" s="22"/>
      <c r="O733" s="23" t="s">
        <v>40</v>
      </c>
      <c r="P733" s="20">
        <f t="shared" ref="P733" si="197">(C733+(E733*F733*H733))-N733</f>
        <v>864</v>
      </c>
      <c r="Q733" s="23" t="s">
        <v>40</v>
      </c>
      <c r="R733" s="24">
        <f t="shared" ref="R733" si="198">P733*(J733-(J733*L733)-((J733-(J733*L733))*M733))</f>
        <v>14220360</v>
      </c>
      <c r="S733" s="24">
        <f t="shared" ref="S733" si="199">R733/1.11</f>
        <v>12811135.135135135</v>
      </c>
    </row>
    <row r="734" spans="1:19" s="19" customFormat="1">
      <c r="A734" s="59" t="s">
        <v>670</v>
      </c>
      <c r="B734" s="19" t="s">
        <v>18</v>
      </c>
      <c r="C734" s="20">
        <v>144</v>
      </c>
      <c r="D734" s="21" t="s">
        <v>40</v>
      </c>
      <c r="E734" s="26">
        <v>12</v>
      </c>
      <c r="F734" s="22">
        <v>12</v>
      </c>
      <c r="G734" s="23" t="s">
        <v>84</v>
      </c>
      <c r="H734" s="22">
        <v>6</v>
      </c>
      <c r="I734" s="23" t="s">
        <v>40</v>
      </c>
      <c r="J734" s="24">
        <f>3100*12</f>
        <v>37200</v>
      </c>
      <c r="K734" s="21" t="s">
        <v>40</v>
      </c>
      <c r="L734" s="25">
        <v>0.125</v>
      </c>
      <c r="M734" s="25">
        <v>0.05</v>
      </c>
      <c r="N734" s="22"/>
      <c r="O734" s="23" t="s">
        <v>40</v>
      </c>
      <c r="P734" s="20">
        <f t="shared" ref="P734" si="200">(C734+(E734*F734*H734))-N734</f>
        <v>1008</v>
      </c>
      <c r="Q734" s="23" t="s">
        <v>40</v>
      </c>
      <c r="R734" s="24">
        <f t="shared" ref="R734" si="201">P734*(J734-(J734*L734)-((J734-(J734*L734))*M734))</f>
        <v>31169880</v>
      </c>
      <c r="S734" s="24">
        <f t="shared" ref="S734" si="202">R734/1.11</f>
        <v>28080972.97297297</v>
      </c>
    </row>
    <row r="735" spans="1:19" s="19" customFormat="1">
      <c r="A735" s="59" t="s">
        <v>671</v>
      </c>
      <c r="B735" s="19" t="s">
        <v>18</v>
      </c>
      <c r="C735" s="20">
        <v>12</v>
      </c>
      <c r="D735" s="21" t="s">
        <v>84</v>
      </c>
      <c r="E735" s="26">
        <v>1</v>
      </c>
      <c r="F735" s="22">
        <v>1</v>
      </c>
      <c r="G735" s="23" t="s">
        <v>20</v>
      </c>
      <c r="H735" s="22">
        <v>12</v>
      </c>
      <c r="I735" s="23" t="s">
        <v>84</v>
      </c>
      <c r="J735" s="24">
        <v>198000</v>
      </c>
      <c r="K735" s="21" t="s">
        <v>84</v>
      </c>
      <c r="L735" s="25">
        <v>0.125</v>
      </c>
      <c r="M735" s="25">
        <v>0.05</v>
      </c>
      <c r="N735" s="22"/>
      <c r="O735" s="23" t="s">
        <v>84</v>
      </c>
      <c r="P735" s="20">
        <f t="shared" ref="P735" si="203">(C735+(E735*F735*H735))-N735</f>
        <v>24</v>
      </c>
      <c r="Q735" s="23" t="s">
        <v>84</v>
      </c>
      <c r="R735" s="24">
        <f t="shared" ref="R735" si="204">P735*(J735-(J735*L735)-((J735-(J735*L735))*M735))</f>
        <v>3950100</v>
      </c>
      <c r="S735" s="24">
        <f t="shared" ref="S735" si="205">R735/1.11</f>
        <v>3558648.6486486485</v>
      </c>
    </row>
    <row r="736" spans="1:19">
      <c r="A736" s="59" t="s">
        <v>736</v>
      </c>
      <c r="B736" s="2" t="s">
        <v>18</v>
      </c>
      <c r="C736" s="3">
        <v>10</v>
      </c>
      <c r="D736" s="4" t="s">
        <v>40</v>
      </c>
      <c r="E736" s="5">
        <v>1</v>
      </c>
      <c r="F736" s="6">
        <v>1</v>
      </c>
      <c r="G736" s="7" t="s">
        <v>20</v>
      </c>
      <c r="H736" s="6">
        <v>72</v>
      </c>
      <c r="I736" s="7" t="s">
        <v>40</v>
      </c>
      <c r="J736" s="8">
        <v>39600</v>
      </c>
      <c r="K736" s="4" t="s">
        <v>40</v>
      </c>
      <c r="L736" s="9">
        <v>0.125</v>
      </c>
      <c r="M736" s="9">
        <v>0.05</v>
      </c>
      <c r="O736" s="7" t="s">
        <v>84</v>
      </c>
      <c r="P736" s="3">
        <f t="shared" si="195"/>
        <v>82</v>
      </c>
      <c r="Q736" s="7" t="s">
        <v>84</v>
      </c>
      <c r="R736" s="8">
        <f t="shared" si="196"/>
        <v>2699235</v>
      </c>
      <c r="S736" s="8">
        <f t="shared" si="194"/>
        <v>2431743.2432432431</v>
      </c>
    </row>
    <row r="737" spans="1:19">
      <c r="A737" s="59"/>
    </row>
    <row r="738" spans="1:19">
      <c r="A738" s="59" t="s">
        <v>672</v>
      </c>
      <c r="B738" s="2" t="s">
        <v>25</v>
      </c>
      <c r="C738" s="3">
        <v>11</v>
      </c>
      <c r="D738" s="4" t="s">
        <v>84</v>
      </c>
      <c r="E738" s="5">
        <v>1</v>
      </c>
      <c r="F738" s="6">
        <v>1</v>
      </c>
      <c r="G738" s="7" t="s">
        <v>20</v>
      </c>
      <c r="H738" s="6">
        <v>18</v>
      </c>
      <c r="I738" s="7" t="s">
        <v>84</v>
      </c>
      <c r="J738" s="8">
        <f>3240000/18</f>
        <v>180000</v>
      </c>
      <c r="K738" s="4" t="s">
        <v>84</v>
      </c>
      <c r="M738" s="9">
        <v>0.17</v>
      </c>
      <c r="O738" s="7" t="s">
        <v>84</v>
      </c>
      <c r="P738" s="3">
        <f>(C738+(E738*F738*H738))-N738</f>
        <v>29</v>
      </c>
      <c r="Q738" s="7" t="s">
        <v>84</v>
      </c>
      <c r="R738" s="8">
        <f>P738*(J738-(J738*L738)-((J738-(J738*L738))*M738))</f>
        <v>4332600</v>
      </c>
      <c r="S738" s="8">
        <f t="shared" si="194"/>
        <v>3903243.2432432431</v>
      </c>
    </row>
    <row r="739" spans="1:19" s="80" customFormat="1">
      <c r="A739" s="79" t="s">
        <v>673</v>
      </c>
      <c r="B739" s="80" t="s">
        <v>25</v>
      </c>
      <c r="C739" s="81"/>
      <c r="D739" s="82" t="s">
        <v>40</v>
      </c>
      <c r="E739" s="83"/>
      <c r="F739" s="84">
        <v>12</v>
      </c>
      <c r="G739" s="85" t="s">
        <v>84</v>
      </c>
      <c r="H739" s="84">
        <v>12</v>
      </c>
      <c r="I739" s="85" t="s">
        <v>40</v>
      </c>
      <c r="J739" s="16">
        <v>14400</v>
      </c>
      <c r="K739" s="82" t="s">
        <v>40</v>
      </c>
      <c r="L739" s="86"/>
      <c r="M739" s="86">
        <v>0.17</v>
      </c>
      <c r="N739" s="84"/>
      <c r="O739" s="85" t="s">
        <v>40</v>
      </c>
      <c r="P739" s="81">
        <f>(C739+(E739*F739*H739))-N739</f>
        <v>0</v>
      </c>
      <c r="Q739" s="85" t="s">
        <v>40</v>
      </c>
      <c r="R739" s="16">
        <f>P739*(J739-(J739*L739)-((J739-(J739*L739))*M739))</f>
        <v>0</v>
      </c>
      <c r="S739" s="16">
        <f t="shared" si="194"/>
        <v>0</v>
      </c>
    </row>
    <row r="740" spans="1:19">
      <c r="A740" s="17" t="s">
        <v>674</v>
      </c>
      <c r="B740" s="2" t="s">
        <v>25</v>
      </c>
      <c r="C740" s="3">
        <v>144</v>
      </c>
      <c r="D740" s="4" t="s">
        <v>40</v>
      </c>
      <c r="F740" s="6">
        <v>12</v>
      </c>
      <c r="G740" s="7" t="s">
        <v>84</v>
      </c>
      <c r="H740" s="6">
        <v>12</v>
      </c>
      <c r="I740" s="7" t="s">
        <v>40</v>
      </c>
      <c r="J740" s="8">
        <f>2937600/12/12</f>
        <v>20400</v>
      </c>
      <c r="K740" s="4" t="s">
        <v>40</v>
      </c>
      <c r="M740" s="9">
        <v>0.17</v>
      </c>
      <c r="O740" s="7" t="s">
        <v>40</v>
      </c>
      <c r="P740" s="3">
        <f>(C740+(E740*F740*H740))-N740</f>
        <v>144</v>
      </c>
      <c r="Q740" s="7" t="s">
        <v>40</v>
      </c>
      <c r="R740" s="8">
        <f>P740*(J740-(J740*L740)-((J740-(J740*L740))*M740))</f>
        <v>2438208</v>
      </c>
      <c r="S740" s="8">
        <f t="shared" si="194"/>
        <v>2196583.7837837837</v>
      </c>
    </row>
    <row r="742" spans="1:19">
      <c r="A742" s="17" t="s">
        <v>778</v>
      </c>
      <c r="B742" s="2" t="s">
        <v>182</v>
      </c>
      <c r="C742" s="20">
        <v>10520</v>
      </c>
      <c r="D742" s="4" t="s">
        <v>152</v>
      </c>
      <c r="F742" s="6">
        <v>40</v>
      </c>
      <c r="G742" s="7" t="s">
        <v>33</v>
      </c>
      <c r="H742" s="6">
        <f>1600/40</f>
        <v>40</v>
      </c>
      <c r="I742" s="7" t="s">
        <v>152</v>
      </c>
      <c r="J742" s="8">
        <v>1532</v>
      </c>
      <c r="K742" s="4" t="s">
        <v>152</v>
      </c>
      <c r="O742" s="7" t="s">
        <v>152</v>
      </c>
      <c r="P742" s="3">
        <f>(C742+(E742*F742*H742))-N742</f>
        <v>10520</v>
      </c>
      <c r="Q742" s="7" t="s">
        <v>152</v>
      </c>
      <c r="R742" s="8">
        <f>P742*(J742-(J742*L742)-((J742-(J742*L742))*M742))</f>
        <v>16116640</v>
      </c>
      <c r="S742" s="8">
        <f t="shared" si="194"/>
        <v>14519495.495495494</v>
      </c>
    </row>
    <row r="744" spans="1:19">
      <c r="A744" s="15" t="s">
        <v>466</v>
      </c>
    </row>
    <row r="745" spans="1:19" s="19" customFormat="1">
      <c r="A745" s="18" t="s">
        <v>467</v>
      </c>
      <c r="B745" s="19" t="s">
        <v>18</v>
      </c>
      <c r="C745" s="20">
        <v>1236</v>
      </c>
      <c r="D745" s="21" t="s">
        <v>152</v>
      </c>
      <c r="E745" s="26">
        <v>4</v>
      </c>
      <c r="F745" s="22">
        <v>12</v>
      </c>
      <c r="G745" s="23" t="s">
        <v>33</v>
      </c>
      <c r="H745" s="22">
        <v>24</v>
      </c>
      <c r="I745" s="23" t="s">
        <v>152</v>
      </c>
      <c r="J745" s="24">
        <v>6700</v>
      </c>
      <c r="K745" s="21" t="s">
        <v>152</v>
      </c>
      <c r="L745" s="25">
        <v>0.125</v>
      </c>
      <c r="M745" s="25">
        <v>0.05</v>
      </c>
      <c r="N745" s="22"/>
      <c r="O745" s="23" t="s">
        <v>152</v>
      </c>
      <c r="P745" s="20">
        <f t="shared" ref="P745:P758" si="206">(C745+(E745*F745*H745))-N745</f>
        <v>2388</v>
      </c>
      <c r="Q745" s="23" t="s">
        <v>152</v>
      </c>
      <c r="R745" s="24">
        <f t="shared" ref="R745:R758" si="207">P745*(J745-(J745*L745)-((J745-(J745*L745))*M745))</f>
        <v>13299667.5</v>
      </c>
      <c r="S745" s="24">
        <f t="shared" si="194"/>
        <v>11981682.432432432</v>
      </c>
    </row>
    <row r="746" spans="1:19" s="19" customFormat="1">
      <c r="A746" s="18" t="s">
        <v>468</v>
      </c>
      <c r="B746" s="19" t="s">
        <v>18</v>
      </c>
      <c r="C746" s="20">
        <v>96</v>
      </c>
      <c r="D746" s="21" t="s">
        <v>152</v>
      </c>
      <c r="E746" s="26">
        <v>1</v>
      </c>
      <c r="F746" s="22">
        <v>12</v>
      </c>
      <c r="G746" s="23" t="s">
        <v>33</v>
      </c>
      <c r="H746" s="22">
        <v>12</v>
      </c>
      <c r="I746" s="23" t="s">
        <v>152</v>
      </c>
      <c r="J746" s="24">
        <v>13800</v>
      </c>
      <c r="K746" s="21" t="s">
        <v>152</v>
      </c>
      <c r="L746" s="25">
        <v>0.125</v>
      </c>
      <c r="M746" s="25">
        <v>0.05</v>
      </c>
      <c r="N746" s="22"/>
      <c r="O746" s="23" t="s">
        <v>152</v>
      </c>
      <c r="P746" s="20">
        <f t="shared" si="206"/>
        <v>240</v>
      </c>
      <c r="Q746" s="23" t="s">
        <v>152</v>
      </c>
      <c r="R746" s="24">
        <f t="shared" si="207"/>
        <v>2753100</v>
      </c>
      <c r="S746" s="8">
        <f t="shared" si="194"/>
        <v>2480270.2702702698</v>
      </c>
    </row>
    <row r="747" spans="1:19" s="19" customFormat="1">
      <c r="A747" s="18" t="s">
        <v>469</v>
      </c>
      <c r="B747" s="19" t="s">
        <v>18</v>
      </c>
      <c r="C747" s="20">
        <v>3084</v>
      </c>
      <c r="D747" s="21" t="s">
        <v>152</v>
      </c>
      <c r="E747" s="26">
        <v>34</v>
      </c>
      <c r="F747" s="22">
        <v>12</v>
      </c>
      <c r="G747" s="23" t="s">
        <v>33</v>
      </c>
      <c r="H747" s="22">
        <v>12</v>
      </c>
      <c r="I747" s="23" t="s">
        <v>152</v>
      </c>
      <c r="J747" s="24">
        <v>10600</v>
      </c>
      <c r="K747" s="21" t="s">
        <v>152</v>
      </c>
      <c r="L747" s="25">
        <v>0.125</v>
      </c>
      <c r="M747" s="25">
        <v>0.05</v>
      </c>
      <c r="N747" s="22"/>
      <c r="O747" s="23" t="s">
        <v>152</v>
      </c>
      <c r="P747" s="20">
        <f t="shared" si="206"/>
        <v>7980</v>
      </c>
      <c r="Q747" s="23" t="s">
        <v>152</v>
      </c>
      <c r="R747" s="24">
        <f t="shared" si="207"/>
        <v>70313775</v>
      </c>
      <c r="S747" s="24">
        <f t="shared" si="194"/>
        <v>63345743.24324324</v>
      </c>
    </row>
    <row r="748" spans="1:19" s="19" customFormat="1">
      <c r="A748" s="18" t="s">
        <v>470</v>
      </c>
      <c r="B748" s="19" t="s">
        <v>18</v>
      </c>
      <c r="C748" s="20">
        <v>390</v>
      </c>
      <c r="D748" s="21" t="s">
        <v>152</v>
      </c>
      <c r="E748" s="26">
        <v>13</v>
      </c>
      <c r="F748" s="22">
        <v>12</v>
      </c>
      <c r="G748" s="23" t="s">
        <v>33</v>
      </c>
      <c r="H748" s="22">
        <v>6</v>
      </c>
      <c r="I748" s="23" t="s">
        <v>152</v>
      </c>
      <c r="J748" s="24">
        <v>21200</v>
      </c>
      <c r="K748" s="21" t="s">
        <v>152</v>
      </c>
      <c r="L748" s="25">
        <v>0.125</v>
      </c>
      <c r="M748" s="25">
        <v>0.05</v>
      </c>
      <c r="N748" s="22"/>
      <c r="O748" s="23" t="s">
        <v>152</v>
      </c>
      <c r="P748" s="20">
        <f t="shared" si="206"/>
        <v>1326</v>
      </c>
      <c r="Q748" s="23" t="s">
        <v>152</v>
      </c>
      <c r="R748" s="24">
        <f t="shared" si="207"/>
        <v>23367435</v>
      </c>
      <c r="S748" s="8">
        <f t="shared" si="194"/>
        <v>21051743.24324324</v>
      </c>
    </row>
    <row r="749" spans="1:19" s="89" customFormat="1">
      <c r="A749" s="88" t="s">
        <v>471</v>
      </c>
      <c r="B749" s="89" t="s">
        <v>18</v>
      </c>
      <c r="C749" s="87"/>
      <c r="D749" s="90" t="s">
        <v>152</v>
      </c>
      <c r="E749" s="91"/>
      <c r="F749" s="92">
        <v>8</v>
      </c>
      <c r="G749" s="93" t="s">
        <v>33</v>
      </c>
      <c r="H749" s="92">
        <v>6</v>
      </c>
      <c r="I749" s="93" t="s">
        <v>152</v>
      </c>
      <c r="J749" s="94">
        <v>35000</v>
      </c>
      <c r="K749" s="90" t="s">
        <v>152</v>
      </c>
      <c r="L749" s="95">
        <v>0.125</v>
      </c>
      <c r="M749" s="95">
        <v>0.05</v>
      </c>
      <c r="N749" s="92"/>
      <c r="O749" s="93" t="s">
        <v>152</v>
      </c>
      <c r="P749" s="87">
        <f t="shared" si="206"/>
        <v>0</v>
      </c>
      <c r="Q749" s="93" t="s">
        <v>152</v>
      </c>
      <c r="R749" s="94">
        <f t="shared" si="207"/>
        <v>0</v>
      </c>
      <c r="S749" s="16">
        <f t="shared" si="194"/>
        <v>0</v>
      </c>
    </row>
    <row r="750" spans="1:19" s="19" customFormat="1">
      <c r="A750" s="18" t="s">
        <v>472</v>
      </c>
      <c r="B750" s="19" t="s">
        <v>18</v>
      </c>
      <c r="C750" s="20">
        <v>408</v>
      </c>
      <c r="D750" s="21" t="s">
        <v>152</v>
      </c>
      <c r="E750" s="26">
        <v>5</v>
      </c>
      <c r="F750" s="22">
        <v>12</v>
      </c>
      <c r="G750" s="23" t="s">
        <v>33</v>
      </c>
      <c r="H750" s="22">
        <v>12</v>
      </c>
      <c r="I750" s="23" t="s">
        <v>152</v>
      </c>
      <c r="J750" s="24">
        <v>9600</v>
      </c>
      <c r="K750" s="21" t="s">
        <v>152</v>
      </c>
      <c r="L750" s="25">
        <v>0.125</v>
      </c>
      <c r="M750" s="25">
        <v>0.05</v>
      </c>
      <c r="N750" s="22"/>
      <c r="O750" s="23" t="s">
        <v>152</v>
      </c>
      <c r="P750" s="20">
        <f t="shared" si="206"/>
        <v>1128</v>
      </c>
      <c r="Q750" s="23" t="s">
        <v>152</v>
      </c>
      <c r="R750" s="24">
        <f t="shared" si="207"/>
        <v>9001440</v>
      </c>
      <c r="S750" s="24">
        <f t="shared" si="194"/>
        <v>8109405.405405405</v>
      </c>
    </row>
    <row r="751" spans="1:19" s="80" customFormat="1">
      <c r="A751" s="79" t="s">
        <v>473</v>
      </c>
      <c r="B751" s="80" t="s">
        <v>18</v>
      </c>
      <c r="C751" s="81"/>
      <c r="D751" s="82" t="s">
        <v>152</v>
      </c>
      <c r="E751" s="83"/>
      <c r="F751" s="84">
        <v>12</v>
      </c>
      <c r="G751" s="85" t="s">
        <v>33</v>
      </c>
      <c r="H751" s="84">
        <v>6</v>
      </c>
      <c r="I751" s="85" t="s">
        <v>152</v>
      </c>
      <c r="J751" s="16">
        <v>19200</v>
      </c>
      <c r="K751" s="82" t="s">
        <v>152</v>
      </c>
      <c r="L751" s="86">
        <v>0.125</v>
      </c>
      <c r="M751" s="86">
        <v>0.05</v>
      </c>
      <c r="N751" s="84"/>
      <c r="O751" s="85" t="s">
        <v>152</v>
      </c>
      <c r="P751" s="81">
        <f t="shared" si="206"/>
        <v>0</v>
      </c>
      <c r="Q751" s="85" t="s">
        <v>152</v>
      </c>
      <c r="R751" s="16">
        <f t="shared" si="207"/>
        <v>0</v>
      </c>
      <c r="S751" s="16">
        <f t="shared" si="194"/>
        <v>0</v>
      </c>
    </row>
    <row r="752" spans="1:19" s="80" customFormat="1">
      <c r="A752" s="79" t="s">
        <v>474</v>
      </c>
      <c r="B752" s="80" t="s">
        <v>18</v>
      </c>
      <c r="C752" s="81"/>
      <c r="D752" s="82" t="s">
        <v>152</v>
      </c>
      <c r="E752" s="83"/>
      <c r="F752" s="84">
        <v>12</v>
      </c>
      <c r="G752" s="85" t="s">
        <v>33</v>
      </c>
      <c r="H752" s="84">
        <v>24</v>
      </c>
      <c r="I752" s="85" t="s">
        <v>152</v>
      </c>
      <c r="J752" s="16">
        <v>5800</v>
      </c>
      <c r="K752" s="82" t="s">
        <v>152</v>
      </c>
      <c r="L752" s="86">
        <v>0.125</v>
      </c>
      <c r="M752" s="86">
        <v>0.05</v>
      </c>
      <c r="N752" s="84"/>
      <c r="O752" s="85" t="s">
        <v>152</v>
      </c>
      <c r="P752" s="81">
        <f t="shared" si="206"/>
        <v>0</v>
      </c>
      <c r="Q752" s="85" t="s">
        <v>152</v>
      </c>
      <c r="R752" s="16">
        <f t="shared" si="207"/>
        <v>0</v>
      </c>
      <c r="S752" s="16">
        <f t="shared" si="194"/>
        <v>0</v>
      </c>
    </row>
    <row r="753" spans="1:19" s="19" customFormat="1">
      <c r="A753" s="18" t="s">
        <v>475</v>
      </c>
      <c r="B753" s="19" t="s">
        <v>18</v>
      </c>
      <c r="C753" s="20"/>
      <c r="D753" s="21" t="s">
        <v>152</v>
      </c>
      <c r="E753" s="26">
        <v>2</v>
      </c>
      <c r="F753" s="22">
        <v>12</v>
      </c>
      <c r="G753" s="23" t="s">
        <v>33</v>
      </c>
      <c r="H753" s="22">
        <v>12</v>
      </c>
      <c r="I753" s="23" t="s">
        <v>152</v>
      </c>
      <c r="J753" s="24">
        <v>12600</v>
      </c>
      <c r="K753" s="21" t="s">
        <v>152</v>
      </c>
      <c r="L753" s="25">
        <v>0.125</v>
      </c>
      <c r="M753" s="25">
        <v>0.05</v>
      </c>
      <c r="N753" s="22"/>
      <c r="O753" s="23" t="s">
        <v>152</v>
      </c>
      <c r="P753" s="20">
        <f t="shared" ref="P753" si="208">(C753+(E753*F753*H753))-N753</f>
        <v>288</v>
      </c>
      <c r="Q753" s="23" t="s">
        <v>152</v>
      </c>
      <c r="R753" s="24">
        <f t="shared" ref="R753" si="209">P753*(J753-(J753*L753)-((J753-(J753*L753))*M753))</f>
        <v>3016440</v>
      </c>
      <c r="S753" s="24">
        <f t="shared" ref="S753" si="210">R753/1.11</f>
        <v>2717513.5135135134</v>
      </c>
    </row>
    <row r="754" spans="1:19" s="19" customFormat="1">
      <c r="A754" s="18" t="s">
        <v>805</v>
      </c>
      <c r="B754" s="19" t="s">
        <v>18</v>
      </c>
      <c r="C754" s="20">
        <v>72</v>
      </c>
      <c r="D754" s="21" t="s">
        <v>152</v>
      </c>
      <c r="E754" s="26"/>
      <c r="F754" s="22">
        <v>12</v>
      </c>
      <c r="G754" s="23" t="s">
        <v>33</v>
      </c>
      <c r="H754" s="22">
        <v>6</v>
      </c>
      <c r="I754" s="23" t="s">
        <v>152</v>
      </c>
      <c r="J754" s="24">
        <v>16800</v>
      </c>
      <c r="K754" s="21" t="s">
        <v>152</v>
      </c>
      <c r="L754" s="25">
        <v>0.125</v>
      </c>
      <c r="M754" s="25">
        <v>0.05</v>
      </c>
      <c r="N754" s="22"/>
      <c r="O754" s="23" t="s">
        <v>152</v>
      </c>
      <c r="P754" s="20">
        <f t="shared" si="206"/>
        <v>72</v>
      </c>
      <c r="Q754" s="23" t="s">
        <v>152</v>
      </c>
      <c r="R754" s="24">
        <f t="shared" si="207"/>
        <v>1005480</v>
      </c>
      <c r="S754" s="8">
        <f t="shared" si="194"/>
        <v>905837.83783783775</v>
      </c>
    </row>
    <row r="755" spans="1:19" s="19" customFormat="1">
      <c r="A755" s="18" t="s">
        <v>476</v>
      </c>
      <c r="B755" s="19" t="s">
        <v>18</v>
      </c>
      <c r="C755" s="20">
        <v>144</v>
      </c>
      <c r="D755" s="21" t="s">
        <v>152</v>
      </c>
      <c r="E755" s="26"/>
      <c r="F755" s="22">
        <v>12</v>
      </c>
      <c r="G755" s="23" t="s">
        <v>33</v>
      </c>
      <c r="H755" s="22">
        <v>12</v>
      </c>
      <c r="I755" s="23" t="s">
        <v>152</v>
      </c>
      <c r="J755" s="24">
        <v>11000</v>
      </c>
      <c r="K755" s="21" t="s">
        <v>152</v>
      </c>
      <c r="L755" s="25">
        <v>0.125</v>
      </c>
      <c r="M755" s="25">
        <v>0.05</v>
      </c>
      <c r="N755" s="22"/>
      <c r="O755" s="23" t="s">
        <v>152</v>
      </c>
      <c r="P755" s="20">
        <f t="shared" si="206"/>
        <v>144</v>
      </c>
      <c r="Q755" s="23" t="s">
        <v>152</v>
      </c>
      <c r="R755" s="24">
        <f t="shared" si="207"/>
        <v>1316700</v>
      </c>
      <c r="S755" s="8">
        <f t="shared" si="194"/>
        <v>1186216.2162162161</v>
      </c>
    </row>
    <row r="756" spans="1:19" s="19" customFormat="1">
      <c r="A756" s="18" t="s">
        <v>477</v>
      </c>
      <c r="B756" s="19" t="s">
        <v>18</v>
      </c>
      <c r="C756" s="20">
        <v>252</v>
      </c>
      <c r="D756" s="21" t="s">
        <v>152</v>
      </c>
      <c r="E756" s="26">
        <v>1</v>
      </c>
      <c r="F756" s="22">
        <v>12</v>
      </c>
      <c r="G756" s="23" t="s">
        <v>33</v>
      </c>
      <c r="H756" s="22">
        <v>24</v>
      </c>
      <c r="I756" s="23" t="s">
        <v>152</v>
      </c>
      <c r="J756" s="24">
        <v>5400</v>
      </c>
      <c r="K756" s="21" t="s">
        <v>152</v>
      </c>
      <c r="L756" s="25">
        <v>0.125</v>
      </c>
      <c r="M756" s="25">
        <v>0.05</v>
      </c>
      <c r="N756" s="22"/>
      <c r="O756" s="23" t="s">
        <v>152</v>
      </c>
      <c r="P756" s="20">
        <f t="shared" si="206"/>
        <v>540</v>
      </c>
      <c r="Q756" s="23" t="s">
        <v>152</v>
      </c>
      <c r="R756" s="24">
        <f t="shared" si="207"/>
        <v>2423925</v>
      </c>
      <c r="S756" s="8">
        <f t="shared" si="194"/>
        <v>2183716.2162162159</v>
      </c>
    </row>
    <row r="757" spans="1:19" s="89" customFormat="1">
      <c r="A757" s="88" t="s">
        <v>478</v>
      </c>
      <c r="B757" s="89" t="s">
        <v>18</v>
      </c>
      <c r="C757" s="87"/>
      <c r="D757" s="90" t="s">
        <v>152</v>
      </c>
      <c r="E757" s="91"/>
      <c r="F757" s="92">
        <v>12</v>
      </c>
      <c r="G757" s="93" t="s">
        <v>33</v>
      </c>
      <c r="H757" s="92">
        <v>12</v>
      </c>
      <c r="I757" s="93" t="s">
        <v>152</v>
      </c>
      <c r="J757" s="94">
        <v>16900</v>
      </c>
      <c r="K757" s="90" t="s">
        <v>152</v>
      </c>
      <c r="L757" s="95">
        <v>0.125</v>
      </c>
      <c r="M757" s="95">
        <v>0.05</v>
      </c>
      <c r="N757" s="92"/>
      <c r="O757" s="93" t="s">
        <v>152</v>
      </c>
      <c r="P757" s="87">
        <f t="shared" si="206"/>
        <v>0</v>
      </c>
      <c r="Q757" s="93" t="s">
        <v>152</v>
      </c>
      <c r="R757" s="94">
        <f t="shared" si="207"/>
        <v>0</v>
      </c>
      <c r="S757" s="16">
        <f t="shared" si="194"/>
        <v>0</v>
      </c>
    </row>
    <row r="758" spans="1:19" s="89" customFormat="1">
      <c r="A758" s="88" t="s">
        <v>479</v>
      </c>
      <c r="B758" s="89" t="s">
        <v>18</v>
      </c>
      <c r="C758" s="87"/>
      <c r="D758" s="90" t="s">
        <v>152</v>
      </c>
      <c r="E758" s="91"/>
      <c r="F758" s="92">
        <v>12</v>
      </c>
      <c r="G758" s="93" t="s">
        <v>33</v>
      </c>
      <c r="H758" s="92">
        <v>6</v>
      </c>
      <c r="I758" s="93" t="s">
        <v>152</v>
      </c>
      <c r="J758" s="94">
        <v>33800</v>
      </c>
      <c r="K758" s="90" t="s">
        <v>152</v>
      </c>
      <c r="L758" s="95">
        <v>0.125</v>
      </c>
      <c r="M758" s="95">
        <v>0.05</v>
      </c>
      <c r="N758" s="92"/>
      <c r="O758" s="93" t="s">
        <v>152</v>
      </c>
      <c r="P758" s="87">
        <f t="shared" si="206"/>
        <v>0</v>
      </c>
      <c r="Q758" s="93" t="s">
        <v>152</v>
      </c>
      <c r="R758" s="94">
        <f t="shared" si="207"/>
        <v>0</v>
      </c>
      <c r="S758" s="16">
        <f t="shared" si="194"/>
        <v>0</v>
      </c>
    </row>
    <row r="759" spans="1:19" s="19" customFormat="1">
      <c r="A759" s="18"/>
      <c r="C759" s="20"/>
      <c r="D759" s="21"/>
      <c r="E759" s="26"/>
      <c r="F759" s="22"/>
      <c r="G759" s="23"/>
      <c r="H759" s="22"/>
      <c r="I759" s="23"/>
      <c r="J759" s="24"/>
      <c r="K759" s="21"/>
      <c r="L759" s="25"/>
      <c r="M759" s="25"/>
      <c r="N759" s="22"/>
      <c r="O759" s="23"/>
      <c r="P759" s="20"/>
      <c r="Q759" s="23"/>
      <c r="R759" s="24"/>
      <c r="S759" s="8"/>
    </row>
    <row r="760" spans="1:19" s="19" customFormat="1">
      <c r="A760" s="18" t="s">
        <v>480</v>
      </c>
      <c r="B760" s="19" t="s">
        <v>25</v>
      </c>
      <c r="C760" s="20">
        <v>166</v>
      </c>
      <c r="D760" s="21" t="s">
        <v>40</v>
      </c>
      <c r="E760" s="26">
        <v>4</v>
      </c>
      <c r="F760" s="22">
        <v>24</v>
      </c>
      <c r="G760" s="23" t="s">
        <v>33</v>
      </c>
      <c r="H760" s="22">
        <v>2</v>
      </c>
      <c r="I760" s="23" t="s">
        <v>40</v>
      </c>
      <c r="J760" s="24">
        <f>3801600/24/2</f>
        <v>79200</v>
      </c>
      <c r="K760" s="21" t="s">
        <v>40</v>
      </c>
      <c r="L760" s="25"/>
      <c r="M760" s="25">
        <v>0.17</v>
      </c>
      <c r="N760" s="22"/>
      <c r="O760" s="23" t="s">
        <v>40</v>
      </c>
      <c r="P760" s="20">
        <f t="shared" ref="P760:P761" si="211">(C760+(E760*F760*H760))-N760</f>
        <v>358</v>
      </c>
      <c r="Q760" s="23" t="s">
        <v>40</v>
      </c>
      <c r="R760" s="24">
        <f t="shared" ref="R760:R761" si="212">P760*(J760-(J760*L760)-((J760-(J760*L760))*M760))</f>
        <v>23533488</v>
      </c>
      <c r="S760" s="24">
        <f t="shared" ref="S760:S761" si="213">R760/1.11</f>
        <v>21201340.540540539</v>
      </c>
    </row>
    <row r="761" spans="1:19" s="19" customFormat="1">
      <c r="A761" s="164" t="s">
        <v>481</v>
      </c>
      <c r="B761" s="19" t="s">
        <v>25</v>
      </c>
      <c r="C761" s="20"/>
      <c r="D761" s="21" t="s">
        <v>40</v>
      </c>
      <c r="E761" s="26">
        <v>100</v>
      </c>
      <c r="F761" s="22">
        <v>1</v>
      </c>
      <c r="G761" s="23" t="s">
        <v>20</v>
      </c>
      <c r="H761" s="22">
        <v>24</v>
      </c>
      <c r="I761" s="23" t="s">
        <v>40</v>
      </c>
      <c r="J761" s="24">
        <f>2980800/24</f>
        <v>124200</v>
      </c>
      <c r="K761" s="21" t="s">
        <v>40</v>
      </c>
      <c r="L761" s="25">
        <v>0.03</v>
      </c>
      <c r="M761" s="25">
        <v>0.17</v>
      </c>
      <c r="N761" s="22"/>
      <c r="O761" s="23" t="s">
        <v>40</v>
      </c>
      <c r="P761" s="20">
        <f t="shared" si="211"/>
        <v>2400</v>
      </c>
      <c r="Q761" s="23" t="s">
        <v>40</v>
      </c>
      <c r="R761" s="24">
        <f t="shared" si="212"/>
        <v>239984208</v>
      </c>
      <c r="S761" s="24">
        <f t="shared" si="213"/>
        <v>216201989.18918917</v>
      </c>
    </row>
    <row r="762" spans="1:19" s="19" customFormat="1">
      <c r="A762" s="18" t="s">
        <v>481</v>
      </c>
      <c r="B762" s="19" t="s">
        <v>25</v>
      </c>
      <c r="C762" s="20">
        <v>184</v>
      </c>
      <c r="D762" s="21" t="s">
        <v>40</v>
      </c>
      <c r="E762" s="26">
        <v>11</v>
      </c>
      <c r="F762" s="22">
        <v>1</v>
      </c>
      <c r="G762" s="23" t="s">
        <v>20</v>
      </c>
      <c r="H762" s="22">
        <v>24</v>
      </c>
      <c r="I762" s="23" t="s">
        <v>40</v>
      </c>
      <c r="J762" s="24">
        <f>2980800/24</f>
        <v>124200</v>
      </c>
      <c r="K762" s="21" t="s">
        <v>40</v>
      </c>
      <c r="L762" s="25"/>
      <c r="M762" s="25">
        <v>0.17</v>
      </c>
      <c r="N762" s="22"/>
      <c r="O762" s="23" t="s">
        <v>40</v>
      </c>
      <c r="P762" s="20">
        <f t="shared" ref="P762:P772" si="214">(C762+(E762*F762*H762))-N762</f>
        <v>448</v>
      </c>
      <c r="Q762" s="23" t="s">
        <v>40</v>
      </c>
      <c r="R762" s="24">
        <f t="shared" ref="R762:R772" si="215">P762*(J762-(J762*L762)-((J762-(J762*L762))*M762))</f>
        <v>46182528</v>
      </c>
      <c r="S762" s="24">
        <f t="shared" si="194"/>
        <v>41605881.081081077</v>
      </c>
    </row>
    <row r="763" spans="1:19">
      <c r="A763" s="17" t="s">
        <v>482</v>
      </c>
      <c r="B763" s="2" t="s">
        <v>25</v>
      </c>
      <c r="D763" s="4" t="s">
        <v>40</v>
      </c>
      <c r="E763" s="5">
        <v>2</v>
      </c>
      <c r="F763" s="6">
        <v>1</v>
      </c>
      <c r="G763" s="7" t="s">
        <v>20</v>
      </c>
      <c r="H763" s="6">
        <v>12</v>
      </c>
      <c r="I763" s="7" t="s">
        <v>40</v>
      </c>
      <c r="J763" s="8">
        <f>2980800/12</f>
        <v>248400</v>
      </c>
      <c r="K763" s="4" t="s">
        <v>40</v>
      </c>
      <c r="M763" s="9">
        <v>0.17</v>
      </c>
      <c r="O763" s="7" t="s">
        <v>40</v>
      </c>
      <c r="P763" s="3">
        <f t="shared" si="214"/>
        <v>24</v>
      </c>
      <c r="Q763" s="7" t="s">
        <v>40</v>
      </c>
      <c r="R763" s="8">
        <f t="shared" si="215"/>
        <v>4948128</v>
      </c>
      <c r="S763" s="8">
        <f t="shared" si="194"/>
        <v>4457772.9729729723</v>
      </c>
    </row>
    <row r="764" spans="1:19">
      <c r="A764" s="17" t="s">
        <v>678</v>
      </c>
      <c r="B764" s="2" t="s">
        <v>25</v>
      </c>
      <c r="C764" s="3">
        <v>106</v>
      </c>
      <c r="D764" s="4" t="s">
        <v>152</v>
      </c>
      <c r="F764" s="6">
        <v>20</v>
      </c>
      <c r="G764" s="7" t="s">
        <v>33</v>
      </c>
      <c r="H764" s="6">
        <v>4</v>
      </c>
      <c r="I764" s="7" t="s">
        <v>152</v>
      </c>
      <c r="J764" s="8">
        <f>2640000/20/4</f>
        <v>33000</v>
      </c>
      <c r="K764" s="4" t="s">
        <v>152</v>
      </c>
      <c r="M764" s="9">
        <v>0.17</v>
      </c>
      <c r="O764" s="7" t="s">
        <v>152</v>
      </c>
      <c r="P764" s="3">
        <f t="shared" si="214"/>
        <v>106</v>
      </c>
      <c r="Q764" s="7" t="s">
        <v>152</v>
      </c>
      <c r="R764" s="8">
        <f t="shared" si="215"/>
        <v>2903340</v>
      </c>
      <c r="S764" s="8">
        <f>R764/1.11</f>
        <v>2615621.6216216213</v>
      </c>
    </row>
    <row r="765" spans="1:19" s="80" customFormat="1">
      <c r="A765" s="79" t="s">
        <v>483</v>
      </c>
      <c r="B765" s="80" t="s">
        <v>25</v>
      </c>
      <c r="C765" s="81"/>
      <c r="D765" s="82" t="s">
        <v>40</v>
      </c>
      <c r="E765" s="83"/>
      <c r="F765" s="84">
        <v>1</v>
      </c>
      <c r="G765" s="85" t="s">
        <v>20</v>
      </c>
      <c r="H765" s="84">
        <v>24</v>
      </c>
      <c r="I765" s="85" t="s">
        <v>40</v>
      </c>
      <c r="J765" s="16">
        <f>2448000/24</f>
        <v>102000</v>
      </c>
      <c r="K765" s="82" t="s">
        <v>40</v>
      </c>
      <c r="L765" s="86"/>
      <c r="M765" s="86">
        <v>0.17</v>
      </c>
      <c r="N765" s="84"/>
      <c r="O765" s="85" t="s">
        <v>40</v>
      </c>
      <c r="P765" s="81">
        <f t="shared" si="214"/>
        <v>0</v>
      </c>
      <c r="Q765" s="85" t="s">
        <v>40</v>
      </c>
      <c r="R765" s="16">
        <f t="shared" si="215"/>
        <v>0</v>
      </c>
      <c r="S765" s="16">
        <f t="shared" si="194"/>
        <v>0</v>
      </c>
    </row>
    <row r="766" spans="1:19">
      <c r="A766" s="17" t="s">
        <v>484</v>
      </c>
      <c r="B766" s="2" t="s">
        <v>25</v>
      </c>
      <c r="C766" s="3">
        <v>10</v>
      </c>
      <c r="D766" s="4" t="s">
        <v>40</v>
      </c>
      <c r="F766" s="6">
        <v>1</v>
      </c>
      <c r="G766" s="7" t="s">
        <v>20</v>
      </c>
      <c r="H766" s="6">
        <v>16</v>
      </c>
      <c r="I766" s="7" t="s">
        <v>40</v>
      </c>
      <c r="J766" s="8">
        <f>1824000/16</f>
        <v>114000</v>
      </c>
      <c r="K766" s="4" t="s">
        <v>40</v>
      </c>
      <c r="M766" s="9">
        <v>0.17</v>
      </c>
      <c r="O766" s="7" t="s">
        <v>40</v>
      </c>
      <c r="P766" s="3">
        <f t="shared" si="214"/>
        <v>10</v>
      </c>
      <c r="Q766" s="7" t="s">
        <v>40</v>
      </c>
      <c r="R766" s="8">
        <f t="shared" si="215"/>
        <v>946200</v>
      </c>
      <c r="S766" s="8">
        <f t="shared" si="194"/>
        <v>852432.43243243231</v>
      </c>
    </row>
    <row r="767" spans="1:19" s="80" customFormat="1">
      <c r="A767" s="79" t="s">
        <v>681</v>
      </c>
      <c r="B767" s="80" t="s">
        <v>25</v>
      </c>
      <c r="C767" s="81"/>
      <c r="D767" s="82" t="s">
        <v>152</v>
      </c>
      <c r="E767" s="83"/>
      <c r="F767" s="84">
        <v>24</v>
      </c>
      <c r="G767" s="85" t="s">
        <v>33</v>
      </c>
      <c r="H767" s="84">
        <v>6</v>
      </c>
      <c r="I767" s="85" t="s">
        <v>152</v>
      </c>
      <c r="J767" s="16">
        <f>2448000/24/6</f>
        <v>17000</v>
      </c>
      <c r="K767" s="82" t="s">
        <v>152</v>
      </c>
      <c r="L767" s="86"/>
      <c r="M767" s="86">
        <v>0.17</v>
      </c>
      <c r="N767" s="84"/>
      <c r="O767" s="85" t="s">
        <v>152</v>
      </c>
      <c r="P767" s="81">
        <f t="shared" si="214"/>
        <v>0</v>
      </c>
      <c r="Q767" s="85" t="s">
        <v>152</v>
      </c>
      <c r="R767" s="16">
        <f t="shared" si="215"/>
        <v>0</v>
      </c>
      <c r="S767" s="16">
        <f t="shared" si="194"/>
        <v>0</v>
      </c>
    </row>
    <row r="768" spans="1:19">
      <c r="A768" s="17" t="s">
        <v>485</v>
      </c>
      <c r="B768" s="2" t="s">
        <v>25</v>
      </c>
      <c r="D768" s="4" t="s">
        <v>152</v>
      </c>
      <c r="E768" s="5">
        <v>2</v>
      </c>
      <c r="F768" s="6">
        <v>10</v>
      </c>
      <c r="G768" s="7" t="s">
        <v>40</v>
      </c>
      <c r="H768" s="6">
        <v>12</v>
      </c>
      <c r="I768" s="7" t="s">
        <v>152</v>
      </c>
      <c r="J768" s="8">
        <f>2040000/10/12</f>
        <v>17000</v>
      </c>
      <c r="K768" s="4" t="s">
        <v>152</v>
      </c>
      <c r="M768" s="9">
        <v>0.17</v>
      </c>
      <c r="O768" s="7" t="s">
        <v>152</v>
      </c>
      <c r="P768" s="3">
        <f t="shared" si="214"/>
        <v>240</v>
      </c>
      <c r="Q768" s="7" t="s">
        <v>152</v>
      </c>
      <c r="R768" s="8">
        <f t="shared" si="215"/>
        <v>3386400</v>
      </c>
      <c r="S768" s="8">
        <f t="shared" si="194"/>
        <v>3050810.8108108104</v>
      </c>
    </row>
    <row r="769" spans="1:19" s="80" customFormat="1">
      <c r="A769" s="79" t="s">
        <v>486</v>
      </c>
      <c r="B769" s="80" t="s">
        <v>25</v>
      </c>
      <c r="C769" s="81"/>
      <c r="D769" s="82" t="s">
        <v>152</v>
      </c>
      <c r="E769" s="83">
        <v>1</v>
      </c>
      <c r="F769" s="84">
        <v>10</v>
      </c>
      <c r="G769" s="85" t="s">
        <v>33</v>
      </c>
      <c r="H769" s="84">
        <v>6</v>
      </c>
      <c r="I769" s="85" t="s">
        <v>152</v>
      </c>
      <c r="J769" s="16">
        <f>2040000/10/6</f>
        <v>34000</v>
      </c>
      <c r="K769" s="82" t="s">
        <v>152</v>
      </c>
      <c r="L769" s="86"/>
      <c r="M769" s="86">
        <v>0.17</v>
      </c>
      <c r="N769" s="84"/>
      <c r="O769" s="85" t="s">
        <v>152</v>
      </c>
      <c r="P769" s="81">
        <f t="shared" si="214"/>
        <v>60</v>
      </c>
      <c r="Q769" s="85" t="s">
        <v>152</v>
      </c>
      <c r="R769" s="16">
        <f t="shared" si="215"/>
        <v>1693200</v>
      </c>
      <c r="S769" s="16">
        <f t="shared" si="194"/>
        <v>1525405.4054054052</v>
      </c>
    </row>
    <row r="770" spans="1:19" s="89" customFormat="1">
      <c r="A770" s="88" t="s">
        <v>487</v>
      </c>
      <c r="B770" s="89" t="s">
        <v>25</v>
      </c>
      <c r="C770" s="87"/>
      <c r="D770" s="90" t="s">
        <v>152</v>
      </c>
      <c r="E770" s="91"/>
      <c r="F770" s="92">
        <v>24</v>
      </c>
      <c r="G770" s="93" t="s">
        <v>40</v>
      </c>
      <c r="H770" s="92">
        <v>12</v>
      </c>
      <c r="I770" s="93" t="s">
        <v>152</v>
      </c>
      <c r="J770" s="94">
        <f>3571200/24/12</f>
        <v>12400</v>
      </c>
      <c r="K770" s="90" t="s">
        <v>152</v>
      </c>
      <c r="L770" s="95"/>
      <c r="M770" s="95">
        <v>0.17</v>
      </c>
      <c r="N770" s="92"/>
      <c r="O770" s="93" t="s">
        <v>152</v>
      </c>
      <c r="P770" s="87">
        <f t="shared" si="214"/>
        <v>0</v>
      </c>
      <c r="Q770" s="93" t="s">
        <v>152</v>
      </c>
      <c r="R770" s="94">
        <f t="shared" si="215"/>
        <v>0</v>
      </c>
      <c r="S770" s="16">
        <f t="shared" si="194"/>
        <v>0</v>
      </c>
    </row>
    <row r="771" spans="1:19" s="89" customFormat="1">
      <c r="A771" s="88" t="s">
        <v>488</v>
      </c>
      <c r="B771" s="89" t="s">
        <v>25</v>
      </c>
      <c r="C771" s="87"/>
      <c r="D771" s="90" t="s">
        <v>152</v>
      </c>
      <c r="E771" s="91"/>
      <c r="F771" s="92">
        <v>16</v>
      </c>
      <c r="G771" s="93" t="s">
        <v>40</v>
      </c>
      <c r="H771" s="92">
        <v>12</v>
      </c>
      <c r="I771" s="93" t="s">
        <v>152</v>
      </c>
      <c r="J771" s="94">
        <f>3648000/16/12</f>
        <v>19000</v>
      </c>
      <c r="K771" s="90" t="s">
        <v>152</v>
      </c>
      <c r="L771" s="95"/>
      <c r="M771" s="95">
        <v>0.17</v>
      </c>
      <c r="N771" s="92"/>
      <c r="O771" s="93" t="s">
        <v>152</v>
      </c>
      <c r="P771" s="87">
        <f t="shared" si="214"/>
        <v>0</v>
      </c>
      <c r="Q771" s="93" t="s">
        <v>152</v>
      </c>
      <c r="R771" s="94">
        <f t="shared" si="215"/>
        <v>0</v>
      </c>
      <c r="S771" s="16">
        <f t="shared" si="194"/>
        <v>0</v>
      </c>
    </row>
    <row r="772" spans="1:19" s="80" customFormat="1">
      <c r="A772" s="79" t="s">
        <v>489</v>
      </c>
      <c r="B772" s="80" t="s">
        <v>25</v>
      </c>
      <c r="C772" s="81"/>
      <c r="D772" s="82" t="s">
        <v>152</v>
      </c>
      <c r="E772" s="83"/>
      <c r="F772" s="84">
        <v>24</v>
      </c>
      <c r="G772" s="85" t="s">
        <v>33</v>
      </c>
      <c r="H772" s="84">
        <v>6</v>
      </c>
      <c r="I772" s="85" t="s">
        <v>152</v>
      </c>
      <c r="J772" s="16">
        <v>22000</v>
      </c>
      <c r="K772" s="82" t="s">
        <v>152</v>
      </c>
      <c r="L772" s="86"/>
      <c r="M772" s="86">
        <v>0.17</v>
      </c>
      <c r="N772" s="84"/>
      <c r="O772" s="85" t="s">
        <v>152</v>
      </c>
      <c r="P772" s="81">
        <f t="shared" si="214"/>
        <v>0</v>
      </c>
      <c r="Q772" s="85" t="s">
        <v>152</v>
      </c>
      <c r="R772" s="16">
        <f t="shared" si="215"/>
        <v>0</v>
      </c>
      <c r="S772" s="16">
        <f t="shared" si="194"/>
        <v>0</v>
      </c>
    </row>
    <row r="774" spans="1:19" ht="15.75">
      <c r="A774" s="14" t="s">
        <v>490</v>
      </c>
    </row>
    <row r="775" spans="1:19">
      <c r="A775" s="17" t="s">
        <v>491</v>
      </c>
      <c r="B775" s="2" t="s">
        <v>18</v>
      </c>
      <c r="C775" s="3">
        <v>72</v>
      </c>
      <c r="D775" s="4" t="s">
        <v>19</v>
      </c>
      <c r="F775" s="6">
        <v>12</v>
      </c>
      <c r="G775" s="7" t="s">
        <v>33</v>
      </c>
      <c r="H775" s="6">
        <v>24</v>
      </c>
      <c r="I775" s="7" t="s">
        <v>19</v>
      </c>
      <c r="J775" s="8">
        <v>3550</v>
      </c>
      <c r="K775" s="4" t="s">
        <v>19</v>
      </c>
      <c r="L775" s="9">
        <v>0.125</v>
      </c>
      <c r="M775" s="9">
        <v>0.05</v>
      </c>
      <c r="O775" s="7" t="s">
        <v>19</v>
      </c>
      <c r="P775" s="3">
        <f>(C775+(E775*F775*H775))-N775</f>
        <v>72</v>
      </c>
      <c r="Q775" s="7" t="s">
        <v>19</v>
      </c>
      <c r="R775" s="8">
        <f>P775*(J775-(J775*L775)-((J775-(J775*L775))*M775))</f>
        <v>212467.5</v>
      </c>
      <c r="S775" s="8">
        <f t="shared" si="194"/>
        <v>191412.16216216216</v>
      </c>
    </row>
    <row r="776" spans="1:19" s="19" customFormat="1">
      <c r="A776" s="31" t="s">
        <v>829</v>
      </c>
      <c r="B776" s="32" t="s">
        <v>18</v>
      </c>
      <c r="C776" s="33"/>
      <c r="D776" s="34" t="s">
        <v>19</v>
      </c>
      <c r="E776" s="35">
        <v>1</v>
      </c>
      <c r="F776" s="36">
        <v>1</v>
      </c>
      <c r="G776" s="37" t="s">
        <v>20</v>
      </c>
      <c r="H776" s="36">
        <v>288</v>
      </c>
      <c r="I776" s="37" t="s">
        <v>19</v>
      </c>
      <c r="J776" s="38">
        <v>4000</v>
      </c>
      <c r="K776" s="34" t="s">
        <v>19</v>
      </c>
      <c r="L776" s="39">
        <v>0.125</v>
      </c>
      <c r="M776" s="39">
        <v>0.05</v>
      </c>
      <c r="N776" s="36"/>
      <c r="O776" s="37" t="s">
        <v>19</v>
      </c>
      <c r="P776" s="33">
        <f>(C776+(E776*F776*H776))-N776</f>
        <v>288</v>
      </c>
      <c r="Q776" s="37" t="s">
        <v>19</v>
      </c>
      <c r="R776" s="38">
        <f>P776*(J776-(J776*L776)-((J776-(J776*L776))*M776))</f>
        <v>957600</v>
      </c>
      <c r="S776" s="38">
        <f t="shared" ref="S776" si="216">R776/1.11</f>
        <v>862702.70270270261</v>
      </c>
    </row>
    <row r="777" spans="1:19">
      <c r="A777" s="31" t="s">
        <v>492</v>
      </c>
      <c r="B777" s="32" t="s">
        <v>18</v>
      </c>
      <c r="C777" s="33">
        <v>276</v>
      </c>
      <c r="D777" s="34" t="s">
        <v>19</v>
      </c>
      <c r="E777" s="35"/>
      <c r="F777" s="36">
        <v>1</v>
      </c>
      <c r="G777" s="37" t="s">
        <v>20</v>
      </c>
      <c r="H777" s="36">
        <v>288</v>
      </c>
      <c r="I777" s="37" t="s">
        <v>19</v>
      </c>
      <c r="J777" s="38">
        <v>3550</v>
      </c>
      <c r="K777" s="34" t="s">
        <v>19</v>
      </c>
      <c r="L777" s="39">
        <v>0.125</v>
      </c>
      <c r="M777" s="39">
        <v>0.05</v>
      </c>
      <c r="N777" s="36"/>
      <c r="O777" s="37" t="s">
        <v>19</v>
      </c>
      <c r="P777" s="33">
        <f>(C777+(E777*F777*H777))-N777</f>
        <v>276</v>
      </c>
      <c r="Q777" s="37" t="s">
        <v>19</v>
      </c>
      <c r="R777" s="38">
        <f>P777*(J777-(J777*L777)-((J777-(J777*L777))*M777))</f>
        <v>814458.75</v>
      </c>
      <c r="S777" s="38">
        <f t="shared" si="194"/>
        <v>733746.62162162154</v>
      </c>
    </row>
    <row r="778" spans="1:19" s="19" customFormat="1">
      <c r="A778" s="18" t="s">
        <v>493</v>
      </c>
      <c r="B778" s="19" t="s">
        <v>18</v>
      </c>
      <c r="C778" s="20">
        <v>2508</v>
      </c>
      <c r="D778" s="21" t="s">
        <v>19</v>
      </c>
      <c r="E778" s="26">
        <v>19</v>
      </c>
      <c r="F778" s="22">
        <v>1</v>
      </c>
      <c r="G778" s="23" t="s">
        <v>20</v>
      </c>
      <c r="H778" s="22">
        <v>288</v>
      </c>
      <c r="I778" s="23" t="s">
        <v>19</v>
      </c>
      <c r="J778" s="24">
        <v>4800</v>
      </c>
      <c r="K778" s="21" t="s">
        <v>19</v>
      </c>
      <c r="L778" s="25">
        <v>0.125</v>
      </c>
      <c r="M778" s="25">
        <v>0.05</v>
      </c>
      <c r="N778" s="22"/>
      <c r="O778" s="23" t="s">
        <v>19</v>
      </c>
      <c r="P778" s="20">
        <f>(C778+(E778*F778*H778))-N778</f>
        <v>7980</v>
      </c>
      <c r="Q778" s="23" t="s">
        <v>19</v>
      </c>
      <c r="R778" s="24">
        <f>P778*(J778-(J778*L778)-((J778-(J778*L778))*M778))</f>
        <v>31840200</v>
      </c>
      <c r="S778" s="24">
        <f t="shared" si="194"/>
        <v>28684864.864864863</v>
      </c>
    </row>
    <row r="779" spans="1:19" s="19" customFormat="1">
      <c r="A779" s="18"/>
      <c r="C779" s="20"/>
      <c r="D779" s="21"/>
      <c r="E779" s="26"/>
      <c r="F779" s="22"/>
      <c r="G779" s="23"/>
      <c r="H779" s="22"/>
      <c r="I779" s="23"/>
      <c r="J779" s="24"/>
      <c r="K779" s="21"/>
      <c r="L779" s="25"/>
      <c r="M779" s="25"/>
      <c r="N779" s="22"/>
      <c r="O779" s="23"/>
      <c r="P779" s="20"/>
      <c r="Q779" s="23"/>
      <c r="R779" s="24"/>
      <c r="S779" s="24"/>
    </row>
    <row r="780" spans="1:19" s="19" customFormat="1">
      <c r="A780" s="18" t="s">
        <v>494</v>
      </c>
      <c r="B780" s="19" t="s">
        <v>25</v>
      </c>
      <c r="C780" s="20">
        <v>174</v>
      </c>
      <c r="D780" s="21" t="s">
        <v>40</v>
      </c>
      <c r="E780" s="26">
        <v>5</v>
      </c>
      <c r="F780" s="22">
        <v>1</v>
      </c>
      <c r="G780" s="23" t="s">
        <v>20</v>
      </c>
      <c r="H780" s="22">
        <v>24</v>
      </c>
      <c r="I780" s="23" t="s">
        <v>40</v>
      </c>
      <c r="J780" s="24">
        <f>1497600/24</f>
        <v>62400</v>
      </c>
      <c r="K780" s="21" t="s">
        <v>40</v>
      </c>
      <c r="L780" s="25"/>
      <c r="M780" s="25">
        <v>0.17</v>
      </c>
      <c r="N780" s="22"/>
      <c r="O780" s="23" t="s">
        <v>40</v>
      </c>
      <c r="P780" s="20">
        <f>(C780+(E780*F780*H780))-N780</f>
        <v>294</v>
      </c>
      <c r="Q780" s="23" t="s">
        <v>40</v>
      </c>
      <c r="R780" s="24">
        <f>P780*(J780-(J780*L780)-((J780-(J780*L780))*M780))</f>
        <v>15226848</v>
      </c>
      <c r="S780" s="24">
        <f t="shared" si="194"/>
        <v>13717881.081081079</v>
      </c>
    </row>
    <row r="781" spans="1:19" s="19" customFormat="1">
      <c r="A781" s="18"/>
      <c r="C781" s="20"/>
      <c r="D781" s="21"/>
      <c r="E781" s="26"/>
      <c r="F781" s="22"/>
      <c r="G781" s="23"/>
      <c r="H781" s="22"/>
      <c r="I781" s="23"/>
      <c r="J781" s="24"/>
      <c r="K781" s="21"/>
      <c r="L781" s="25"/>
      <c r="M781" s="25"/>
      <c r="N781" s="22"/>
      <c r="O781" s="23"/>
      <c r="P781" s="20"/>
      <c r="Q781" s="23"/>
      <c r="R781" s="24"/>
      <c r="S781" s="8"/>
    </row>
    <row r="782" spans="1:19">
      <c r="A782" s="56" t="s">
        <v>495</v>
      </c>
      <c r="B782" s="2" t="s">
        <v>172</v>
      </c>
      <c r="C782" s="3">
        <v>1026</v>
      </c>
      <c r="D782" s="4" t="s">
        <v>19</v>
      </c>
      <c r="F782" s="6">
        <v>1</v>
      </c>
      <c r="G782" s="7" t="s">
        <v>20</v>
      </c>
      <c r="H782" s="6">
        <v>120</v>
      </c>
      <c r="I782" s="7" t="s">
        <v>19</v>
      </c>
      <c r="J782" s="8">
        <v>11500</v>
      </c>
      <c r="K782" s="4" t="s">
        <v>19</v>
      </c>
      <c r="O782" s="7" t="s">
        <v>19</v>
      </c>
      <c r="P782" s="3">
        <f t="shared" ref="P782:P785" si="217">(C782+(E782*F782*H782))-N782</f>
        <v>1026</v>
      </c>
      <c r="Q782" s="7" t="s">
        <v>19</v>
      </c>
      <c r="R782" s="8">
        <f t="shared" ref="R782:R785" si="218">P782*(J782-(J782*L782)-((J782-(J782*L782))*M782))</f>
        <v>11799000</v>
      </c>
      <c r="S782" s="8">
        <f t="shared" si="194"/>
        <v>10629729.729729729</v>
      </c>
    </row>
    <row r="783" spans="1:19">
      <c r="A783" s="56" t="s">
        <v>717</v>
      </c>
      <c r="B783" s="2" t="s">
        <v>172</v>
      </c>
      <c r="C783" s="3">
        <v>251</v>
      </c>
      <c r="D783" s="4" t="s">
        <v>19</v>
      </c>
      <c r="F783" s="6">
        <v>1</v>
      </c>
      <c r="G783" s="7" t="s">
        <v>20</v>
      </c>
      <c r="H783" s="6">
        <v>100</v>
      </c>
      <c r="I783" s="7" t="s">
        <v>19</v>
      </c>
      <c r="J783" s="8">
        <v>13500</v>
      </c>
      <c r="K783" s="4" t="s">
        <v>19</v>
      </c>
      <c r="L783" s="9">
        <v>0.05</v>
      </c>
      <c r="O783" s="7" t="s">
        <v>19</v>
      </c>
      <c r="P783" s="3">
        <f t="shared" si="217"/>
        <v>251</v>
      </c>
      <c r="Q783" s="7" t="s">
        <v>19</v>
      </c>
      <c r="R783" s="8">
        <f t="shared" si="218"/>
        <v>3219075</v>
      </c>
      <c r="S783" s="8">
        <f t="shared" si="194"/>
        <v>2900067.5675675673</v>
      </c>
    </row>
    <row r="784" spans="1:19">
      <c r="A784" s="56" t="s">
        <v>496</v>
      </c>
      <c r="B784" s="2" t="s">
        <v>172</v>
      </c>
      <c r="C784" s="3">
        <v>486</v>
      </c>
      <c r="D784" s="4" t="s">
        <v>19</v>
      </c>
      <c r="F784" s="6">
        <v>1</v>
      </c>
      <c r="G784" s="7" t="s">
        <v>20</v>
      </c>
      <c r="H784" s="6">
        <v>96</v>
      </c>
      <c r="I784" s="7" t="s">
        <v>19</v>
      </c>
      <c r="J784" s="8">
        <v>21000</v>
      </c>
      <c r="K784" s="4" t="s">
        <v>19</v>
      </c>
      <c r="O784" s="7" t="s">
        <v>19</v>
      </c>
      <c r="P784" s="3">
        <f t="shared" si="217"/>
        <v>486</v>
      </c>
      <c r="Q784" s="7" t="s">
        <v>19</v>
      </c>
      <c r="R784" s="8">
        <f t="shared" si="218"/>
        <v>10206000</v>
      </c>
      <c r="S784" s="8">
        <f t="shared" si="194"/>
        <v>9194594.5945945941</v>
      </c>
    </row>
    <row r="785" spans="1:19" s="80" customFormat="1">
      <c r="A785" s="147" t="s">
        <v>688</v>
      </c>
      <c r="B785" s="80" t="s">
        <v>172</v>
      </c>
      <c r="C785" s="81"/>
      <c r="D785" s="82" t="s">
        <v>19</v>
      </c>
      <c r="E785" s="83"/>
      <c r="F785" s="84">
        <v>1</v>
      </c>
      <c r="G785" s="85" t="s">
        <v>20</v>
      </c>
      <c r="H785" s="84">
        <v>144</v>
      </c>
      <c r="I785" s="85" t="s">
        <v>19</v>
      </c>
      <c r="J785" s="16">
        <v>8750</v>
      </c>
      <c r="K785" s="82" t="s">
        <v>19</v>
      </c>
      <c r="L785" s="86"/>
      <c r="M785" s="86"/>
      <c r="N785" s="84"/>
      <c r="O785" s="85" t="s">
        <v>19</v>
      </c>
      <c r="P785" s="81">
        <f t="shared" si="217"/>
        <v>0</v>
      </c>
      <c r="Q785" s="85" t="s">
        <v>19</v>
      </c>
      <c r="R785" s="16">
        <f t="shared" si="218"/>
        <v>0</v>
      </c>
      <c r="S785" s="16">
        <f t="shared" si="194"/>
        <v>0</v>
      </c>
    </row>
    <row r="786" spans="1:19">
      <c r="A786" s="56" t="s">
        <v>689</v>
      </c>
      <c r="B786" s="2" t="s">
        <v>172</v>
      </c>
      <c r="C786" s="3">
        <v>24</v>
      </c>
      <c r="D786" s="4" t="s">
        <v>19</v>
      </c>
      <c r="F786" s="6">
        <v>1</v>
      </c>
      <c r="G786" s="7" t="s">
        <v>20</v>
      </c>
      <c r="H786" s="6">
        <v>144</v>
      </c>
      <c r="I786" s="7" t="s">
        <v>19</v>
      </c>
      <c r="J786" s="8">
        <v>8750</v>
      </c>
      <c r="K786" s="4" t="s">
        <v>19</v>
      </c>
      <c r="O786" s="7" t="s">
        <v>19</v>
      </c>
      <c r="P786" s="3">
        <f>(C786+(E786*F786*H786))-N786</f>
        <v>24</v>
      </c>
      <c r="Q786" s="7" t="s">
        <v>19</v>
      </c>
      <c r="R786" s="8">
        <f>P786*(J786-(J786*L786)-((J786-(J786*L786))*M786))</f>
        <v>210000</v>
      </c>
      <c r="S786" s="8">
        <f>R786/1.11</f>
        <v>189189.18918918917</v>
      </c>
    </row>
    <row r="787" spans="1:19">
      <c r="A787" s="56" t="s">
        <v>690</v>
      </c>
      <c r="B787" s="2" t="s">
        <v>172</v>
      </c>
      <c r="C787" s="3">
        <v>40</v>
      </c>
      <c r="D787" s="4" t="s">
        <v>19</v>
      </c>
      <c r="F787" s="6">
        <v>1</v>
      </c>
      <c r="G787" s="7" t="s">
        <v>20</v>
      </c>
      <c r="H787" s="6">
        <v>160</v>
      </c>
      <c r="I787" s="7" t="s">
        <v>19</v>
      </c>
      <c r="J787" s="8">
        <v>8750</v>
      </c>
      <c r="K787" s="4" t="s">
        <v>19</v>
      </c>
      <c r="O787" s="7" t="s">
        <v>19</v>
      </c>
      <c r="P787" s="3">
        <f>(C787+(E787*F787*H787))-N787</f>
        <v>40</v>
      </c>
      <c r="Q787" s="7" t="s">
        <v>19</v>
      </c>
      <c r="R787" s="8">
        <f>P787*(J787-(J787*L787)-((J787-(J787*L787))*M787))</f>
        <v>350000</v>
      </c>
      <c r="S787" s="8">
        <f>R787/1.11</f>
        <v>315315.31531531527</v>
      </c>
    </row>
    <row r="788" spans="1:19" s="19" customFormat="1">
      <c r="A788" s="48" t="s">
        <v>840</v>
      </c>
      <c r="B788" s="19" t="s">
        <v>172</v>
      </c>
      <c r="C788" s="20"/>
      <c r="D788" s="21" t="s">
        <v>19</v>
      </c>
      <c r="E788" s="26">
        <v>6</v>
      </c>
      <c r="F788" s="22">
        <v>1</v>
      </c>
      <c r="G788" s="23" t="s">
        <v>20</v>
      </c>
      <c r="H788" s="22">
        <v>160</v>
      </c>
      <c r="I788" s="23" t="s">
        <v>19</v>
      </c>
      <c r="J788" s="24">
        <v>9500</v>
      </c>
      <c r="K788" s="21" t="s">
        <v>19</v>
      </c>
      <c r="L788" s="25">
        <v>0.05</v>
      </c>
      <c r="M788" s="25"/>
      <c r="N788" s="22"/>
      <c r="O788" s="23" t="s">
        <v>19</v>
      </c>
      <c r="P788" s="20">
        <f>(C788+(E788*F788*H788))-N788</f>
        <v>960</v>
      </c>
      <c r="Q788" s="23" t="s">
        <v>19</v>
      </c>
      <c r="R788" s="24">
        <f>P788*(J788-(J788*L788)-((J788-(J788*L788))*M788))</f>
        <v>8664000</v>
      </c>
      <c r="S788" s="24">
        <f>R788/1.11</f>
        <v>7805405.405405405</v>
      </c>
    </row>
    <row r="789" spans="1:19">
      <c r="A789" s="48" t="s">
        <v>834</v>
      </c>
      <c r="B789" s="2" t="s">
        <v>172</v>
      </c>
      <c r="D789" s="4" t="s">
        <v>19</v>
      </c>
      <c r="E789" s="5">
        <v>3</v>
      </c>
      <c r="F789" s="6">
        <v>1</v>
      </c>
      <c r="G789" s="7" t="s">
        <v>20</v>
      </c>
      <c r="H789" s="6">
        <v>192</v>
      </c>
      <c r="I789" s="7" t="s">
        <v>19</v>
      </c>
      <c r="J789" s="8">
        <v>9500</v>
      </c>
      <c r="K789" s="4" t="s">
        <v>19</v>
      </c>
      <c r="L789" s="9">
        <v>0.05</v>
      </c>
      <c r="O789" s="7" t="s">
        <v>19</v>
      </c>
      <c r="P789" s="3">
        <f>(C789+(E789*F789*H789))-N789</f>
        <v>576</v>
      </c>
      <c r="Q789" s="7" t="s">
        <v>19</v>
      </c>
      <c r="R789" s="8">
        <f>P789*(J789-(J789*L789)-((J789-(J789*L789))*M789))</f>
        <v>5198400</v>
      </c>
      <c r="S789" s="8">
        <f>R789/1.11</f>
        <v>4683243.2432432426</v>
      </c>
    </row>
    <row r="790" spans="1:19">
      <c r="A790" s="48"/>
    </row>
    <row r="791" spans="1:19">
      <c r="A791" s="17" t="s">
        <v>684</v>
      </c>
      <c r="B791" s="2" t="s">
        <v>261</v>
      </c>
      <c r="C791" s="3">
        <v>2244</v>
      </c>
      <c r="D791" s="4" t="s">
        <v>19</v>
      </c>
      <c r="E791" s="41"/>
      <c r="F791" s="6">
        <v>1</v>
      </c>
      <c r="G791" s="7" t="s">
        <v>20</v>
      </c>
      <c r="H791" s="42">
        <v>480</v>
      </c>
      <c r="I791" s="7" t="s">
        <v>19</v>
      </c>
      <c r="J791" s="8">
        <v>26000</v>
      </c>
      <c r="K791" s="4" t="s">
        <v>19</v>
      </c>
      <c r="L791" s="40">
        <v>0.2</v>
      </c>
      <c r="O791" s="7" t="s">
        <v>19</v>
      </c>
      <c r="P791" s="3">
        <f>(C791+(E791*F791*H791))-N791</f>
        <v>2244</v>
      </c>
      <c r="Q791" s="7" t="s">
        <v>19</v>
      </c>
      <c r="R791" s="8">
        <f>P791*(J791-(J791*L791)-((J791-(J791*L791))*M791))</f>
        <v>46675200</v>
      </c>
      <c r="S791" s="8">
        <f>R791/1.11</f>
        <v>42049729.729729727</v>
      </c>
    </row>
    <row r="792" spans="1:19">
      <c r="A792" s="17" t="s">
        <v>686</v>
      </c>
      <c r="B792" s="2" t="s">
        <v>261</v>
      </c>
      <c r="C792" s="3">
        <v>2208</v>
      </c>
      <c r="D792" s="4" t="s">
        <v>19</v>
      </c>
      <c r="E792" s="41"/>
      <c r="F792" s="6">
        <v>1</v>
      </c>
      <c r="G792" s="7" t="s">
        <v>20</v>
      </c>
      <c r="H792" s="42">
        <v>480</v>
      </c>
      <c r="I792" s="7" t="s">
        <v>19</v>
      </c>
      <c r="J792" s="8">
        <v>20800</v>
      </c>
      <c r="K792" s="4" t="s">
        <v>19</v>
      </c>
      <c r="L792" s="40">
        <v>0.3</v>
      </c>
      <c r="O792" s="7" t="s">
        <v>19</v>
      </c>
      <c r="P792" s="3">
        <f>(C792+(E792*F792*H792))-N792</f>
        <v>2208</v>
      </c>
      <c r="Q792" s="7" t="s">
        <v>19</v>
      </c>
      <c r="R792" s="8">
        <f>P792*(J792-(J792*L792)-((J792-(J792*L792))*M792))</f>
        <v>32148480</v>
      </c>
      <c r="S792" s="8">
        <f>R792/1.11</f>
        <v>28962594.59459459</v>
      </c>
    </row>
    <row r="793" spans="1:19">
      <c r="A793" s="17" t="s">
        <v>682</v>
      </c>
      <c r="B793" s="2" t="s">
        <v>261</v>
      </c>
      <c r="C793" s="3">
        <v>1944</v>
      </c>
      <c r="D793" s="4" t="s">
        <v>19</v>
      </c>
      <c r="E793" s="41"/>
      <c r="F793" s="6">
        <v>1</v>
      </c>
      <c r="G793" s="7" t="s">
        <v>20</v>
      </c>
      <c r="H793" s="42">
        <v>480</v>
      </c>
      <c r="I793" s="7" t="s">
        <v>19</v>
      </c>
      <c r="J793" s="8">
        <v>15000</v>
      </c>
      <c r="K793" s="4" t="s">
        <v>19</v>
      </c>
      <c r="L793" s="40">
        <v>0.2</v>
      </c>
      <c r="O793" s="7" t="s">
        <v>19</v>
      </c>
      <c r="P793" s="3">
        <f>(C793+(E793*F793*H793))-N793</f>
        <v>1944</v>
      </c>
      <c r="Q793" s="7" t="s">
        <v>19</v>
      </c>
      <c r="R793" s="8">
        <f>P793*(J793-(J793*L793)-((J793-(J793*L793))*M793))</f>
        <v>23328000</v>
      </c>
      <c r="S793" s="8">
        <f>R793/1.11</f>
        <v>21016216.216216214</v>
      </c>
    </row>
    <row r="794" spans="1:19">
      <c r="A794" s="17" t="s">
        <v>685</v>
      </c>
      <c r="B794" s="2" t="s">
        <v>261</v>
      </c>
      <c r="C794" s="3">
        <v>2094</v>
      </c>
      <c r="D794" s="4" t="s">
        <v>19</v>
      </c>
      <c r="E794" s="41"/>
      <c r="F794" s="6">
        <v>1</v>
      </c>
      <c r="G794" s="7" t="s">
        <v>20</v>
      </c>
      <c r="H794" s="42">
        <v>480</v>
      </c>
      <c r="I794" s="7" t="s">
        <v>19</v>
      </c>
      <c r="J794" s="8">
        <v>29900</v>
      </c>
      <c r="K794" s="4" t="s">
        <v>19</v>
      </c>
      <c r="L794" s="40">
        <v>0.25</v>
      </c>
      <c r="O794" s="7" t="s">
        <v>19</v>
      </c>
      <c r="P794" s="3">
        <f>(C794+(E794*F794*H794))-N794</f>
        <v>2094</v>
      </c>
      <c r="Q794" s="7" t="s">
        <v>19</v>
      </c>
      <c r="R794" s="8">
        <f>P794*(J794-(J794*L794)-((J794-(J794*L794))*M794))</f>
        <v>46957950</v>
      </c>
      <c r="S794" s="8">
        <f>R794/1.11</f>
        <v>42304459.459459454</v>
      </c>
    </row>
    <row r="795" spans="1:19">
      <c r="A795" s="17" t="s">
        <v>683</v>
      </c>
      <c r="B795" s="2" t="s">
        <v>261</v>
      </c>
      <c r="C795" s="3">
        <v>1272</v>
      </c>
      <c r="D795" s="4" t="s">
        <v>19</v>
      </c>
      <c r="E795" s="41"/>
      <c r="F795" s="6">
        <v>1</v>
      </c>
      <c r="G795" s="7" t="s">
        <v>20</v>
      </c>
      <c r="H795" s="42">
        <v>384</v>
      </c>
      <c r="I795" s="7" t="s">
        <v>19</v>
      </c>
      <c r="J795" s="8">
        <v>16000</v>
      </c>
      <c r="K795" s="4" t="s">
        <v>19</v>
      </c>
      <c r="L795" s="40">
        <v>0.25</v>
      </c>
      <c r="O795" s="7" t="s">
        <v>19</v>
      </c>
      <c r="P795" s="3">
        <f>(C795+(E795*F795*H795))-N795</f>
        <v>1272</v>
      </c>
      <c r="Q795" s="7" t="s">
        <v>19</v>
      </c>
      <c r="R795" s="8">
        <f>P795*(J795-(J795*L795)-((J795-(J795*L795))*M795))</f>
        <v>15264000</v>
      </c>
      <c r="S795" s="8">
        <f>R795/1.11</f>
        <v>13751351.351351351</v>
      </c>
    </row>
    <row r="797" spans="1:19" ht="15.75">
      <c r="A797" s="14" t="s">
        <v>497</v>
      </c>
    </row>
    <row r="798" spans="1:19">
      <c r="A798" s="15" t="s">
        <v>498</v>
      </c>
    </row>
    <row r="799" spans="1:19">
      <c r="A799" s="17" t="s">
        <v>765</v>
      </c>
      <c r="B799" s="2" t="s">
        <v>18</v>
      </c>
      <c r="D799" s="4" t="s">
        <v>33</v>
      </c>
      <c r="E799" s="5">
        <v>1</v>
      </c>
      <c r="F799" s="6">
        <v>1</v>
      </c>
      <c r="G799" s="7" t="s">
        <v>20</v>
      </c>
      <c r="H799" s="6">
        <v>48</v>
      </c>
      <c r="I799" s="7" t="s">
        <v>33</v>
      </c>
      <c r="J799" s="8">
        <v>31200</v>
      </c>
      <c r="K799" s="4" t="s">
        <v>33</v>
      </c>
      <c r="L799" s="9">
        <v>0.125</v>
      </c>
      <c r="M799" s="9">
        <v>0.05</v>
      </c>
      <c r="O799" s="7" t="s">
        <v>33</v>
      </c>
      <c r="P799" s="3">
        <f>(C799+(E799*F799*H799))-N799</f>
        <v>48</v>
      </c>
      <c r="Q799" s="7" t="s">
        <v>33</v>
      </c>
      <c r="R799" s="8">
        <f>P799*(J799-(J799*L799)-((J799-(J799*L799))*M799))</f>
        <v>1244880</v>
      </c>
      <c r="S799" s="8">
        <f t="shared" si="194"/>
        <v>1121513.5135135134</v>
      </c>
    </row>
    <row r="801" spans="1:19" s="19" customFormat="1">
      <c r="A801" s="49" t="s">
        <v>766</v>
      </c>
      <c r="B801" s="19" t="s">
        <v>25</v>
      </c>
      <c r="C801" s="20">
        <v>122</v>
      </c>
      <c r="D801" s="21" t="s">
        <v>40</v>
      </c>
      <c r="E801" s="26">
        <v>1</v>
      </c>
      <c r="F801" s="22">
        <v>1</v>
      </c>
      <c r="G801" s="23" t="s">
        <v>20</v>
      </c>
      <c r="H801" s="22">
        <v>48</v>
      </c>
      <c r="I801" s="23" t="s">
        <v>40</v>
      </c>
      <c r="J801" s="24">
        <f>1584000/48</f>
        <v>33000</v>
      </c>
      <c r="K801" s="21" t="s">
        <v>40</v>
      </c>
      <c r="L801" s="25"/>
      <c r="M801" s="25">
        <v>0.17</v>
      </c>
      <c r="N801" s="22"/>
      <c r="O801" s="23" t="s">
        <v>40</v>
      </c>
      <c r="P801" s="20">
        <f>(C801+(E801*F801*H801))-N801</f>
        <v>170</v>
      </c>
      <c r="Q801" s="23" t="s">
        <v>40</v>
      </c>
      <c r="R801" s="24">
        <f>P801*(J801-(J801*L801)-((J801-(J801*L801))*M801))</f>
        <v>4656300</v>
      </c>
      <c r="S801" s="24">
        <f t="shared" si="194"/>
        <v>4194864.8648648644</v>
      </c>
    </row>
    <row r="803" spans="1:19" ht="15.75">
      <c r="A803" s="14" t="s">
        <v>499</v>
      </c>
    </row>
    <row r="804" spans="1:19" s="19" customFormat="1">
      <c r="A804" s="18" t="s">
        <v>660</v>
      </c>
      <c r="B804" s="19" t="s">
        <v>18</v>
      </c>
      <c r="C804" s="20">
        <v>36</v>
      </c>
      <c r="D804" s="21" t="s">
        <v>19</v>
      </c>
      <c r="E804" s="26"/>
      <c r="F804" s="22">
        <v>10</v>
      </c>
      <c r="G804" s="23" t="s">
        <v>33</v>
      </c>
      <c r="H804" s="22">
        <v>12</v>
      </c>
      <c r="I804" s="23" t="s">
        <v>19</v>
      </c>
      <c r="J804" s="24">
        <v>11200</v>
      </c>
      <c r="K804" s="21" t="s">
        <v>19</v>
      </c>
      <c r="L804" s="25">
        <v>0.125</v>
      </c>
      <c r="M804" s="25">
        <v>0.05</v>
      </c>
      <c r="N804" s="22"/>
      <c r="O804" s="23" t="s">
        <v>19</v>
      </c>
      <c r="P804" s="20">
        <f t="shared" ref="P804:P809" si="219">(C804+(E804*F804*H804))-N804</f>
        <v>36</v>
      </c>
      <c r="Q804" s="23" t="s">
        <v>19</v>
      </c>
      <c r="R804" s="24">
        <f t="shared" ref="R804:R809" si="220">P804*(J804-(J804*L804)-((J804-(J804*L804))*M804))</f>
        <v>335160</v>
      </c>
      <c r="S804" s="24">
        <f t="shared" ref="S804:S805" si="221">R804/1.11</f>
        <v>301945.94594594592</v>
      </c>
    </row>
    <row r="805" spans="1:19" s="19" customFormat="1">
      <c r="A805" s="18" t="s">
        <v>661</v>
      </c>
      <c r="B805" s="19" t="s">
        <v>18</v>
      </c>
      <c r="C805" s="20">
        <v>48</v>
      </c>
      <c r="D805" s="21" t="s">
        <v>19</v>
      </c>
      <c r="E805" s="26"/>
      <c r="F805" s="22">
        <v>10</v>
      </c>
      <c r="G805" s="23" t="s">
        <v>33</v>
      </c>
      <c r="H805" s="22">
        <v>12</v>
      </c>
      <c r="I805" s="23" t="s">
        <v>19</v>
      </c>
      <c r="J805" s="24">
        <v>12400</v>
      </c>
      <c r="K805" s="21" t="s">
        <v>19</v>
      </c>
      <c r="L805" s="25">
        <v>0.125</v>
      </c>
      <c r="M805" s="25">
        <v>0.05</v>
      </c>
      <c r="N805" s="22"/>
      <c r="O805" s="23" t="s">
        <v>19</v>
      </c>
      <c r="P805" s="20">
        <f t="shared" si="219"/>
        <v>48</v>
      </c>
      <c r="Q805" s="23" t="s">
        <v>19</v>
      </c>
      <c r="R805" s="24">
        <f t="shared" si="220"/>
        <v>494760</v>
      </c>
      <c r="S805" s="24">
        <f t="shared" si="221"/>
        <v>445729.7297297297</v>
      </c>
    </row>
    <row r="806" spans="1:19" s="19" customFormat="1">
      <c r="A806" s="18" t="s">
        <v>500</v>
      </c>
      <c r="B806" s="19" t="s">
        <v>18</v>
      </c>
      <c r="C806" s="20">
        <v>840</v>
      </c>
      <c r="D806" s="21" t="s">
        <v>19</v>
      </c>
      <c r="E806" s="26">
        <v>4</v>
      </c>
      <c r="F806" s="22">
        <v>10</v>
      </c>
      <c r="G806" s="23" t="s">
        <v>33</v>
      </c>
      <c r="H806" s="22">
        <v>12</v>
      </c>
      <c r="I806" s="23" t="s">
        <v>19</v>
      </c>
      <c r="J806" s="24">
        <v>12950</v>
      </c>
      <c r="K806" s="21" t="s">
        <v>19</v>
      </c>
      <c r="L806" s="25">
        <v>0.125</v>
      </c>
      <c r="M806" s="25">
        <v>0.05</v>
      </c>
      <c r="N806" s="22"/>
      <c r="O806" s="23" t="s">
        <v>19</v>
      </c>
      <c r="P806" s="20">
        <f t="shared" si="219"/>
        <v>1320</v>
      </c>
      <c r="Q806" s="23" t="s">
        <v>19</v>
      </c>
      <c r="R806" s="24">
        <f t="shared" si="220"/>
        <v>14209387.5</v>
      </c>
      <c r="S806" s="24">
        <f t="shared" si="194"/>
        <v>12801249.999999998</v>
      </c>
    </row>
    <row r="807" spans="1:19">
      <c r="A807" s="17" t="s">
        <v>501</v>
      </c>
      <c r="B807" s="2" t="s">
        <v>18</v>
      </c>
      <c r="C807" s="3">
        <v>60</v>
      </c>
      <c r="D807" s="4" t="s">
        <v>19</v>
      </c>
      <c r="F807" s="6">
        <v>5</v>
      </c>
      <c r="G807" s="7" t="s">
        <v>33</v>
      </c>
      <c r="H807" s="6">
        <v>12</v>
      </c>
      <c r="I807" s="7" t="s">
        <v>19</v>
      </c>
      <c r="J807" s="8">
        <v>27000</v>
      </c>
      <c r="K807" s="4" t="s">
        <v>19</v>
      </c>
      <c r="L807" s="9">
        <v>0.125</v>
      </c>
      <c r="M807" s="9">
        <v>0.05</v>
      </c>
      <c r="O807" s="7" t="s">
        <v>19</v>
      </c>
      <c r="P807" s="3">
        <f t="shared" si="219"/>
        <v>60</v>
      </c>
      <c r="Q807" s="7" t="s">
        <v>19</v>
      </c>
      <c r="R807" s="8">
        <f t="shared" si="220"/>
        <v>1346625</v>
      </c>
      <c r="S807" s="8">
        <f t="shared" si="194"/>
        <v>1213175.6756756755</v>
      </c>
    </row>
    <row r="808" spans="1:19">
      <c r="A808" s="17" t="s">
        <v>502</v>
      </c>
      <c r="B808" s="2" t="s">
        <v>18</v>
      </c>
      <c r="C808" s="3">
        <v>48</v>
      </c>
      <c r="D808" s="4" t="s">
        <v>19</v>
      </c>
      <c r="F808" s="6">
        <v>1</v>
      </c>
      <c r="G808" s="7" t="s">
        <v>20</v>
      </c>
      <c r="H808" s="6">
        <v>24</v>
      </c>
      <c r="I808" s="7" t="s">
        <v>19</v>
      </c>
      <c r="J808" s="8">
        <v>40000</v>
      </c>
      <c r="K808" s="4" t="s">
        <v>19</v>
      </c>
      <c r="L808" s="9">
        <v>0.125</v>
      </c>
      <c r="M808" s="9">
        <v>0.05</v>
      </c>
      <c r="O808" s="7" t="s">
        <v>19</v>
      </c>
      <c r="P808" s="3">
        <f t="shared" si="219"/>
        <v>48</v>
      </c>
      <c r="Q808" s="7" t="s">
        <v>19</v>
      </c>
      <c r="R808" s="8">
        <f t="shared" si="220"/>
        <v>1596000</v>
      </c>
      <c r="S808" s="8">
        <f t="shared" si="194"/>
        <v>1437837.8378378376</v>
      </c>
    </row>
    <row r="809" spans="1:19" s="80" customFormat="1">
      <c r="A809" s="79" t="s">
        <v>503</v>
      </c>
      <c r="B809" s="80" t="s">
        <v>18</v>
      </c>
      <c r="C809" s="81"/>
      <c r="D809" s="82" t="s">
        <v>19</v>
      </c>
      <c r="E809" s="83">
        <v>1</v>
      </c>
      <c r="F809" s="84">
        <v>1</v>
      </c>
      <c r="G809" s="85" t="s">
        <v>20</v>
      </c>
      <c r="H809" s="84">
        <v>24</v>
      </c>
      <c r="I809" s="85" t="s">
        <v>19</v>
      </c>
      <c r="J809" s="16">
        <v>45500</v>
      </c>
      <c r="K809" s="82" t="s">
        <v>19</v>
      </c>
      <c r="L809" s="86">
        <v>0.125</v>
      </c>
      <c r="M809" s="86">
        <v>0.05</v>
      </c>
      <c r="N809" s="84"/>
      <c r="O809" s="85" t="s">
        <v>19</v>
      </c>
      <c r="P809" s="81">
        <f t="shared" si="219"/>
        <v>24</v>
      </c>
      <c r="Q809" s="85" t="s">
        <v>19</v>
      </c>
      <c r="R809" s="16">
        <f t="shared" si="220"/>
        <v>907725</v>
      </c>
      <c r="S809" s="16">
        <f t="shared" si="194"/>
        <v>817770.27027027018</v>
      </c>
    </row>
    <row r="811" spans="1:19" s="80" customFormat="1">
      <c r="A811" s="79" t="s">
        <v>504</v>
      </c>
      <c r="B811" s="80" t="s">
        <v>25</v>
      </c>
      <c r="C811" s="81"/>
      <c r="D811" s="82" t="s">
        <v>19</v>
      </c>
      <c r="E811" s="83"/>
      <c r="F811" s="84">
        <v>10</v>
      </c>
      <c r="G811" s="85" t="s">
        <v>40</v>
      </c>
      <c r="H811" s="84">
        <v>12</v>
      </c>
      <c r="I811" s="85" t="s">
        <v>19</v>
      </c>
      <c r="J811" s="16">
        <f>1500000/10/12</f>
        <v>12500</v>
      </c>
      <c r="K811" s="82" t="s">
        <v>19</v>
      </c>
      <c r="L811" s="86"/>
      <c r="M811" s="86">
        <v>0.17</v>
      </c>
      <c r="N811" s="84"/>
      <c r="O811" s="85" t="s">
        <v>19</v>
      </c>
      <c r="P811" s="81">
        <f t="shared" ref="P811:P819" si="222">(C811+(E811*F811*H811))-N811</f>
        <v>0</v>
      </c>
      <c r="Q811" s="85" t="s">
        <v>19</v>
      </c>
      <c r="R811" s="16">
        <f t="shared" ref="R811:R819" si="223">P811*(J811-(J811*L811)-((J811-(J811*L811))*M811))</f>
        <v>0</v>
      </c>
      <c r="S811" s="16">
        <f t="shared" si="194"/>
        <v>0</v>
      </c>
    </row>
    <row r="812" spans="1:19" s="19" customFormat="1">
      <c r="A812" s="18" t="s">
        <v>505</v>
      </c>
      <c r="B812" s="19" t="s">
        <v>25</v>
      </c>
      <c r="C812" s="20"/>
      <c r="D812" s="21" t="s">
        <v>40</v>
      </c>
      <c r="E812" s="26">
        <v>5</v>
      </c>
      <c r="F812" s="22">
        <v>1</v>
      </c>
      <c r="G812" s="23" t="s">
        <v>20</v>
      </c>
      <c r="H812" s="22">
        <v>10</v>
      </c>
      <c r="I812" s="23" t="s">
        <v>40</v>
      </c>
      <c r="J812" s="24">
        <f>1560000/10</f>
        <v>156000</v>
      </c>
      <c r="K812" s="21" t="s">
        <v>40</v>
      </c>
      <c r="L812" s="25"/>
      <c r="M812" s="25">
        <v>0.17</v>
      </c>
      <c r="N812" s="22"/>
      <c r="O812" s="23" t="s">
        <v>40</v>
      </c>
      <c r="P812" s="20">
        <f t="shared" si="222"/>
        <v>50</v>
      </c>
      <c r="Q812" s="23" t="s">
        <v>40</v>
      </c>
      <c r="R812" s="24">
        <f t="shared" si="223"/>
        <v>6474000</v>
      </c>
      <c r="S812" s="24">
        <f t="shared" si="194"/>
        <v>5832432.4324324317</v>
      </c>
    </row>
    <row r="813" spans="1:19" s="89" customFormat="1">
      <c r="A813" s="88" t="s">
        <v>506</v>
      </c>
      <c r="B813" s="89" t="s">
        <v>25</v>
      </c>
      <c r="C813" s="87"/>
      <c r="D813" s="90" t="s">
        <v>19</v>
      </c>
      <c r="E813" s="91"/>
      <c r="F813" s="92">
        <v>10</v>
      </c>
      <c r="G813" s="93" t="s">
        <v>40</v>
      </c>
      <c r="H813" s="92">
        <v>12</v>
      </c>
      <c r="I813" s="93" t="s">
        <v>19</v>
      </c>
      <c r="J813" s="94">
        <f>13000</f>
        <v>13000</v>
      </c>
      <c r="K813" s="90" t="s">
        <v>19</v>
      </c>
      <c r="L813" s="95"/>
      <c r="M813" s="95">
        <v>0.17</v>
      </c>
      <c r="N813" s="92"/>
      <c r="O813" s="93" t="s">
        <v>19</v>
      </c>
      <c r="P813" s="87">
        <f t="shared" si="222"/>
        <v>0</v>
      </c>
      <c r="Q813" s="93" t="s">
        <v>19</v>
      </c>
      <c r="R813" s="94">
        <f t="shared" si="223"/>
        <v>0</v>
      </c>
      <c r="S813" s="16">
        <f t="shared" si="194"/>
        <v>0</v>
      </c>
    </row>
    <row r="814" spans="1:19" s="19" customFormat="1">
      <c r="A814" s="18" t="s">
        <v>507</v>
      </c>
      <c r="B814" s="19" t="s">
        <v>25</v>
      </c>
      <c r="C814" s="20">
        <v>20</v>
      </c>
      <c r="D814" s="21" t="s">
        <v>40</v>
      </c>
      <c r="E814" s="26"/>
      <c r="F814" s="22">
        <v>4</v>
      </c>
      <c r="G814" s="23" t="s">
        <v>33</v>
      </c>
      <c r="H814" s="22">
        <v>2</v>
      </c>
      <c r="I814" s="23" t="s">
        <v>40</v>
      </c>
      <c r="J814" s="24">
        <f>1440000/4/2</f>
        <v>180000</v>
      </c>
      <c r="K814" s="21" t="s">
        <v>40</v>
      </c>
      <c r="L814" s="25"/>
      <c r="M814" s="25">
        <v>0.17</v>
      </c>
      <c r="N814" s="22"/>
      <c r="O814" s="23" t="s">
        <v>40</v>
      </c>
      <c r="P814" s="20">
        <f t="shared" si="222"/>
        <v>20</v>
      </c>
      <c r="Q814" s="23" t="s">
        <v>40</v>
      </c>
      <c r="R814" s="24">
        <f t="shared" si="223"/>
        <v>2988000</v>
      </c>
      <c r="S814" s="24">
        <f t="shared" si="194"/>
        <v>2691891.8918918916</v>
      </c>
    </row>
    <row r="815" spans="1:19" s="19" customFormat="1">
      <c r="A815" s="18" t="s">
        <v>508</v>
      </c>
      <c r="B815" s="19" t="s">
        <v>25</v>
      </c>
      <c r="C815" s="20">
        <v>3</v>
      </c>
      <c r="D815" s="21" t="s">
        <v>40</v>
      </c>
      <c r="E815" s="26"/>
      <c r="F815" s="22">
        <v>1</v>
      </c>
      <c r="G815" s="23" t="s">
        <v>20</v>
      </c>
      <c r="H815" s="22">
        <v>5</v>
      </c>
      <c r="I815" s="23" t="s">
        <v>40</v>
      </c>
      <c r="J815" s="24">
        <f>1410000/5</f>
        <v>282000</v>
      </c>
      <c r="K815" s="21" t="s">
        <v>19</v>
      </c>
      <c r="L815" s="25"/>
      <c r="M815" s="25">
        <v>0.17</v>
      </c>
      <c r="N815" s="22"/>
      <c r="O815" s="23" t="s">
        <v>40</v>
      </c>
      <c r="P815" s="20">
        <f t="shared" si="222"/>
        <v>3</v>
      </c>
      <c r="Q815" s="23" t="s">
        <v>40</v>
      </c>
      <c r="R815" s="24">
        <f t="shared" si="223"/>
        <v>702180</v>
      </c>
      <c r="S815" s="24">
        <f t="shared" si="194"/>
        <v>632594.59459459456</v>
      </c>
    </row>
    <row r="816" spans="1:19" s="19" customFormat="1">
      <c r="A816" s="18" t="s">
        <v>509</v>
      </c>
      <c r="B816" s="19" t="s">
        <v>25</v>
      </c>
      <c r="C816" s="20">
        <f>8+4</f>
        <v>12</v>
      </c>
      <c r="D816" s="21" t="s">
        <v>40</v>
      </c>
      <c r="E816" s="26"/>
      <c r="F816" s="22">
        <v>1</v>
      </c>
      <c r="G816" s="23" t="s">
        <v>20</v>
      </c>
      <c r="H816" s="22">
        <v>4</v>
      </c>
      <c r="I816" s="23" t="s">
        <v>40</v>
      </c>
      <c r="J816" s="24">
        <f>1410000/4</f>
        <v>352500</v>
      </c>
      <c r="K816" s="21" t="s">
        <v>40</v>
      </c>
      <c r="L816" s="25"/>
      <c r="M816" s="25">
        <v>0.17</v>
      </c>
      <c r="N816" s="22"/>
      <c r="O816" s="23" t="s">
        <v>40</v>
      </c>
      <c r="P816" s="20">
        <f t="shared" si="222"/>
        <v>12</v>
      </c>
      <c r="Q816" s="23" t="s">
        <v>40</v>
      </c>
      <c r="R816" s="24">
        <f t="shared" si="223"/>
        <v>3510900</v>
      </c>
      <c r="S816" s="24">
        <f t="shared" si="194"/>
        <v>3162972.9729729728</v>
      </c>
    </row>
    <row r="817" spans="1:19" s="80" customFormat="1">
      <c r="A817" s="79" t="s">
        <v>510</v>
      </c>
      <c r="B817" s="80" t="s">
        <v>25</v>
      </c>
      <c r="C817" s="81"/>
      <c r="D817" s="82" t="s">
        <v>19</v>
      </c>
      <c r="E817" s="83"/>
      <c r="F817" s="84">
        <v>1</v>
      </c>
      <c r="G817" s="85" t="s">
        <v>20</v>
      </c>
      <c r="H817" s="84">
        <v>24</v>
      </c>
      <c r="I817" s="85" t="s">
        <v>19</v>
      </c>
      <c r="J817" s="16">
        <f>1164000/24</f>
        <v>48500</v>
      </c>
      <c r="K817" s="82" t="s">
        <v>19</v>
      </c>
      <c r="L817" s="86"/>
      <c r="M817" s="86">
        <v>0.17</v>
      </c>
      <c r="N817" s="84"/>
      <c r="O817" s="85" t="s">
        <v>19</v>
      </c>
      <c r="P817" s="81">
        <f t="shared" si="222"/>
        <v>0</v>
      </c>
      <c r="Q817" s="85" t="s">
        <v>19</v>
      </c>
      <c r="R817" s="16">
        <f t="shared" si="223"/>
        <v>0</v>
      </c>
      <c r="S817" s="16">
        <f t="shared" si="194"/>
        <v>0</v>
      </c>
    </row>
    <row r="818" spans="1:19">
      <c r="A818" s="17" t="s">
        <v>511</v>
      </c>
      <c r="B818" s="2" t="s">
        <v>25</v>
      </c>
      <c r="C818" s="3">
        <v>66</v>
      </c>
      <c r="D818" s="4" t="s">
        <v>19</v>
      </c>
      <c r="F818" s="6">
        <v>1</v>
      </c>
      <c r="G818" s="7" t="s">
        <v>20</v>
      </c>
      <c r="H818" s="6">
        <v>24</v>
      </c>
      <c r="I818" s="7" t="s">
        <v>19</v>
      </c>
      <c r="J818" s="8">
        <f>1020000/24</f>
        <v>42500</v>
      </c>
      <c r="K818" s="4" t="s">
        <v>19</v>
      </c>
      <c r="M818" s="9">
        <v>0.17</v>
      </c>
      <c r="O818" s="7" t="s">
        <v>19</v>
      </c>
      <c r="P818" s="3">
        <f t="shared" si="222"/>
        <v>66</v>
      </c>
      <c r="Q818" s="7" t="s">
        <v>19</v>
      </c>
      <c r="R818" s="8">
        <f t="shared" si="223"/>
        <v>2328150</v>
      </c>
      <c r="S818" s="8">
        <f t="shared" si="194"/>
        <v>2097432.4324324322</v>
      </c>
    </row>
    <row r="819" spans="1:19">
      <c r="A819" s="17" t="s">
        <v>512</v>
      </c>
      <c r="B819" s="2" t="s">
        <v>25</v>
      </c>
      <c r="C819" s="3">
        <v>72</v>
      </c>
      <c r="D819" s="4" t="s">
        <v>19</v>
      </c>
      <c r="E819" s="5">
        <v>2</v>
      </c>
      <c r="F819" s="6">
        <v>1</v>
      </c>
      <c r="G819" s="7" t="s">
        <v>20</v>
      </c>
      <c r="H819" s="6">
        <v>24</v>
      </c>
      <c r="I819" s="7" t="s">
        <v>19</v>
      </c>
      <c r="J819" s="8">
        <f>1416000/24</f>
        <v>59000</v>
      </c>
      <c r="K819" s="4" t="s">
        <v>19</v>
      </c>
      <c r="M819" s="9">
        <v>0.17</v>
      </c>
      <c r="O819" s="7" t="s">
        <v>19</v>
      </c>
      <c r="P819" s="3">
        <f t="shared" si="222"/>
        <v>120</v>
      </c>
      <c r="Q819" s="7" t="s">
        <v>19</v>
      </c>
      <c r="R819" s="8">
        <f t="shared" si="223"/>
        <v>5876400</v>
      </c>
      <c r="S819" s="8">
        <f t="shared" si="194"/>
        <v>5294054.0540540535</v>
      </c>
    </row>
    <row r="822" spans="1:19" ht="15.75">
      <c r="A822" s="14" t="s">
        <v>524</v>
      </c>
    </row>
    <row r="823" spans="1:19" s="19" customFormat="1">
      <c r="A823" s="18" t="s">
        <v>525</v>
      </c>
      <c r="B823" s="19" t="s">
        <v>18</v>
      </c>
      <c r="C823" s="20">
        <v>9140</v>
      </c>
      <c r="D823" s="21" t="s">
        <v>19</v>
      </c>
      <c r="E823" s="26"/>
      <c r="F823" s="22">
        <v>72</v>
      </c>
      <c r="G823" s="23" t="s">
        <v>33</v>
      </c>
      <c r="H823" s="22">
        <v>10</v>
      </c>
      <c r="I823" s="23" t="s">
        <v>19</v>
      </c>
      <c r="J823" s="24">
        <v>3700</v>
      </c>
      <c r="K823" s="21" t="s">
        <v>19</v>
      </c>
      <c r="L823" s="25">
        <v>0.125</v>
      </c>
      <c r="M823" s="25">
        <v>0.05</v>
      </c>
      <c r="N823" s="22"/>
      <c r="O823" s="23" t="s">
        <v>19</v>
      </c>
      <c r="P823" s="20">
        <f>(C823+(E823*F823*H823))-N823</f>
        <v>9140</v>
      </c>
      <c r="Q823" s="23" t="s">
        <v>19</v>
      </c>
      <c r="R823" s="24">
        <f>P823*(J823-(J823*L823)-((J823-(J823*L823))*M823))</f>
        <v>28111212.5</v>
      </c>
      <c r="S823" s="24">
        <f t="shared" ref="S823:S900" si="224">R823/1.11</f>
        <v>25325416.666666664</v>
      </c>
    </row>
    <row r="824" spans="1:19" s="89" customFormat="1">
      <c r="A824" s="88" t="s">
        <v>526</v>
      </c>
      <c r="B824" s="89" t="s">
        <v>18</v>
      </c>
      <c r="C824" s="87"/>
      <c r="D824" s="90" t="s">
        <v>152</v>
      </c>
      <c r="E824" s="91"/>
      <c r="F824" s="92">
        <v>12</v>
      </c>
      <c r="G824" s="93" t="s">
        <v>33</v>
      </c>
      <c r="H824" s="92">
        <v>24</v>
      </c>
      <c r="I824" s="93" t="s">
        <v>152</v>
      </c>
      <c r="J824" s="94">
        <v>16500</v>
      </c>
      <c r="K824" s="90" t="s">
        <v>152</v>
      </c>
      <c r="L824" s="95">
        <v>0.125</v>
      </c>
      <c r="M824" s="95">
        <v>0.05</v>
      </c>
      <c r="N824" s="92"/>
      <c r="O824" s="93" t="s">
        <v>152</v>
      </c>
      <c r="P824" s="87">
        <f>(C824+(E824*F824*H824))-N824</f>
        <v>0</v>
      </c>
      <c r="Q824" s="93" t="s">
        <v>152</v>
      </c>
      <c r="R824" s="94">
        <f>P824*(J824-(J824*L824)-((J824-(J824*L824))*M824))</f>
        <v>0</v>
      </c>
      <c r="S824" s="16">
        <f t="shared" si="224"/>
        <v>0</v>
      </c>
    </row>
    <row r="825" spans="1:19" s="19" customFormat="1">
      <c r="A825" s="18"/>
      <c r="C825" s="20"/>
      <c r="D825" s="21"/>
      <c r="E825" s="26"/>
      <c r="F825" s="22"/>
      <c r="G825" s="23"/>
      <c r="H825" s="22"/>
      <c r="I825" s="23"/>
      <c r="J825" s="24"/>
      <c r="K825" s="21"/>
      <c r="L825" s="25"/>
      <c r="M825" s="25"/>
      <c r="N825" s="22"/>
      <c r="O825" s="23"/>
      <c r="P825" s="20"/>
      <c r="Q825" s="23"/>
      <c r="R825" s="24"/>
      <c r="S825" s="8"/>
    </row>
    <row r="826" spans="1:19">
      <c r="A826" s="17" t="s">
        <v>527</v>
      </c>
      <c r="B826" s="2" t="s">
        <v>25</v>
      </c>
      <c r="C826" s="3">
        <v>210</v>
      </c>
      <c r="D826" s="4" t="s">
        <v>19</v>
      </c>
      <c r="F826" s="6">
        <v>48</v>
      </c>
      <c r="G826" s="7" t="s">
        <v>33</v>
      </c>
      <c r="H826" s="6">
        <v>10</v>
      </c>
      <c r="I826" s="7" t="s">
        <v>19</v>
      </c>
      <c r="J826" s="8">
        <f>30500/10</f>
        <v>3050</v>
      </c>
      <c r="K826" s="4" t="s">
        <v>19</v>
      </c>
      <c r="M826" s="9">
        <v>0.17</v>
      </c>
      <c r="O826" s="7" t="s">
        <v>19</v>
      </c>
      <c r="P826" s="3">
        <f>(C826+(E826*F826*H826))-N826</f>
        <v>210</v>
      </c>
      <c r="Q826" s="7" t="s">
        <v>19</v>
      </c>
      <c r="R826" s="8">
        <f>P826*(J826-(J826*L826)-((J826-(J826*L826))*M826))</f>
        <v>531615</v>
      </c>
      <c r="S826" s="8">
        <f t="shared" si="224"/>
        <v>478932.43243243237</v>
      </c>
    </row>
    <row r="827" spans="1:19">
      <c r="A827" s="17" t="s">
        <v>528</v>
      </c>
      <c r="B827" s="2" t="s">
        <v>25</v>
      </c>
      <c r="D827" s="4" t="s">
        <v>19</v>
      </c>
      <c r="F827" s="6">
        <v>48</v>
      </c>
      <c r="G827" s="7" t="s">
        <v>33</v>
      </c>
      <c r="H827" s="6">
        <v>10</v>
      </c>
      <c r="I827" s="7" t="s">
        <v>19</v>
      </c>
      <c r="J827" s="8">
        <f>30500/10</f>
        <v>3050</v>
      </c>
      <c r="K827" s="4" t="s">
        <v>19</v>
      </c>
      <c r="M827" s="9">
        <v>0.17</v>
      </c>
      <c r="O827" s="7" t="s">
        <v>19</v>
      </c>
      <c r="P827" s="3">
        <f>(C827+(E827*F827*H827))-N827</f>
        <v>0</v>
      </c>
      <c r="Q827" s="7" t="s">
        <v>19</v>
      </c>
      <c r="R827" s="8">
        <f>P827*(J827-(J827*L827)-((J827-(J827*L827))*M827))</f>
        <v>0</v>
      </c>
      <c r="S827" s="8">
        <f t="shared" si="224"/>
        <v>0</v>
      </c>
    </row>
    <row r="828" spans="1:19">
      <c r="A828" s="17" t="s">
        <v>529</v>
      </c>
      <c r="B828" s="2" t="s">
        <v>25</v>
      </c>
      <c r="D828" s="4" t="s">
        <v>40</v>
      </c>
      <c r="F828" s="6">
        <v>12</v>
      </c>
      <c r="G828" s="7" t="s">
        <v>33</v>
      </c>
      <c r="H828" s="6">
        <v>12</v>
      </c>
      <c r="I828" s="7" t="s">
        <v>40</v>
      </c>
      <c r="J828" s="8">
        <v>25800</v>
      </c>
      <c r="K828" s="4" t="s">
        <v>40</v>
      </c>
      <c r="M828" s="9">
        <v>0.17</v>
      </c>
      <c r="O828" s="7" t="s">
        <v>40</v>
      </c>
      <c r="P828" s="3">
        <f>(C828+(E828*F828*H828))-N828</f>
        <v>0</v>
      </c>
      <c r="Q828" s="7" t="s">
        <v>40</v>
      </c>
      <c r="R828" s="8">
        <f>P828*(J828-(J828*L828)-((J828-(J828*L828))*M828))</f>
        <v>0</v>
      </c>
      <c r="S828" s="8">
        <f t="shared" si="224"/>
        <v>0</v>
      </c>
    </row>
    <row r="830" spans="1:19" s="19" customFormat="1">
      <c r="A830" s="18" t="s">
        <v>530</v>
      </c>
      <c r="B830" s="19" t="s">
        <v>261</v>
      </c>
      <c r="C830" s="20"/>
      <c r="D830" s="21" t="s">
        <v>99</v>
      </c>
      <c r="E830" s="26"/>
      <c r="F830" s="22">
        <v>1</v>
      </c>
      <c r="G830" s="23" t="s">
        <v>20</v>
      </c>
      <c r="H830" s="22">
        <v>24</v>
      </c>
      <c r="I830" s="23" t="s">
        <v>99</v>
      </c>
      <c r="J830" s="24">
        <v>94000</v>
      </c>
      <c r="K830" s="21" t="s">
        <v>99</v>
      </c>
      <c r="L830" s="25"/>
      <c r="M830" s="25"/>
      <c r="N830" s="22"/>
      <c r="O830" s="23" t="s">
        <v>99</v>
      </c>
      <c r="P830" s="20">
        <f>(C830+(E830*F830*H830))-N830</f>
        <v>0</v>
      </c>
      <c r="Q830" s="23" t="s">
        <v>99</v>
      </c>
      <c r="R830" s="24">
        <f>P830*(J830-(J830*L830)-((J830-(J830*L830))*M830))</f>
        <v>0</v>
      </c>
      <c r="S830" s="8">
        <f t="shared" si="224"/>
        <v>0</v>
      </c>
    </row>
    <row r="831" spans="1:19" s="19" customFormat="1">
      <c r="A831" s="18"/>
      <c r="C831" s="20"/>
      <c r="D831" s="21"/>
      <c r="E831" s="26"/>
      <c r="F831" s="22"/>
      <c r="G831" s="23"/>
      <c r="H831" s="22"/>
      <c r="I831" s="23"/>
      <c r="J831" s="24"/>
      <c r="K831" s="21"/>
      <c r="L831" s="25"/>
      <c r="M831" s="25"/>
      <c r="N831" s="22"/>
      <c r="O831" s="23"/>
      <c r="P831" s="20"/>
      <c r="Q831" s="23"/>
      <c r="R831" s="24"/>
      <c r="S831" s="8"/>
    </row>
    <row r="832" spans="1:19">
      <c r="A832" s="17" t="s">
        <v>531</v>
      </c>
      <c r="B832" s="2" t="s">
        <v>172</v>
      </c>
      <c r="C832" s="3">
        <v>375</v>
      </c>
      <c r="D832" s="4" t="s">
        <v>40</v>
      </c>
      <c r="F832" s="6">
        <v>1</v>
      </c>
      <c r="G832" s="7" t="s">
        <v>20</v>
      </c>
      <c r="H832" s="6">
        <v>108</v>
      </c>
      <c r="I832" s="7" t="s">
        <v>40</v>
      </c>
      <c r="J832" s="8">
        <v>18000</v>
      </c>
      <c r="K832" s="4" t="s">
        <v>40</v>
      </c>
      <c r="L832" s="9">
        <v>0.05</v>
      </c>
      <c r="O832" s="7" t="s">
        <v>40</v>
      </c>
      <c r="P832" s="3">
        <f>(C832+(E832*F832*H832))-N832</f>
        <v>375</v>
      </c>
      <c r="Q832" s="7" t="s">
        <v>40</v>
      </c>
      <c r="R832" s="8">
        <f>P832*(J832-(J832*L832)-((J832-(J832*L832))*M832))</f>
        <v>6412500</v>
      </c>
      <c r="S832" s="8">
        <f t="shared" si="224"/>
        <v>5777027.0270270268</v>
      </c>
    </row>
    <row r="833" spans="1:19" s="19" customFormat="1">
      <c r="A833" s="18" t="s">
        <v>837</v>
      </c>
      <c r="B833" s="19" t="s">
        <v>172</v>
      </c>
      <c r="C833" s="20"/>
      <c r="D833" s="21" t="s">
        <v>40</v>
      </c>
      <c r="E833" s="26">
        <v>15</v>
      </c>
      <c r="F833" s="22">
        <v>1</v>
      </c>
      <c r="G833" s="23" t="s">
        <v>20</v>
      </c>
      <c r="H833" s="22">
        <v>100</v>
      </c>
      <c r="I833" s="23" t="s">
        <v>40</v>
      </c>
      <c r="J833" s="24">
        <v>19000</v>
      </c>
      <c r="K833" s="21" t="s">
        <v>40</v>
      </c>
      <c r="L833" s="25">
        <v>0.05</v>
      </c>
      <c r="M833" s="25"/>
      <c r="N833" s="22"/>
      <c r="O833" s="23" t="s">
        <v>40</v>
      </c>
      <c r="P833" s="20">
        <f>(C833+(E833*F833*H833))-N833</f>
        <v>1500</v>
      </c>
      <c r="Q833" s="23" t="s">
        <v>40</v>
      </c>
      <c r="R833" s="24">
        <f>P833*(J833-(J833*L833)-((J833-(J833*L833))*M833))</f>
        <v>27075000</v>
      </c>
      <c r="S833" s="24">
        <f t="shared" ref="S833" si="225">R833/1.11</f>
        <v>24391891.891891889</v>
      </c>
    </row>
    <row r="835" spans="1:19">
      <c r="A835" s="17" t="s">
        <v>664</v>
      </c>
      <c r="B835" s="2" t="s">
        <v>598</v>
      </c>
      <c r="C835" s="3">
        <v>3376</v>
      </c>
      <c r="D835" s="4" t="s">
        <v>19</v>
      </c>
      <c r="F835" s="6">
        <v>1</v>
      </c>
      <c r="G835" s="7" t="s">
        <v>20</v>
      </c>
      <c r="H835" s="6">
        <v>600</v>
      </c>
      <c r="I835" s="7" t="s">
        <v>19</v>
      </c>
      <c r="J835" s="8">
        <v>2700</v>
      </c>
      <c r="K835" s="4" t="s">
        <v>19</v>
      </c>
      <c r="L835" s="9">
        <v>0.35</v>
      </c>
      <c r="O835" s="7" t="s">
        <v>19</v>
      </c>
      <c r="P835" s="3">
        <f>(C835+(E835*F835*H835))-N835</f>
        <v>3376</v>
      </c>
      <c r="Q835" s="7" t="s">
        <v>19</v>
      </c>
      <c r="R835" s="8">
        <f>P835*(J835-(J835*L835)-((J835-(J835*L835))*M835))</f>
        <v>5924880</v>
      </c>
      <c r="S835" s="8">
        <f t="shared" si="224"/>
        <v>5337729.7297297297</v>
      </c>
    </row>
    <row r="837" spans="1:19" ht="15.75">
      <c r="A837" s="14" t="s">
        <v>532</v>
      </c>
    </row>
    <row r="838" spans="1:19">
      <c r="A838" s="15" t="s">
        <v>533</v>
      </c>
    </row>
    <row r="839" spans="1:19" s="89" customFormat="1">
      <c r="A839" s="88" t="s">
        <v>534</v>
      </c>
      <c r="B839" s="89" t="s">
        <v>18</v>
      </c>
      <c r="C839" s="87"/>
      <c r="D839" s="90" t="s">
        <v>19</v>
      </c>
      <c r="E839" s="91"/>
      <c r="F839" s="92">
        <v>40</v>
      </c>
      <c r="G839" s="93" t="s">
        <v>99</v>
      </c>
      <c r="H839" s="92">
        <v>12</v>
      </c>
      <c r="I839" s="93" t="s">
        <v>19</v>
      </c>
      <c r="J839" s="94">
        <v>6700</v>
      </c>
      <c r="K839" s="90" t="s">
        <v>19</v>
      </c>
      <c r="L839" s="95">
        <v>0.125</v>
      </c>
      <c r="M839" s="95">
        <v>0.05</v>
      </c>
      <c r="N839" s="92"/>
      <c r="O839" s="93" t="s">
        <v>19</v>
      </c>
      <c r="P839" s="87">
        <f>(C839+(E839*F839*H839))-N839</f>
        <v>0</v>
      </c>
      <c r="Q839" s="93" t="s">
        <v>19</v>
      </c>
      <c r="R839" s="94">
        <f>P839*(J839-(J839*L839)-((J839-(J839*L839))*M839))</f>
        <v>0</v>
      </c>
      <c r="S839" s="16">
        <f t="shared" si="224"/>
        <v>0</v>
      </c>
    </row>
    <row r="840" spans="1:19" s="106" customFormat="1">
      <c r="A840" s="166" t="s">
        <v>881</v>
      </c>
      <c r="B840" s="106" t="s">
        <v>18</v>
      </c>
      <c r="C840" s="107"/>
      <c r="D840" s="108" t="s">
        <v>19</v>
      </c>
      <c r="E840" s="109">
        <v>1</v>
      </c>
      <c r="F840" s="110">
        <v>40</v>
      </c>
      <c r="G840" s="111" t="s">
        <v>99</v>
      </c>
      <c r="H840" s="110">
        <v>12</v>
      </c>
      <c r="I840" s="111" t="s">
        <v>19</v>
      </c>
      <c r="J840" s="112">
        <v>6600</v>
      </c>
      <c r="K840" s="108" t="s">
        <v>19</v>
      </c>
      <c r="L840" s="113">
        <v>0.125</v>
      </c>
      <c r="M840" s="113">
        <v>0.05</v>
      </c>
      <c r="N840" s="110"/>
      <c r="O840" s="111" t="s">
        <v>19</v>
      </c>
      <c r="P840" s="107">
        <f>(C840+(E840*F840*H840))-N840</f>
        <v>480</v>
      </c>
      <c r="Q840" s="111" t="s">
        <v>19</v>
      </c>
      <c r="R840" s="112">
        <f>P840*(J840-(J840*L840)-((J840-(J840*L840))*M840))</f>
        <v>2633400</v>
      </c>
      <c r="S840" s="104">
        <f t="shared" ref="S840" si="226">R840/1.11</f>
        <v>2372432.4324324322</v>
      </c>
    </row>
    <row r="841" spans="1:19" s="19" customFormat="1">
      <c r="A841" s="18" t="s">
        <v>535</v>
      </c>
      <c r="B841" s="19" t="s">
        <v>18</v>
      </c>
      <c r="C841" s="20"/>
      <c r="D841" s="21" t="s">
        <v>19</v>
      </c>
      <c r="E841" s="26">
        <v>2</v>
      </c>
      <c r="F841" s="22">
        <v>20</v>
      </c>
      <c r="G841" s="23" t="s">
        <v>99</v>
      </c>
      <c r="H841" s="22">
        <v>12</v>
      </c>
      <c r="I841" s="23" t="s">
        <v>19</v>
      </c>
      <c r="J841" s="24">
        <v>8600</v>
      </c>
      <c r="K841" s="21" t="s">
        <v>19</v>
      </c>
      <c r="L841" s="25">
        <v>0.125</v>
      </c>
      <c r="M841" s="25">
        <v>0.05</v>
      </c>
      <c r="N841" s="22"/>
      <c r="O841" s="23" t="s">
        <v>19</v>
      </c>
      <c r="P841" s="20">
        <f>(C841+(E841*F841*H841))-N841</f>
        <v>480</v>
      </c>
      <c r="Q841" s="23" t="s">
        <v>19</v>
      </c>
      <c r="R841" s="24">
        <f>P841*(J841-(J841*L841)-((J841-(J841*L841))*M841))</f>
        <v>3431400</v>
      </c>
      <c r="S841" s="24">
        <f t="shared" ref="S841" si="227">R841/1.11</f>
        <v>3091351.351351351</v>
      </c>
    </row>
    <row r="842" spans="1:19" s="19" customFormat="1">
      <c r="A842" s="18"/>
      <c r="C842" s="20"/>
      <c r="D842" s="21"/>
      <c r="E842" s="26"/>
      <c r="F842" s="22"/>
      <c r="G842" s="23"/>
      <c r="H842" s="22"/>
      <c r="I842" s="23"/>
      <c r="J842" s="24"/>
      <c r="K842" s="21"/>
      <c r="L842" s="25"/>
      <c r="M842" s="25"/>
      <c r="N842" s="22"/>
      <c r="O842" s="23"/>
      <c r="P842" s="20"/>
      <c r="Q842" s="23"/>
      <c r="R842" s="24"/>
      <c r="S842" s="8"/>
    </row>
    <row r="843" spans="1:19" s="80" customFormat="1">
      <c r="A843" s="145" t="s">
        <v>536</v>
      </c>
      <c r="B843" s="80" t="s">
        <v>25</v>
      </c>
      <c r="C843" s="81"/>
      <c r="D843" s="82" t="s">
        <v>40</v>
      </c>
      <c r="E843" s="83"/>
      <c r="F843" s="84">
        <v>1</v>
      </c>
      <c r="G843" s="85" t="s">
        <v>20</v>
      </c>
      <c r="H843" s="84">
        <v>40</v>
      </c>
      <c r="I843" s="85" t="s">
        <v>40</v>
      </c>
      <c r="J843" s="16">
        <f>3096000/40</f>
        <v>77400</v>
      </c>
      <c r="K843" s="82" t="s">
        <v>40</v>
      </c>
      <c r="L843" s="86"/>
      <c r="M843" s="86">
        <v>0.17</v>
      </c>
      <c r="N843" s="84"/>
      <c r="O843" s="85" t="s">
        <v>40</v>
      </c>
      <c r="P843" s="81">
        <f t="shared" ref="P843:P848" si="228">(C843+(E843*F843*H843))-N843</f>
        <v>0</v>
      </c>
      <c r="Q843" s="85" t="s">
        <v>40</v>
      </c>
      <c r="R843" s="16">
        <f t="shared" ref="R843:R848" si="229">P843*(J843-(J843*L843)-((J843-(J843*L843))*M843))</f>
        <v>0</v>
      </c>
      <c r="S843" s="16">
        <f t="shared" si="224"/>
        <v>0</v>
      </c>
    </row>
    <row r="844" spans="1:19">
      <c r="A844" s="49" t="s">
        <v>537</v>
      </c>
      <c r="B844" s="2" t="s">
        <v>25</v>
      </c>
      <c r="C844" s="3">
        <v>33</v>
      </c>
      <c r="D844" s="4" t="s">
        <v>40</v>
      </c>
      <c r="E844" s="5">
        <v>1</v>
      </c>
      <c r="F844" s="6">
        <v>1</v>
      </c>
      <c r="G844" s="7" t="s">
        <v>20</v>
      </c>
      <c r="H844" s="6">
        <v>40</v>
      </c>
      <c r="I844" s="7" t="s">
        <v>40</v>
      </c>
      <c r="J844" s="8">
        <f>2976000/40</f>
        <v>74400</v>
      </c>
      <c r="K844" s="4" t="s">
        <v>40</v>
      </c>
      <c r="M844" s="9">
        <v>0.17</v>
      </c>
      <c r="O844" s="7" t="s">
        <v>40</v>
      </c>
      <c r="P844" s="3">
        <f t="shared" si="228"/>
        <v>73</v>
      </c>
      <c r="Q844" s="7" t="s">
        <v>40</v>
      </c>
      <c r="R844" s="8">
        <f t="shared" si="229"/>
        <v>4507896</v>
      </c>
      <c r="S844" s="8">
        <f t="shared" si="224"/>
        <v>4061167.5675675673</v>
      </c>
    </row>
    <row r="845" spans="1:19" s="80" customFormat="1">
      <c r="A845" s="145" t="s">
        <v>538</v>
      </c>
      <c r="B845" s="80" t="s">
        <v>25</v>
      </c>
      <c r="C845" s="81"/>
      <c r="D845" s="82" t="s">
        <v>19</v>
      </c>
      <c r="E845" s="83"/>
      <c r="F845" s="84">
        <v>1</v>
      </c>
      <c r="G845" s="85" t="s">
        <v>20</v>
      </c>
      <c r="H845" s="84">
        <v>20</v>
      </c>
      <c r="I845" s="85" t="s">
        <v>19</v>
      </c>
      <c r="J845" s="16">
        <v>90000</v>
      </c>
      <c r="K845" s="82" t="s">
        <v>19</v>
      </c>
      <c r="L845" s="86"/>
      <c r="M845" s="86">
        <v>0.17</v>
      </c>
      <c r="N845" s="84"/>
      <c r="O845" s="85" t="s">
        <v>19</v>
      </c>
      <c r="P845" s="81">
        <f t="shared" si="228"/>
        <v>0</v>
      </c>
      <c r="Q845" s="85" t="s">
        <v>19</v>
      </c>
      <c r="R845" s="16">
        <f t="shared" si="229"/>
        <v>0</v>
      </c>
      <c r="S845" s="16">
        <f t="shared" si="224"/>
        <v>0</v>
      </c>
    </row>
    <row r="846" spans="1:19" s="80" customFormat="1">
      <c r="A846" s="145" t="s">
        <v>539</v>
      </c>
      <c r="B846" s="80" t="s">
        <v>25</v>
      </c>
      <c r="C846" s="81"/>
      <c r="D846" s="82" t="s">
        <v>19</v>
      </c>
      <c r="E846" s="83"/>
      <c r="F846" s="84">
        <v>1</v>
      </c>
      <c r="G846" s="85" t="s">
        <v>20</v>
      </c>
      <c r="H846" s="84">
        <v>20</v>
      </c>
      <c r="I846" s="85" t="s">
        <v>19</v>
      </c>
      <c r="J846" s="16">
        <v>87500</v>
      </c>
      <c r="K846" s="82" t="s">
        <v>19</v>
      </c>
      <c r="L846" s="86"/>
      <c r="M846" s="86">
        <v>0.17</v>
      </c>
      <c r="N846" s="84"/>
      <c r="O846" s="85" t="s">
        <v>19</v>
      </c>
      <c r="P846" s="81">
        <f t="shared" si="228"/>
        <v>0</v>
      </c>
      <c r="Q846" s="85" t="s">
        <v>19</v>
      </c>
      <c r="R846" s="16">
        <f t="shared" si="229"/>
        <v>0</v>
      </c>
      <c r="S846" s="16">
        <f t="shared" si="224"/>
        <v>0</v>
      </c>
    </row>
    <row r="847" spans="1:19">
      <c r="A847" s="49" t="s">
        <v>540</v>
      </c>
      <c r="B847" s="2" t="s">
        <v>25</v>
      </c>
      <c r="C847" s="3">
        <v>11</v>
      </c>
      <c r="D847" s="4" t="s">
        <v>40</v>
      </c>
      <c r="F847" s="6">
        <v>1</v>
      </c>
      <c r="G847" s="7" t="s">
        <v>20</v>
      </c>
      <c r="H847" s="6">
        <v>40</v>
      </c>
      <c r="I847" s="7" t="s">
        <v>40</v>
      </c>
      <c r="J847" s="8">
        <f>3360000/40</f>
        <v>84000</v>
      </c>
      <c r="K847" s="4" t="s">
        <v>40</v>
      </c>
      <c r="M847" s="9">
        <v>0.17</v>
      </c>
      <c r="O847" s="7" t="s">
        <v>40</v>
      </c>
      <c r="P847" s="3">
        <f t="shared" si="228"/>
        <v>11</v>
      </c>
      <c r="Q847" s="7" t="s">
        <v>40</v>
      </c>
      <c r="R847" s="8">
        <f t="shared" si="229"/>
        <v>766920</v>
      </c>
      <c r="S847" s="8">
        <f t="shared" si="224"/>
        <v>690918.91891891882</v>
      </c>
    </row>
    <row r="848" spans="1:19" s="80" customFormat="1">
      <c r="A848" s="145" t="s">
        <v>541</v>
      </c>
      <c r="B848" s="80" t="s">
        <v>25</v>
      </c>
      <c r="C848" s="81"/>
      <c r="D848" s="82" t="s">
        <v>40</v>
      </c>
      <c r="E848" s="83"/>
      <c r="F848" s="84">
        <v>1</v>
      </c>
      <c r="G848" s="85" t="s">
        <v>20</v>
      </c>
      <c r="H848" s="84">
        <v>20</v>
      </c>
      <c r="I848" s="85" t="s">
        <v>40</v>
      </c>
      <c r="J848" s="16">
        <f>1992000/20</f>
        <v>99600</v>
      </c>
      <c r="K848" s="82" t="s">
        <v>40</v>
      </c>
      <c r="L848" s="86"/>
      <c r="M848" s="86">
        <v>0.17</v>
      </c>
      <c r="N848" s="84"/>
      <c r="O848" s="85" t="s">
        <v>40</v>
      </c>
      <c r="P848" s="81">
        <f t="shared" si="228"/>
        <v>0</v>
      </c>
      <c r="Q848" s="85" t="s">
        <v>40</v>
      </c>
      <c r="R848" s="16">
        <f t="shared" si="229"/>
        <v>0</v>
      </c>
      <c r="S848" s="16">
        <f t="shared" si="224"/>
        <v>0</v>
      </c>
    </row>
    <row r="849" spans="1:19">
      <c r="A849" s="49"/>
    </row>
    <row r="850" spans="1:19">
      <c r="A850" s="15" t="s">
        <v>542</v>
      </c>
    </row>
    <row r="851" spans="1:19" s="89" customFormat="1">
      <c r="A851" s="88" t="s">
        <v>543</v>
      </c>
      <c r="B851" s="89" t="s">
        <v>18</v>
      </c>
      <c r="C851" s="87"/>
      <c r="D851" s="90" t="s">
        <v>40</v>
      </c>
      <c r="E851" s="91">
        <v>2</v>
      </c>
      <c r="F851" s="92">
        <v>18</v>
      </c>
      <c r="G851" s="93" t="s">
        <v>99</v>
      </c>
      <c r="H851" s="92">
        <v>1</v>
      </c>
      <c r="I851" s="93" t="s">
        <v>40</v>
      </c>
      <c r="J851" s="94">
        <f>4900*12</f>
        <v>58800</v>
      </c>
      <c r="K851" s="90" t="s">
        <v>40</v>
      </c>
      <c r="L851" s="95">
        <v>0.125</v>
      </c>
      <c r="M851" s="95">
        <v>0.05</v>
      </c>
      <c r="N851" s="92"/>
      <c r="O851" s="93" t="s">
        <v>40</v>
      </c>
      <c r="P851" s="87">
        <f>(C851+(E851*F851*H851))-N851</f>
        <v>36</v>
      </c>
      <c r="Q851" s="93" t="s">
        <v>40</v>
      </c>
      <c r="R851" s="94">
        <f>P851*(J851-(J851*L851)-((J851-(J851*L851))*M851))</f>
        <v>1759590</v>
      </c>
      <c r="S851" s="16">
        <f t="shared" si="224"/>
        <v>1585216.2162162161</v>
      </c>
    </row>
    <row r="852" spans="1:19" s="89" customFormat="1">
      <c r="A852" s="88" t="s">
        <v>544</v>
      </c>
      <c r="B852" s="89" t="s">
        <v>18</v>
      </c>
      <c r="C852" s="87"/>
      <c r="D852" s="90" t="s">
        <v>40</v>
      </c>
      <c r="E852" s="91"/>
      <c r="F852" s="92">
        <v>24</v>
      </c>
      <c r="G852" s="93" t="s">
        <v>99</v>
      </c>
      <c r="H852" s="92">
        <v>2</v>
      </c>
      <c r="I852" s="93" t="s">
        <v>40</v>
      </c>
      <c r="J852" s="94">
        <f>4900*12</f>
        <v>58800</v>
      </c>
      <c r="K852" s="90" t="s">
        <v>40</v>
      </c>
      <c r="L852" s="95">
        <v>0.125</v>
      </c>
      <c r="M852" s="95">
        <v>0.05</v>
      </c>
      <c r="N852" s="92"/>
      <c r="O852" s="93" t="s">
        <v>40</v>
      </c>
      <c r="P852" s="87">
        <f>(C852+(E852*F852*H852))-N852</f>
        <v>0</v>
      </c>
      <c r="Q852" s="93" t="s">
        <v>40</v>
      </c>
      <c r="R852" s="94">
        <f>P852*(J852-(J852*L852)-((J852-(J852*L852))*M852))</f>
        <v>0</v>
      </c>
      <c r="S852" s="16">
        <f t="shared" si="224"/>
        <v>0</v>
      </c>
    </row>
    <row r="853" spans="1:19" s="19" customFormat="1">
      <c r="A853" s="18" t="s">
        <v>545</v>
      </c>
      <c r="B853" s="19" t="s">
        <v>18</v>
      </c>
      <c r="C853" s="20"/>
      <c r="D853" s="21" t="s">
        <v>40</v>
      </c>
      <c r="E853" s="26">
        <v>5</v>
      </c>
      <c r="F853" s="22">
        <v>18</v>
      </c>
      <c r="G853" s="23" t="s">
        <v>99</v>
      </c>
      <c r="H853" s="22">
        <v>1</v>
      </c>
      <c r="I853" s="23" t="s">
        <v>40</v>
      </c>
      <c r="J853" s="24">
        <v>69600</v>
      </c>
      <c r="K853" s="21" t="s">
        <v>40</v>
      </c>
      <c r="L853" s="25">
        <v>0.125</v>
      </c>
      <c r="M853" s="25">
        <v>0.05</v>
      </c>
      <c r="N853" s="22"/>
      <c r="O853" s="23" t="s">
        <v>40</v>
      </c>
      <c r="P853" s="107">
        <f>(C853+(E853*F853*H853))-N853</f>
        <v>90</v>
      </c>
      <c r="Q853" s="111" t="s">
        <v>40</v>
      </c>
      <c r="R853" s="24">
        <f>P853*(J853-(J853*L853)-((J853-(J853*L853))*M853))</f>
        <v>5206950</v>
      </c>
      <c r="S853" s="24">
        <f t="shared" ref="S853" si="230">R853/1.11</f>
        <v>4690945.9459459456</v>
      </c>
    </row>
    <row r="854" spans="1:19" s="89" customFormat="1">
      <c r="A854" s="88" t="s">
        <v>546</v>
      </c>
      <c r="B854" s="89" t="s">
        <v>18</v>
      </c>
      <c r="C854" s="87"/>
      <c r="D854" s="90" t="s">
        <v>40</v>
      </c>
      <c r="E854" s="91"/>
      <c r="F854" s="92">
        <v>24</v>
      </c>
      <c r="G854" s="93" t="s">
        <v>99</v>
      </c>
      <c r="H854" s="92">
        <v>6</v>
      </c>
      <c r="I854" s="93" t="s">
        <v>19</v>
      </c>
      <c r="J854" s="94">
        <v>12600</v>
      </c>
      <c r="K854" s="90" t="s">
        <v>19</v>
      </c>
      <c r="L854" s="95">
        <v>0.125</v>
      </c>
      <c r="M854" s="95">
        <v>0.05</v>
      </c>
      <c r="N854" s="92"/>
      <c r="O854" s="93" t="s">
        <v>19</v>
      </c>
      <c r="P854" s="87">
        <f>(C854+(E854*F854*H854))-N854</f>
        <v>0</v>
      </c>
      <c r="Q854" s="93" t="s">
        <v>19</v>
      </c>
      <c r="R854" s="94">
        <f>P854*(J854-(J854*L854)-((J854-(J854*L854))*M854))</f>
        <v>0</v>
      </c>
      <c r="S854" s="16">
        <f t="shared" si="224"/>
        <v>0</v>
      </c>
    </row>
    <row r="855" spans="1:19" s="19" customFormat="1">
      <c r="A855" s="18"/>
      <c r="C855" s="20"/>
      <c r="D855" s="21"/>
      <c r="E855" s="26"/>
      <c r="F855" s="22"/>
      <c r="G855" s="23"/>
      <c r="H855" s="22"/>
      <c r="I855" s="23"/>
      <c r="J855" s="24"/>
      <c r="K855" s="21"/>
      <c r="L855" s="25"/>
      <c r="M855" s="25"/>
      <c r="N855" s="22"/>
      <c r="O855" s="23"/>
      <c r="P855" s="20"/>
      <c r="Q855" s="23"/>
      <c r="R855" s="24"/>
      <c r="S855" s="8"/>
    </row>
    <row r="856" spans="1:19" s="19" customFormat="1">
      <c r="A856" s="18" t="s">
        <v>547</v>
      </c>
      <c r="B856" s="19" t="s">
        <v>25</v>
      </c>
      <c r="C856" s="20"/>
      <c r="D856" s="21" t="s">
        <v>40</v>
      </c>
      <c r="E856" s="26">
        <v>4</v>
      </c>
      <c r="F856" s="22">
        <v>1</v>
      </c>
      <c r="G856" s="23" t="s">
        <v>20</v>
      </c>
      <c r="H856" s="22">
        <v>18</v>
      </c>
      <c r="I856" s="23" t="s">
        <v>40</v>
      </c>
      <c r="J856" s="24">
        <f>1069200/18</f>
        <v>59400</v>
      </c>
      <c r="K856" s="21" t="s">
        <v>40</v>
      </c>
      <c r="L856" s="25"/>
      <c r="M856" s="25">
        <v>0.17</v>
      </c>
      <c r="N856" s="22"/>
      <c r="O856" s="23" t="s">
        <v>40</v>
      </c>
      <c r="P856" s="20">
        <f>(C856+(E856*F856*H856))-N856</f>
        <v>72</v>
      </c>
      <c r="Q856" s="23" t="s">
        <v>40</v>
      </c>
      <c r="R856" s="24">
        <f>P856*(J856-(J856*L856)-((J856-(J856*L856))*M856))</f>
        <v>3549744</v>
      </c>
      <c r="S856" s="24">
        <f t="shared" si="224"/>
        <v>3197967.5675675673</v>
      </c>
    </row>
    <row r="857" spans="1:19" s="80" customFormat="1">
      <c r="A857" s="79" t="s">
        <v>548</v>
      </c>
      <c r="B857" s="80" t="s">
        <v>25</v>
      </c>
      <c r="C857" s="81"/>
      <c r="D857" s="82" t="s">
        <v>40</v>
      </c>
      <c r="E857" s="83"/>
      <c r="F857" s="84">
        <v>1</v>
      </c>
      <c r="G857" s="85" t="s">
        <v>20</v>
      </c>
      <c r="H857" s="84">
        <v>18</v>
      </c>
      <c r="I857" s="85" t="s">
        <v>40</v>
      </c>
      <c r="J857" s="16">
        <f>1274400/18</f>
        <v>70800</v>
      </c>
      <c r="K857" s="82" t="s">
        <v>40</v>
      </c>
      <c r="L857" s="86"/>
      <c r="M857" s="86">
        <v>0.17</v>
      </c>
      <c r="N857" s="84"/>
      <c r="O857" s="85" t="s">
        <v>40</v>
      </c>
      <c r="P857" s="81">
        <f>(C857+(E857*F857*H857))-N857</f>
        <v>0</v>
      </c>
      <c r="Q857" s="85" t="s">
        <v>40</v>
      </c>
      <c r="R857" s="16">
        <f>P857*(J857-(J857*L857)-((J857-(J857*L857))*M857))</f>
        <v>0</v>
      </c>
      <c r="S857" s="16">
        <f t="shared" si="224"/>
        <v>0</v>
      </c>
    </row>
    <row r="859" spans="1:19" ht="15.75">
      <c r="A859" s="14" t="s">
        <v>549</v>
      </c>
    </row>
    <row r="860" spans="1:19">
      <c r="A860" s="15" t="s">
        <v>550</v>
      </c>
    </row>
    <row r="861" spans="1:19">
      <c r="A861" s="17" t="s">
        <v>704</v>
      </c>
      <c r="B861" s="19" t="s">
        <v>18</v>
      </c>
      <c r="D861" s="4" t="s">
        <v>19</v>
      </c>
      <c r="E861" s="5">
        <v>3</v>
      </c>
      <c r="F861" s="6">
        <v>1</v>
      </c>
      <c r="G861" s="7" t="s">
        <v>20</v>
      </c>
      <c r="H861" s="6">
        <v>72</v>
      </c>
      <c r="I861" s="7" t="s">
        <v>19</v>
      </c>
      <c r="J861" s="8">
        <v>34500</v>
      </c>
      <c r="K861" s="4" t="s">
        <v>19</v>
      </c>
      <c r="L861" s="9">
        <v>0.125</v>
      </c>
      <c r="M861" s="9">
        <v>0.05</v>
      </c>
      <c r="O861" s="7" t="s">
        <v>19</v>
      </c>
      <c r="P861" s="3">
        <f>(C861+(E861*F861*H861))-N861</f>
        <v>216</v>
      </c>
      <c r="Q861" s="7" t="s">
        <v>19</v>
      </c>
      <c r="R861" s="8">
        <f>P861*(J861-(J861*L861)-((J861-(J861*L861))*M861))</f>
        <v>6194475</v>
      </c>
      <c r="S861" s="8">
        <f t="shared" ref="S861" si="231">R861/1.11</f>
        <v>5580608.1081081079</v>
      </c>
    </row>
    <row r="862" spans="1:19" s="80" customFormat="1">
      <c r="A862" s="79" t="s">
        <v>551</v>
      </c>
      <c r="B862" s="89" t="s">
        <v>18</v>
      </c>
      <c r="C862" s="81"/>
      <c r="D862" s="82" t="s">
        <v>19</v>
      </c>
      <c r="E862" s="83">
        <v>1</v>
      </c>
      <c r="F862" s="84">
        <v>1</v>
      </c>
      <c r="G862" s="85" t="s">
        <v>20</v>
      </c>
      <c r="H862" s="84">
        <v>24</v>
      </c>
      <c r="I862" s="85" t="s">
        <v>19</v>
      </c>
      <c r="J862" s="16">
        <v>97000</v>
      </c>
      <c r="K862" s="82" t="s">
        <v>19</v>
      </c>
      <c r="L862" s="86">
        <v>0.125</v>
      </c>
      <c r="M862" s="86">
        <v>0.05</v>
      </c>
      <c r="N862" s="84"/>
      <c r="O862" s="85" t="s">
        <v>19</v>
      </c>
      <c r="P862" s="81">
        <f>(C862+(E862*F862*H862))-N862</f>
        <v>24</v>
      </c>
      <c r="Q862" s="85" t="s">
        <v>19</v>
      </c>
      <c r="R862" s="16">
        <f>P862*(J862-(J862*L862)-((J862-(J862*L862))*M862))</f>
        <v>1935150</v>
      </c>
      <c r="S862" s="16">
        <f t="shared" si="224"/>
        <v>1743378.3783783782</v>
      </c>
    </row>
    <row r="863" spans="1:19">
      <c r="B863" s="19"/>
    </row>
    <row r="864" spans="1:19" s="80" customFormat="1">
      <c r="A864" s="79" t="s">
        <v>552</v>
      </c>
      <c r="B864" s="80" t="s">
        <v>25</v>
      </c>
      <c r="C864" s="81"/>
      <c r="D864" s="82" t="s">
        <v>40</v>
      </c>
      <c r="E864" s="83"/>
      <c r="F864" s="84">
        <v>1</v>
      </c>
      <c r="G864" s="85" t="s">
        <v>20</v>
      </c>
      <c r="H864" s="84">
        <v>48</v>
      </c>
      <c r="I864" s="85" t="s">
        <v>19</v>
      </c>
      <c r="J864" s="16">
        <f>2400000/48</f>
        <v>50000</v>
      </c>
      <c r="K864" s="82" t="s">
        <v>19</v>
      </c>
      <c r="L864" s="86"/>
      <c r="M864" s="86">
        <v>0.17</v>
      </c>
      <c r="N864" s="84"/>
      <c r="O864" s="85" t="s">
        <v>19</v>
      </c>
      <c r="P864" s="81">
        <f>(C864+(E864*F864*H864))-N864</f>
        <v>0</v>
      </c>
      <c r="Q864" s="85" t="s">
        <v>19</v>
      </c>
      <c r="R864" s="16">
        <f>P864*(J864-(J864*L864)-((J864-(J864*L864))*M864))</f>
        <v>0</v>
      </c>
      <c r="S864" s="16">
        <f t="shared" si="224"/>
        <v>0</v>
      </c>
    </row>
    <row r="866" spans="1:19">
      <c r="A866" s="15" t="s">
        <v>553</v>
      </c>
    </row>
    <row r="867" spans="1:19" s="19" customFormat="1">
      <c r="A867" s="18" t="s">
        <v>554</v>
      </c>
      <c r="B867" s="19" t="s">
        <v>18</v>
      </c>
      <c r="C867" s="20"/>
      <c r="D867" s="21" t="s">
        <v>40</v>
      </c>
      <c r="E867" s="26">
        <v>18</v>
      </c>
      <c r="F867" s="22">
        <v>1</v>
      </c>
      <c r="G867" s="23" t="s">
        <v>20</v>
      </c>
      <c r="H867" s="22">
        <v>20</v>
      </c>
      <c r="I867" s="23" t="s">
        <v>40</v>
      </c>
      <c r="J867" s="24">
        <v>85200</v>
      </c>
      <c r="K867" s="21" t="s">
        <v>40</v>
      </c>
      <c r="L867" s="25">
        <v>0.125</v>
      </c>
      <c r="M867" s="25">
        <v>0.05</v>
      </c>
      <c r="N867" s="22"/>
      <c r="O867" s="23" t="s">
        <v>40</v>
      </c>
      <c r="P867" s="20">
        <f t="shared" ref="P867:P881" si="232">(C867+(E867*F867*H867))-N867</f>
        <v>360</v>
      </c>
      <c r="Q867" s="23" t="s">
        <v>40</v>
      </c>
      <c r="R867" s="24">
        <f t="shared" ref="R867:R881" si="233">P867*(J867-(J867*L867)-((J867-(J867*L867))*M867))</f>
        <v>25496100</v>
      </c>
      <c r="S867" s="24">
        <f t="shared" si="224"/>
        <v>22969459.459459458</v>
      </c>
    </row>
    <row r="868" spans="1:19" s="80" customFormat="1">
      <c r="A868" s="79" t="s">
        <v>555</v>
      </c>
      <c r="B868" s="80" t="s">
        <v>18</v>
      </c>
      <c r="C868" s="81"/>
      <c r="D868" s="82" t="s">
        <v>19</v>
      </c>
      <c r="E868" s="83">
        <v>1</v>
      </c>
      <c r="F868" s="84">
        <v>24</v>
      </c>
      <c r="G868" s="85" t="s">
        <v>33</v>
      </c>
      <c r="H868" s="84">
        <v>10</v>
      </c>
      <c r="I868" s="85" t="s">
        <v>19</v>
      </c>
      <c r="J868" s="16">
        <v>9750</v>
      </c>
      <c r="K868" s="82" t="s">
        <v>19</v>
      </c>
      <c r="L868" s="86">
        <v>0.125</v>
      </c>
      <c r="M868" s="86">
        <v>0.05</v>
      </c>
      <c r="N868" s="84"/>
      <c r="O868" s="85" t="s">
        <v>19</v>
      </c>
      <c r="P868" s="81">
        <f t="shared" si="232"/>
        <v>240</v>
      </c>
      <c r="Q868" s="85" t="s">
        <v>19</v>
      </c>
      <c r="R868" s="16">
        <f t="shared" si="233"/>
        <v>1945125</v>
      </c>
      <c r="S868" s="16">
        <f t="shared" si="224"/>
        <v>1752364.8648648646</v>
      </c>
    </row>
    <row r="869" spans="1:19">
      <c r="A869" s="17" t="s">
        <v>556</v>
      </c>
      <c r="B869" s="2" t="s">
        <v>18</v>
      </c>
      <c r="D869" s="4" t="s">
        <v>40</v>
      </c>
      <c r="E869" s="5">
        <v>3</v>
      </c>
      <c r="F869" s="6">
        <v>1</v>
      </c>
      <c r="G869" s="7" t="s">
        <v>20</v>
      </c>
      <c r="H869" s="6">
        <v>25</v>
      </c>
      <c r="I869" s="7" t="s">
        <v>40</v>
      </c>
      <c r="J869" s="8">
        <v>70800</v>
      </c>
      <c r="K869" s="4" t="s">
        <v>40</v>
      </c>
      <c r="L869" s="9">
        <v>0.125</v>
      </c>
      <c r="M869" s="9">
        <v>0.05</v>
      </c>
      <c r="O869" s="7" t="s">
        <v>40</v>
      </c>
      <c r="P869" s="3">
        <f t="shared" si="232"/>
        <v>75</v>
      </c>
      <c r="Q869" s="7" t="s">
        <v>40</v>
      </c>
      <c r="R869" s="8">
        <f t="shared" si="233"/>
        <v>4413937.5</v>
      </c>
      <c r="S869" s="8">
        <f t="shared" si="224"/>
        <v>3976520.2702702698</v>
      </c>
    </row>
    <row r="870" spans="1:19">
      <c r="A870" s="18" t="s">
        <v>843</v>
      </c>
      <c r="B870" s="2" t="s">
        <v>18</v>
      </c>
      <c r="D870" s="4" t="s">
        <v>40</v>
      </c>
      <c r="E870" s="5">
        <v>3</v>
      </c>
      <c r="F870" s="6">
        <v>1</v>
      </c>
      <c r="G870" s="7" t="s">
        <v>20</v>
      </c>
      <c r="H870" s="6">
        <v>25</v>
      </c>
      <c r="I870" s="7" t="s">
        <v>40</v>
      </c>
      <c r="J870" s="8">
        <v>66600</v>
      </c>
      <c r="K870" s="4" t="s">
        <v>40</v>
      </c>
      <c r="L870" s="9">
        <v>0.125</v>
      </c>
      <c r="M870" s="9">
        <v>0.05</v>
      </c>
      <c r="O870" s="7" t="s">
        <v>40</v>
      </c>
      <c r="P870" s="3">
        <f t="shared" ref="P870:P871" si="234">(C870+(E870*F870*H870))-N870</f>
        <v>75</v>
      </c>
      <c r="Q870" s="7" t="s">
        <v>40</v>
      </c>
      <c r="R870" s="8">
        <f t="shared" ref="R870:R871" si="235">P870*(J870-(J870*L870)-((J870-(J870*L870))*M870))</f>
        <v>4152093.75</v>
      </c>
      <c r="S870" s="8">
        <f t="shared" ref="S870:S871" si="236">R870/1.11</f>
        <v>3740624.9999999995</v>
      </c>
    </row>
    <row r="871" spans="1:19" s="19" customFormat="1">
      <c r="A871" s="164" t="s">
        <v>557</v>
      </c>
      <c r="B871" s="19" t="s">
        <v>18</v>
      </c>
      <c r="C871" s="20"/>
      <c r="D871" s="21" t="s">
        <v>40</v>
      </c>
      <c r="E871" s="26">
        <v>2</v>
      </c>
      <c r="F871" s="22">
        <v>20</v>
      </c>
      <c r="G871" s="23" t="s">
        <v>33</v>
      </c>
      <c r="H871" s="22">
        <v>1</v>
      </c>
      <c r="I871" s="23" t="s">
        <v>40</v>
      </c>
      <c r="J871" s="24">
        <v>84000</v>
      </c>
      <c r="K871" s="21" t="s">
        <v>40</v>
      </c>
      <c r="L871" s="25">
        <v>0.125</v>
      </c>
      <c r="M871" s="25">
        <v>0.05</v>
      </c>
      <c r="N871" s="22"/>
      <c r="O871" s="23" t="s">
        <v>40</v>
      </c>
      <c r="P871" s="20">
        <f t="shared" si="234"/>
        <v>40</v>
      </c>
      <c r="Q871" s="23" t="s">
        <v>40</v>
      </c>
      <c r="R871" s="24">
        <f t="shared" si="235"/>
        <v>2793000</v>
      </c>
      <c r="S871" s="24">
        <f t="shared" si="236"/>
        <v>2516216.2162162159</v>
      </c>
    </row>
    <row r="872" spans="1:19" s="19" customFormat="1">
      <c r="A872" s="18" t="s">
        <v>557</v>
      </c>
      <c r="B872" s="19" t="s">
        <v>18</v>
      </c>
      <c r="C872" s="20">
        <v>240</v>
      </c>
      <c r="D872" s="21" t="s">
        <v>40</v>
      </c>
      <c r="E872" s="26"/>
      <c r="F872" s="22">
        <v>20</v>
      </c>
      <c r="G872" s="23" t="s">
        <v>33</v>
      </c>
      <c r="H872" s="22">
        <v>1</v>
      </c>
      <c r="I872" s="23" t="s">
        <v>40</v>
      </c>
      <c r="J872" s="24">
        <f>6800*12</f>
        <v>81600</v>
      </c>
      <c r="K872" s="21" t="s">
        <v>40</v>
      </c>
      <c r="L872" s="25">
        <v>0.125</v>
      </c>
      <c r="M872" s="25">
        <v>0.05</v>
      </c>
      <c r="N872" s="22"/>
      <c r="O872" s="23" t="s">
        <v>40</v>
      </c>
      <c r="P872" s="20">
        <f t="shared" si="232"/>
        <v>240</v>
      </c>
      <c r="Q872" s="23" t="s">
        <v>40</v>
      </c>
      <c r="R872" s="24">
        <f t="shared" si="233"/>
        <v>16279200</v>
      </c>
      <c r="S872" s="24">
        <f t="shared" si="224"/>
        <v>14665945.945945945</v>
      </c>
    </row>
    <row r="873" spans="1:19" s="19" customFormat="1">
      <c r="A873" s="18" t="s">
        <v>558</v>
      </c>
      <c r="B873" s="19" t="s">
        <v>18</v>
      </c>
      <c r="C873" s="20">
        <v>450</v>
      </c>
      <c r="D873" s="21" t="s">
        <v>19</v>
      </c>
      <c r="E873" s="26"/>
      <c r="F873" s="22">
        <v>20</v>
      </c>
      <c r="G873" s="23" t="s">
        <v>33</v>
      </c>
      <c r="H873" s="22">
        <v>6</v>
      </c>
      <c r="I873" s="23" t="s">
        <v>19</v>
      </c>
      <c r="J873" s="24">
        <v>18700</v>
      </c>
      <c r="K873" s="21" t="s">
        <v>19</v>
      </c>
      <c r="L873" s="25">
        <v>0.125</v>
      </c>
      <c r="M873" s="25">
        <v>0.05</v>
      </c>
      <c r="N873" s="22"/>
      <c r="O873" s="23" t="s">
        <v>19</v>
      </c>
      <c r="P873" s="20">
        <f t="shared" si="232"/>
        <v>450</v>
      </c>
      <c r="Q873" s="23" t="s">
        <v>19</v>
      </c>
      <c r="R873" s="24">
        <f t="shared" si="233"/>
        <v>6994968.75</v>
      </c>
      <c r="S873" s="24">
        <f t="shared" si="224"/>
        <v>6301773.6486486485</v>
      </c>
    </row>
    <row r="874" spans="1:19" s="19" customFormat="1">
      <c r="A874" s="18" t="s">
        <v>559</v>
      </c>
      <c r="B874" s="19" t="s">
        <v>18</v>
      </c>
      <c r="C874" s="20">
        <v>1284</v>
      </c>
      <c r="D874" s="21" t="s">
        <v>19</v>
      </c>
      <c r="E874" s="26"/>
      <c r="F874" s="22">
        <v>20</v>
      </c>
      <c r="G874" s="23" t="s">
        <v>33</v>
      </c>
      <c r="H874" s="22">
        <v>6</v>
      </c>
      <c r="I874" s="23" t="s">
        <v>19</v>
      </c>
      <c r="J874" s="24">
        <v>18000</v>
      </c>
      <c r="K874" s="21" t="s">
        <v>19</v>
      </c>
      <c r="L874" s="25">
        <v>0.125</v>
      </c>
      <c r="M874" s="25">
        <v>0.05</v>
      </c>
      <c r="N874" s="22"/>
      <c r="O874" s="23" t="s">
        <v>19</v>
      </c>
      <c r="P874" s="20">
        <f t="shared" si="232"/>
        <v>1284</v>
      </c>
      <c r="Q874" s="23" t="s">
        <v>19</v>
      </c>
      <c r="R874" s="24">
        <f t="shared" si="233"/>
        <v>19211850</v>
      </c>
      <c r="S874" s="24">
        <f t="shared" si="224"/>
        <v>17307972.97297297</v>
      </c>
    </row>
    <row r="875" spans="1:19" s="80" customFormat="1">
      <c r="A875" s="79" t="s">
        <v>560</v>
      </c>
      <c r="B875" s="80" t="s">
        <v>18</v>
      </c>
      <c r="C875" s="81"/>
      <c r="D875" s="82" t="s">
        <v>19</v>
      </c>
      <c r="E875" s="83"/>
      <c r="F875" s="84">
        <v>1</v>
      </c>
      <c r="G875" s="85" t="s">
        <v>20</v>
      </c>
      <c r="H875" s="84">
        <v>12</v>
      </c>
      <c r="I875" s="85" t="s">
        <v>19</v>
      </c>
      <c r="J875" s="16">
        <v>162000</v>
      </c>
      <c r="K875" s="82" t="s">
        <v>19</v>
      </c>
      <c r="L875" s="86">
        <v>0.125</v>
      </c>
      <c r="M875" s="86">
        <v>0.05</v>
      </c>
      <c r="N875" s="84"/>
      <c r="O875" s="85" t="s">
        <v>19</v>
      </c>
      <c r="P875" s="81">
        <f t="shared" si="232"/>
        <v>0</v>
      </c>
      <c r="Q875" s="85" t="s">
        <v>19</v>
      </c>
      <c r="R875" s="16">
        <f t="shared" si="233"/>
        <v>0</v>
      </c>
      <c r="S875" s="16">
        <f t="shared" si="224"/>
        <v>0</v>
      </c>
    </row>
    <row r="876" spans="1:19" s="80" customFormat="1">
      <c r="A876" s="79" t="s">
        <v>756</v>
      </c>
      <c r="B876" s="80" t="s">
        <v>18</v>
      </c>
      <c r="C876" s="81"/>
      <c r="D876" s="82" t="s">
        <v>19</v>
      </c>
      <c r="E876" s="83"/>
      <c r="F876" s="84">
        <v>1</v>
      </c>
      <c r="G876" s="85" t="s">
        <v>20</v>
      </c>
      <c r="H876" s="84">
        <v>12</v>
      </c>
      <c r="I876" s="85" t="s">
        <v>19</v>
      </c>
      <c r="J876" s="16">
        <v>200000</v>
      </c>
      <c r="K876" s="82" t="s">
        <v>19</v>
      </c>
      <c r="L876" s="86">
        <v>0.125</v>
      </c>
      <c r="M876" s="86">
        <v>0.05</v>
      </c>
      <c r="N876" s="84"/>
      <c r="O876" s="85" t="s">
        <v>19</v>
      </c>
      <c r="P876" s="81">
        <f t="shared" si="232"/>
        <v>0</v>
      </c>
      <c r="Q876" s="85" t="s">
        <v>19</v>
      </c>
      <c r="R876" s="16">
        <f t="shared" si="233"/>
        <v>0</v>
      </c>
      <c r="S876" s="16">
        <f t="shared" si="224"/>
        <v>0</v>
      </c>
    </row>
    <row r="877" spans="1:19">
      <c r="A877" s="17" t="s">
        <v>561</v>
      </c>
      <c r="B877" s="2" t="s">
        <v>18</v>
      </c>
      <c r="D877" s="4" t="s">
        <v>19</v>
      </c>
      <c r="E877" s="5">
        <v>2</v>
      </c>
      <c r="F877" s="6">
        <v>1</v>
      </c>
      <c r="G877" s="7" t="s">
        <v>20</v>
      </c>
      <c r="H877" s="6">
        <v>36</v>
      </c>
      <c r="I877" s="7" t="s">
        <v>19</v>
      </c>
      <c r="J877" s="8">
        <v>58000</v>
      </c>
      <c r="K877" s="4" t="s">
        <v>19</v>
      </c>
      <c r="L877" s="9">
        <v>0.125</v>
      </c>
      <c r="M877" s="9">
        <v>0.05</v>
      </c>
      <c r="O877" s="7" t="s">
        <v>19</v>
      </c>
      <c r="P877" s="3">
        <f t="shared" si="232"/>
        <v>72</v>
      </c>
      <c r="Q877" s="7" t="s">
        <v>19</v>
      </c>
      <c r="R877" s="8">
        <f t="shared" si="233"/>
        <v>3471300</v>
      </c>
      <c r="S877" s="8">
        <f t="shared" si="224"/>
        <v>3127297.297297297</v>
      </c>
    </row>
    <row r="878" spans="1:19">
      <c r="A878" s="17" t="s">
        <v>562</v>
      </c>
      <c r="B878" s="2" t="s">
        <v>18</v>
      </c>
      <c r="C878" s="3">
        <v>36</v>
      </c>
      <c r="D878" s="4" t="s">
        <v>19</v>
      </c>
      <c r="F878" s="6">
        <v>1</v>
      </c>
      <c r="G878" s="7" t="s">
        <v>20</v>
      </c>
      <c r="H878" s="6">
        <v>12</v>
      </c>
      <c r="I878" s="7" t="s">
        <v>19</v>
      </c>
      <c r="J878" s="8">
        <v>97000</v>
      </c>
      <c r="K878" s="4" t="s">
        <v>19</v>
      </c>
      <c r="L878" s="9">
        <v>0.125</v>
      </c>
      <c r="M878" s="9">
        <v>0.05</v>
      </c>
      <c r="O878" s="7" t="s">
        <v>19</v>
      </c>
      <c r="P878" s="3">
        <f t="shared" si="232"/>
        <v>36</v>
      </c>
      <c r="Q878" s="7" t="s">
        <v>19</v>
      </c>
      <c r="R878" s="8">
        <f t="shared" si="233"/>
        <v>2902725</v>
      </c>
      <c r="S878" s="8">
        <f t="shared" si="224"/>
        <v>2615067.5675675673</v>
      </c>
    </row>
    <row r="879" spans="1:19" s="19" customFormat="1">
      <c r="A879" s="18" t="s">
        <v>563</v>
      </c>
      <c r="B879" s="19" t="s">
        <v>18</v>
      </c>
      <c r="C879" s="20">
        <v>12</v>
      </c>
      <c r="D879" s="21" t="s">
        <v>19</v>
      </c>
      <c r="E879" s="26">
        <v>2</v>
      </c>
      <c r="F879" s="22">
        <v>1</v>
      </c>
      <c r="G879" s="23" t="s">
        <v>20</v>
      </c>
      <c r="H879" s="22">
        <v>12</v>
      </c>
      <c r="I879" s="23" t="s">
        <v>19</v>
      </c>
      <c r="J879" s="24">
        <v>97000</v>
      </c>
      <c r="K879" s="21" t="s">
        <v>19</v>
      </c>
      <c r="L879" s="25">
        <v>0.125</v>
      </c>
      <c r="M879" s="25">
        <v>0.05</v>
      </c>
      <c r="N879" s="22"/>
      <c r="O879" s="23" t="s">
        <v>19</v>
      </c>
      <c r="P879" s="20">
        <f t="shared" si="232"/>
        <v>36</v>
      </c>
      <c r="Q879" s="23" t="s">
        <v>19</v>
      </c>
      <c r="R879" s="24">
        <f t="shared" si="233"/>
        <v>2902725</v>
      </c>
      <c r="S879" s="24">
        <f t="shared" si="224"/>
        <v>2615067.5675675673</v>
      </c>
    </row>
    <row r="880" spans="1:19">
      <c r="A880" s="17" t="s">
        <v>564</v>
      </c>
      <c r="B880" s="2" t="s">
        <v>18</v>
      </c>
      <c r="C880" s="3">
        <v>2</v>
      </c>
      <c r="D880" s="4" t="s">
        <v>19</v>
      </c>
      <c r="E880" s="5">
        <v>2</v>
      </c>
      <c r="F880" s="6">
        <v>1</v>
      </c>
      <c r="G880" s="7" t="s">
        <v>20</v>
      </c>
      <c r="H880" s="6">
        <v>6</v>
      </c>
      <c r="I880" s="7" t="s">
        <v>19</v>
      </c>
      <c r="J880" s="8">
        <v>187000</v>
      </c>
      <c r="K880" s="4" t="s">
        <v>19</v>
      </c>
      <c r="L880" s="9">
        <v>0.125</v>
      </c>
      <c r="M880" s="9">
        <v>0.05</v>
      </c>
      <c r="O880" s="7" t="s">
        <v>19</v>
      </c>
      <c r="P880" s="3">
        <f t="shared" si="232"/>
        <v>14</v>
      </c>
      <c r="Q880" s="7" t="s">
        <v>19</v>
      </c>
      <c r="R880" s="8">
        <f t="shared" si="233"/>
        <v>2176212.5</v>
      </c>
      <c r="S880" s="8">
        <f t="shared" si="224"/>
        <v>1960551.8018018017</v>
      </c>
    </row>
    <row r="881" spans="1:19">
      <c r="A881" s="17" t="s">
        <v>565</v>
      </c>
      <c r="B881" s="2" t="s">
        <v>18</v>
      </c>
      <c r="C881" s="3">
        <v>6</v>
      </c>
      <c r="D881" s="4" t="s">
        <v>19</v>
      </c>
      <c r="F881" s="6">
        <v>1</v>
      </c>
      <c r="G881" s="7" t="s">
        <v>20</v>
      </c>
      <c r="H881" s="6">
        <v>6</v>
      </c>
      <c r="I881" s="7" t="s">
        <v>19</v>
      </c>
      <c r="J881" s="8">
        <v>420000</v>
      </c>
      <c r="K881" s="4" t="s">
        <v>19</v>
      </c>
      <c r="L881" s="9">
        <v>0.125</v>
      </c>
      <c r="M881" s="9">
        <v>0.05</v>
      </c>
      <c r="O881" s="7" t="s">
        <v>19</v>
      </c>
      <c r="P881" s="3">
        <f t="shared" si="232"/>
        <v>6</v>
      </c>
      <c r="Q881" s="7" t="s">
        <v>19</v>
      </c>
      <c r="R881" s="8">
        <f t="shared" si="233"/>
        <v>2094750</v>
      </c>
      <c r="S881" s="8">
        <f t="shared" si="224"/>
        <v>1887162.1621621619</v>
      </c>
    </row>
    <row r="883" spans="1:19" s="19" customFormat="1">
      <c r="A883" s="164" t="s">
        <v>566</v>
      </c>
      <c r="B883" s="19" t="s">
        <v>25</v>
      </c>
      <c r="C883" s="20"/>
      <c r="D883" s="21" t="s">
        <v>40</v>
      </c>
      <c r="E883" s="26">
        <v>100</v>
      </c>
      <c r="F883" s="22">
        <v>1</v>
      </c>
      <c r="G883" s="23" t="s">
        <v>20</v>
      </c>
      <c r="H883" s="22">
        <v>20</v>
      </c>
      <c r="I883" s="23" t="s">
        <v>40</v>
      </c>
      <c r="J883" s="24">
        <f>1860000/20</f>
        <v>93000</v>
      </c>
      <c r="K883" s="21" t="s">
        <v>40</v>
      </c>
      <c r="L883" s="25">
        <v>0.03</v>
      </c>
      <c r="M883" s="25">
        <v>0.17</v>
      </c>
      <c r="N883" s="22"/>
      <c r="O883" s="23" t="s">
        <v>40</v>
      </c>
      <c r="P883" s="20">
        <f t="shared" ref="P883" si="237">(C883+(E883*F883*H883))-N883</f>
        <v>2000</v>
      </c>
      <c r="Q883" s="23" t="s">
        <v>40</v>
      </c>
      <c r="R883" s="24">
        <f t="shared" ref="R883" si="238">P883*(J883-(J883*L883)-((J883-(J883*L883))*M883))</f>
        <v>149748600</v>
      </c>
      <c r="S883" s="24">
        <f t="shared" ref="S883" si="239">R883/1.11</f>
        <v>134908648.64864865</v>
      </c>
    </row>
    <row r="884" spans="1:19" s="19" customFormat="1">
      <c r="A884" s="18" t="s">
        <v>566</v>
      </c>
      <c r="B884" s="19" t="s">
        <v>25</v>
      </c>
      <c r="C884" s="20">
        <v>214</v>
      </c>
      <c r="D884" s="21" t="s">
        <v>40</v>
      </c>
      <c r="E884" s="26">
        <v>23</v>
      </c>
      <c r="F884" s="22">
        <v>1</v>
      </c>
      <c r="G884" s="23" t="s">
        <v>20</v>
      </c>
      <c r="H884" s="22">
        <v>20</v>
      </c>
      <c r="I884" s="23" t="s">
        <v>40</v>
      </c>
      <c r="J884" s="24">
        <f>1860000/20</f>
        <v>93000</v>
      </c>
      <c r="K884" s="21" t="s">
        <v>40</v>
      </c>
      <c r="L884" s="25"/>
      <c r="M884" s="25">
        <v>0.17</v>
      </c>
      <c r="N884" s="22"/>
      <c r="O884" s="23" t="s">
        <v>40</v>
      </c>
      <c r="P884" s="20">
        <f t="shared" ref="P884:P902" si="240">(C884+(E884*F884*H884))-N884</f>
        <v>674</v>
      </c>
      <c r="Q884" s="23" t="s">
        <v>40</v>
      </c>
      <c r="R884" s="24">
        <f t="shared" ref="R884:R902" si="241">P884*(J884-(J884*L884)-((J884-(J884*L884))*M884))</f>
        <v>52026060</v>
      </c>
      <c r="S884" s="24">
        <f t="shared" si="224"/>
        <v>46870324.324324317</v>
      </c>
    </row>
    <row r="885" spans="1:19" s="19" customFormat="1">
      <c r="A885" s="18" t="s">
        <v>567</v>
      </c>
      <c r="B885" s="19" t="s">
        <v>25</v>
      </c>
      <c r="C885" s="20">
        <v>40</v>
      </c>
      <c r="D885" s="21" t="s">
        <v>40</v>
      </c>
      <c r="E885" s="26">
        <v>4</v>
      </c>
      <c r="F885" s="22">
        <v>1</v>
      </c>
      <c r="G885" s="23" t="s">
        <v>20</v>
      </c>
      <c r="H885" s="22">
        <v>20</v>
      </c>
      <c r="I885" s="23" t="s">
        <v>40</v>
      </c>
      <c r="J885" s="24">
        <f>1740000/20</f>
        <v>87000</v>
      </c>
      <c r="K885" s="21" t="s">
        <v>40</v>
      </c>
      <c r="L885" s="25"/>
      <c r="M885" s="25">
        <v>0.17</v>
      </c>
      <c r="N885" s="22"/>
      <c r="O885" s="23" t="s">
        <v>40</v>
      </c>
      <c r="P885" s="20">
        <f t="shared" si="240"/>
        <v>120</v>
      </c>
      <c r="Q885" s="23" t="s">
        <v>40</v>
      </c>
      <c r="R885" s="24">
        <f t="shared" si="241"/>
        <v>8665200</v>
      </c>
      <c r="S885" s="24">
        <f t="shared" si="224"/>
        <v>7806486.4864864862</v>
      </c>
    </row>
    <row r="886" spans="1:19" s="19" customFormat="1">
      <c r="A886" s="18" t="s">
        <v>568</v>
      </c>
      <c r="B886" s="19" t="s">
        <v>25</v>
      </c>
      <c r="C886" s="20">
        <v>100</v>
      </c>
      <c r="D886" s="21" t="s">
        <v>40</v>
      </c>
      <c r="E886" s="26"/>
      <c r="F886" s="22">
        <v>1</v>
      </c>
      <c r="G886" s="23" t="s">
        <v>20</v>
      </c>
      <c r="H886" s="22">
        <v>20</v>
      </c>
      <c r="I886" s="23" t="s">
        <v>40</v>
      </c>
      <c r="J886" s="24">
        <f>1740000/20</f>
        <v>87000</v>
      </c>
      <c r="K886" s="21" t="s">
        <v>40</v>
      </c>
      <c r="L886" s="25"/>
      <c r="M886" s="25">
        <v>0.17</v>
      </c>
      <c r="N886" s="22"/>
      <c r="O886" s="23" t="s">
        <v>40</v>
      </c>
      <c r="P886" s="20">
        <f t="shared" si="240"/>
        <v>100</v>
      </c>
      <c r="Q886" s="23" t="s">
        <v>40</v>
      </c>
      <c r="R886" s="24">
        <f t="shared" si="241"/>
        <v>7221000</v>
      </c>
      <c r="S886" s="24">
        <f t="shared" si="224"/>
        <v>6505405.405405405</v>
      </c>
    </row>
    <row r="887" spans="1:19" s="19" customFormat="1">
      <c r="A887" s="18" t="s">
        <v>569</v>
      </c>
      <c r="B887" s="19" t="s">
        <v>25</v>
      </c>
      <c r="C887" s="20">
        <v>5</v>
      </c>
      <c r="D887" s="21" t="s">
        <v>40</v>
      </c>
      <c r="E887" s="26">
        <v>5</v>
      </c>
      <c r="F887" s="22">
        <v>1</v>
      </c>
      <c r="G887" s="23" t="s">
        <v>20</v>
      </c>
      <c r="H887" s="22">
        <v>20</v>
      </c>
      <c r="I887" s="23" t="s">
        <v>40</v>
      </c>
      <c r="J887" s="24">
        <f>2352000/20</f>
        <v>117600</v>
      </c>
      <c r="K887" s="21" t="s">
        <v>40</v>
      </c>
      <c r="L887" s="25"/>
      <c r="M887" s="25">
        <v>0.17</v>
      </c>
      <c r="N887" s="22"/>
      <c r="O887" s="47" t="s">
        <v>40</v>
      </c>
      <c r="P887" s="20">
        <f t="shared" si="240"/>
        <v>105</v>
      </c>
      <c r="Q887" s="23" t="s">
        <v>40</v>
      </c>
      <c r="R887" s="24">
        <f t="shared" si="241"/>
        <v>10248840</v>
      </c>
      <c r="S887" s="24">
        <f t="shared" si="224"/>
        <v>9233189.1891891882</v>
      </c>
    </row>
    <row r="888" spans="1:19" s="19" customFormat="1">
      <c r="A888" s="18" t="s">
        <v>653</v>
      </c>
      <c r="B888" s="19" t="s">
        <v>25</v>
      </c>
      <c r="C888" s="20">
        <v>40</v>
      </c>
      <c r="D888" s="21" t="s">
        <v>40</v>
      </c>
      <c r="E888" s="26">
        <v>4</v>
      </c>
      <c r="F888" s="22">
        <v>1</v>
      </c>
      <c r="G888" s="23" t="s">
        <v>20</v>
      </c>
      <c r="H888" s="22">
        <v>20</v>
      </c>
      <c r="I888" s="23" t="s">
        <v>40</v>
      </c>
      <c r="J888" s="24">
        <f>2352000/20</f>
        <v>117600</v>
      </c>
      <c r="K888" s="21" t="s">
        <v>40</v>
      </c>
      <c r="L888" s="25"/>
      <c r="M888" s="25">
        <v>0.17</v>
      </c>
      <c r="N888" s="22"/>
      <c r="O888" s="74" t="s">
        <v>40</v>
      </c>
      <c r="P888" s="20">
        <f t="shared" si="240"/>
        <v>120</v>
      </c>
      <c r="Q888" s="23" t="s">
        <v>40</v>
      </c>
      <c r="R888" s="24">
        <f t="shared" si="241"/>
        <v>11712960</v>
      </c>
      <c r="S888" s="24">
        <f t="shared" si="224"/>
        <v>10552216.216216216</v>
      </c>
    </row>
    <row r="889" spans="1:19" s="19" customFormat="1">
      <c r="A889" s="18" t="s">
        <v>570</v>
      </c>
      <c r="B889" s="19" t="s">
        <v>25</v>
      </c>
      <c r="C889" s="20">
        <v>100</v>
      </c>
      <c r="D889" s="21" t="s">
        <v>40</v>
      </c>
      <c r="E889" s="26"/>
      <c r="F889" s="22">
        <v>1</v>
      </c>
      <c r="G889" s="23" t="s">
        <v>20</v>
      </c>
      <c r="H889" s="22">
        <v>20</v>
      </c>
      <c r="I889" s="23" t="s">
        <v>40</v>
      </c>
      <c r="J889" s="24">
        <f>2352000/20</f>
        <v>117600</v>
      </c>
      <c r="K889" s="21" t="s">
        <v>40</v>
      </c>
      <c r="L889" s="25"/>
      <c r="M889" s="25">
        <v>0.17</v>
      </c>
      <c r="N889" s="22"/>
      <c r="O889" s="23" t="s">
        <v>40</v>
      </c>
      <c r="P889" s="20">
        <f t="shared" si="240"/>
        <v>100</v>
      </c>
      <c r="Q889" s="23" t="s">
        <v>40</v>
      </c>
      <c r="R889" s="24">
        <f t="shared" si="241"/>
        <v>9760800</v>
      </c>
      <c r="S889" s="24">
        <f t="shared" si="224"/>
        <v>8793513.5135135129</v>
      </c>
    </row>
    <row r="890" spans="1:19" s="89" customFormat="1">
      <c r="A890" s="88" t="s">
        <v>780</v>
      </c>
      <c r="B890" s="89" t="s">
        <v>25</v>
      </c>
      <c r="C890" s="87"/>
      <c r="D890" s="90" t="s">
        <v>40</v>
      </c>
      <c r="E890" s="91"/>
      <c r="F890" s="92">
        <v>1</v>
      </c>
      <c r="G890" s="93" t="s">
        <v>20</v>
      </c>
      <c r="H890" s="92">
        <v>10</v>
      </c>
      <c r="I890" s="93" t="s">
        <v>40</v>
      </c>
      <c r="J890" s="94">
        <f>2400000/10</f>
        <v>240000</v>
      </c>
      <c r="K890" s="90" t="s">
        <v>40</v>
      </c>
      <c r="L890" s="95"/>
      <c r="M890" s="95">
        <v>0.17</v>
      </c>
      <c r="N890" s="92"/>
      <c r="O890" s="97" t="s">
        <v>40</v>
      </c>
      <c r="P890" s="87">
        <f t="shared" si="240"/>
        <v>0</v>
      </c>
      <c r="Q890" s="93" t="s">
        <v>40</v>
      </c>
      <c r="R890" s="94">
        <f t="shared" si="241"/>
        <v>0</v>
      </c>
      <c r="S890" s="94">
        <f t="shared" si="224"/>
        <v>0</v>
      </c>
    </row>
    <row r="891" spans="1:19">
      <c r="A891" s="17" t="s">
        <v>571</v>
      </c>
      <c r="B891" s="2" t="s">
        <v>25</v>
      </c>
      <c r="C891" s="3">
        <v>25</v>
      </c>
      <c r="D891" s="4" t="s">
        <v>40</v>
      </c>
      <c r="F891" s="6">
        <v>1</v>
      </c>
      <c r="G891" s="7" t="s">
        <v>20</v>
      </c>
      <c r="H891" s="6">
        <v>40</v>
      </c>
      <c r="I891" s="7" t="s">
        <v>40</v>
      </c>
      <c r="J891" s="8">
        <f>2688000/40</f>
        <v>67200</v>
      </c>
      <c r="K891" s="4" t="s">
        <v>40</v>
      </c>
      <c r="M891" s="9">
        <v>0.17</v>
      </c>
      <c r="O891" s="7" t="s">
        <v>40</v>
      </c>
      <c r="P891" s="3">
        <f t="shared" si="240"/>
        <v>25</v>
      </c>
      <c r="Q891" s="7" t="s">
        <v>40</v>
      </c>
      <c r="R891" s="8">
        <f t="shared" si="241"/>
        <v>1394400</v>
      </c>
      <c r="S891" s="8">
        <f t="shared" si="224"/>
        <v>1256216.2162162161</v>
      </c>
    </row>
    <row r="892" spans="1:19" s="80" customFormat="1">
      <c r="A892" s="79" t="s">
        <v>572</v>
      </c>
      <c r="B892" s="80" t="s">
        <v>25</v>
      </c>
      <c r="C892" s="81"/>
      <c r="D892" s="82" t="s">
        <v>40</v>
      </c>
      <c r="E892" s="83"/>
      <c r="F892" s="84">
        <v>1</v>
      </c>
      <c r="G892" s="85" t="s">
        <v>20</v>
      </c>
      <c r="H892" s="84">
        <v>20</v>
      </c>
      <c r="I892" s="85" t="s">
        <v>40</v>
      </c>
      <c r="J892" s="16">
        <v>120000</v>
      </c>
      <c r="K892" s="82" t="s">
        <v>40</v>
      </c>
      <c r="L892" s="86"/>
      <c r="M892" s="86">
        <v>0.17</v>
      </c>
      <c r="N892" s="84"/>
      <c r="O892" s="85" t="s">
        <v>40</v>
      </c>
      <c r="P892" s="81">
        <f t="shared" si="240"/>
        <v>0</v>
      </c>
      <c r="Q892" s="85" t="s">
        <v>40</v>
      </c>
      <c r="R892" s="16">
        <f t="shared" si="241"/>
        <v>0</v>
      </c>
      <c r="S892" s="16">
        <f t="shared" si="224"/>
        <v>0</v>
      </c>
    </row>
    <row r="893" spans="1:19" s="19" customFormat="1">
      <c r="A893" s="18" t="s">
        <v>573</v>
      </c>
      <c r="B893" s="19" t="s">
        <v>25</v>
      </c>
      <c r="C893" s="20">
        <v>23</v>
      </c>
      <c r="D893" s="21" t="s">
        <v>40</v>
      </c>
      <c r="E893" s="26"/>
      <c r="F893" s="22">
        <v>1</v>
      </c>
      <c r="G893" s="23" t="s">
        <v>20</v>
      </c>
      <c r="H893" s="22">
        <v>25</v>
      </c>
      <c r="I893" s="23" t="s">
        <v>40</v>
      </c>
      <c r="J893" s="24">
        <f>1740000/25</f>
        <v>69600</v>
      </c>
      <c r="K893" s="21" t="s">
        <v>40</v>
      </c>
      <c r="L893" s="25"/>
      <c r="M893" s="25">
        <v>0.17</v>
      </c>
      <c r="N893" s="22"/>
      <c r="O893" s="23" t="s">
        <v>40</v>
      </c>
      <c r="P893" s="20">
        <f t="shared" si="240"/>
        <v>23</v>
      </c>
      <c r="Q893" s="23" t="s">
        <v>40</v>
      </c>
      <c r="R893" s="24">
        <f t="shared" si="241"/>
        <v>1328664</v>
      </c>
      <c r="S893" s="24">
        <f t="shared" si="224"/>
        <v>1196994.5945945946</v>
      </c>
    </row>
    <row r="894" spans="1:19" s="89" customFormat="1">
      <c r="A894" s="88" t="s">
        <v>574</v>
      </c>
      <c r="B894" s="89" t="s">
        <v>25</v>
      </c>
      <c r="C894" s="87"/>
      <c r="D894" s="90" t="s">
        <v>40</v>
      </c>
      <c r="E894" s="91"/>
      <c r="F894" s="92">
        <v>1</v>
      </c>
      <c r="G894" s="93" t="s">
        <v>20</v>
      </c>
      <c r="H894" s="92">
        <v>10</v>
      </c>
      <c r="I894" s="93" t="s">
        <v>40</v>
      </c>
      <c r="J894" s="94">
        <f>2280000/10</f>
        <v>228000</v>
      </c>
      <c r="K894" s="90" t="s">
        <v>40</v>
      </c>
      <c r="L894" s="95"/>
      <c r="M894" s="95">
        <v>0.17</v>
      </c>
      <c r="N894" s="92"/>
      <c r="O894" s="93" t="s">
        <v>40</v>
      </c>
      <c r="P894" s="87">
        <f t="shared" si="240"/>
        <v>0</v>
      </c>
      <c r="Q894" s="93" t="s">
        <v>40</v>
      </c>
      <c r="R894" s="94">
        <f t="shared" si="241"/>
        <v>0</v>
      </c>
      <c r="S894" s="16">
        <f t="shared" si="224"/>
        <v>0</v>
      </c>
    </row>
    <row r="895" spans="1:19" s="19" customFormat="1">
      <c r="A895" s="18" t="s">
        <v>575</v>
      </c>
      <c r="B895" s="19" t="s">
        <v>25</v>
      </c>
      <c r="C895" s="20">
        <v>57</v>
      </c>
      <c r="D895" s="21" t="s">
        <v>40</v>
      </c>
      <c r="E895" s="26">
        <v>10</v>
      </c>
      <c r="F895" s="22">
        <v>1</v>
      </c>
      <c r="G895" s="23" t="s">
        <v>20</v>
      </c>
      <c r="H895" s="22">
        <v>10</v>
      </c>
      <c r="I895" s="23" t="s">
        <v>40</v>
      </c>
      <c r="J895" s="24">
        <f>2280000/10</f>
        <v>228000</v>
      </c>
      <c r="K895" s="21" t="s">
        <v>40</v>
      </c>
      <c r="L895" s="25"/>
      <c r="M895" s="25">
        <v>0.17</v>
      </c>
      <c r="N895" s="22"/>
      <c r="O895" s="75" t="s">
        <v>40</v>
      </c>
      <c r="P895" s="20">
        <f t="shared" si="240"/>
        <v>157</v>
      </c>
      <c r="Q895" s="23" t="s">
        <v>40</v>
      </c>
      <c r="R895" s="24">
        <f t="shared" si="241"/>
        <v>29710680</v>
      </c>
      <c r="S895" s="24">
        <f t="shared" si="224"/>
        <v>26766378.378378376</v>
      </c>
    </row>
    <row r="896" spans="1:19" s="19" customFormat="1">
      <c r="A896" s="18" t="s">
        <v>576</v>
      </c>
      <c r="B896" s="19" t="s">
        <v>25</v>
      </c>
      <c r="C896" s="20">
        <v>50</v>
      </c>
      <c r="D896" s="21" t="s">
        <v>40</v>
      </c>
      <c r="E896" s="26"/>
      <c r="F896" s="22">
        <v>1</v>
      </c>
      <c r="G896" s="23" t="s">
        <v>20</v>
      </c>
      <c r="H896" s="22">
        <v>10</v>
      </c>
      <c r="I896" s="23" t="s">
        <v>40</v>
      </c>
      <c r="J896" s="24">
        <f>2040000/10</f>
        <v>204000</v>
      </c>
      <c r="K896" s="21" t="s">
        <v>40</v>
      </c>
      <c r="L896" s="25"/>
      <c r="M896" s="25">
        <v>0.17</v>
      </c>
      <c r="N896" s="22"/>
      <c r="O896" s="23" t="s">
        <v>40</v>
      </c>
      <c r="P896" s="20">
        <f t="shared" si="240"/>
        <v>50</v>
      </c>
      <c r="Q896" s="23" t="s">
        <v>40</v>
      </c>
      <c r="R896" s="24">
        <f t="shared" si="241"/>
        <v>8466000</v>
      </c>
      <c r="S896" s="24">
        <f t="shared" si="224"/>
        <v>7627027.0270270268</v>
      </c>
    </row>
    <row r="897" spans="1:19" s="19" customFormat="1">
      <c r="A897" s="18" t="s">
        <v>577</v>
      </c>
      <c r="B897" s="19" t="s">
        <v>25</v>
      </c>
      <c r="C897" s="20">
        <v>40</v>
      </c>
      <c r="D897" s="21" t="s">
        <v>40</v>
      </c>
      <c r="E897" s="26"/>
      <c r="F897" s="22">
        <v>1</v>
      </c>
      <c r="G897" s="23" t="s">
        <v>20</v>
      </c>
      <c r="H897" s="22">
        <v>10</v>
      </c>
      <c r="I897" s="23" t="s">
        <v>40</v>
      </c>
      <c r="J897" s="24">
        <f>2040000/10</f>
        <v>204000</v>
      </c>
      <c r="K897" s="21" t="s">
        <v>40</v>
      </c>
      <c r="L897" s="25"/>
      <c r="M897" s="25">
        <v>0.17</v>
      </c>
      <c r="N897" s="22"/>
      <c r="O897" s="23" t="s">
        <v>40</v>
      </c>
      <c r="P897" s="20">
        <f t="shared" si="240"/>
        <v>40</v>
      </c>
      <c r="Q897" s="23" t="s">
        <v>40</v>
      </c>
      <c r="R897" s="24">
        <f t="shared" si="241"/>
        <v>6772800</v>
      </c>
      <c r="S897" s="24">
        <f t="shared" si="224"/>
        <v>6101621.6216216208</v>
      </c>
    </row>
    <row r="898" spans="1:19" s="80" customFormat="1">
      <c r="A898" s="79" t="s">
        <v>578</v>
      </c>
      <c r="B898" s="80" t="s">
        <v>25</v>
      </c>
      <c r="C898" s="81"/>
      <c r="D898" s="82" t="s">
        <v>19</v>
      </c>
      <c r="E898" s="83"/>
      <c r="F898" s="84">
        <v>20</v>
      </c>
      <c r="G898" s="85" t="s">
        <v>33</v>
      </c>
      <c r="H898" s="84">
        <v>6</v>
      </c>
      <c r="I898" s="85" t="s">
        <v>19</v>
      </c>
      <c r="J898" s="16">
        <v>14500</v>
      </c>
      <c r="K898" s="82" t="s">
        <v>19</v>
      </c>
      <c r="L898" s="86"/>
      <c r="M898" s="86">
        <v>0.17</v>
      </c>
      <c r="N898" s="84"/>
      <c r="O898" s="85" t="s">
        <v>19</v>
      </c>
      <c r="P898" s="81">
        <f t="shared" si="240"/>
        <v>0</v>
      </c>
      <c r="Q898" s="85" t="s">
        <v>19</v>
      </c>
      <c r="R898" s="16">
        <f t="shared" si="241"/>
        <v>0</v>
      </c>
      <c r="S898" s="16">
        <f t="shared" si="224"/>
        <v>0</v>
      </c>
    </row>
    <row r="899" spans="1:19" s="19" customFormat="1">
      <c r="A899" s="18" t="s">
        <v>579</v>
      </c>
      <c r="B899" s="19" t="s">
        <v>25</v>
      </c>
      <c r="C899" s="20">
        <f>23+3</f>
        <v>26</v>
      </c>
      <c r="D899" s="21" t="s">
        <v>19</v>
      </c>
      <c r="E899" s="26">
        <v>1</v>
      </c>
      <c r="F899" s="22">
        <v>1</v>
      </c>
      <c r="G899" s="23" t="s">
        <v>20</v>
      </c>
      <c r="H899" s="22">
        <v>6</v>
      </c>
      <c r="I899" s="23" t="s">
        <v>19</v>
      </c>
      <c r="J899" s="24">
        <f>2160000/6</f>
        <v>360000</v>
      </c>
      <c r="K899" s="21" t="s">
        <v>19</v>
      </c>
      <c r="L899" s="25"/>
      <c r="M899" s="25">
        <v>0.17</v>
      </c>
      <c r="N899" s="22"/>
      <c r="O899" s="23" t="s">
        <v>19</v>
      </c>
      <c r="P899" s="20">
        <f t="shared" si="240"/>
        <v>32</v>
      </c>
      <c r="Q899" s="23" t="s">
        <v>19</v>
      </c>
      <c r="R899" s="24">
        <f t="shared" si="241"/>
        <v>9561600</v>
      </c>
      <c r="S899" s="24">
        <f t="shared" si="224"/>
        <v>8614054.0540540535</v>
      </c>
    </row>
    <row r="900" spans="1:19" s="19" customFormat="1">
      <c r="A900" s="18" t="s">
        <v>580</v>
      </c>
      <c r="B900" s="19" t="s">
        <v>25</v>
      </c>
      <c r="C900" s="20">
        <v>6</v>
      </c>
      <c r="D900" s="21" t="s">
        <v>19</v>
      </c>
      <c r="E900" s="26"/>
      <c r="F900" s="22">
        <v>1</v>
      </c>
      <c r="G900" s="23" t="s">
        <v>20</v>
      </c>
      <c r="H900" s="22">
        <v>6</v>
      </c>
      <c r="I900" s="23" t="s">
        <v>19</v>
      </c>
      <c r="J900" s="24">
        <f>930000/6</f>
        <v>155000</v>
      </c>
      <c r="K900" s="21" t="s">
        <v>19</v>
      </c>
      <c r="L900" s="25"/>
      <c r="M900" s="25">
        <v>0.17</v>
      </c>
      <c r="N900" s="22"/>
      <c r="O900" s="23" t="s">
        <v>19</v>
      </c>
      <c r="P900" s="20">
        <f t="shared" si="240"/>
        <v>6</v>
      </c>
      <c r="Q900" s="23" t="s">
        <v>19</v>
      </c>
      <c r="R900" s="24">
        <f t="shared" si="241"/>
        <v>771900</v>
      </c>
      <c r="S900" s="24">
        <f t="shared" si="224"/>
        <v>695405.40540540533</v>
      </c>
    </row>
    <row r="901" spans="1:19" s="19" customFormat="1">
      <c r="A901" s="18" t="s">
        <v>581</v>
      </c>
      <c r="B901" s="19" t="s">
        <v>25</v>
      </c>
      <c r="C901" s="20">
        <v>30</v>
      </c>
      <c r="D901" s="21" t="s">
        <v>19</v>
      </c>
      <c r="E901" s="26">
        <v>1</v>
      </c>
      <c r="F901" s="22">
        <v>1</v>
      </c>
      <c r="G901" s="23" t="s">
        <v>20</v>
      </c>
      <c r="H901" s="22">
        <v>6</v>
      </c>
      <c r="I901" s="23" t="s">
        <v>19</v>
      </c>
      <c r="J901" s="24">
        <f>504000/6</f>
        <v>84000</v>
      </c>
      <c r="K901" s="21" t="s">
        <v>19</v>
      </c>
      <c r="L901" s="25"/>
      <c r="M901" s="25">
        <v>0.17</v>
      </c>
      <c r="N901" s="22"/>
      <c r="O901" s="23" t="s">
        <v>19</v>
      </c>
      <c r="P901" s="20">
        <f t="shared" si="240"/>
        <v>36</v>
      </c>
      <c r="Q901" s="23" t="s">
        <v>19</v>
      </c>
      <c r="R901" s="24">
        <f t="shared" si="241"/>
        <v>2509920</v>
      </c>
      <c r="S901" s="24">
        <f t="shared" ref="S901:S910" si="242">R901/1.11</f>
        <v>2261189.1891891891</v>
      </c>
    </row>
    <row r="902" spans="1:19" s="80" customFormat="1">
      <c r="A902" s="79" t="s">
        <v>582</v>
      </c>
      <c r="B902" s="80" t="s">
        <v>25</v>
      </c>
      <c r="C902" s="81"/>
      <c r="D902" s="82" t="s">
        <v>19</v>
      </c>
      <c r="E902" s="83"/>
      <c r="F902" s="84">
        <v>1</v>
      </c>
      <c r="G902" s="85" t="s">
        <v>20</v>
      </c>
      <c r="H902" s="84">
        <v>6</v>
      </c>
      <c r="I902" s="85" t="s">
        <v>19</v>
      </c>
      <c r="J902" s="16">
        <f>990000/6</f>
        <v>165000</v>
      </c>
      <c r="K902" s="82" t="s">
        <v>19</v>
      </c>
      <c r="L902" s="86"/>
      <c r="M902" s="86">
        <v>0.17</v>
      </c>
      <c r="N902" s="84"/>
      <c r="O902" s="85" t="s">
        <v>19</v>
      </c>
      <c r="P902" s="81">
        <f t="shared" si="240"/>
        <v>0</v>
      </c>
      <c r="Q902" s="85" t="s">
        <v>19</v>
      </c>
      <c r="R902" s="16">
        <f t="shared" si="241"/>
        <v>0</v>
      </c>
      <c r="S902" s="16">
        <f t="shared" si="242"/>
        <v>0</v>
      </c>
    </row>
    <row r="904" spans="1:19">
      <c r="A904" s="59" t="s">
        <v>583</v>
      </c>
      <c r="B904" s="2" t="s">
        <v>584</v>
      </c>
      <c r="C904" s="3">
        <v>167</v>
      </c>
      <c r="D904" s="4" t="s">
        <v>40</v>
      </c>
      <c r="F904" s="6">
        <v>1</v>
      </c>
      <c r="G904" s="7" t="s">
        <v>20</v>
      </c>
      <c r="H904" s="6">
        <v>30</v>
      </c>
      <c r="I904" s="7" t="s">
        <v>40</v>
      </c>
      <c r="J904" s="8">
        <v>130000</v>
      </c>
      <c r="K904" s="4" t="s">
        <v>40</v>
      </c>
      <c r="L904" s="9">
        <v>0.17499999999999999</v>
      </c>
      <c r="M904" s="9">
        <v>0.03</v>
      </c>
      <c r="O904" s="7" t="s">
        <v>40</v>
      </c>
      <c r="P904" s="3">
        <f>(C904+(E904*F904*H904))-N904</f>
        <v>167</v>
      </c>
      <c r="Q904" s="7" t="s">
        <v>40</v>
      </c>
      <c r="R904" s="8">
        <f>P904*(J904-(J904*L904)-((J904-(J904*L904))*M904))</f>
        <v>17373427.5</v>
      </c>
      <c r="S904" s="8">
        <f t="shared" si="242"/>
        <v>15651736.486486485</v>
      </c>
    </row>
    <row r="905" spans="1:19">
      <c r="A905" s="59" t="s">
        <v>585</v>
      </c>
      <c r="B905" s="2" t="s">
        <v>584</v>
      </c>
      <c r="C905" s="3">
        <v>90</v>
      </c>
      <c r="D905" s="4" t="s">
        <v>40</v>
      </c>
      <c r="F905" s="6">
        <v>1</v>
      </c>
      <c r="G905" s="7" t="s">
        <v>20</v>
      </c>
      <c r="H905" s="6">
        <v>30</v>
      </c>
      <c r="I905" s="7" t="s">
        <v>40</v>
      </c>
      <c r="J905" s="8">
        <v>216000</v>
      </c>
      <c r="K905" s="4" t="s">
        <v>40</v>
      </c>
      <c r="M905" s="9">
        <v>0.15</v>
      </c>
      <c r="O905" s="7" t="s">
        <v>40</v>
      </c>
      <c r="P905" s="3">
        <f>(C905+(E905*F905*H905))-N905</f>
        <v>90</v>
      </c>
      <c r="Q905" s="7" t="s">
        <v>40</v>
      </c>
      <c r="R905" s="8">
        <f>P905*(J905-(J905*L905)-((J905-(J905*L905))*M905))</f>
        <v>16524000</v>
      </c>
      <c r="S905" s="8">
        <f t="shared" si="242"/>
        <v>14886486.486486485</v>
      </c>
    </row>
    <row r="906" spans="1:19" s="80" customFormat="1">
      <c r="A906" s="153" t="s">
        <v>586</v>
      </c>
      <c r="B906" s="80" t="s">
        <v>584</v>
      </c>
      <c r="C906" s="81"/>
      <c r="D906" s="82" t="s">
        <v>40</v>
      </c>
      <c r="E906" s="83"/>
      <c r="F906" s="84">
        <v>1</v>
      </c>
      <c r="G906" s="85" t="s">
        <v>20</v>
      </c>
      <c r="H906" s="84">
        <v>30</v>
      </c>
      <c r="I906" s="85" t="s">
        <v>40</v>
      </c>
      <c r="J906" s="16">
        <v>216000</v>
      </c>
      <c r="K906" s="82" t="s">
        <v>40</v>
      </c>
      <c r="L906" s="86"/>
      <c r="M906" s="86">
        <v>0.15</v>
      </c>
      <c r="N906" s="84"/>
      <c r="O906" s="85" t="s">
        <v>40</v>
      </c>
      <c r="P906" s="81">
        <f>(C906+(E906*F906*H906))-N906</f>
        <v>0</v>
      </c>
      <c r="Q906" s="85" t="s">
        <v>40</v>
      </c>
      <c r="R906" s="16">
        <f>P906*(J906-(J906*L906)-((J906-(J906*L906))*M906))</f>
        <v>0</v>
      </c>
      <c r="S906" s="16">
        <f t="shared" si="242"/>
        <v>0</v>
      </c>
    </row>
    <row r="907" spans="1:19" s="80" customFormat="1">
      <c r="A907" s="153" t="s">
        <v>587</v>
      </c>
      <c r="B907" s="80" t="s">
        <v>584</v>
      </c>
      <c r="C907" s="81"/>
      <c r="D907" s="82" t="s">
        <v>40</v>
      </c>
      <c r="E907" s="83"/>
      <c r="F907" s="84">
        <v>1</v>
      </c>
      <c r="G907" s="85" t="s">
        <v>20</v>
      </c>
      <c r="H907" s="84">
        <v>30</v>
      </c>
      <c r="I907" s="85" t="s">
        <v>40</v>
      </c>
      <c r="J907" s="16">
        <v>220000</v>
      </c>
      <c r="K907" s="82" t="s">
        <v>40</v>
      </c>
      <c r="L907" s="86"/>
      <c r="M907" s="86">
        <v>0.15</v>
      </c>
      <c r="N907" s="84"/>
      <c r="O907" s="85" t="s">
        <v>40</v>
      </c>
      <c r="P907" s="81">
        <f>(C907+(E907*F907*H907))-N907</f>
        <v>0</v>
      </c>
      <c r="Q907" s="85" t="s">
        <v>40</v>
      </c>
      <c r="R907" s="16">
        <f>P907*(J907-(J907*L907)-((J907-(J907*L907))*M907))</f>
        <v>0</v>
      </c>
      <c r="S907" s="16">
        <f t="shared" si="242"/>
        <v>0</v>
      </c>
    </row>
    <row r="908" spans="1:19">
      <c r="A908" s="59" t="s">
        <v>588</v>
      </c>
      <c r="B908" s="2" t="s">
        <v>584</v>
      </c>
      <c r="C908" s="3">
        <v>40</v>
      </c>
      <c r="D908" s="4" t="s">
        <v>40</v>
      </c>
      <c r="F908" s="6">
        <v>1</v>
      </c>
      <c r="G908" s="7" t="s">
        <v>20</v>
      </c>
      <c r="H908" s="6">
        <v>20</v>
      </c>
      <c r="I908" s="7" t="s">
        <v>40</v>
      </c>
      <c r="J908" s="8">
        <v>285600</v>
      </c>
      <c r="K908" s="4" t="s">
        <v>40</v>
      </c>
      <c r="L908" s="9">
        <v>0.17499999999999999</v>
      </c>
      <c r="M908" s="9">
        <v>0.03</v>
      </c>
      <c r="O908" s="7" t="s">
        <v>40</v>
      </c>
      <c r="P908" s="3">
        <f>(C908+(E908*F908*H908))-N908</f>
        <v>40</v>
      </c>
      <c r="Q908" s="7" t="s">
        <v>40</v>
      </c>
      <c r="R908" s="8">
        <f>P908*(J908-(J908*L908)-((J908-(J908*L908))*M908))</f>
        <v>9142056</v>
      </c>
      <c r="S908" s="8">
        <f t="shared" si="242"/>
        <v>8236086.4864864862</v>
      </c>
    </row>
    <row r="909" spans="1:19">
      <c r="A909" s="59"/>
    </row>
    <row r="910" spans="1:19">
      <c r="A910" s="59" t="s">
        <v>589</v>
      </c>
      <c r="B910" s="19" t="s">
        <v>182</v>
      </c>
      <c r="C910" s="3">
        <v>72</v>
      </c>
      <c r="D910" s="4" t="s">
        <v>40</v>
      </c>
      <c r="F910" s="6">
        <v>1</v>
      </c>
      <c r="G910" s="7" t="s">
        <v>20</v>
      </c>
      <c r="H910" s="6">
        <v>5</v>
      </c>
      <c r="I910" s="7" t="s">
        <v>40</v>
      </c>
      <c r="J910" s="8">
        <v>250000</v>
      </c>
      <c r="K910" s="4" t="s">
        <v>40</v>
      </c>
      <c r="O910" s="67" t="s">
        <v>40</v>
      </c>
      <c r="P910" s="3">
        <f>(C910+(E910*F910*H910))-N910</f>
        <v>72</v>
      </c>
      <c r="Q910" s="7" t="s">
        <v>40</v>
      </c>
      <c r="R910" s="8">
        <f>P910*(J910-(J910*L910)-((J910-(J910*L910))*M910))</f>
        <v>18000000</v>
      </c>
      <c r="S910" s="8">
        <f t="shared" si="242"/>
        <v>16216216.216216214</v>
      </c>
    </row>
    <row r="911" spans="1:19">
      <c r="A911" s="59"/>
      <c r="B911" s="19"/>
      <c r="O911" s="67"/>
    </row>
    <row r="912" spans="1:19">
      <c r="A912" s="15" t="s">
        <v>590</v>
      </c>
    </row>
    <row r="913" spans="1:19" s="19" customFormat="1">
      <c r="A913" s="18" t="s">
        <v>592</v>
      </c>
      <c r="B913" s="19" t="s">
        <v>584</v>
      </c>
      <c r="C913" s="20">
        <v>3324</v>
      </c>
      <c r="D913" s="21" t="s">
        <v>99</v>
      </c>
      <c r="E913" s="26">
        <v>30</v>
      </c>
      <c r="F913" s="22">
        <v>1</v>
      </c>
      <c r="G913" s="23" t="s">
        <v>20</v>
      </c>
      <c r="H913" s="22">
        <v>100</v>
      </c>
      <c r="I913" s="23" t="s">
        <v>99</v>
      </c>
      <c r="J913" s="24">
        <v>14000</v>
      </c>
      <c r="K913" s="21" t="s">
        <v>99</v>
      </c>
      <c r="L913" s="25">
        <v>0.1</v>
      </c>
      <c r="M913" s="25"/>
      <c r="N913" s="22"/>
      <c r="O913" s="23" t="s">
        <v>99</v>
      </c>
      <c r="P913" s="20">
        <f>(C913+(E913*F913*H913))-N913</f>
        <v>6324</v>
      </c>
      <c r="Q913" s="23" t="s">
        <v>99</v>
      </c>
      <c r="R913" s="24">
        <f>P913*(J913-(J913*L913)-((J913-(J913*L913))*M913))</f>
        <v>79682400</v>
      </c>
      <c r="S913" s="24">
        <f t="shared" ref="S913:S1010" si="243">R913/1.11</f>
        <v>71785945.945945933</v>
      </c>
    </row>
    <row r="914" spans="1:19" s="19" customFormat="1">
      <c r="A914" s="18" t="s">
        <v>593</v>
      </c>
      <c r="B914" s="19" t="s">
        <v>584</v>
      </c>
      <c r="C914" s="20">
        <v>834</v>
      </c>
      <c r="D914" s="21" t="s">
        <v>99</v>
      </c>
      <c r="E914" s="26">
        <v>10</v>
      </c>
      <c r="F914" s="22">
        <v>1</v>
      </c>
      <c r="G914" s="23" t="s">
        <v>20</v>
      </c>
      <c r="H914" s="22">
        <v>50</v>
      </c>
      <c r="I914" s="23" t="s">
        <v>99</v>
      </c>
      <c r="J914" s="24">
        <v>24000</v>
      </c>
      <c r="K914" s="21" t="s">
        <v>99</v>
      </c>
      <c r="L914" s="25"/>
      <c r="M914" s="25"/>
      <c r="N914" s="22"/>
      <c r="O914" s="23" t="s">
        <v>99</v>
      </c>
      <c r="P914" s="20">
        <f>(C914+(E914*F914*H914))-N914</f>
        <v>1334</v>
      </c>
      <c r="Q914" s="23" t="s">
        <v>99</v>
      </c>
      <c r="R914" s="24">
        <f>P914*(J914-(J914*L914)-((J914-(J914*L914))*M914))</f>
        <v>32016000</v>
      </c>
      <c r="S914" s="24">
        <f t="shared" si="243"/>
        <v>28843243.24324324</v>
      </c>
    </row>
    <row r="915" spans="1:19" s="19" customFormat="1">
      <c r="A915" s="18"/>
      <c r="C915" s="20"/>
      <c r="D915" s="21"/>
      <c r="E915" s="26"/>
      <c r="F915" s="22"/>
      <c r="G915" s="23"/>
      <c r="H915" s="22"/>
      <c r="I915" s="23"/>
      <c r="J915" s="24"/>
      <c r="K915" s="21"/>
      <c r="L915" s="25"/>
      <c r="M915" s="25"/>
      <c r="N915" s="22"/>
      <c r="O915" s="23"/>
      <c r="P915" s="20"/>
      <c r="Q915" s="23"/>
      <c r="R915" s="24"/>
      <c r="S915" s="24"/>
    </row>
    <row r="916" spans="1:19">
      <c r="A916" s="17" t="s">
        <v>591</v>
      </c>
      <c r="B916" s="2" t="s">
        <v>18</v>
      </c>
      <c r="C916" s="3">
        <v>32</v>
      </c>
      <c r="D916" s="4" t="s">
        <v>33</v>
      </c>
      <c r="F916" s="6">
        <v>1</v>
      </c>
      <c r="G916" s="7" t="s">
        <v>20</v>
      </c>
      <c r="H916" s="6">
        <v>50</v>
      </c>
      <c r="I916" s="7" t="s">
        <v>33</v>
      </c>
      <c r="J916" s="8">
        <v>28000</v>
      </c>
      <c r="K916" s="4" t="s">
        <v>33</v>
      </c>
      <c r="L916" s="9">
        <v>0.125</v>
      </c>
      <c r="M916" s="9">
        <v>0.05</v>
      </c>
      <c r="O916" s="7" t="s">
        <v>33</v>
      </c>
      <c r="P916" s="3">
        <f>(C916+(E916*F916*H916))-N916</f>
        <v>32</v>
      </c>
      <c r="Q916" s="7" t="s">
        <v>33</v>
      </c>
      <c r="R916" s="8">
        <f>P916*(J916-(J916*L916)-((J916-(J916*L916))*M916))</f>
        <v>744800</v>
      </c>
      <c r="S916" s="8">
        <f>R916/1.11</f>
        <v>670990.99099099089</v>
      </c>
    </row>
    <row r="918" spans="1:19" s="80" customFormat="1">
      <c r="A918" s="147" t="s">
        <v>594</v>
      </c>
      <c r="B918" s="80" t="s">
        <v>25</v>
      </c>
      <c r="C918" s="81"/>
      <c r="D918" s="82" t="s">
        <v>33</v>
      </c>
      <c r="E918" s="83"/>
      <c r="F918" s="84">
        <v>40</v>
      </c>
      <c r="G918" s="85" t="s">
        <v>99</v>
      </c>
      <c r="H918" s="84">
        <v>20</v>
      </c>
      <c r="I918" s="85" t="s">
        <v>33</v>
      </c>
      <c r="J918" s="16">
        <f>840000/40/20</f>
        <v>1050</v>
      </c>
      <c r="K918" s="82" t="s">
        <v>33</v>
      </c>
      <c r="L918" s="86"/>
      <c r="M918" s="86">
        <v>0.17</v>
      </c>
      <c r="N918" s="84"/>
      <c r="O918" s="85" t="s">
        <v>33</v>
      </c>
      <c r="P918" s="81">
        <f>(C918+(E918*F918*H918))-N918</f>
        <v>0</v>
      </c>
      <c r="Q918" s="85" t="s">
        <v>33</v>
      </c>
      <c r="R918" s="16">
        <f>P918*(J918-(J918*L918)-((J918-(J918*L918))*M918))</f>
        <v>0</v>
      </c>
      <c r="S918" s="16">
        <f t="shared" si="243"/>
        <v>0</v>
      </c>
    </row>
    <row r="919" spans="1:19" s="19" customFormat="1">
      <c r="A919" s="56" t="s">
        <v>595</v>
      </c>
      <c r="B919" s="19" t="s">
        <v>25</v>
      </c>
      <c r="C919" s="20">
        <v>10</v>
      </c>
      <c r="D919" s="21" t="s">
        <v>99</v>
      </c>
      <c r="E919" s="26">
        <v>15</v>
      </c>
      <c r="F919" s="22">
        <v>1</v>
      </c>
      <c r="G919" s="23" t="s">
        <v>20</v>
      </c>
      <c r="H919" s="22">
        <v>20</v>
      </c>
      <c r="I919" s="23" t="s">
        <v>99</v>
      </c>
      <c r="J919" s="24">
        <f>840000/20</f>
        <v>42000</v>
      </c>
      <c r="K919" s="21" t="s">
        <v>99</v>
      </c>
      <c r="L919" s="25"/>
      <c r="M919" s="25">
        <v>0.17</v>
      </c>
      <c r="N919" s="22"/>
      <c r="O919" s="23" t="s">
        <v>99</v>
      </c>
      <c r="P919" s="20">
        <f>(C919+(E919*F919*H919))-N919</f>
        <v>310</v>
      </c>
      <c r="Q919" s="23" t="s">
        <v>99</v>
      </c>
      <c r="R919" s="24">
        <f>P919*(J919-(J919*L919)-((J919-(J919*L919))*M919))</f>
        <v>10806600</v>
      </c>
      <c r="S919" s="24">
        <f t="shared" si="243"/>
        <v>9735675.6756756753</v>
      </c>
    </row>
    <row r="920" spans="1:19" s="17" customFormat="1">
      <c r="A920" s="18" t="s">
        <v>596</v>
      </c>
      <c r="B920" s="17" t="s">
        <v>25</v>
      </c>
      <c r="C920" s="60">
        <v>75</v>
      </c>
      <c r="D920" s="61" t="s">
        <v>99</v>
      </c>
      <c r="E920" s="41"/>
      <c r="F920" s="62">
        <v>1</v>
      </c>
      <c r="G920" s="63" t="s">
        <v>20</v>
      </c>
      <c r="H920" s="62">
        <v>15</v>
      </c>
      <c r="I920" s="63" t="s">
        <v>99</v>
      </c>
      <c r="J920" s="64">
        <f>525000/15</f>
        <v>35000</v>
      </c>
      <c r="K920" s="61" t="s">
        <v>99</v>
      </c>
      <c r="L920" s="65"/>
      <c r="M920" s="65">
        <v>0.17</v>
      </c>
      <c r="N920" s="62"/>
      <c r="O920" s="63" t="s">
        <v>99</v>
      </c>
      <c r="P920" s="60">
        <f>(C920+(E920*F920*H920))-N920</f>
        <v>75</v>
      </c>
      <c r="Q920" s="63" t="s">
        <v>99</v>
      </c>
      <c r="R920" s="64">
        <f>P920*(J920-(J920*L920)-((J920-(J920*L920))*M920))</f>
        <v>2178750</v>
      </c>
      <c r="S920" s="64">
        <f t="shared" si="243"/>
        <v>1962837.8378378376</v>
      </c>
    </row>
    <row r="921" spans="1:19" s="17" customFormat="1">
      <c r="A921" s="18"/>
      <c r="C921" s="60"/>
      <c r="D921" s="61"/>
      <c r="E921" s="41"/>
      <c r="F921" s="62"/>
      <c r="G921" s="63"/>
      <c r="H921" s="62"/>
      <c r="I921" s="63"/>
      <c r="J921" s="64"/>
      <c r="K921" s="61"/>
      <c r="L921" s="65"/>
      <c r="M921" s="65"/>
      <c r="N921" s="62"/>
      <c r="O921" s="63"/>
      <c r="P921" s="60"/>
      <c r="Q921" s="63"/>
      <c r="R921" s="64"/>
      <c r="S921" s="64"/>
    </row>
    <row r="922" spans="1:19" s="19" customFormat="1">
      <c r="A922" s="56" t="s">
        <v>804</v>
      </c>
      <c r="B922" s="19" t="s">
        <v>598</v>
      </c>
      <c r="C922" s="20">
        <v>900</v>
      </c>
      <c r="D922" s="21" t="s">
        <v>33</v>
      </c>
      <c r="E922" s="26">
        <v>3</v>
      </c>
      <c r="F922" s="22">
        <v>1</v>
      </c>
      <c r="G922" s="23" t="s">
        <v>20</v>
      </c>
      <c r="H922" s="22">
        <v>500</v>
      </c>
      <c r="I922" s="23" t="s">
        <v>33</v>
      </c>
      <c r="J922" s="24">
        <v>3000</v>
      </c>
      <c r="K922" s="21" t="s">
        <v>33</v>
      </c>
      <c r="L922" s="25">
        <v>0.17499999999999999</v>
      </c>
      <c r="M922" s="25"/>
      <c r="N922" s="22"/>
      <c r="O922" s="23" t="s">
        <v>33</v>
      </c>
      <c r="P922" s="20">
        <f>(C922+(E922*F922*H922))-N922</f>
        <v>2400</v>
      </c>
      <c r="Q922" s="23" t="s">
        <v>33</v>
      </c>
      <c r="R922" s="24">
        <f>P922*(J922-(J922*L922)-((J922-(J922*L922))*M922))</f>
        <v>5940000</v>
      </c>
      <c r="S922" s="8">
        <f t="shared" ref="S922" si="244">R922/1.11</f>
        <v>5351351.3513513505</v>
      </c>
    </row>
    <row r="923" spans="1:19" s="19" customFormat="1">
      <c r="A923" s="56" t="s">
        <v>597</v>
      </c>
      <c r="B923" s="19" t="s">
        <v>598</v>
      </c>
      <c r="C923" s="20">
        <v>991</v>
      </c>
      <c r="D923" s="21" t="s">
        <v>33</v>
      </c>
      <c r="E923" s="26"/>
      <c r="F923" s="22">
        <v>1</v>
      </c>
      <c r="G923" s="23" t="s">
        <v>20</v>
      </c>
      <c r="H923" s="22">
        <v>200</v>
      </c>
      <c r="I923" s="23" t="s">
        <v>33</v>
      </c>
      <c r="J923" s="24">
        <v>11500</v>
      </c>
      <c r="K923" s="21" t="s">
        <v>33</v>
      </c>
      <c r="L923" s="25">
        <v>0.17499999999999999</v>
      </c>
      <c r="M923" s="25"/>
      <c r="N923" s="22"/>
      <c r="O923" s="23" t="s">
        <v>33</v>
      </c>
      <c r="P923" s="20">
        <f>(C923+(E923*F923*H923))-N923</f>
        <v>991</v>
      </c>
      <c r="Q923" s="23" t="s">
        <v>33</v>
      </c>
      <c r="R923" s="24">
        <f>P923*(J923-(J923*L923)-((J923-(J923*L923))*M923))</f>
        <v>9402112.5</v>
      </c>
      <c r="S923" s="8">
        <f t="shared" si="243"/>
        <v>8470371.6216216218</v>
      </c>
    </row>
    <row r="924" spans="1:19" s="19" customFormat="1">
      <c r="A924" s="56" t="s">
        <v>662</v>
      </c>
      <c r="B924" s="19" t="s">
        <v>598</v>
      </c>
      <c r="C924" s="20">
        <v>340</v>
      </c>
      <c r="D924" s="21" t="s">
        <v>33</v>
      </c>
      <c r="E924" s="26"/>
      <c r="F924" s="22">
        <v>1</v>
      </c>
      <c r="G924" s="23" t="s">
        <v>20</v>
      </c>
      <c r="H924" s="22">
        <v>200</v>
      </c>
      <c r="I924" s="23" t="s">
        <v>33</v>
      </c>
      <c r="J924" s="24">
        <v>13800</v>
      </c>
      <c r="K924" s="21" t="s">
        <v>33</v>
      </c>
      <c r="L924" s="25">
        <v>0.17499999999999999</v>
      </c>
      <c r="M924" s="25">
        <v>0.03</v>
      </c>
      <c r="N924" s="22"/>
      <c r="O924" s="23" t="s">
        <v>33</v>
      </c>
      <c r="P924" s="20">
        <f>(C924+(E924*F924*H924))-N924</f>
        <v>340</v>
      </c>
      <c r="Q924" s="23" t="s">
        <v>33</v>
      </c>
      <c r="R924" s="24">
        <f>P924*(J924-(J924*L924)-((J924-(J924*L924))*M924))</f>
        <v>3754773.0000000005</v>
      </c>
      <c r="S924" s="8">
        <f t="shared" si="243"/>
        <v>3382678.3783783787</v>
      </c>
    </row>
    <row r="925" spans="1:19">
      <c r="A925" s="59"/>
      <c r="B925" s="19"/>
      <c r="O925" s="67"/>
    </row>
    <row r="926" spans="1:19">
      <c r="A926" s="15" t="s">
        <v>738</v>
      </c>
    </row>
    <row r="927" spans="1:19" s="89" customFormat="1">
      <c r="A927" s="88" t="s">
        <v>739</v>
      </c>
      <c r="B927" s="89" t="s">
        <v>584</v>
      </c>
      <c r="C927" s="87"/>
      <c r="D927" s="90" t="s">
        <v>40</v>
      </c>
      <c r="E927" s="91"/>
      <c r="F927" s="92">
        <v>1</v>
      </c>
      <c r="G927" s="93" t="s">
        <v>20</v>
      </c>
      <c r="H927" s="92">
        <v>30</v>
      </c>
      <c r="I927" s="93" t="s">
        <v>40</v>
      </c>
      <c r="J927" s="94">
        <v>102000</v>
      </c>
      <c r="K927" s="90" t="s">
        <v>40</v>
      </c>
      <c r="L927" s="95">
        <v>0.17499999999999999</v>
      </c>
      <c r="M927" s="95">
        <v>0.03</v>
      </c>
      <c r="N927" s="92"/>
      <c r="O927" s="93" t="s">
        <v>40</v>
      </c>
      <c r="P927" s="87">
        <f>(C927+(E927*F927*H927))-N927</f>
        <v>0</v>
      </c>
      <c r="Q927" s="93" t="s">
        <v>40</v>
      </c>
      <c r="R927" s="94">
        <f>P927*(J927-(J927*L927)-((J927-(J927*L927))*M927))</f>
        <v>0</v>
      </c>
      <c r="S927" s="94">
        <f t="shared" ref="S927" si="245">R927/1.11</f>
        <v>0</v>
      </c>
    </row>
    <row r="929" spans="1:19" ht="15.75">
      <c r="A929" s="14" t="s">
        <v>599</v>
      </c>
    </row>
    <row r="930" spans="1:19">
      <c r="A930" s="49" t="s">
        <v>600</v>
      </c>
      <c r="B930" s="2" t="s">
        <v>172</v>
      </c>
      <c r="C930" s="3">
        <v>383</v>
      </c>
      <c r="D930" s="4" t="s">
        <v>99</v>
      </c>
      <c r="F930" s="6">
        <v>1</v>
      </c>
      <c r="G930" s="7" t="s">
        <v>20</v>
      </c>
      <c r="H930" s="6">
        <v>60</v>
      </c>
      <c r="I930" s="7" t="s">
        <v>99</v>
      </c>
      <c r="J930" s="8">
        <v>8600</v>
      </c>
      <c r="K930" s="4" t="s">
        <v>99</v>
      </c>
      <c r="L930" s="9">
        <v>0.05</v>
      </c>
      <c r="O930" s="7" t="s">
        <v>99</v>
      </c>
      <c r="P930" s="3">
        <f>(C930+(E930*F930*H930))-N930</f>
        <v>383</v>
      </c>
      <c r="Q930" s="7" t="s">
        <v>99</v>
      </c>
      <c r="R930" s="8">
        <f>P930*(J930-(J930*L930)-((J930-(J930*L930))*M930))</f>
        <v>3129110</v>
      </c>
      <c r="S930" s="8">
        <f t="shared" si="243"/>
        <v>2819018.018018018</v>
      </c>
    </row>
    <row r="931" spans="1:19">
      <c r="A931" s="49"/>
    </row>
    <row r="932" spans="1:19" s="80" customFormat="1">
      <c r="A932" s="145" t="s">
        <v>605</v>
      </c>
      <c r="B932" s="80" t="s">
        <v>18</v>
      </c>
      <c r="C932" s="81"/>
      <c r="D932" s="82" t="s">
        <v>33</v>
      </c>
      <c r="E932" s="83"/>
      <c r="F932" s="84">
        <v>1</v>
      </c>
      <c r="G932" s="85" t="s">
        <v>20</v>
      </c>
      <c r="H932" s="84">
        <v>50</v>
      </c>
      <c r="I932" s="85" t="s">
        <v>33</v>
      </c>
      <c r="J932" s="16">
        <v>32300</v>
      </c>
      <c r="K932" s="82" t="s">
        <v>33</v>
      </c>
      <c r="L932" s="86">
        <v>0.125</v>
      </c>
      <c r="M932" s="86">
        <v>0.05</v>
      </c>
      <c r="N932" s="84"/>
      <c r="O932" s="85" t="s">
        <v>33</v>
      </c>
      <c r="P932" s="81">
        <f t="shared" ref="P932:P943" si="246">(C932+(E932*F932*H932))-N932</f>
        <v>0</v>
      </c>
      <c r="Q932" s="85" t="s">
        <v>33</v>
      </c>
      <c r="R932" s="16">
        <f t="shared" ref="R932:R943" si="247">P932*(J932-(J932*L932)-((J932-(J932*L932))*M932))</f>
        <v>0</v>
      </c>
      <c r="S932" s="16">
        <f>R932/1.11</f>
        <v>0</v>
      </c>
    </row>
    <row r="933" spans="1:19" s="80" customFormat="1">
      <c r="A933" s="145" t="s">
        <v>606</v>
      </c>
      <c r="B933" s="80" t="s">
        <v>18</v>
      </c>
      <c r="C933" s="81"/>
      <c r="D933" s="82" t="s">
        <v>33</v>
      </c>
      <c r="E933" s="83"/>
      <c r="F933" s="84">
        <v>1</v>
      </c>
      <c r="G933" s="85" t="s">
        <v>20</v>
      </c>
      <c r="H933" s="84">
        <v>50</v>
      </c>
      <c r="I933" s="85" t="s">
        <v>33</v>
      </c>
      <c r="J933" s="16">
        <v>12000</v>
      </c>
      <c r="K933" s="82" t="s">
        <v>33</v>
      </c>
      <c r="L933" s="86">
        <v>0.125</v>
      </c>
      <c r="M933" s="86">
        <v>0.05</v>
      </c>
      <c r="N933" s="84"/>
      <c r="O933" s="85" t="s">
        <v>33</v>
      </c>
      <c r="P933" s="81">
        <f t="shared" si="246"/>
        <v>0</v>
      </c>
      <c r="Q933" s="85" t="s">
        <v>33</v>
      </c>
      <c r="R933" s="16">
        <f t="shared" si="247"/>
        <v>0</v>
      </c>
      <c r="S933" s="16">
        <f>R933/1.11</f>
        <v>0</v>
      </c>
    </row>
    <row r="934" spans="1:19">
      <c r="A934" s="49" t="s">
        <v>724</v>
      </c>
      <c r="B934" s="2" t="s">
        <v>18</v>
      </c>
      <c r="C934" s="3">
        <v>100</v>
      </c>
      <c r="D934" s="4" t="s">
        <v>33</v>
      </c>
      <c r="F934" s="6">
        <v>1</v>
      </c>
      <c r="G934" s="7" t="s">
        <v>20</v>
      </c>
      <c r="H934" s="6">
        <v>50</v>
      </c>
      <c r="I934" s="7" t="s">
        <v>33</v>
      </c>
      <c r="J934" s="8">
        <v>29100</v>
      </c>
      <c r="K934" s="4" t="s">
        <v>33</v>
      </c>
      <c r="L934" s="9">
        <v>0.125</v>
      </c>
      <c r="M934" s="9">
        <v>0.05</v>
      </c>
      <c r="O934" s="7" t="s">
        <v>33</v>
      </c>
      <c r="P934" s="3">
        <f t="shared" si="246"/>
        <v>100</v>
      </c>
      <c r="Q934" s="7" t="s">
        <v>33</v>
      </c>
      <c r="R934" s="8">
        <f t="shared" si="247"/>
        <v>2418937.5</v>
      </c>
      <c r="S934" s="8">
        <f>R934/1.11</f>
        <v>2179222.9729729728</v>
      </c>
    </row>
    <row r="935" spans="1:19" s="80" customFormat="1">
      <c r="A935" s="145" t="s">
        <v>607</v>
      </c>
      <c r="B935" s="80" t="s">
        <v>18</v>
      </c>
      <c r="C935" s="81"/>
      <c r="D935" s="82" t="s">
        <v>33</v>
      </c>
      <c r="E935" s="83"/>
      <c r="F935" s="84">
        <v>1</v>
      </c>
      <c r="G935" s="85" t="s">
        <v>20</v>
      </c>
      <c r="H935" s="84">
        <v>50</v>
      </c>
      <c r="I935" s="85" t="s">
        <v>33</v>
      </c>
      <c r="J935" s="16">
        <v>36200</v>
      </c>
      <c r="K935" s="82" t="s">
        <v>33</v>
      </c>
      <c r="L935" s="86">
        <v>0.125</v>
      </c>
      <c r="M935" s="86">
        <v>0.05</v>
      </c>
      <c r="N935" s="84"/>
      <c r="O935" s="85" t="s">
        <v>33</v>
      </c>
      <c r="P935" s="81">
        <f t="shared" si="246"/>
        <v>0</v>
      </c>
      <c r="Q935" s="85" t="s">
        <v>33</v>
      </c>
      <c r="R935" s="16">
        <f t="shared" si="247"/>
        <v>0</v>
      </c>
      <c r="S935" s="16">
        <f>R935/1.11</f>
        <v>0</v>
      </c>
    </row>
    <row r="936" spans="1:19" s="19" customFormat="1">
      <c r="A936" s="49" t="s">
        <v>601</v>
      </c>
      <c r="B936" s="19" t="s">
        <v>18</v>
      </c>
      <c r="C936" s="20">
        <v>93</v>
      </c>
      <c r="D936" s="21" t="s">
        <v>33</v>
      </c>
      <c r="E936" s="26">
        <v>38</v>
      </c>
      <c r="F936" s="22">
        <v>1</v>
      </c>
      <c r="G936" s="23" t="s">
        <v>20</v>
      </c>
      <c r="H936" s="22">
        <v>50</v>
      </c>
      <c r="I936" s="23" t="s">
        <v>33</v>
      </c>
      <c r="J936" s="24">
        <v>34100</v>
      </c>
      <c r="K936" s="21" t="s">
        <v>33</v>
      </c>
      <c r="L936" s="25">
        <v>0.125</v>
      </c>
      <c r="M936" s="25">
        <v>0.05</v>
      </c>
      <c r="N936" s="22"/>
      <c r="O936" s="23" t="s">
        <v>33</v>
      </c>
      <c r="P936" s="20">
        <f t="shared" si="246"/>
        <v>1993</v>
      </c>
      <c r="Q936" s="23" t="s">
        <v>33</v>
      </c>
      <c r="R936" s="24">
        <f t="shared" si="247"/>
        <v>56492830.625</v>
      </c>
      <c r="S936" s="8">
        <f t="shared" si="243"/>
        <v>50894442.004504502</v>
      </c>
    </row>
    <row r="937" spans="1:19" s="19" customFormat="1">
      <c r="A937" s="18" t="s">
        <v>602</v>
      </c>
      <c r="B937" s="19" t="s">
        <v>18</v>
      </c>
      <c r="C937" s="20">
        <v>100</v>
      </c>
      <c r="D937" s="21" t="s">
        <v>33</v>
      </c>
      <c r="E937" s="26">
        <v>9</v>
      </c>
      <c r="F937" s="22">
        <v>1</v>
      </c>
      <c r="G937" s="23" t="s">
        <v>20</v>
      </c>
      <c r="H937" s="22">
        <v>50</v>
      </c>
      <c r="I937" s="23" t="s">
        <v>33</v>
      </c>
      <c r="J937" s="24">
        <v>34100</v>
      </c>
      <c r="K937" s="21" t="s">
        <v>33</v>
      </c>
      <c r="L937" s="25">
        <v>0.125</v>
      </c>
      <c r="M937" s="25">
        <v>0.05</v>
      </c>
      <c r="N937" s="22"/>
      <c r="O937" s="23" t="s">
        <v>33</v>
      </c>
      <c r="P937" s="20">
        <f t="shared" si="246"/>
        <v>550</v>
      </c>
      <c r="Q937" s="23" t="s">
        <v>33</v>
      </c>
      <c r="R937" s="24">
        <f t="shared" si="247"/>
        <v>15590093.75</v>
      </c>
      <c r="S937" s="24">
        <f t="shared" si="243"/>
        <v>14045129.504504504</v>
      </c>
    </row>
    <row r="938" spans="1:19" s="19" customFormat="1">
      <c r="A938" s="18" t="s">
        <v>603</v>
      </c>
      <c r="B938" s="19" t="s">
        <v>18</v>
      </c>
      <c r="C938" s="20">
        <v>13</v>
      </c>
      <c r="D938" s="21" t="s">
        <v>33</v>
      </c>
      <c r="E938" s="26">
        <v>2</v>
      </c>
      <c r="F938" s="22">
        <v>1</v>
      </c>
      <c r="G938" s="23"/>
      <c r="H938" s="22">
        <v>50</v>
      </c>
      <c r="I938" s="23" t="s">
        <v>33</v>
      </c>
      <c r="J938" s="24">
        <v>32000</v>
      </c>
      <c r="K938" s="21" t="s">
        <v>33</v>
      </c>
      <c r="L938" s="25">
        <v>0.125</v>
      </c>
      <c r="M938" s="25">
        <v>0.05</v>
      </c>
      <c r="N938" s="22"/>
      <c r="O938" s="23" t="s">
        <v>33</v>
      </c>
      <c r="P938" s="20">
        <f t="shared" si="246"/>
        <v>113</v>
      </c>
      <c r="Q938" s="23" t="s">
        <v>33</v>
      </c>
      <c r="R938" s="24">
        <f t="shared" si="247"/>
        <v>3005800</v>
      </c>
      <c r="S938" s="24">
        <f t="shared" si="243"/>
        <v>2707927.9279279276</v>
      </c>
    </row>
    <row r="939" spans="1:19" s="106" customFormat="1">
      <c r="A939" s="162" t="s">
        <v>604</v>
      </c>
      <c r="B939" s="106" t="s">
        <v>18</v>
      </c>
      <c r="C939" s="107"/>
      <c r="D939" s="108" t="s">
        <v>33</v>
      </c>
      <c r="E939" s="109">
        <v>13</v>
      </c>
      <c r="F939" s="110">
        <v>1</v>
      </c>
      <c r="G939" s="111" t="s">
        <v>20</v>
      </c>
      <c r="H939" s="110">
        <v>50</v>
      </c>
      <c r="I939" s="111" t="s">
        <v>33</v>
      </c>
      <c r="J939" s="112">
        <v>32000</v>
      </c>
      <c r="K939" s="108" t="s">
        <v>33</v>
      </c>
      <c r="L939" s="113">
        <v>0.125</v>
      </c>
      <c r="M939" s="113">
        <v>0.05</v>
      </c>
      <c r="N939" s="110"/>
      <c r="O939" s="111" t="s">
        <v>33</v>
      </c>
      <c r="P939" s="107">
        <f t="shared" si="246"/>
        <v>650</v>
      </c>
      <c r="Q939" s="111" t="s">
        <v>33</v>
      </c>
      <c r="R939" s="112">
        <f t="shared" si="247"/>
        <v>17290000</v>
      </c>
      <c r="S939" s="104">
        <f t="shared" si="243"/>
        <v>15576576.576576576</v>
      </c>
    </row>
    <row r="940" spans="1:19" s="19" customFormat="1">
      <c r="A940" s="49" t="s">
        <v>608</v>
      </c>
      <c r="B940" s="19" t="s">
        <v>18</v>
      </c>
      <c r="C940" s="20">
        <v>617</v>
      </c>
      <c r="D940" s="21" t="s">
        <v>33</v>
      </c>
      <c r="E940" s="26">
        <v>31</v>
      </c>
      <c r="F940" s="22">
        <v>1</v>
      </c>
      <c r="G940" s="23" t="s">
        <v>20</v>
      </c>
      <c r="H940" s="22">
        <v>50</v>
      </c>
      <c r="I940" s="23" t="s">
        <v>33</v>
      </c>
      <c r="J940" s="24">
        <v>28300</v>
      </c>
      <c r="K940" s="21" t="s">
        <v>33</v>
      </c>
      <c r="L940" s="25">
        <v>0.125</v>
      </c>
      <c r="M940" s="25">
        <v>0.05</v>
      </c>
      <c r="N940" s="22"/>
      <c r="O940" s="23" t="s">
        <v>33</v>
      </c>
      <c r="P940" s="20">
        <f t="shared" si="246"/>
        <v>2167</v>
      </c>
      <c r="Q940" s="23" t="s">
        <v>33</v>
      </c>
      <c r="R940" s="24">
        <f t="shared" si="247"/>
        <v>50977320.625</v>
      </c>
      <c r="S940" s="24">
        <f t="shared" si="243"/>
        <v>45925514.076576576</v>
      </c>
    </row>
    <row r="941" spans="1:19" s="19" customFormat="1">
      <c r="A941" s="49" t="s">
        <v>609</v>
      </c>
      <c r="B941" s="19" t="s">
        <v>18</v>
      </c>
      <c r="C941" s="20">
        <v>50</v>
      </c>
      <c r="D941" s="21" t="s">
        <v>33</v>
      </c>
      <c r="E941" s="26">
        <v>14</v>
      </c>
      <c r="F941" s="22">
        <v>1</v>
      </c>
      <c r="G941" s="23" t="s">
        <v>20</v>
      </c>
      <c r="H941" s="22">
        <v>50</v>
      </c>
      <c r="I941" s="23" t="s">
        <v>33</v>
      </c>
      <c r="J941" s="24">
        <v>28300</v>
      </c>
      <c r="K941" s="21" t="s">
        <v>33</v>
      </c>
      <c r="L941" s="25">
        <v>0.125</v>
      </c>
      <c r="M941" s="25">
        <v>0.05</v>
      </c>
      <c r="N941" s="22"/>
      <c r="O941" s="23" t="s">
        <v>33</v>
      </c>
      <c r="P941" s="20">
        <f t="shared" si="246"/>
        <v>750</v>
      </c>
      <c r="Q941" s="23" t="s">
        <v>33</v>
      </c>
      <c r="R941" s="24">
        <f t="shared" si="247"/>
        <v>17643281.25</v>
      </c>
      <c r="S941" s="24">
        <f t="shared" si="243"/>
        <v>15894847.972972972</v>
      </c>
    </row>
    <row r="942" spans="1:19" s="96" customFormat="1">
      <c r="A942" s="162" t="s">
        <v>610</v>
      </c>
      <c r="B942" s="96" t="s">
        <v>18</v>
      </c>
      <c r="C942" s="99"/>
      <c r="D942" s="100" t="s">
        <v>33</v>
      </c>
      <c r="E942" s="101">
        <v>1</v>
      </c>
      <c r="F942" s="102">
        <v>1</v>
      </c>
      <c r="G942" s="103" t="s">
        <v>20</v>
      </c>
      <c r="H942" s="102">
        <v>50</v>
      </c>
      <c r="I942" s="103" t="s">
        <v>33</v>
      </c>
      <c r="J942" s="104">
        <v>28600</v>
      </c>
      <c r="K942" s="100" t="s">
        <v>33</v>
      </c>
      <c r="L942" s="105">
        <v>0.125</v>
      </c>
      <c r="M942" s="105">
        <v>0.05</v>
      </c>
      <c r="N942" s="102"/>
      <c r="O942" s="103" t="s">
        <v>33</v>
      </c>
      <c r="P942" s="99">
        <f t="shared" ref="P942" si="248">(C942+(E942*F942*H942))-N942</f>
        <v>50</v>
      </c>
      <c r="Q942" s="103" t="s">
        <v>33</v>
      </c>
      <c r="R942" s="104">
        <f t="shared" ref="R942" si="249">P942*(J942-(J942*L942)-((J942-(J942*L942))*M942))</f>
        <v>1188687.5</v>
      </c>
      <c r="S942" s="104">
        <f t="shared" ref="S942" si="250">R942/1.11</f>
        <v>1070889.6396396395</v>
      </c>
    </row>
    <row r="943" spans="1:19" s="80" customFormat="1">
      <c r="A943" s="145" t="s">
        <v>610</v>
      </c>
      <c r="B943" s="80" t="s">
        <v>18</v>
      </c>
      <c r="C943" s="81"/>
      <c r="D943" s="82" t="s">
        <v>33</v>
      </c>
      <c r="E943" s="83"/>
      <c r="F943" s="84">
        <v>1</v>
      </c>
      <c r="G943" s="85" t="s">
        <v>20</v>
      </c>
      <c r="H943" s="84">
        <v>50</v>
      </c>
      <c r="I943" s="85" t="s">
        <v>33</v>
      </c>
      <c r="J943" s="16">
        <v>26500</v>
      </c>
      <c r="K943" s="82" t="s">
        <v>33</v>
      </c>
      <c r="L943" s="86">
        <v>0.125</v>
      </c>
      <c r="M943" s="86">
        <v>0.05</v>
      </c>
      <c r="N943" s="84"/>
      <c r="O943" s="85" t="s">
        <v>33</v>
      </c>
      <c r="P943" s="81">
        <f t="shared" si="246"/>
        <v>0</v>
      </c>
      <c r="Q943" s="85" t="s">
        <v>33</v>
      </c>
      <c r="R943" s="16">
        <f t="shared" si="247"/>
        <v>0</v>
      </c>
      <c r="S943" s="16">
        <f t="shared" si="243"/>
        <v>0</v>
      </c>
    </row>
    <row r="944" spans="1:19">
      <c r="A944" s="49"/>
    </row>
    <row r="945" spans="1:19" s="19" customFormat="1">
      <c r="A945" s="55" t="s">
        <v>611</v>
      </c>
      <c r="B945" s="19" t="s">
        <v>25</v>
      </c>
      <c r="C945" s="20">
        <v>101</v>
      </c>
      <c r="D945" s="21" t="s">
        <v>33</v>
      </c>
      <c r="E945" s="26">
        <v>8</v>
      </c>
      <c r="F945" s="22">
        <v>1</v>
      </c>
      <c r="G945" s="23" t="s">
        <v>20</v>
      </c>
      <c r="H945" s="22">
        <v>50</v>
      </c>
      <c r="I945" s="23" t="s">
        <v>33</v>
      </c>
      <c r="J945" s="24">
        <f>1500000/50</f>
        <v>30000</v>
      </c>
      <c r="K945" s="21" t="s">
        <v>33</v>
      </c>
      <c r="L945" s="25"/>
      <c r="M945" s="25">
        <v>0.17</v>
      </c>
      <c r="N945" s="22"/>
      <c r="O945" s="23" t="s">
        <v>33</v>
      </c>
      <c r="P945" s="20">
        <f t="shared" ref="P945:P950" si="251">(C945+(E945*F945*H945))-N945</f>
        <v>501</v>
      </c>
      <c r="Q945" s="23" t="s">
        <v>33</v>
      </c>
      <c r="R945" s="24">
        <f t="shared" ref="R945:R950" si="252">P945*(J945-(J945*L945)-((J945-(J945*L945))*M945))</f>
        <v>12474900</v>
      </c>
      <c r="S945" s="24">
        <f t="shared" si="243"/>
        <v>11238648.648648648</v>
      </c>
    </row>
    <row r="946" spans="1:19" s="19" customFormat="1">
      <c r="A946" s="55" t="s">
        <v>612</v>
      </c>
      <c r="B946" s="19" t="s">
        <v>25</v>
      </c>
      <c r="C946" s="20">
        <v>110</v>
      </c>
      <c r="D946" s="21" t="s">
        <v>33</v>
      </c>
      <c r="E946" s="26">
        <v>2</v>
      </c>
      <c r="F946" s="22">
        <v>1</v>
      </c>
      <c r="G946" s="23" t="s">
        <v>20</v>
      </c>
      <c r="H946" s="22">
        <v>50</v>
      </c>
      <c r="I946" s="23" t="s">
        <v>33</v>
      </c>
      <c r="J946" s="24">
        <f>1500000/50</f>
        <v>30000</v>
      </c>
      <c r="K946" s="21" t="s">
        <v>33</v>
      </c>
      <c r="L946" s="25"/>
      <c r="M946" s="25">
        <v>0.17</v>
      </c>
      <c r="N946" s="22"/>
      <c r="O946" s="23" t="s">
        <v>33</v>
      </c>
      <c r="P946" s="20">
        <f t="shared" si="251"/>
        <v>210</v>
      </c>
      <c r="Q946" s="23" t="s">
        <v>33</v>
      </c>
      <c r="R946" s="24">
        <f t="shared" si="252"/>
        <v>5229000</v>
      </c>
      <c r="S946" s="24">
        <f t="shared" si="243"/>
        <v>4710810.81081081</v>
      </c>
    </row>
    <row r="947" spans="1:19" s="80" customFormat="1">
      <c r="A947" s="145" t="s">
        <v>727</v>
      </c>
      <c r="B947" s="80" t="s">
        <v>25</v>
      </c>
      <c r="C947" s="87"/>
      <c r="D947" s="82" t="s">
        <v>33</v>
      </c>
      <c r="E947" s="83"/>
      <c r="F947" s="84">
        <v>1</v>
      </c>
      <c r="G947" s="85" t="s">
        <v>20</v>
      </c>
      <c r="H947" s="84">
        <v>50</v>
      </c>
      <c r="I947" s="85" t="s">
        <v>33</v>
      </c>
      <c r="J947" s="16">
        <v>32400</v>
      </c>
      <c r="K947" s="82" t="s">
        <v>33</v>
      </c>
      <c r="L947" s="86"/>
      <c r="M947" s="86">
        <v>0.17</v>
      </c>
      <c r="N947" s="84"/>
      <c r="O947" s="85" t="s">
        <v>33</v>
      </c>
      <c r="P947" s="81">
        <f t="shared" si="251"/>
        <v>0</v>
      </c>
      <c r="Q947" s="85" t="s">
        <v>33</v>
      </c>
      <c r="R947" s="16">
        <f t="shared" si="252"/>
        <v>0</v>
      </c>
      <c r="S947" s="16">
        <f t="shared" si="243"/>
        <v>0</v>
      </c>
    </row>
    <row r="948" spans="1:19" s="80" customFormat="1">
      <c r="A948" s="145" t="s">
        <v>613</v>
      </c>
      <c r="B948" s="80" t="s">
        <v>25</v>
      </c>
      <c r="C948" s="87"/>
      <c r="D948" s="82" t="s">
        <v>33</v>
      </c>
      <c r="E948" s="83"/>
      <c r="F948" s="84">
        <v>1</v>
      </c>
      <c r="G948" s="85" t="s">
        <v>20</v>
      </c>
      <c r="H948" s="84">
        <v>50</v>
      </c>
      <c r="I948" s="85" t="s">
        <v>33</v>
      </c>
      <c r="J948" s="16">
        <v>28500</v>
      </c>
      <c r="K948" s="82" t="s">
        <v>33</v>
      </c>
      <c r="L948" s="86"/>
      <c r="M948" s="86">
        <v>0.17</v>
      </c>
      <c r="N948" s="84"/>
      <c r="O948" s="85" t="s">
        <v>33</v>
      </c>
      <c r="P948" s="81">
        <f t="shared" si="251"/>
        <v>0</v>
      </c>
      <c r="Q948" s="85" t="s">
        <v>33</v>
      </c>
      <c r="R948" s="16">
        <f t="shared" si="252"/>
        <v>0</v>
      </c>
      <c r="S948" s="16">
        <f t="shared" si="243"/>
        <v>0</v>
      </c>
    </row>
    <row r="949" spans="1:19" s="19" customFormat="1">
      <c r="A949" s="55" t="s">
        <v>614</v>
      </c>
      <c r="B949" s="19" t="s">
        <v>25</v>
      </c>
      <c r="C949" s="20">
        <v>346</v>
      </c>
      <c r="D949" s="21" t="s">
        <v>33</v>
      </c>
      <c r="E949" s="26">
        <v>7</v>
      </c>
      <c r="F949" s="22">
        <v>1</v>
      </c>
      <c r="G949" s="23" t="s">
        <v>20</v>
      </c>
      <c r="H949" s="22">
        <v>50</v>
      </c>
      <c r="I949" s="23" t="s">
        <v>33</v>
      </c>
      <c r="J949" s="24">
        <f>1375000/50</f>
        <v>27500</v>
      </c>
      <c r="K949" s="21" t="s">
        <v>33</v>
      </c>
      <c r="L949" s="25"/>
      <c r="M949" s="25">
        <v>0.17</v>
      </c>
      <c r="N949" s="22"/>
      <c r="O949" s="23" t="s">
        <v>33</v>
      </c>
      <c r="P949" s="20">
        <f t="shared" si="251"/>
        <v>696</v>
      </c>
      <c r="Q949" s="23" t="s">
        <v>33</v>
      </c>
      <c r="R949" s="24">
        <f t="shared" si="252"/>
        <v>15886200</v>
      </c>
      <c r="S949" s="24">
        <f t="shared" si="243"/>
        <v>14311891.891891891</v>
      </c>
    </row>
    <row r="950" spans="1:19" s="19" customFormat="1">
      <c r="A950" s="55" t="s">
        <v>615</v>
      </c>
      <c r="B950" s="19" t="s">
        <v>25</v>
      </c>
      <c r="C950" s="20">
        <v>165</v>
      </c>
      <c r="D950" s="21" t="s">
        <v>33</v>
      </c>
      <c r="E950" s="26">
        <v>3</v>
      </c>
      <c r="F950" s="22">
        <v>1</v>
      </c>
      <c r="G950" s="23" t="s">
        <v>20</v>
      </c>
      <c r="H950" s="22">
        <v>50</v>
      </c>
      <c r="I950" s="23" t="s">
        <v>33</v>
      </c>
      <c r="J950" s="24">
        <f>1375000/50</f>
        <v>27500</v>
      </c>
      <c r="K950" s="21" t="s">
        <v>33</v>
      </c>
      <c r="L950" s="25"/>
      <c r="M950" s="25">
        <v>0.17</v>
      </c>
      <c r="N950" s="22"/>
      <c r="O950" s="23" t="s">
        <v>33</v>
      </c>
      <c r="P950" s="20">
        <f t="shared" si="251"/>
        <v>315</v>
      </c>
      <c r="Q950" s="23" t="s">
        <v>33</v>
      </c>
      <c r="R950" s="24">
        <f t="shared" si="252"/>
        <v>7189875</v>
      </c>
      <c r="S950" s="24">
        <f t="shared" si="243"/>
        <v>6477364.8648648644</v>
      </c>
    </row>
    <row r="952" spans="1:19" ht="15.75">
      <c r="A952" s="14" t="s">
        <v>757</v>
      </c>
    </row>
    <row r="953" spans="1:19" s="80" customFormat="1">
      <c r="A953" s="79" t="s">
        <v>759</v>
      </c>
      <c r="B953" s="80" t="s">
        <v>172</v>
      </c>
      <c r="C953" s="81"/>
      <c r="D953" s="82" t="s">
        <v>19</v>
      </c>
      <c r="E953" s="83"/>
      <c r="F953" s="84">
        <v>50</v>
      </c>
      <c r="G953" s="85" t="s">
        <v>99</v>
      </c>
      <c r="H953" s="84">
        <v>100</v>
      </c>
      <c r="I953" s="85" t="s">
        <v>19</v>
      </c>
      <c r="J953" s="16">
        <f>39500/100</f>
        <v>395</v>
      </c>
      <c r="K953" s="82" t="s">
        <v>19</v>
      </c>
      <c r="L953" s="86">
        <v>0.05</v>
      </c>
      <c r="M953" s="86"/>
      <c r="N953" s="84"/>
      <c r="O953" s="85" t="s">
        <v>19</v>
      </c>
      <c r="P953" s="81">
        <f>(C953+(E953*F953*H953))-N953</f>
        <v>0</v>
      </c>
      <c r="Q953" s="85" t="s">
        <v>19</v>
      </c>
      <c r="R953" s="16">
        <f>P953*(J953-(J953*L953)-((J953-(J953*L953))*M953))</f>
        <v>0</v>
      </c>
      <c r="S953" s="16">
        <f t="shared" ref="S953" si="253">R953/1.11</f>
        <v>0</v>
      </c>
    </row>
    <row r="955" spans="1:19" ht="15.75">
      <c r="A955" s="14" t="s">
        <v>616</v>
      </c>
    </row>
    <row r="956" spans="1:19">
      <c r="A956" s="15" t="s">
        <v>617</v>
      </c>
    </row>
    <row r="957" spans="1:19" s="89" customFormat="1">
      <c r="A957" s="148" t="s">
        <v>618</v>
      </c>
      <c r="B957" s="89" t="s">
        <v>182</v>
      </c>
      <c r="C957" s="87"/>
      <c r="D957" s="90" t="s">
        <v>278</v>
      </c>
      <c r="E957" s="91"/>
      <c r="F957" s="92">
        <v>1</v>
      </c>
      <c r="G957" s="93" t="s">
        <v>20</v>
      </c>
      <c r="H957" s="92">
        <v>720</v>
      </c>
      <c r="I957" s="93" t="s">
        <v>278</v>
      </c>
      <c r="J957" s="94">
        <v>3100</v>
      </c>
      <c r="K957" s="90" t="s">
        <v>278</v>
      </c>
      <c r="L957" s="95"/>
      <c r="M957" s="95">
        <v>0.15</v>
      </c>
      <c r="N957" s="92"/>
      <c r="O957" s="93" t="s">
        <v>278</v>
      </c>
      <c r="P957" s="87">
        <f>(C957+(E957*F957*H957))-N957</f>
        <v>0</v>
      </c>
      <c r="Q957" s="93" t="s">
        <v>278</v>
      </c>
      <c r="R957" s="94">
        <f>P957*(J957-(J957*L957)-((J957-(J957*L957))*M957))</f>
        <v>0</v>
      </c>
      <c r="S957" s="16">
        <f t="shared" si="243"/>
        <v>0</v>
      </c>
    </row>
    <row r="958" spans="1:19" s="89" customFormat="1">
      <c r="A958" s="148" t="s">
        <v>619</v>
      </c>
      <c r="B958" s="89" t="s">
        <v>182</v>
      </c>
      <c r="C958" s="87"/>
      <c r="D958" s="90" t="s">
        <v>278</v>
      </c>
      <c r="E958" s="91"/>
      <c r="F958" s="92">
        <v>1</v>
      </c>
      <c r="G958" s="93" t="s">
        <v>20</v>
      </c>
      <c r="H958" s="92">
        <v>480</v>
      </c>
      <c r="I958" s="93" t="s">
        <v>278</v>
      </c>
      <c r="J958" s="94">
        <v>4750</v>
      </c>
      <c r="K958" s="90" t="s">
        <v>278</v>
      </c>
      <c r="L958" s="95"/>
      <c r="M958" s="95">
        <v>0.15</v>
      </c>
      <c r="N958" s="92"/>
      <c r="O958" s="93" t="s">
        <v>278</v>
      </c>
      <c r="P958" s="87">
        <f>(C958+(E958*F958*H958))-N958</f>
        <v>0</v>
      </c>
      <c r="Q958" s="93" t="s">
        <v>278</v>
      </c>
      <c r="R958" s="94">
        <f>P958*(J958-(J958*L958)-((J958-(J958*L958))*M958))</f>
        <v>0</v>
      </c>
      <c r="S958" s="16">
        <f t="shared" si="243"/>
        <v>0</v>
      </c>
    </row>
    <row r="959" spans="1:19" s="80" customFormat="1">
      <c r="A959" s="148" t="s">
        <v>620</v>
      </c>
      <c r="B959" s="89" t="s">
        <v>182</v>
      </c>
      <c r="C959" s="87"/>
      <c r="D959" s="82" t="s">
        <v>278</v>
      </c>
      <c r="E959" s="83"/>
      <c r="F959" s="84">
        <v>1</v>
      </c>
      <c r="G959" s="85" t="s">
        <v>20</v>
      </c>
      <c r="H959" s="84">
        <v>360</v>
      </c>
      <c r="I959" s="85" t="s">
        <v>278</v>
      </c>
      <c r="J959" s="16">
        <v>6000</v>
      </c>
      <c r="K959" s="82" t="s">
        <v>278</v>
      </c>
      <c r="L959" s="86"/>
      <c r="M959" s="86">
        <v>0.15</v>
      </c>
      <c r="N959" s="92"/>
      <c r="O959" s="85" t="s">
        <v>278</v>
      </c>
      <c r="P959" s="81">
        <f>(C959+(E959*F959*H959))-N959</f>
        <v>0</v>
      </c>
      <c r="Q959" s="85" t="s">
        <v>278</v>
      </c>
      <c r="R959" s="16">
        <f>P959*(J959-(J959*L959)-((J959-(J959*L959))*M959))</f>
        <v>0</v>
      </c>
      <c r="S959" s="16">
        <f t="shared" si="243"/>
        <v>0</v>
      </c>
    </row>
    <row r="960" spans="1:19">
      <c r="A960" s="49"/>
      <c r="B960" s="19"/>
      <c r="C960" s="20"/>
      <c r="N960" s="22"/>
    </row>
    <row r="961" spans="1:19" s="80" customFormat="1">
      <c r="A961" s="145" t="s">
        <v>621</v>
      </c>
      <c r="B961" s="80" t="s">
        <v>18</v>
      </c>
      <c r="C961" s="87"/>
      <c r="D961" s="82" t="s">
        <v>278</v>
      </c>
      <c r="E961" s="83"/>
      <c r="F961" s="84">
        <v>10</v>
      </c>
      <c r="G961" s="85" t="s">
        <v>99</v>
      </c>
      <c r="H961" s="84">
        <v>24</v>
      </c>
      <c r="I961" s="85" t="s">
        <v>278</v>
      </c>
      <c r="J961" s="16">
        <v>2300</v>
      </c>
      <c r="K961" s="82" t="s">
        <v>278</v>
      </c>
      <c r="L961" s="86">
        <v>0.125</v>
      </c>
      <c r="M961" s="86">
        <v>0.05</v>
      </c>
      <c r="N961" s="84"/>
      <c r="O961" s="85" t="s">
        <v>278</v>
      </c>
      <c r="P961" s="81">
        <f>(C961+(E961*F961*H961))-N961</f>
        <v>0</v>
      </c>
      <c r="Q961" s="85" t="s">
        <v>278</v>
      </c>
      <c r="R961" s="16">
        <f>P961*(J961-(J961*L961)-((J961-(J961*L961))*M961))</f>
        <v>0</v>
      </c>
      <c r="S961" s="16">
        <f t="shared" si="243"/>
        <v>0</v>
      </c>
    </row>
    <row r="962" spans="1:19" s="80" customFormat="1">
      <c r="A962" s="145" t="s">
        <v>622</v>
      </c>
      <c r="B962" s="80" t="s">
        <v>18</v>
      </c>
      <c r="C962" s="87"/>
      <c r="D962" s="82" t="s">
        <v>278</v>
      </c>
      <c r="E962" s="83"/>
      <c r="F962" s="84">
        <v>10</v>
      </c>
      <c r="G962" s="85" t="s">
        <v>99</v>
      </c>
      <c r="H962" s="84">
        <v>12</v>
      </c>
      <c r="I962" s="85" t="s">
        <v>278</v>
      </c>
      <c r="J962" s="16">
        <v>4600</v>
      </c>
      <c r="K962" s="82" t="s">
        <v>278</v>
      </c>
      <c r="L962" s="86">
        <v>0.125</v>
      </c>
      <c r="M962" s="86">
        <v>0.05</v>
      </c>
      <c r="N962" s="84"/>
      <c r="O962" s="85" t="s">
        <v>278</v>
      </c>
      <c r="P962" s="81">
        <f>(C962+(E962*F962*H962))-N962</f>
        <v>0</v>
      </c>
      <c r="Q962" s="85" t="s">
        <v>278</v>
      </c>
      <c r="R962" s="16">
        <f>P962*(J962-(J962*L962)-((J962-(J962*L962))*M962))</f>
        <v>0</v>
      </c>
      <c r="S962" s="16">
        <f t="shared" si="243"/>
        <v>0</v>
      </c>
    </row>
    <row r="963" spans="1:19">
      <c r="A963" s="49"/>
      <c r="C963" s="20"/>
    </row>
    <row r="964" spans="1:19" s="80" customFormat="1">
      <c r="A964" s="147" t="s">
        <v>623</v>
      </c>
      <c r="B964" s="80" t="s">
        <v>25</v>
      </c>
      <c r="C964" s="87"/>
      <c r="D964" s="82" t="s">
        <v>278</v>
      </c>
      <c r="E964" s="83"/>
      <c r="F964" s="84">
        <v>1</v>
      </c>
      <c r="G964" s="85" t="s">
        <v>20</v>
      </c>
      <c r="H964" s="84">
        <v>480</v>
      </c>
      <c r="I964" s="85" t="s">
        <v>278</v>
      </c>
      <c r="J964" s="16">
        <f>588000/480</f>
        <v>1225</v>
      </c>
      <c r="K964" s="82" t="s">
        <v>278</v>
      </c>
      <c r="L964" s="86"/>
      <c r="M964" s="86">
        <v>0.17</v>
      </c>
      <c r="N964" s="84"/>
      <c r="O964" s="85" t="s">
        <v>278</v>
      </c>
      <c r="P964" s="81">
        <f>(C964+(E964*F964*H964))-N964</f>
        <v>0</v>
      </c>
      <c r="Q964" s="85" t="s">
        <v>278</v>
      </c>
      <c r="R964" s="16">
        <f>P964*(J964-(J964*L964)-((J964-(J964*L964))*M964))</f>
        <v>0</v>
      </c>
      <c r="S964" s="16">
        <f t="shared" si="243"/>
        <v>0</v>
      </c>
    </row>
    <row r="965" spans="1:19" s="80" customFormat="1">
      <c r="A965" s="147" t="s">
        <v>624</v>
      </c>
      <c r="B965" s="80" t="s">
        <v>25</v>
      </c>
      <c r="C965" s="87"/>
      <c r="D965" s="82" t="s">
        <v>278</v>
      </c>
      <c r="E965" s="83"/>
      <c r="F965" s="84">
        <v>1</v>
      </c>
      <c r="G965" s="85" t="s">
        <v>20</v>
      </c>
      <c r="H965" s="84">
        <v>240</v>
      </c>
      <c r="I965" s="85" t="s">
        <v>278</v>
      </c>
      <c r="J965" s="16">
        <f>588000/240</f>
        <v>2450</v>
      </c>
      <c r="K965" s="82" t="s">
        <v>278</v>
      </c>
      <c r="L965" s="86"/>
      <c r="M965" s="86">
        <v>0.17</v>
      </c>
      <c r="N965" s="84"/>
      <c r="O965" s="85" t="s">
        <v>278</v>
      </c>
      <c r="P965" s="81">
        <f>(C965+(E965*F965*H965))-N965</f>
        <v>0</v>
      </c>
      <c r="Q965" s="85" t="s">
        <v>278</v>
      </c>
      <c r="R965" s="16">
        <f>P965*(J965-(J965*L965)-((J965-(J965*L965))*M965))</f>
        <v>0</v>
      </c>
      <c r="S965" s="16">
        <f t="shared" si="243"/>
        <v>0</v>
      </c>
    </row>
    <row r="966" spans="1:19" s="80" customFormat="1">
      <c r="A966" s="147" t="s">
        <v>625</v>
      </c>
      <c r="B966" s="80" t="s">
        <v>25</v>
      </c>
      <c r="C966" s="87"/>
      <c r="D966" s="82" t="s">
        <v>278</v>
      </c>
      <c r="E966" s="83"/>
      <c r="F966" s="84">
        <v>1</v>
      </c>
      <c r="G966" s="85" t="s">
        <v>20</v>
      </c>
      <c r="H966" s="84">
        <v>120</v>
      </c>
      <c r="I966" s="85" t="s">
        <v>278</v>
      </c>
      <c r="J966" s="16">
        <v>4800</v>
      </c>
      <c r="K966" s="82" t="s">
        <v>278</v>
      </c>
      <c r="L966" s="86"/>
      <c r="M966" s="86">
        <v>0.17</v>
      </c>
      <c r="N966" s="84"/>
      <c r="O966" s="85" t="s">
        <v>278</v>
      </c>
      <c r="P966" s="81">
        <f>(C966+(E966*F966*H966))-N966</f>
        <v>0</v>
      </c>
      <c r="Q966" s="85" t="s">
        <v>278</v>
      </c>
      <c r="R966" s="16">
        <f>P966*(J966-(J966*L966)-((J966-(J966*L966))*M966))</f>
        <v>0</v>
      </c>
      <c r="S966" s="16">
        <f t="shared" si="243"/>
        <v>0</v>
      </c>
    </row>
    <row r="967" spans="1:19" s="96" customFormat="1">
      <c r="A967" s="163" t="s">
        <v>626</v>
      </c>
      <c r="B967" s="96" t="s">
        <v>25</v>
      </c>
      <c r="C967" s="107"/>
      <c r="D967" s="100" t="s">
        <v>278</v>
      </c>
      <c r="E967" s="101">
        <v>1</v>
      </c>
      <c r="F967" s="102">
        <v>1</v>
      </c>
      <c r="G967" s="103" t="s">
        <v>20</v>
      </c>
      <c r="H967" s="102">
        <v>60</v>
      </c>
      <c r="I967" s="103" t="s">
        <v>278</v>
      </c>
      <c r="J967" s="104">
        <v>9500</v>
      </c>
      <c r="K967" s="100" t="s">
        <v>278</v>
      </c>
      <c r="L967" s="105"/>
      <c r="M967" s="105">
        <v>0.17</v>
      </c>
      <c r="N967" s="102"/>
      <c r="O967" s="103" t="s">
        <v>278</v>
      </c>
      <c r="P967" s="99">
        <f>(C967+(E967*F967*H967))-N967</f>
        <v>60</v>
      </c>
      <c r="Q967" s="103" t="s">
        <v>278</v>
      </c>
      <c r="R967" s="104">
        <f>P967*(J967-(J967*L967)-((J967-(J967*L967))*M967))</f>
        <v>473100</v>
      </c>
      <c r="S967" s="104">
        <f t="shared" si="243"/>
        <v>426216.21621621615</v>
      </c>
    </row>
    <row r="969" spans="1:19">
      <c r="A969" s="15" t="s">
        <v>788</v>
      </c>
      <c r="S969" s="8">
        <f t="shared" ref="S969:S970" si="254">R969/1.11</f>
        <v>0</v>
      </c>
    </row>
    <row r="970" spans="1:19" s="89" customFormat="1">
      <c r="A970" s="79" t="s">
        <v>789</v>
      </c>
      <c r="B970" s="89" t="s">
        <v>18</v>
      </c>
      <c r="C970" s="87"/>
      <c r="D970" s="90" t="s">
        <v>278</v>
      </c>
      <c r="E970" s="91"/>
      <c r="F970" s="92">
        <v>1</v>
      </c>
      <c r="G970" s="93" t="s">
        <v>20</v>
      </c>
      <c r="H970" s="92">
        <v>120</v>
      </c>
      <c r="I970" s="93" t="s">
        <v>278</v>
      </c>
      <c r="J970" s="94">
        <v>5500</v>
      </c>
      <c r="K970" s="90" t="s">
        <v>278</v>
      </c>
      <c r="L970" s="95">
        <v>0.125</v>
      </c>
      <c r="M970" s="95">
        <v>0.05</v>
      </c>
      <c r="N970" s="92"/>
      <c r="O970" s="93" t="s">
        <v>278</v>
      </c>
      <c r="P970" s="87">
        <f t="shared" ref="P970" si="255">(C970+(E970*F970*H970))-N970</f>
        <v>0</v>
      </c>
      <c r="Q970" s="93" t="s">
        <v>278</v>
      </c>
      <c r="R970" s="94">
        <f t="shared" ref="R970" si="256">P970*(J970-(J970*L970)-((J970-(J970*L970))*M970))</f>
        <v>0</v>
      </c>
      <c r="S970" s="94">
        <f t="shared" si="254"/>
        <v>0</v>
      </c>
    </row>
    <row r="971" spans="1:19">
      <c r="A971" s="48"/>
    </row>
    <row r="972" spans="1:19">
      <c r="A972" s="15" t="s">
        <v>627</v>
      </c>
    </row>
    <row r="973" spans="1:19" s="19" customFormat="1">
      <c r="A973" s="18" t="s">
        <v>706</v>
      </c>
      <c r="B973" s="19" t="s">
        <v>25</v>
      </c>
      <c r="C973" s="20">
        <v>144</v>
      </c>
      <c r="D973" s="21" t="s">
        <v>278</v>
      </c>
      <c r="E973" s="26"/>
      <c r="F973" s="22">
        <v>1</v>
      </c>
      <c r="G973" s="23" t="s">
        <v>20</v>
      </c>
      <c r="H973" s="22">
        <v>72</v>
      </c>
      <c r="I973" s="23" t="s">
        <v>278</v>
      </c>
      <c r="J973" s="24">
        <f>900000/72</f>
        <v>12500</v>
      </c>
      <c r="K973" s="21" t="s">
        <v>278</v>
      </c>
      <c r="L973" s="25"/>
      <c r="M973" s="25">
        <v>0.17</v>
      </c>
      <c r="N973" s="22"/>
      <c r="O973" s="23" t="s">
        <v>278</v>
      </c>
      <c r="P973" s="20">
        <f>(C973+(E973*F973*H973))-N973</f>
        <v>144</v>
      </c>
      <c r="Q973" s="23" t="s">
        <v>278</v>
      </c>
      <c r="R973" s="24">
        <f>P973*(J973-(J973*L973)-((J973-(J973*L973))*M973))</f>
        <v>1494000</v>
      </c>
      <c r="S973" s="24">
        <f t="shared" si="243"/>
        <v>1345945.9459459458</v>
      </c>
    </row>
    <row r="974" spans="1:19" s="80" customFormat="1">
      <c r="A974" s="165" t="s">
        <v>628</v>
      </c>
      <c r="B974" s="80" t="s">
        <v>25</v>
      </c>
      <c r="C974" s="81"/>
      <c r="D974" s="82" t="s">
        <v>278</v>
      </c>
      <c r="E974" s="83">
        <v>6</v>
      </c>
      <c r="F974" s="84">
        <v>1</v>
      </c>
      <c r="G974" s="85" t="s">
        <v>20</v>
      </c>
      <c r="H974" s="84">
        <v>72</v>
      </c>
      <c r="I974" s="85" t="s">
        <v>278</v>
      </c>
      <c r="J974" s="94">
        <v>10000</v>
      </c>
      <c r="K974" s="82" t="s">
        <v>278</v>
      </c>
      <c r="L974" s="86">
        <v>0.05</v>
      </c>
      <c r="M974" s="86">
        <v>0.17</v>
      </c>
      <c r="N974" s="84"/>
      <c r="O974" s="85" t="s">
        <v>278</v>
      </c>
      <c r="P974" s="81">
        <f>(C974+(E974*F974*H974))-N974</f>
        <v>432</v>
      </c>
      <c r="Q974" s="85" t="s">
        <v>278</v>
      </c>
      <c r="R974" s="16">
        <f>P974*(J974-(J974*L974)-((J974-(J974*L974))*M974))</f>
        <v>3406320</v>
      </c>
      <c r="S974" s="16">
        <f t="shared" ref="S974" si="257">R974/1.11</f>
        <v>3068756.7567567565</v>
      </c>
    </row>
    <row r="975" spans="1:19" s="80" customFormat="1">
      <c r="A975" s="79" t="s">
        <v>628</v>
      </c>
      <c r="B975" s="80" t="s">
        <v>25</v>
      </c>
      <c r="C975" s="81"/>
      <c r="D975" s="82" t="s">
        <v>278</v>
      </c>
      <c r="E975" s="83"/>
      <c r="F975" s="84">
        <v>1</v>
      </c>
      <c r="G975" s="85" t="s">
        <v>20</v>
      </c>
      <c r="H975" s="84">
        <v>72</v>
      </c>
      <c r="I975" s="85" t="s">
        <v>278</v>
      </c>
      <c r="J975" s="94">
        <f>900000/72</f>
        <v>12500</v>
      </c>
      <c r="K975" s="82" t="s">
        <v>278</v>
      </c>
      <c r="L975" s="86"/>
      <c r="M975" s="86">
        <v>0.17</v>
      </c>
      <c r="N975" s="84"/>
      <c r="O975" s="85" t="s">
        <v>278</v>
      </c>
      <c r="P975" s="81">
        <f>(C975+(E975*F975*H975))-N975</f>
        <v>0</v>
      </c>
      <c r="Q975" s="85" t="s">
        <v>278</v>
      </c>
      <c r="R975" s="16">
        <f>P975*(J975-(J975*L975)-((J975-(J975*L975))*M975))</f>
        <v>0</v>
      </c>
      <c r="S975" s="16">
        <f t="shared" si="243"/>
        <v>0</v>
      </c>
    </row>
    <row r="976" spans="1:19">
      <c r="A976" s="17" t="s">
        <v>808</v>
      </c>
      <c r="B976" s="2" t="s">
        <v>25</v>
      </c>
      <c r="C976" s="3">
        <v>210</v>
      </c>
      <c r="D976" s="4" t="s">
        <v>278</v>
      </c>
      <c r="F976" s="6">
        <v>1</v>
      </c>
      <c r="G976" s="7" t="s">
        <v>20</v>
      </c>
      <c r="H976" s="6">
        <v>72</v>
      </c>
      <c r="I976" s="7" t="s">
        <v>278</v>
      </c>
      <c r="J976" s="8">
        <f>705600/72</f>
        <v>9800</v>
      </c>
      <c r="K976" s="4" t="s">
        <v>278</v>
      </c>
      <c r="M976" s="9">
        <v>0.17</v>
      </c>
      <c r="O976" s="7" t="s">
        <v>278</v>
      </c>
      <c r="P976" s="3">
        <f>(C976+(E976*F976*H976))-N976</f>
        <v>210</v>
      </c>
      <c r="Q976" s="7" t="s">
        <v>278</v>
      </c>
      <c r="R976" s="8">
        <f>P976*(J976-(J976*L976)-((J976-(J976*L976))*M976))</f>
        <v>1708140</v>
      </c>
      <c r="S976" s="8">
        <f t="shared" si="243"/>
        <v>1538864.8648648646</v>
      </c>
    </row>
    <row r="977" spans="1:19">
      <c r="A977" s="17" t="s">
        <v>809</v>
      </c>
      <c r="B977" s="2" t="s">
        <v>25</v>
      </c>
      <c r="C977" s="3">
        <v>36</v>
      </c>
      <c r="D977" s="4" t="s">
        <v>278</v>
      </c>
      <c r="F977" s="6">
        <v>1</v>
      </c>
      <c r="G977" s="7" t="s">
        <v>20</v>
      </c>
      <c r="H977" s="6">
        <v>72</v>
      </c>
      <c r="I977" s="7" t="s">
        <v>278</v>
      </c>
      <c r="J977" s="8">
        <f>705600/72</f>
        <v>9800</v>
      </c>
      <c r="K977" s="4" t="s">
        <v>278</v>
      </c>
      <c r="M977" s="9">
        <v>0.17</v>
      </c>
      <c r="O977" s="7" t="s">
        <v>278</v>
      </c>
      <c r="P977" s="3">
        <f>(C977+(E977*F977*H977))-N977</f>
        <v>36</v>
      </c>
      <c r="Q977" s="7" t="s">
        <v>278</v>
      </c>
      <c r="R977" s="8">
        <f>P977*(J977-(J977*L977)-((J977-(J977*L977))*M977))</f>
        <v>292824</v>
      </c>
      <c r="S977" s="8">
        <f t="shared" si="243"/>
        <v>263805.40540540538</v>
      </c>
    </row>
    <row r="979" spans="1:19">
      <c r="A979" s="15" t="s">
        <v>629</v>
      </c>
      <c r="S979" s="8">
        <f t="shared" si="243"/>
        <v>0</v>
      </c>
    </row>
    <row r="980" spans="1:19" s="19" customFormat="1">
      <c r="A980" s="17" t="s">
        <v>786</v>
      </c>
      <c r="B980" s="19" t="s">
        <v>18</v>
      </c>
      <c r="C980" s="20">
        <v>120</v>
      </c>
      <c r="D980" s="21" t="s">
        <v>278</v>
      </c>
      <c r="E980" s="26"/>
      <c r="F980" s="22">
        <v>1</v>
      </c>
      <c r="G980" s="23" t="s">
        <v>20</v>
      </c>
      <c r="H980" s="22">
        <v>120</v>
      </c>
      <c r="I980" s="23" t="s">
        <v>278</v>
      </c>
      <c r="J980" s="24">
        <v>13800</v>
      </c>
      <c r="K980" s="21" t="s">
        <v>278</v>
      </c>
      <c r="L980" s="25">
        <v>0.125</v>
      </c>
      <c r="M980" s="25">
        <v>0.05</v>
      </c>
      <c r="N980" s="22"/>
      <c r="O980" s="23" t="s">
        <v>278</v>
      </c>
      <c r="P980" s="20">
        <f t="shared" ref="P980" si="258">(C980+(E980*F980*H980))-N980</f>
        <v>120</v>
      </c>
      <c r="Q980" s="23" t="s">
        <v>278</v>
      </c>
      <c r="R980" s="24">
        <f t="shared" ref="R980" si="259">P980*(J980-(J980*L980)-((J980-(J980*L980))*M980))</f>
        <v>1376550</v>
      </c>
      <c r="S980" s="24">
        <f t="shared" si="243"/>
        <v>1240135.1351351349</v>
      </c>
    </row>
    <row r="981" spans="1:19" s="19" customFormat="1">
      <c r="A981" s="18"/>
      <c r="C981" s="20"/>
      <c r="D981" s="21"/>
      <c r="E981" s="26"/>
      <c r="F981" s="22"/>
      <c r="G981" s="23"/>
      <c r="H981" s="22"/>
      <c r="I981" s="23"/>
      <c r="J981" s="24"/>
      <c r="K981" s="21"/>
      <c r="L981" s="25"/>
      <c r="M981" s="25"/>
      <c r="N981" s="22"/>
      <c r="O981" s="23"/>
      <c r="P981" s="20"/>
      <c r="Q981" s="23"/>
      <c r="R981" s="24"/>
      <c r="S981" s="24"/>
    </row>
    <row r="982" spans="1:19">
      <c r="A982" s="17" t="s">
        <v>810</v>
      </c>
      <c r="B982" s="2" t="s">
        <v>25</v>
      </c>
      <c r="D982" s="4" t="s">
        <v>278</v>
      </c>
      <c r="E982" s="5">
        <v>1</v>
      </c>
      <c r="F982" s="6">
        <v>1</v>
      </c>
      <c r="G982" s="7" t="s">
        <v>20</v>
      </c>
      <c r="H982" s="6">
        <v>120</v>
      </c>
      <c r="I982" s="7" t="s">
        <v>278</v>
      </c>
      <c r="J982" s="8">
        <f>762000/120</f>
        <v>6350</v>
      </c>
      <c r="K982" s="4" t="s">
        <v>278</v>
      </c>
      <c r="M982" s="9">
        <v>0.17</v>
      </c>
      <c r="O982" s="7" t="s">
        <v>278</v>
      </c>
      <c r="P982" s="3">
        <f>(C982+(E982*F982*H982))-N982</f>
        <v>120</v>
      </c>
      <c r="Q982" s="7" t="s">
        <v>278</v>
      </c>
      <c r="R982" s="8">
        <f>P982*(J982-(J982*L982)-((J982-(J982*L982))*M982))</f>
        <v>632460</v>
      </c>
      <c r="S982" s="8">
        <f t="shared" si="243"/>
        <v>569783.78378378379</v>
      </c>
    </row>
    <row r="983" spans="1:19">
      <c r="A983" s="17" t="s">
        <v>630</v>
      </c>
      <c r="B983" s="2" t="s">
        <v>25</v>
      </c>
      <c r="D983" s="4" t="s">
        <v>278</v>
      </c>
      <c r="E983" s="5">
        <v>2</v>
      </c>
      <c r="F983" s="6">
        <v>1</v>
      </c>
      <c r="G983" s="7" t="s">
        <v>20</v>
      </c>
      <c r="H983" s="6">
        <v>80</v>
      </c>
      <c r="I983" s="7" t="s">
        <v>278</v>
      </c>
      <c r="J983" s="8">
        <f>732000/80</f>
        <v>9150</v>
      </c>
      <c r="K983" s="4" t="s">
        <v>278</v>
      </c>
      <c r="M983" s="9">
        <v>0.17</v>
      </c>
      <c r="O983" s="7" t="s">
        <v>278</v>
      </c>
      <c r="P983" s="3">
        <f>(C983+(E983*F983*H983))-N983</f>
        <v>160</v>
      </c>
      <c r="Q983" s="7" t="s">
        <v>278</v>
      </c>
      <c r="R983" s="8">
        <f>P983*(J983-(J983*L983)-((J983-(J983*L983))*M983))</f>
        <v>1215120</v>
      </c>
      <c r="S983" s="8">
        <f t="shared" si="243"/>
        <v>1094702.7027027027</v>
      </c>
    </row>
    <row r="984" spans="1:19">
      <c r="A984" s="17" t="s">
        <v>811</v>
      </c>
      <c r="B984" s="2" t="s">
        <v>25</v>
      </c>
      <c r="D984" s="4" t="s">
        <v>278</v>
      </c>
      <c r="E984" s="5">
        <v>4</v>
      </c>
      <c r="F984" s="6">
        <v>1</v>
      </c>
      <c r="G984" s="7" t="s">
        <v>20</v>
      </c>
      <c r="H984" s="6">
        <v>60</v>
      </c>
      <c r="I984" s="7" t="s">
        <v>278</v>
      </c>
      <c r="J984" s="8">
        <f>732000/60</f>
        <v>12200</v>
      </c>
      <c r="K984" s="4" t="s">
        <v>278</v>
      </c>
      <c r="M984" s="9">
        <v>0.17</v>
      </c>
      <c r="O984" s="7" t="s">
        <v>278</v>
      </c>
      <c r="P984" s="3">
        <f>(C984+(E984*F984*H984))-N984</f>
        <v>240</v>
      </c>
      <c r="Q984" s="7" t="s">
        <v>278</v>
      </c>
      <c r="R984" s="8">
        <f>P984*(J984-(J984*L984)-((J984-(J984*L984))*M984))</f>
        <v>2430240</v>
      </c>
      <c r="S984" s="8">
        <f t="shared" si="243"/>
        <v>2189405.4054054054</v>
      </c>
    </row>
    <row r="985" spans="1:19" s="80" customFormat="1">
      <c r="A985" s="79" t="s">
        <v>654</v>
      </c>
      <c r="B985" s="80" t="s">
        <v>25</v>
      </c>
      <c r="C985" s="81"/>
      <c r="D985" s="82" t="s">
        <v>278</v>
      </c>
      <c r="E985" s="83"/>
      <c r="F985" s="84">
        <v>1</v>
      </c>
      <c r="G985" s="85" t="s">
        <v>20</v>
      </c>
      <c r="H985" s="84">
        <v>80</v>
      </c>
      <c r="I985" s="85" t="s">
        <v>278</v>
      </c>
      <c r="J985" s="16">
        <f>848000/80</f>
        <v>10600</v>
      </c>
      <c r="K985" s="82" t="s">
        <v>278</v>
      </c>
      <c r="L985" s="86"/>
      <c r="M985" s="86">
        <v>0.17</v>
      </c>
      <c r="N985" s="84"/>
      <c r="O985" s="85" t="s">
        <v>278</v>
      </c>
      <c r="P985" s="81">
        <f>(C985+(E985*F985*H985))-N985</f>
        <v>0</v>
      </c>
      <c r="Q985" s="85" t="s">
        <v>278</v>
      </c>
      <c r="R985" s="16">
        <f>P985*(J985-(J985*L985)-((J985-(J985*L985))*M985))</f>
        <v>0</v>
      </c>
      <c r="S985" s="16">
        <f t="shared" si="243"/>
        <v>0</v>
      </c>
    </row>
    <row r="986" spans="1:19" s="80" customFormat="1">
      <c r="A986" s="79" t="s">
        <v>631</v>
      </c>
      <c r="B986" s="80" t="s">
        <v>25</v>
      </c>
      <c r="C986" s="81"/>
      <c r="D986" s="82" t="s">
        <v>278</v>
      </c>
      <c r="E986" s="83"/>
      <c r="F986" s="84">
        <v>1</v>
      </c>
      <c r="G986" s="85" t="s">
        <v>20</v>
      </c>
      <c r="H986" s="84">
        <v>60</v>
      </c>
      <c r="I986" s="85" t="s">
        <v>278</v>
      </c>
      <c r="J986" s="16">
        <f>852000/60</f>
        <v>14200</v>
      </c>
      <c r="K986" s="82" t="s">
        <v>278</v>
      </c>
      <c r="L986" s="86"/>
      <c r="M986" s="86">
        <v>0.17</v>
      </c>
      <c r="N986" s="84"/>
      <c r="O986" s="85" t="s">
        <v>278</v>
      </c>
      <c r="P986" s="81">
        <f>(C986+(E986*F986*H986))-N986</f>
        <v>0</v>
      </c>
      <c r="Q986" s="85" t="s">
        <v>278</v>
      </c>
      <c r="R986" s="16">
        <f>P986*(J986-(J986*L986)-((J986-(J986*L986))*M986))</f>
        <v>0</v>
      </c>
      <c r="S986" s="16">
        <f t="shared" si="243"/>
        <v>0</v>
      </c>
    </row>
    <row r="988" spans="1:19" ht="15.75">
      <c r="A988" s="14" t="s">
        <v>632</v>
      </c>
    </row>
    <row r="989" spans="1:19" s="80" customFormat="1">
      <c r="A989" s="79" t="s">
        <v>634</v>
      </c>
      <c r="B989" s="80" t="s">
        <v>18</v>
      </c>
      <c r="C989" s="81"/>
      <c r="D989" s="82" t="s">
        <v>19</v>
      </c>
      <c r="E989" s="83"/>
      <c r="F989" s="84">
        <v>1</v>
      </c>
      <c r="G989" s="85" t="s">
        <v>20</v>
      </c>
      <c r="H989" s="84">
        <v>24</v>
      </c>
      <c r="I989" s="85" t="s">
        <v>19</v>
      </c>
      <c r="J989" s="16">
        <v>21500</v>
      </c>
      <c r="K989" s="82" t="s">
        <v>19</v>
      </c>
      <c r="L989" s="86">
        <v>0.125</v>
      </c>
      <c r="M989" s="86">
        <v>0.05</v>
      </c>
      <c r="N989" s="84"/>
      <c r="O989" s="85" t="s">
        <v>19</v>
      </c>
      <c r="P989" s="81">
        <f t="shared" ref="P989:P1000" si="260">(C989+(E989*F989*H989))-N989</f>
        <v>0</v>
      </c>
      <c r="Q989" s="85" t="s">
        <v>19</v>
      </c>
      <c r="R989" s="16">
        <f t="shared" ref="R989:R1000" si="261">P989*(J989-(J989*L989)-((J989-(J989*L989))*M989))</f>
        <v>0</v>
      </c>
      <c r="S989" s="16">
        <f t="shared" si="243"/>
        <v>0</v>
      </c>
    </row>
    <row r="990" spans="1:19" s="19" customFormat="1">
      <c r="A990" s="18" t="s">
        <v>635</v>
      </c>
      <c r="B990" s="19" t="s">
        <v>18</v>
      </c>
      <c r="C990" s="20"/>
      <c r="D990" s="21" t="s">
        <v>19</v>
      </c>
      <c r="E990" s="26">
        <v>1</v>
      </c>
      <c r="F990" s="22">
        <v>1</v>
      </c>
      <c r="G990" s="23" t="s">
        <v>20</v>
      </c>
      <c r="H990" s="22">
        <v>24</v>
      </c>
      <c r="I990" s="23" t="s">
        <v>19</v>
      </c>
      <c r="J990" s="24">
        <v>24300</v>
      </c>
      <c r="K990" s="21" t="s">
        <v>19</v>
      </c>
      <c r="L990" s="25">
        <v>0.125</v>
      </c>
      <c r="M990" s="25">
        <v>0.05</v>
      </c>
      <c r="N990" s="22"/>
      <c r="O990" s="23" t="s">
        <v>19</v>
      </c>
      <c r="P990" s="20">
        <f t="shared" ref="P990:P991" si="262">(C990+(E990*F990*H990))-N990</f>
        <v>24</v>
      </c>
      <c r="Q990" s="23" t="s">
        <v>19</v>
      </c>
      <c r="R990" s="24">
        <f t="shared" ref="R990:R991" si="263">P990*(J990-(J990*L990)-((J990-(J990*L990))*M990))</f>
        <v>484785</v>
      </c>
      <c r="S990" s="24">
        <f t="shared" ref="S990:S991" si="264">R990/1.11</f>
        <v>436743.2432432432</v>
      </c>
    </row>
    <row r="991" spans="1:19" s="19" customFormat="1">
      <c r="A991" s="18" t="s">
        <v>636</v>
      </c>
      <c r="B991" s="19" t="s">
        <v>18</v>
      </c>
      <c r="C991" s="20"/>
      <c r="D991" s="21" t="s">
        <v>19</v>
      </c>
      <c r="E991" s="26">
        <v>6</v>
      </c>
      <c r="F991" s="22">
        <v>1</v>
      </c>
      <c r="G991" s="23" t="s">
        <v>20</v>
      </c>
      <c r="H991" s="22">
        <v>24</v>
      </c>
      <c r="I991" s="23" t="s">
        <v>19</v>
      </c>
      <c r="J991" s="24">
        <v>11100</v>
      </c>
      <c r="K991" s="21" t="s">
        <v>19</v>
      </c>
      <c r="L991" s="25">
        <v>0.125</v>
      </c>
      <c r="M991" s="25">
        <v>0.05</v>
      </c>
      <c r="N991" s="22"/>
      <c r="O991" s="23" t="s">
        <v>19</v>
      </c>
      <c r="P991" s="20">
        <f t="shared" si="262"/>
        <v>144</v>
      </c>
      <c r="Q991" s="23" t="s">
        <v>19</v>
      </c>
      <c r="R991" s="24">
        <f t="shared" si="263"/>
        <v>1328670</v>
      </c>
      <c r="S991" s="24">
        <f t="shared" si="264"/>
        <v>1197000</v>
      </c>
    </row>
    <row r="992" spans="1:19" s="19" customFormat="1">
      <c r="A992" s="18" t="s">
        <v>637</v>
      </c>
      <c r="B992" s="19" t="s">
        <v>18</v>
      </c>
      <c r="C992" s="20"/>
      <c r="D992" s="21" t="s">
        <v>19</v>
      </c>
      <c r="E992" s="26">
        <v>8</v>
      </c>
      <c r="F992" s="22">
        <v>1</v>
      </c>
      <c r="G992" s="23" t="s">
        <v>20</v>
      </c>
      <c r="H992" s="22">
        <v>24</v>
      </c>
      <c r="I992" s="23" t="s">
        <v>19</v>
      </c>
      <c r="J992" s="24">
        <v>19000</v>
      </c>
      <c r="K992" s="21" t="s">
        <v>19</v>
      </c>
      <c r="L992" s="25">
        <v>0.125</v>
      </c>
      <c r="M992" s="25">
        <v>0.05</v>
      </c>
      <c r="N992" s="22"/>
      <c r="O992" s="23" t="s">
        <v>19</v>
      </c>
      <c r="P992" s="20">
        <f t="shared" si="260"/>
        <v>192</v>
      </c>
      <c r="Q992" s="23" t="s">
        <v>19</v>
      </c>
      <c r="R992" s="24">
        <f t="shared" si="261"/>
        <v>3032400</v>
      </c>
      <c r="S992" s="24">
        <f t="shared" si="243"/>
        <v>2731891.8918918916</v>
      </c>
    </row>
    <row r="993" spans="1:19" s="19" customFormat="1">
      <c r="A993" s="18" t="s">
        <v>729</v>
      </c>
      <c r="B993" s="19" t="s">
        <v>18</v>
      </c>
      <c r="C993" s="20"/>
      <c r="D993" s="21" t="s">
        <v>19</v>
      </c>
      <c r="E993" s="26">
        <v>1</v>
      </c>
      <c r="F993" s="22">
        <v>1</v>
      </c>
      <c r="G993" s="23" t="s">
        <v>20</v>
      </c>
      <c r="H993" s="22">
        <v>12</v>
      </c>
      <c r="I993" s="23" t="s">
        <v>19</v>
      </c>
      <c r="J993" s="24">
        <v>31000</v>
      </c>
      <c r="K993" s="21" t="s">
        <v>19</v>
      </c>
      <c r="L993" s="25">
        <v>0.125</v>
      </c>
      <c r="M993" s="25">
        <v>0.05</v>
      </c>
      <c r="N993" s="22"/>
      <c r="O993" s="23" t="s">
        <v>19</v>
      </c>
      <c r="P993" s="20">
        <f t="shared" si="260"/>
        <v>12</v>
      </c>
      <c r="Q993" s="23" t="s">
        <v>19</v>
      </c>
      <c r="R993" s="24">
        <f t="shared" si="261"/>
        <v>309225</v>
      </c>
      <c r="S993" s="24">
        <f t="shared" si="243"/>
        <v>278581.08108108107</v>
      </c>
    </row>
    <row r="994" spans="1:19" s="89" customFormat="1">
      <c r="A994" s="88" t="s">
        <v>728</v>
      </c>
      <c r="B994" s="89" t="s">
        <v>18</v>
      </c>
      <c r="C994" s="87"/>
      <c r="D994" s="90" t="s">
        <v>19</v>
      </c>
      <c r="E994" s="91"/>
      <c r="F994" s="92">
        <v>1</v>
      </c>
      <c r="G994" s="93" t="s">
        <v>20</v>
      </c>
      <c r="H994" s="92">
        <v>24</v>
      </c>
      <c r="I994" s="93" t="s">
        <v>19</v>
      </c>
      <c r="J994" s="94">
        <v>12300</v>
      </c>
      <c r="K994" s="90" t="s">
        <v>19</v>
      </c>
      <c r="L994" s="95">
        <v>0.125</v>
      </c>
      <c r="M994" s="95">
        <v>0.05</v>
      </c>
      <c r="N994" s="92"/>
      <c r="O994" s="93" t="s">
        <v>19</v>
      </c>
      <c r="P994" s="87">
        <f t="shared" si="260"/>
        <v>0</v>
      </c>
      <c r="Q994" s="93" t="s">
        <v>19</v>
      </c>
      <c r="R994" s="94">
        <f t="shared" si="261"/>
        <v>0</v>
      </c>
      <c r="S994" s="16">
        <f t="shared" si="243"/>
        <v>0</v>
      </c>
    </row>
    <row r="995" spans="1:19" s="19" customFormat="1">
      <c r="A995" s="18" t="s">
        <v>830</v>
      </c>
      <c r="B995" s="19" t="s">
        <v>18</v>
      </c>
      <c r="C995" s="20"/>
      <c r="D995" s="21" t="s">
        <v>19</v>
      </c>
      <c r="E995" s="26">
        <v>1</v>
      </c>
      <c r="F995" s="22">
        <v>1</v>
      </c>
      <c r="G995" s="23" t="s">
        <v>20</v>
      </c>
      <c r="H995" s="22">
        <v>24</v>
      </c>
      <c r="I995" s="23" t="s">
        <v>19</v>
      </c>
      <c r="J995" s="24">
        <v>16500</v>
      </c>
      <c r="K995" s="21" t="s">
        <v>19</v>
      </c>
      <c r="L995" s="25">
        <v>0.125</v>
      </c>
      <c r="M995" s="25">
        <v>0.05</v>
      </c>
      <c r="N995" s="22"/>
      <c r="O995" s="23" t="s">
        <v>19</v>
      </c>
      <c r="P995" s="20">
        <f t="shared" si="260"/>
        <v>24</v>
      </c>
      <c r="Q995" s="23" t="s">
        <v>19</v>
      </c>
      <c r="R995" s="24">
        <f t="shared" si="261"/>
        <v>329175</v>
      </c>
      <c r="S995" s="8">
        <f t="shared" si="243"/>
        <v>296554.05405405402</v>
      </c>
    </row>
    <row r="996" spans="1:19" s="80" customFormat="1">
      <c r="A996" s="79" t="s">
        <v>633</v>
      </c>
      <c r="B996" s="80" t="s">
        <v>18</v>
      </c>
      <c r="C996" s="81"/>
      <c r="D996" s="82" t="s">
        <v>19</v>
      </c>
      <c r="E996" s="83"/>
      <c r="F996" s="84">
        <v>1</v>
      </c>
      <c r="G996" s="85" t="s">
        <v>20</v>
      </c>
      <c r="H996" s="84">
        <v>24</v>
      </c>
      <c r="I996" s="85" t="s">
        <v>19</v>
      </c>
      <c r="J996" s="16">
        <v>17200</v>
      </c>
      <c r="K996" s="82" t="s">
        <v>19</v>
      </c>
      <c r="L996" s="86">
        <v>0.125</v>
      </c>
      <c r="M996" s="86">
        <v>0.05</v>
      </c>
      <c r="N996" s="84"/>
      <c r="O996" s="85" t="s">
        <v>19</v>
      </c>
      <c r="P996" s="81">
        <f t="shared" si="260"/>
        <v>0</v>
      </c>
      <c r="Q996" s="85" t="s">
        <v>19</v>
      </c>
      <c r="R996" s="16">
        <f t="shared" si="261"/>
        <v>0</v>
      </c>
      <c r="S996" s="16">
        <f>R996/1.11</f>
        <v>0</v>
      </c>
    </row>
    <row r="997" spans="1:19" s="89" customFormat="1">
      <c r="A997" s="88" t="s">
        <v>648</v>
      </c>
      <c r="B997" s="89" t="s">
        <v>18</v>
      </c>
      <c r="C997" s="87"/>
      <c r="D997" s="90" t="s">
        <v>19</v>
      </c>
      <c r="E997" s="91"/>
      <c r="F997" s="92">
        <v>12</v>
      </c>
      <c r="G997" s="93" t="s">
        <v>33</v>
      </c>
      <c r="H997" s="92">
        <v>20</v>
      </c>
      <c r="I997" s="93" t="s">
        <v>19</v>
      </c>
      <c r="J997" s="94">
        <v>5150</v>
      </c>
      <c r="K997" s="90" t="s">
        <v>19</v>
      </c>
      <c r="L997" s="95">
        <v>0.125</v>
      </c>
      <c r="M997" s="95">
        <v>0.05</v>
      </c>
      <c r="N997" s="92"/>
      <c r="O997" s="93" t="s">
        <v>19</v>
      </c>
      <c r="P997" s="87">
        <f t="shared" si="260"/>
        <v>0</v>
      </c>
      <c r="Q997" s="93" t="s">
        <v>19</v>
      </c>
      <c r="R997" s="94">
        <f t="shared" si="261"/>
        <v>0</v>
      </c>
      <c r="S997" s="94">
        <f t="shared" ref="S997" si="265">R997/1.11</f>
        <v>0</v>
      </c>
    </row>
    <row r="998" spans="1:19" s="19" customFormat="1">
      <c r="A998" s="18" t="s">
        <v>638</v>
      </c>
      <c r="B998" s="19" t="s">
        <v>18</v>
      </c>
      <c r="C998" s="20">
        <v>73</v>
      </c>
      <c r="D998" s="21" t="s">
        <v>19</v>
      </c>
      <c r="E998" s="26"/>
      <c r="F998" s="22">
        <v>1</v>
      </c>
      <c r="G998" s="23" t="s">
        <v>20</v>
      </c>
      <c r="H998" s="22">
        <v>96</v>
      </c>
      <c r="I998" s="23" t="s">
        <v>19</v>
      </c>
      <c r="J998" s="24">
        <v>14200</v>
      </c>
      <c r="K998" s="21" t="s">
        <v>19</v>
      </c>
      <c r="L998" s="25">
        <v>0.125</v>
      </c>
      <c r="M998" s="25">
        <v>0.05</v>
      </c>
      <c r="N998" s="22"/>
      <c r="O998" s="23" t="s">
        <v>19</v>
      </c>
      <c r="P998" s="20">
        <f t="shared" si="260"/>
        <v>73</v>
      </c>
      <c r="Q998" s="23" t="s">
        <v>19</v>
      </c>
      <c r="R998" s="24">
        <f t="shared" si="261"/>
        <v>861673.75</v>
      </c>
      <c r="S998" s="24">
        <f t="shared" si="243"/>
        <v>776282.65765765763</v>
      </c>
    </row>
    <row r="999" spans="1:19" s="80" customFormat="1">
      <c r="A999" s="79" t="s">
        <v>639</v>
      </c>
      <c r="B999" s="80" t="s">
        <v>18</v>
      </c>
      <c r="C999" s="81"/>
      <c r="D999" s="82" t="s">
        <v>19</v>
      </c>
      <c r="E999" s="83"/>
      <c r="F999" s="84">
        <v>1</v>
      </c>
      <c r="G999" s="85" t="s">
        <v>20</v>
      </c>
      <c r="H999" s="84">
        <v>24</v>
      </c>
      <c r="I999" s="85" t="s">
        <v>19</v>
      </c>
      <c r="J999" s="16">
        <v>41000</v>
      </c>
      <c r="K999" s="82" t="s">
        <v>19</v>
      </c>
      <c r="L999" s="86">
        <v>0.125</v>
      </c>
      <c r="M999" s="86">
        <v>0.05</v>
      </c>
      <c r="N999" s="84"/>
      <c r="O999" s="85" t="s">
        <v>19</v>
      </c>
      <c r="P999" s="81">
        <f t="shared" si="260"/>
        <v>0</v>
      </c>
      <c r="Q999" s="85" t="s">
        <v>19</v>
      </c>
      <c r="R999" s="16">
        <f t="shared" si="261"/>
        <v>0</v>
      </c>
      <c r="S999" s="16">
        <f t="shared" si="243"/>
        <v>0</v>
      </c>
    </row>
    <row r="1000" spans="1:19">
      <c r="A1000" s="17" t="s">
        <v>640</v>
      </c>
      <c r="B1000" s="2" t="s">
        <v>18</v>
      </c>
      <c r="C1000" s="3">
        <v>146</v>
      </c>
      <c r="D1000" s="4" t="s">
        <v>19</v>
      </c>
      <c r="F1000" s="6">
        <v>1</v>
      </c>
      <c r="G1000" s="7" t="s">
        <v>20</v>
      </c>
      <c r="H1000" s="6">
        <v>100</v>
      </c>
      <c r="I1000" s="7" t="s">
        <v>19</v>
      </c>
      <c r="J1000" s="8">
        <v>15500</v>
      </c>
      <c r="K1000" s="4" t="s">
        <v>19</v>
      </c>
      <c r="L1000" s="9">
        <v>0.125</v>
      </c>
      <c r="M1000" s="9">
        <v>0.05</v>
      </c>
      <c r="O1000" s="7" t="s">
        <v>19</v>
      </c>
      <c r="P1000" s="3">
        <f t="shared" si="260"/>
        <v>146</v>
      </c>
      <c r="Q1000" s="7" t="s">
        <v>19</v>
      </c>
      <c r="R1000" s="8">
        <f t="shared" si="261"/>
        <v>1881118.75</v>
      </c>
      <c r="S1000" s="8">
        <f t="shared" si="243"/>
        <v>1694701.5765765763</v>
      </c>
    </row>
    <row r="1002" spans="1:19" s="89" customFormat="1">
      <c r="A1002" s="148" t="s">
        <v>677</v>
      </c>
      <c r="B1002" s="89" t="s">
        <v>25</v>
      </c>
      <c r="C1002" s="87"/>
      <c r="D1002" s="90" t="s">
        <v>19</v>
      </c>
      <c r="E1002" s="91"/>
      <c r="F1002" s="92">
        <v>1</v>
      </c>
      <c r="G1002" s="93" t="s">
        <v>20</v>
      </c>
      <c r="H1002" s="92">
        <v>24</v>
      </c>
      <c r="I1002" s="93" t="s">
        <v>19</v>
      </c>
      <c r="J1002" s="94">
        <f>372000/24</f>
        <v>15500</v>
      </c>
      <c r="K1002" s="90" t="s">
        <v>19</v>
      </c>
      <c r="L1002" s="95"/>
      <c r="M1002" s="95">
        <v>0.17</v>
      </c>
      <c r="N1002" s="92"/>
      <c r="O1002" s="93" t="s">
        <v>19</v>
      </c>
      <c r="P1002" s="87">
        <f t="shared" ref="P1002:P1010" si="266">(C1002+(E1002*F1002*H1002))-N1002</f>
        <v>0</v>
      </c>
      <c r="Q1002" s="93" t="s">
        <v>19</v>
      </c>
      <c r="R1002" s="94">
        <f t="shared" ref="R1002:R1010" si="267">P1002*(J1002-(J1002*L1002)-((J1002-(J1002*L1002))*M1002))</f>
        <v>0</v>
      </c>
      <c r="S1002" s="94">
        <f t="shared" si="243"/>
        <v>0</v>
      </c>
    </row>
    <row r="1003" spans="1:19" s="80" customFormat="1">
      <c r="A1003" s="148" t="s">
        <v>641</v>
      </c>
      <c r="B1003" s="80" t="s">
        <v>25</v>
      </c>
      <c r="C1003" s="81"/>
      <c r="D1003" s="82" t="s">
        <v>19</v>
      </c>
      <c r="E1003" s="83"/>
      <c r="F1003" s="84">
        <v>1</v>
      </c>
      <c r="G1003" s="85" t="s">
        <v>20</v>
      </c>
      <c r="H1003" s="84">
        <v>24</v>
      </c>
      <c r="I1003" s="85" t="s">
        <v>19</v>
      </c>
      <c r="J1003" s="16">
        <f>444000/24</f>
        <v>18500</v>
      </c>
      <c r="K1003" s="82" t="s">
        <v>19</v>
      </c>
      <c r="L1003" s="86"/>
      <c r="M1003" s="86">
        <v>0.17</v>
      </c>
      <c r="N1003" s="84"/>
      <c r="O1003" s="85" t="s">
        <v>19</v>
      </c>
      <c r="P1003" s="81">
        <f t="shared" si="266"/>
        <v>0</v>
      </c>
      <c r="Q1003" s="85" t="s">
        <v>19</v>
      </c>
      <c r="R1003" s="16">
        <f t="shared" si="267"/>
        <v>0</v>
      </c>
      <c r="S1003" s="16">
        <f t="shared" si="243"/>
        <v>0</v>
      </c>
    </row>
    <row r="1004" spans="1:19" s="19" customFormat="1">
      <c r="A1004" s="55" t="s">
        <v>642</v>
      </c>
      <c r="B1004" s="19" t="s">
        <v>25</v>
      </c>
      <c r="C1004" s="20">
        <v>19</v>
      </c>
      <c r="D1004" s="21" t="s">
        <v>19</v>
      </c>
      <c r="E1004" s="26">
        <v>26</v>
      </c>
      <c r="F1004" s="22">
        <v>1</v>
      </c>
      <c r="G1004" s="23" t="s">
        <v>20</v>
      </c>
      <c r="H1004" s="22">
        <v>24</v>
      </c>
      <c r="I1004" s="23" t="s">
        <v>19</v>
      </c>
      <c r="J1004" s="24">
        <f>462000/24</f>
        <v>19250</v>
      </c>
      <c r="K1004" s="21" t="s">
        <v>19</v>
      </c>
      <c r="L1004" s="25"/>
      <c r="M1004" s="25">
        <v>0.17</v>
      </c>
      <c r="N1004" s="22"/>
      <c r="O1004" s="23" t="s">
        <v>19</v>
      </c>
      <c r="P1004" s="20">
        <f t="shared" si="266"/>
        <v>643</v>
      </c>
      <c r="Q1004" s="23" t="s">
        <v>19</v>
      </c>
      <c r="R1004" s="24">
        <f t="shared" si="267"/>
        <v>10273532.5</v>
      </c>
      <c r="S1004" s="8">
        <f t="shared" si="243"/>
        <v>9255434.6846846845</v>
      </c>
    </row>
    <row r="1005" spans="1:19" s="19" customFormat="1">
      <c r="A1005" s="55" t="s">
        <v>709</v>
      </c>
      <c r="B1005" s="19" t="s">
        <v>25</v>
      </c>
      <c r="C1005" s="20">
        <v>30</v>
      </c>
      <c r="D1005" s="21" t="s">
        <v>19</v>
      </c>
      <c r="E1005" s="26"/>
      <c r="F1005" s="22">
        <v>1</v>
      </c>
      <c r="G1005" s="23" t="s">
        <v>20</v>
      </c>
      <c r="H1005" s="22">
        <v>24</v>
      </c>
      <c r="I1005" s="23" t="s">
        <v>19</v>
      </c>
      <c r="J1005" s="24">
        <f>462000/24</f>
        <v>19250</v>
      </c>
      <c r="K1005" s="21" t="s">
        <v>19</v>
      </c>
      <c r="L1005" s="25"/>
      <c r="M1005" s="25">
        <v>0.17</v>
      </c>
      <c r="N1005" s="22"/>
      <c r="O1005" s="23" t="s">
        <v>19</v>
      </c>
      <c r="P1005" s="20">
        <f t="shared" si="266"/>
        <v>30</v>
      </c>
      <c r="Q1005" s="23" t="s">
        <v>19</v>
      </c>
      <c r="R1005" s="24">
        <f t="shared" si="267"/>
        <v>479325</v>
      </c>
      <c r="S1005" s="8">
        <f t="shared" si="243"/>
        <v>431824.32432432426</v>
      </c>
    </row>
    <row r="1006" spans="1:19" s="80" customFormat="1">
      <c r="A1006" s="148" t="s">
        <v>643</v>
      </c>
      <c r="B1006" s="80" t="s">
        <v>25</v>
      </c>
      <c r="C1006" s="81"/>
      <c r="D1006" s="82" t="s">
        <v>19</v>
      </c>
      <c r="E1006" s="83"/>
      <c r="F1006" s="84">
        <v>1</v>
      </c>
      <c r="G1006" s="85" t="s">
        <v>20</v>
      </c>
      <c r="H1006" s="84">
        <v>24</v>
      </c>
      <c r="I1006" s="85" t="s">
        <v>19</v>
      </c>
      <c r="J1006" s="16">
        <v>17250</v>
      </c>
      <c r="K1006" s="82" t="s">
        <v>19</v>
      </c>
      <c r="L1006" s="86"/>
      <c r="M1006" s="86">
        <v>0.17</v>
      </c>
      <c r="N1006" s="84"/>
      <c r="O1006" s="85" t="s">
        <v>19</v>
      </c>
      <c r="P1006" s="81">
        <f t="shared" si="266"/>
        <v>0</v>
      </c>
      <c r="Q1006" s="85" t="s">
        <v>19</v>
      </c>
      <c r="R1006" s="16">
        <f t="shared" si="267"/>
        <v>0</v>
      </c>
      <c r="S1006" s="16">
        <f t="shared" si="243"/>
        <v>0</v>
      </c>
    </row>
    <row r="1007" spans="1:19" s="80" customFormat="1">
      <c r="A1007" s="148" t="s">
        <v>712</v>
      </c>
      <c r="B1007" s="80" t="s">
        <v>25</v>
      </c>
      <c r="C1007" s="81"/>
      <c r="D1007" s="82" t="s">
        <v>19</v>
      </c>
      <c r="E1007" s="83"/>
      <c r="F1007" s="84">
        <v>1</v>
      </c>
      <c r="G1007" s="85" t="s">
        <v>20</v>
      </c>
      <c r="H1007" s="84">
        <v>24</v>
      </c>
      <c r="I1007" s="85" t="s">
        <v>19</v>
      </c>
      <c r="J1007" s="16">
        <f>420000/24</f>
        <v>17500</v>
      </c>
      <c r="K1007" s="82" t="s">
        <v>19</v>
      </c>
      <c r="L1007" s="86"/>
      <c r="M1007" s="86">
        <v>0.17</v>
      </c>
      <c r="N1007" s="84"/>
      <c r="O1007" s="85" t="s">
        <v>19</v>
      </c>
      <c r="P1007" s="81">
        <f t="shared" si="266"/>
        <v>0</v>
      </c>
      <c r="Q1007" s="85" t="s">
        <v>19</v>
      </c>
      <c r="R1007" s="16">
        <f t="shared" si="267"/>
        <v>0</v>
      </c>
      <c r="S1007" s="16">
        <f t="shared" si="243"/>
        <v>0</v>
      </c>
    </row>
    <row r="1008" spans="1:19">
      <c r="A1008" s="55" t="s">
        <v>644</v>
      </c>
      <c r="B1008" s="2" t="s">
        <v>25</v>
      </c>
      <c r="C1008" s="3">
        <v>12</v>
      </c>
      <c r="D1008" s="4" t="s">
        <v>19</v>
      </c>
      <c r="F1008" s="6">
        <v>1</v>
      </c>
      <c r="G1008" s="7" t="s">
        <v>20</v>
      </c>
      <c r="H1008" s="6">
        <v>12</v>
      </c>
      <c r="I1008" s="7" t="s">
        <v>19</v>
      </c>
      <c r="J1008" s="8">
        <f>342000/12</f>
        <v>28500</v>
      </c>
      <c r="K1008" s="4" t="s">
        <v>19</v>
      </c>
      <c r="M1008" s="9">
        <v>0.17</v>
      </c>
      <c r="O1008" s="7" t="s">
        <v>19</v>
      </c>
      <c r="P1008" s="3">
        <f t="shared" si="266"/>
        <v>12</v>
      </c>
      <c r="Q1008" s="7" t="s">
        <v>19</v>
      </c>
      <c r="R1008" s="8">
        <f t="shared" si="267"/>
        <v>283860</v>
      </c>
      <c r="S1008" s="8">
        <f t="shared" si="243"/>
        <v>255729.7297297297</v>
      </c>
    </row>
    <row r="1009" spans="1:21" s="80" customFormat="1">
      <c r="A1009" s="148" t="s">
        <v>645</v>
      </c>
      <c r="B1009" s="80" t="s">
        <v>25</v>
      </c>
      <c r="C1009" s="87"/>
      <c r="D1009" s="82" t="s">
        <v>19</v>
      </c>
      <c r="E1009" s="83"/>
      <c r="F1009" s="84">
        <v>1</v>
      </c>
      <c r="G1009" s="85" t="s">
        <v>20</v>
      </c>
      <c r="H1009" s="84">
        <v>12</v>
      </c>
      <c r="I1009" s="85" t="s">
        <v>19</v>
      </c>
      <c r="J1009" s="16">
        <f>348000/12</f>
        <v>29000</v>
      </c>
      <c r="K1009" s="82" t="s">
        <v>19</v>
      </c>
      <c r="L1009" s="86"/>
      <c r="M1009" s="86">
        <v>0.17</v>
      </c>
      <c r="N1009" s="84"/>
      <c r="O1009" s="85" t="s">
        <v>19</v>
      </c>
      <c r="P1009" s="81">
        <f t="shared" si="266"/>
        <v>0</v>
      </c>
      <c r="Q1009" s="85" t="s">
        <v>19</v>
      </c>
      <c r="R1009" s="16">
        <f t="shared" si="267"/>
        <v>0</v>
      </c>
      <c r="S1009" s="16">
        <f t="shared" si="243"/>
        <v>0</v>
      </c>
    </row>
    <row r="1010" spans="1:21" s="80" customFormat="1">
      <c r="A1010" s="148" t="s">
        <v>657</v>
      </c>
      <c r="B1010" s="80" t="s">
        <v>25</v>
      </c>
      <c r="C1010" s="87"/>
      <c r="D1010" s="82" t="s">
        <v>19</v>
      </c>
      <c r="E1010" s="83"/>
      <c r="F1010" s="84">
        <v>8</v>
      </c>
      <c r="G1010" s="85" t="s">
        <v>40</v>
      </c>
      <c r="H1010" s="84">
        <v>12</v>
      </c>
      <c r="I1010" s="85" t="s">
        <v>19</v>
      </c>
      <c r="J1010" s="16">
        <f>2112000/8/12</f>
        <v>22000</v>
      </c>
      <c r="K1010" s="82" t="s">
        <v>19</v>
      </c>
      <c r="L1010" s="86"/>
      <c r="M1010" s="86">
        <v>0.17</v>
      </c>
      <c r="N1010" s="84"/>
      <c r="O1010" s="85" t="s">
        <v>19</v>
      </c>
      <c r="P1010" s="81">
        <f t="shared" si="266"/>
        <v>0</v>
      </c>
      <c r="Q1010" s="85" t="s">
        <v>19</v>
      </c>
      <c r="R1010" s="16">
        <f t="shared" si="267"/>
        <v>0</v>
      </c>
      <c r="S1010" s="16">
        <f t="shared" si="243"/>
        <v>0</v>
      </c>
    </row>
    <row r="1011" spans="1:21">
      <c r="A1011" s="55"/>
      <c r="C1011" s="20"/>
    </row>
    <row r="1012" spans="1:21" s="19" customFormat="1">
      <c r="A1012" s="55" t="s">
        <v>646</v>
      </c>
      <c r="B1012" s="19" t="s">
        <v>182</v>
      </c>
      <c r="C1012" s="20"/>
      <c r="D1012" s="21" t="s">
        <v>40</v>
      </c>
      <c r="E1012" s="26">
        <v>10</v>
      </c>
      <c r="F1012" s="22">
        <v>48</v>
      </c>
      <c r="G1012" s="23" t="s">
        <v>33</v>
      </c>
      <c r="H1012" s="22">
        <v>1</v>
      </c>
      <c r="I1012" s="23" t="s">
        <v>40</v>
      </c>
      <c r="J1012" s="24">
        <v>92000</v>
      </c>
      <c r="K1012" s="21" t="s">
        <v>40</v>
      </c>
      <c r="L1012" s="78">
        <v>0.27927000000000002</v>
      </c>
      <c r="M1012" s="25"/>
      <c r="N1012" s="22"/>
      <c r="O1012" s="23" t="s">
        <v>40</v>
      </c>
      <c r="P1012" s="20">
        <f>(C1012+(E1012*F1012*H1012))-N1012</f>
        <v>480</v>
      </c>
      <c r="Q1012" s="23" t="s">
        <v>40</v>
      </c>
      <c r="R1012" s="24">
        <f>P1012*(J1012-(J1012*L1012)-((J1012-(J1012*L1012))*M1012))</f>
        <v>31827436.800000001</v>
      </c>
      <c r="S1012" s="24">
        <f t="shared" ref="S1012" si="268">R1012/1.11</f>
        <v>28673366.486486483</v>
      </c>
    </row>
    <row r="1013" spans="1:21" s="19" customFormat="1">
      <c r="A1013" s="55"/>
      <c r="C1013" s="20"/>
      <c r="D1013" s="21"/>
      <c r="E1013" s="26"/>
      <c r="F1013" s="22"/>
      <c r="G1013" s="23"/>
      <c r="H1013" s="22"/>
      <c r="I1013" s="23"/>
      <c r="J1013" s="24"/>
      <c r="K1013" s="21"/>
      <c r="L1013" s="25"/>
      <c r="M1013" s="25"/>
      <c r="N1013" s="22"/>
      <c r="O1013" s="23"/>
      <c r="P1013" s="20"/>
      <c r="Q1013" s="23"/>
      <c r="R1013" s="24"/>
      <c r="S1013" s="8"/>
    </row>
    <row r="1014" spans="1:21" s="80" customFormat="1">
      <c r="A1014" s="148" t="s">
        <v>647</v>
      </c>
      <c r="B1014" s="80" t="s">
        <v>598</v>
      </c>
      <c r="C1014" s="87"/>
      <c r="D1014" s="82" t="s">
        <v>19</v>
      </c>
      <c r="E1014" s="83"/>
      <c r="F1014" s="84">
        <v>1</v>
      </c>
      <c r="G1014" s="85" t="s">
        <v>20</v>
      </c>
      <c r="H1014" s="84">
        <v>24</v>
      </c>
      <c r="I1014" s="85" t="s">
        <v>19</v>
      </c>
      <c r="J1014" s="16">
        <v>18200</v>
      </c>
      <c r="K1014" s="82" t="s">
        <v>19</v>
      </c>
      <c r="L1014" s="86">
        <v>0.15</v>
      </c>
      <c r="M1014" s="86">
        <v>0.03</v>
      </c>
      <c r="N1014" s="84"/>
      <c r="O1014" s="85" t="s">
        <v>19</v>
      </c>
      <c r="P1014" s="81">
        <f>(C1014+(E1014*F1014*H1014))-N1014</f>
        <v>0</v>
      </c>
      <c r="Q1014" s="85" t="s">
        <v>19</v>
      </c>
      <c r="R1014" s="16">
        <f>P1014*(J1014-(J1014*L1014)-((J1014-(J1014*L1014))*M1014))</f>
        <v>0</v>
      </c>
      <c r="S1014" s="16">
        <f t="shared" ref="S1014" si="269">R1014/1.11</f>
        <v>0</v>
      </c>
    </row>
    <row r="1015" spans="1:21">
      <c r="C1015" s="20"/>
    </row>
    <row r="1016" spans="1:21" ht="15.75">
      <c r="A1016" s="14" t="s">
        <v>651</v>
      </c>
      <c r="C1016" s="20"/>
    </row>
    <row r="1017" spans="1:21" s="89" customFormat="1">
      <c r="A1017" s="88" t="s">
        <v>652</v>
      </c>
      <c r="B1017" s="89" t="s">
        <v>18</v>
      </c>
      <c r="C1017" s="87"/>
      <c r="D1017" s="90" t="s">
        <v>19</v>
      </c>
      <c r="E1017" s="91"/>
      <c r="F1017" s="92">
        <v>1</v>
      </c>
      <c r="G1017" s="93" t="s">
        <v>20</v>
      </c>
      <c r="H1017" s="92">
        <v>100</v>
      </c>
      <c r="I1017" s="93" t="s">
        <v>19</v>
      </c>
      <c r="J1017" s="94">
        <v>8400</v>
      </c>
      <c r="K1017" s="90" t="s">
        <v>19</v>
      </c>
      <c r="L1017" s="95">
        <v>0.125</v>
      </c>
      <c r="M1017" s="95">
        <v>0.05</v>
      </c>
      <c r="N1017" s="92"/>
      <c r="O1017" s="93" t="s">
        <v>19</v>
      </c>
      <c r="P1017" s="87">
        <f>(C1017+(E1017*F1017*H1017))-N1017</f>
        <v>0</v>
      </c>
      <c r="Q1017" s="93" t="s">
        <v>19</v>
      </c>
      <c r="R1017" s="94">
        <f>P1017*(J1017-(J1017*L1017)-((J1017-(J1017*L1017))*M1017))</f>
        <v>0</v>
      </c>
      <c r="S1017" s="94">
        <f t="shared" ref="S1017" si="270">R1017/1.11</f>
        <v>0</v>
      </c>
    </row>
    <row r="1018" spans="1:21">
      <c r="C1018" s="20"/>
    </row>
    <row r="1019" spans="1:21" ht="15.75">
      <c r="A1019" s="14" t="s">
        <v>802</v>
      </c>
      <c r="C1019" s="20"/>
    </row>
    <row r="1020" spans="1:21" s="19" customFormat="1">
      <c r="A1020" s="18" t="s">
        <v>876</v>
      </c>
      <c r="B1020" s="19" t="s">
        <v>46</v>
      </c>
      <c r="C1020" s="20">
        <v>14</v>
      </c>
      <c r="D1020" s="21" t="s">
        <v>19</v>
      </c>
      <c r="E1020" s="26"/>
      <c r="F1020" s="22">
        <v>4</v>
      </c>
      <c r="G1020" s="23" t="s">
        <v>33</v>
      </c>
      <c r="H1020" s="22">
        <v>12</v>
      </c>
      <c r="I1020" s="23" t="s">
        <v>19</v>
      </c>
      <c r="J1020" s="24"/>
      <c r="K1020" s="21" t="s">
        <v>19</v>
      </c>
      <c r="L1020" s="25">
        <v>0.1</v>
      </c>
      <c r="M1020" s="25">
        <v>0.05</v>
      </c>
      <c r="N1020" s="22"/>
      <c r="O1020" s="23" t="s">
        <v>19</v>
      </c>
      <c r="P1020" s="20">
        <f>(C1020+(E1020*F1020*H1020))-N1020</f>
        <v>14</v>
      </c>
      <c r="Q1020" s="23" t="s">
        <v>19</v>
      </c>
      <c r="R1020" s="24">
        <f>P1020*(J1020-(J1020*L1020)-((J1020-(J1020*L1020))*M1020))</f>
        <v>0</v>
      </c>
      <c r="S1020" s="24">
        <f t="shared" ref="S1020" si="271">R1020/1.11</f>
        <v>0</v>
      </c>
    </row>
    <row r="1021" spans="1:21">
      <c r="A1021" s="2"/>
      <c r="R1021" s="16"/>
      <c r="S1021" s="16"/>
    </row>
    <row r="1023" spans="1:21" ht="16.5">
      <c r="R1023" s="27">
        <f>SUM(R6:R1021)</f>
        <v>6409455577.4000006</v>
      </c>
      <c r="S1023" s="27">
        <f>SUM(S6:S1021)</f>
        <v>5774284303.9639626</v>
      </c>
    </row>
    <row r="1024" spans="1:21">
      <c r="R1024" s="30"/>
      <c r="S1024" s="28"/>
      <c r="U1024" s="8"/>
    </row>
    <row r="1025" spans="18:21">
      <c r="R1025" s="69"/>
      <c r="S1025" s="68"/>
      <c r="U1025" s="43"/>
    </row>
    <row r="1026" spans="18:21" ht="15.75">
      <c r="R1026" s="70"/>
      <c r="S1026" s="70"/>
      <c r="U1026" s="43"/>
    </row>
    <row r="1027" spans="18:21">
      <c r="R1027" s="29"/>
      <c r="S1027" s="29"/>
    </row>
    <row r="1028" spans="18:21">
      <c r="S1028" s="45"/>
    </row>
    <row r="1029" spans="18:21">
      <c r="R1029" s="46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2023-03-07T06:47:11Z</dcterms:modified>
</cp:coreProperties>
</file>