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65" i="1"/>
  <c r="AI371" i="1"/>
  <c r="AI377" i="1"/>
  <c r="AI389" i="1"/>
  <c r="AI396" i="1"/>
  <c r="AI408" i="1"/>
  <c r="AI421" i="1"/>
  <c r="AI424" i="1"/>
  <c r="AI428" i="1"/>
  <c r="AI431" i="1"/>
  <c r="AI434" i="1"/>
  <c r="AI439" i="1"/>
  <c r="AI441" i="1"/>
  <c r="AI443" i="1"/>
  <c r="AI446" i="1"/>
  <c r="AI448" i="1"/>
  <c r="AI451" i="1"/>
  <c r="AI459" i="1"/>
  <c r="AI466" i="1"/>
  <c r="AI469" i="1"/>
  <c r="AI471" i="1"/>
  <c r="AI473" i="1"/>
  <c r="AI475" i="1"/>
  <c r="AI478" i="1"/>
  <c r="AI484" i="1"/>
  <c r="AI489" i="1"/>
  <c r="AI498" i="1"/>
  <c r="AI501" i="1"/>
  <c r="AI503" i="1"/>
  <c r="AI514" i="1"/>
  <c r="AI516" i="1"/>
  <c r="AI518" i="1"/>
  <c r="AI521" i="1"/>
  <c r="AI523" i="1"/>
  <c r="AI525" i="1"/>
  <c r="AI527" i="1"/>
  <c r="AI530" i="1"/>
  <c r="AI539" i="1"/>
  <c r="AI542" i="1"/>
  <c r="AI544" i="1"/>
  <c r="AI552" i="1"/>
  <c r="AI562" i="1"/>
  <c r="AI565" i="1"/>
  <c r="AI571" i="1"/>
  <c r="AI574" i="1"/>
  <c r="AI587" i="1"/>
  <c r="AI593" i="1"/>
  <c r="AI598" i="1"/>
  <c r="AI600" i="1"/>
  <c r="AI603" i="1"/>
  <c r="AI609" i="1"/>
  <c r="AI612" i="1"/>
  <c r="AI615" i="1"/>
  <c r="AI617" i="1"/>
  <c r="AI620" i="1"/>
  <c r="AI628" i="1"/>
  <c r="AI635" i="1"/>
  <c r="AI637" i="1"/>
  <c r="AI639" i="1"/>
  <c r="AI642" i="1"/>
  <c r="AI645" i="1"/>
  <c r="AI654" i="1"/>
  <c r="AI657" i="1"/>
  <c r="AI659" i="1"/>
  <c r="AI662" i="1"/>
  <c r="M662" i="1" l="1"/>
  <c r="U626" i="1" l="1"/>
  <c r="N618" i="1" l="1"/>
  <c r="N617" i="1"/>
  <c r="N519" i="1" l="1"/>
  <c r="N518" i="1"/>
  <c r="AE428" i="1" l="1"/>
  <c r="W428" i="1" s="1"/>
  <c r="X428" i="1" l="1"/>
  <c r="Y428" i="1" s="1"/>
  <c r="Z428" i="1" s="1"/>
  <c r="AA428" i="1" s="1"/>
  <c r="AD428" i="1"/>
  <c r="B429" i="1"/>
  <c r="C429" i="1" s="1"/>
  <c r="AE429" i="1"/>
  <c r="W429" i="1" s="1"/>
  <c r="X429" i="1" l="1"/>
  <c r="Y429" i="1" s="1"/>
  <c r="Z429" i="1" s="1"/>
  <c r="AA429" i="1" s="1"/>
  <c r="AD429" i="1"/>
  <c r="B430" i="1"/>
  <c r="C430" i="1" s="1"/>
  <c r="D430" i="1"/>
  <c r="AB430" i="1" s="1"/>
  <c r="AD430" i="1"/>
  <c r="AE430" i="1"/>
  <c r="W430" i="1" s="1"/>
  <c r="AG430" i="1"/>
  <c r="AI430" i="1" s="1"/>
  <c r="AC430" i="1" l="1"/>
  <c r="AF430" i="1"/>
  <c r="X430" i="1"/>
  <c r="Z430" i="1"/>
  <c r="Y430" i="1"/>
  <c r="AA430" i="1"/>
  <c r="AE431" i="1"/>
  <c r="W431" i="1" s="1"/>
  <c r="X431" i="1" l="1"/>
  <c r="Y431" i="1" s="1"/>
  <c r="Z431" i="1" s="1"/>
  <c r="AA431" i="1" s="1"/>
  <c r="AD431" i="1"/>
  <c r="B432" i="1"/>
  <c r="C432" i="1" s="1"/>
  <c r="AE432" i="1"/>
  <c r="W432" i="1" s="1"/>
  <c r="X432" i="1" l="1"/>
  <c r="Y432" i="1"/>
  <c r="AD432" i="1"/>
  <c r="B433" i="1"/>
  <c r="C433" i="1" s="1"/>
  <c r="D433" i="1"/>
  <c r="AB433" i="1" s="1"/>
  <c r="AD433" i="1"/>
  <c r="AE433" i="1"/>
  <c r="W433" i="1" s="1"/>
  <c r="AG433" i="1"/>
  <c r="AI433" i="1" s="1"/>
  <c r="Z432" i="1" l="1"/>
  <c r="AA432" i="1" s="1"/>
  <c r="AC433" i="1"/>
  <c r="AF433" i="1"/>
  <c r="X433" i="1"/>
  <c r="Z433" i="1"/>
  <c r="Y433" i="1"/>
  <c r="AA433" i="1"/>
  <c r="AE434" i="1"/>
  <c r="W434" i="1" s="1"/>
  <c r="X434" i="1" l="1"/>
  <c r="Y434" i="1" s="1"/>
  <c r="AD434" i="1"/>
  <c r="Z434" i="1" l="1"/>
  <c r="AA434" i="1" s="1"/>
  <c r="B435" i="1"/>
  <c r="C435" i="1" s="1"/>
  <c r="AE435" i="1"/>
  <c r="W435" i="1" s="1"/>
  <c r="X435" i="1" l="1"/>
  <c r="Y435" i="1" s="1"/>
  <c r="Z435" i="1" s="1"/>
  <c r="AA435" i="1" s="1"/>
  <c r="AD435" i="1"/>
  <c r="B436" i="1"/>
  <c r="C436" i="1" s="1"/>
  <c r="AE436" i="1"/>
  <c r="W436" i="1" s="1"/>
  <c r="X436" i="1" l="1"/>
  <c r="Y436" i="1" s="1"/>
  <c r="AD436" i="1"/>
  <c r="Z436" i="1" l="1"/>
  <c r="AA436" i="1" s="1"/>
  <c r="B437" i="1"/>
  <c r="C437" i="1" s="1"/>
  <c r="AE437" i="1"/>
  <c r="W437" i="1" s="1"/>
  <c r="X437" i="1" l="1"/>
  <c r="Y437" i="1" s="1"/>
  <c r="Z437" i="1" s="1"/>
  <c r="AA437" i="1" s="1"/>
  <c r="AD437" i="1"/>
  <c r="B438" i="1"/>
  <c r="C438" i="1" s="1"/>
  <c r="D438" i="1"/>
  <c r="AB438" i="1" s="1"/>
  <c r="AD438" i="1"/>
  <c r="AE438" i="1"/>
  <c r="W438" i="1" s="1"/>
  <c r="AG438" i="1"/>
  <c r="AI438" i="1" s="1"/>
  <c r="AC438" i="1" l="1"/>
  <c r="AF438" i="1"/>
  <c r="X438" i="1"/>
  <c r="Z438" i="1"/>
  <c r="Y438" i="1"/>
  <c r="AA438" i="1"/>
  <c r="AE439" i="1"/>
  <c r="W439" i="1" s="1"/>
  <c r="X439" i="1" l="1"/>
  <c r="Y439" i="1" s="1"/>
  <c r="AD439" i="1"/>
  <c r="Z439" i="1" l="1"/>
  <c r="AA439" i="1" s="1"/>
  <c r="B440" i="1"/>
  <c r="C440" i="1" s="1"/>
  <c r="D440" i="1"/>
  <c r="AC440" i="1" s="1"/>
  <c r="AD440" i="1"/>
  <c r="AE440" i="1"/>
  <c r="W440" i="1" s="1"/>
  <c r="AG440" i="1"/>
  <c r="AI440" i="1" s="1"/>
  <c r="AF440" i="1" l="1"/>
  <c r="AB440" i="1"/>
  <c r="Y440" i="1"/>
  <c r="AA440" i="1"/>
  <c r="X440" i="1"/>
  <c r="Z440" i="1"/>
  <c r="AE441" i="1"/>
  <c r="W441" i="1" s="1"/>
  <c r="X441" i="1" l="1"/>
  <c r="Y441" i="1" s="1"/>
  <c r="AD441" i="1"/>
  <c r="Z441" i="1" l="1"/>
  <c r="AA441" i="1" s="1"/>
  <c r="B442" i="1"/>
  <c r="C442" i="1" s="1"/>
  <c r="D442" i="1"/>
  <c r="AC442" i="1" s="1"/>
  <c r="AD442" i="1"/>
  <c r="AE442" i="1"/>
  <c r="W442" i="1" s="1"/>
  <c r="AG442" i="1"/>
  <c r="AI442" i="1" s="1"/>
  <c r="AF442" i="1" l="1"/>
  <c r="AB442" i="1"/>
  <c r="Y442" i="1"/>
  <c r="AA442" i="1"/>
  <c r="X442" i="1"/>
  <c r="Z442" i="1"/>
  <c r="N443" i="1"/>
  <c r="W443" i="1"/>
  <c r="X443" i="1" s="1"/>
  <c r="Y443" i="1" s="1"/>
  <c r="Z443" i="1" s="1"/>
  <c r="AA443" i="1" s="1"/>
  <c r="AE443" i="1"/>
  <c r="AD443" i="1" s="1"/>
  <c r="B444" i="1"/>
  <c r="C444" i="1" s="1"/>
  <c r="W444" i="1"/>
  <c r="X444" i="1" s="1"/>
  <c r="Y444" i="1" s="1"/>
  <c r="Z444" i="1" l="1"/>
  <c r="AA444" i="1" s="1"/>
  <c r="AE444" i="1"/>
  <c r="AD444" i="1" s="1"/>
  <c r="B445" i="1"/>
  <c r="C445" i="1" s="1"/>
  <c r="D445" i="1"/>
  <c r="AB445" i="1" s="1"/>
  <c r="AD445" i="1"/>
  <c r="AE445" i="1"/>
  <c r="W445" i="1" s="1"/>
  <c r="AG445" i="1"/>
  <c r="AI445" i="1" s="1"/>
  <c r="AC445" i="1" l="1"/>
  <c r="AF445" i="1"/>
  <c r="X445" i="1"/>
  <c r="Z445" i="1"/>
  <c r="Y445" i="1"/>
  <c r="AA445" i="1"/>
  <c r="AE446" i="1"/>
  <c r="W446" i="1" s="1"/>
  <c r="X446" i="1" l="1"/>
  <c r="Y446" i="1" s="1"/>
  <c r="AD446" i="1"/>
  <c r="Z446" i="1" l="1"/>
  <c r="AA446" i="1" s="1"/>
  <c r="B447" i="1"/>
  <c r="C447" i="1" s="1"/>
  <c r="D447" i="1"/>
  <c r="AC447" i="1" s="1"/>
  <c r="AD447" i="1"/>
  <c r="AE447" i="1"/>
  <c r="W447" i="1" s="1"/>
  <c r="AG447" i="1"/>
  <c r="AI447" i="1" s="1"/>
  <c r="AF447" i="1" l="1"/>
  <c r="AB447" i="1"/>
  <c r="Y447" i="1"/>
  <c r="AA447" i="1"/>
  <c r="X447" i="1"/>
  <c r="Z447" i="1"/>
  <c r="AE448" i="1"/>
  <c r="W448" i="1" s="1"/>
  <c r="X448" i="1" l="1"/>
  <c r="Y448" i="1" s="1"/>
  <c r="Z448" i="1" s="1"/>
  <c r="AA448" i="1" s="1"/>
  <c r="AD448" i="1"/>
  <c r="B449" i="1"/>
  <c r="C449" i="1"/>
  <c r="AE449" i="1"/>
  <c r="W449" i="1" s="1"/>
  <c r="X449" i="1" l="1"/>
  <c r="Y449" i="1" s="1"/>
  <c r="Z449" i="1" s="1"/>
  <c r="AA449" i="1" s="1"/>
  <c r="AD449" i="1"/>
  <c r="B450" i="1"/>
  <c r="C450" i="1" s="1"/>
  <c r="D450" i="1"/>
  <c r="AB450" i="1" s="1"/>
  <c r="AD450" i="1"/>
  <c r="AE450" i="1"/>
  <c r="W450" i="1" s="1"/>
  <c r="AG450" i="1"/>
  <c r="AI450" i="1" s="1"/>
  <c r="AC450" i="1" l="1"/>
  <c r="AF450" i="1"/>
  <c r="X450" i="1"/>
  <c r="Z450" i="1"/>
  <c r="Y450" i="1"/>
  <c r="AA450" i="1"/>
  <c r="W451" i="1"/>
  <c r="X451" i="1"/>
  <c r="Y451" i="1" s="1"/>
  <c r="Z451" i="1" l="1"/>
  <c r="AA451" i="1" s="1"/>
  <c r="AE451" i="1"/>
  <c r="AD451" i="1" s="1"/>
  <c r="B452" i="1"/>
  <c r="C452" i="1" s="1"/>
  <c r="W452" i="1"/>
  <c r="X452" i="1" s="1"/>
  <c r="Y452" i="1" s="1"/>
  <c r="Z452" i="1" l="1"/>
  <c r="AA452" i="1" s="1"/>
  <c r="AE452" i="1"/>
  <c r="AD452" i="1" s="1"/>
  <c r="B453" i="1"/>
  <c r="C453" i="1" s="1"/>
  <c r="W453" i="1"/>
  <c r="X453" i="1" s="1"/>
  <c r="Y453" i="1" s="1"/>
  <c r="Z453" i="1" l="1"/>
  <c r="AA453" i="1" s="1"/>
  <c r="AE453" i="1"/>
  <c r="AD453" i="1" s="1"/>
  <c r="B454" i="1"/>
  <c r="C454" i="1" s="1"/>
  <c r="W454" i="1"/>
  <c r="X454" i="1" s="1"/>
  <c r="Y454" i="1" s="1"/>
  <c r="Z454" i="1" l="1"/>
  <c r="AA454" i="1" s="1"/>
  <c r="AE454" i="1"/>
  <c r="AD454" i="1" s="1"/>
  <c r="B455" i="1"/>
  <c r="C455" i="1" s="1"/>
  <c r="W455" i="1"/>
  <c r="X455" i="1" s="1"/>
  <c r="Y455" i="1" s="1"/>
  <c r="Z455" i="1" s="1"/>
  <c r="AA455" i="1" s="1"/>
  <c r="AE455" i="1"/>
  <c r="AD455" i="1" s="1"/>
  <c r="B456" i="1"/>
  <c r="C456" i="1" s="1"/>
  <c r="W456" i="1"/>
  <c r="X456" i="1" s="1"/>
  <c r="Y456" i="1" s="1"/>
  <c r="Z456" i="1" s="1"/>
  <c r="AA456" i="1" s="1"/>
  <c r="AE456" i="1"/>
  <c r="AD456" i="1" s="1"/>
  <c r="B457" i="1"/>
  <c r="C457" i="1" s="1"/>
  <c r="W457" i="1"/>
  <c r="X457" i="1" s="1"/>
  <c r="Y457" i="1" s="1"/>
  <c r="Z457" i="1" l="1"/>
  <c r="AA457" i="1" s="1"/>
  <c r="AE457" i="1"/>
  <c r="AD457" i="1" s="1"/>
  <c r="B458" i="1"/>
  <c r="C458" i="1"/>
  <c r="D458" i="1"/>
  <c r="AB458" i="1" s="1"/>
  <c r="AD458" i="1"/>
  <c r="AE458" i="1"/>
  <c r="W458" i="1" s="1"/>
  <c r="AG458" i="1"/>
  <c r="AI458" i="1" s="1"/>
  <c r="AC458" i="1" l="1"/>
  <c r="AF458" i="1"/>
  <c r="X458" i="1"/>
  <c r="Z458" i="1"/>
  <c r="Y458" i="1"/>
  <c r="AA458" i="1"/>
  <c r="W459" i="1"/>
  <c r="X459" i="1"/>
  <c r="Y459" i="1" s="1"/>
  <c r="Z459" i="1" s="1"/>
  <c r="AA459" i="1" s="1"/>
  <c r="AE459" i="1"/>
  <c r="AD459" i="1" s="1"/>
  <c r="B460" i="1"/>
  <c r="C460" i="1" s="1"/>
  <c r="W460" i="1"/>
  <c r="X460" i="1" s="1"/>
  <c r="Y460" i="1" s="1"/>
  <c r="Z460" i="1" s="1"/>
  <c r="AA460" i="1" s="1"/>
  <c r="AE460" i="1"/>
  <c r="AD460" i="1" s="1"/>
  <c r="B461" i="1"/>
  <c r="C461" i="1"/>
  <c r="W461" i="1"/>
  <c r="X461" i="1"/>
  <c r="Y461" i="1" s="1"/>
  <c r="Z461" i="1" l="1"/>
  <c r="AA461" i="1" s="1"/>
  <c r="AE461" i="1"/>
  <c r="AD461" i="1" s="1"/>
  <c r="B462" i="1"/>
  <c r="C462" i="1" s="1"/>
  <c r="W462" i="1"/>
  <c r="X462" i="1" s="1"/>
  <c r="Y462" i="1" s="1"/>
  <c r="Z462" i="1" l="1"/>
  <c r="AA462" i="1" s="1"/>
  <c r="AE462" i="1"/>
  <c r="AD462" i="1" s="1"/>
  <c r="B463" i="1"/>
  <c r="C463" i="1"/>
  <c r="W463" i="1"/>
  <c r="X463" i="1"/>
  <c r="Y463" i="1" s="1"/>
  <c r="Z463" i="1" l="1"/>
  <c r="AA463" i="1" s="1"/>
  <c r="AE463" i="1"/>
  <c r="AD463" i="1" s="1"/>
  <c r="B464" i="1"/>
  <c r="C464" i="1"/>
  <c r="W464" i="1"/>
  <c r="X464" i="1"/>
  <c r="Y464" i="1" s="1"/>
  <c r="Z464" i="1" l="1"/>
  <c r="AA464" i="1" s="1"/>
  <c r="AE464" i="1"/>
  <c r="AD464" i="1" s="1"/>
  <c r="B465" i="1"/>
  <c r="C465" i="1" s="1"/>
  <c r="D465" i="1"/>
  <c r="AC465" i="1" s="1"/>
  <c r="AD465" i="1"/>
  <c r="AE465" i="1"/>
  <c r="W465" i="1" s="1"/>
  <c r="AG465" i="1"/>
  <c r="AI465" i="1" s="1"/>
  <c r="AF465" i="1" l="1"/>
  <c r="AB465" i="1"/>
  <c r="X465" i="1"/>
  <c r="Z465" i="1"/>
  <c r="Y465" i="1"/>
  <c r="AA465" i="1"/>
  <c r="W466" i="1"/>
  <c r="X466" i="1" s="1"/>
  <c r="Y466" i="1" s="1"/>
  <c r="Z466" i="1" l="1"/>
  <c r="AA466" i="1" s="1"/>
  <c r="AE466" i="1"/>
  <c r="AD466" i="1" s="1"/>
  <c r="B467" i="1"/>
  <c r="C467" i="1"/>
  <c r="W467" i="1"/>
  <c r="X467" i="1"/>
  <c r="Y467" i="1" s="1"/>
  <c r="Z467" i="1" s="1"/>
  <c r="AA467" i="1" s="1"/>
  <c r="AE467" i="1"/>
  <c r="AD467" i="1" s="1"/>
  <c r="B468" i="1"/>
  <c r="C468" i="1" s="1"/>
  <c r="D468" i="1"/>
  <c r="AB468" i="1" s="1"/>
  <c r="AD468" i="1"/>
  <c r="AE468" i="1"/>
  <c r="W468" i="1" s="1"/>
  <c r="AG468" i="1"/>
  <c r="AI468" i="1" s="1"/>
  <c r="AC468" i="1" l="1"/>
  <c r="AF468" i="1"/>
  <c r="X468" i="1"/>
  <c r="Z468" i="1"/>
  <c r="Y468" i="1"/>
  <c r="AA468" i="1"/>
  <c r="AE469" i="1"/>
  <c r="W469" i="1" s="1"/>
  <c r="X469" i="1" l="1"/>
  <c r="Y469" i="1" s="1"/>
  <c r="AD469" i="1"/>
  <c r="Z469" i="1" l="1"/>
  <c r="AA469" i="1" s="1"/>
  <c r="B470" i="1"/>
  <c r="C470" i="1" s="1"/>
  <c r="D470" i="1"/>
  <c r="AC470" i="1" s="1"/>
  <c r="AD470" i="1"/>
  <c r="AE470" i="1"/>
  <c r="W470" i="1" s="1"/>
  <c r="AG470" i="1"/>
  <c r="AI470" i="1" s="1"/>
  <c r="AF470" i="1" l="1"/>
  <c r="AB470" i="1"/>
  <c r="Y470" i="1"/>
  <c r="AA470" i="1"/>
  <c r="X470" i="1"/>
  <c r="Z470" i="1"/>
  <c r="AE471" i="1"/>
  <c r="W471" i="1" s="1"/>
  <c r="X471" i="1" l="1"/>
  <c r="Y471" i="1" s="1"/>
  <c r="Z471" i="1" s="1"/>
  <c r="AA471" i="1" s="1"/>
  <c r="AD471" i="1"/>
  <c r="B472" i="1"/>
  <c r="C472" i="1" s="1"/>
  <c r="D472" i="1"/>
  <c r="AB472" i="1" s="1"/>
  <c r="AD472" i="1"/>
  <c r="AE472" i="1"/>
  <c r="W472" i="1" s="1"/>
  <c r="AG472" i="1"/>
  <c r="AI472" i="1" s="1"/>
  <c r="AC472" i="1" l="1"/>
  <c r="AF472" i="1"/>
  <c r="X472" i="1"/>
  <c r="Z472" i="1"/>
  <c r="Y472" i="1"/>
  <c r="AA472" i="1"/>
  <c r="AE473" i="1"/>
  <c r="W473" i="1" s="1"/>
  <c r="X473" i="1" l="1"/>
  <c r="Y473" i="1" s="1"/>
  <c r="Z473" i="1" s="1"/>
  <c r="AA473" i="1" s="1"/>
  <c r="AD473" i="1"/>
  <c r="B474" i="1"/>
  <c r="C474" i="1" s="1"/>
  <c r="D474" i="1"/>
  <c r="AC474" i="1" s="1"/>
  <c r="AD474" i="1"/>
  <c r="AE474" i="1"/>
  <c r="W474" i="1" s="1"/>
  <c r="AG474" i="1"/>
  <c r="AI474" i="1" s="1"/>
  <c r="AF474" i="1" l="1"/>
  <c r="AB474" i="1"/>
  <c r="Y474" i="1"/>
  <c r="AA474" i="1"/>
  <c r="X474" i="1"/>
  <c r="Z474" i="1"/>
  <c r="W371" i="1"/>
  <c r="X371" i="1" s="1"/>
  <c r="Y371" i="1" s="1"/>
  <c r="Z371" i="1" s="1"/>
  <c r="AA371" i="1" s="1"/>
  <c r="AE371" i="1"/>
  <c r="AD371" i="1" s="1"/>
  <c r="B372" i="1"/>
  <c r="C372" i="1" s="1"/>
  <c r="W372" i="1"/>
  <c r="X372" i="1" s="1"/>
  <c r="Y372" i="1" s="1"/>
  <c r="Z372" i="1" l="1"/>
  <c r="AA372" i="1" s="1"/>
  <c r="AE372" i="1"/>
  <c r="AD372" i="1" s="1"/>
  <c r="B373" i="1"/>
  <c r="C373" i="1" s="1"/>
  <c r="W373" i="1"/>
  <c r="X373" i="1" s="1"/>
  <c r="Y373" i="1" s="1"/>
  <c r="Z373" i="1" l="1"/>
  <c r="AA373" i="1" s="1"/>
  <c r="AE373" i="1"/>
  <c r="AD373" i="1" s="1"/>
  <c r="B374" i="1"/>
  <c r="C374" i="1" s="1"/>
  <c r="W374" i="1"/>
  <c r="X374" i="1" s="1"/>
  <c r="Y374" i="1" s="1"/>
  <c r="Z374" i="1" l="1"/>
  <c r="AA374" i="1" s="1"/>
  <c r="AE374" i="1"/>
  <c r="AD374" i="1" s="1"/>
  <c r="B375" i="1"/>
  <c r="C375" i="1" s="1"/>
  <c r="W375" i="1"/>
  <c r="X375" i="1" s="1"/>
  <c r="Y375" i="1" s="1"/>
  <c r="Z375" i="1" s="1"/>
  <c r="AA375" i="1" s="1"/>
  <c r="AE375" i="1"/>
  <c r="AD375" i="1" s="1"/>
  <c r="B376" i="1"/>
  <c r="C376" i="1" s="1"/>
  <c r="D376" i="1"/>
  <c r="AB376" i="1" s="1"/>
  <c r="AD376" i="1"/>
  <c r="AE376" i="1"/>
  <c r="W376" i="1" s="1"/>
  <c r="AG376" i="1"/>
  <c r="AI376" i="1" s="1"/>
  <c r="AC376" i="1" l="1"/>
  <c r="AF376" i="1"/>
  <c r="X376" i="1"/>
  <c r="Z376" i="1"/>
  <c r="Y376" i="1"/>
  <c r="AA376" i="1"/>
  <c r="W377" i="1"/>
  <c r="X377" i="1" s="1"/>
  <c r="Y377" i="1" s="1"/>
  <c r="Z377" i="1" l="1"/>
  <c r="AA377" i="1" s="1"/>
  <c r="AE377" i="1"/>
  <c r="AD377" i="1" s="1"/>
  <c r="B378" i="1"/>
  <c r="C378" i="1" s="1"/>
  <c r="W378" i="1"/>
  <c r="X378" i="1" s="1"/>
  <c r="Y378" i="1" s="1"/>
  <c r="Z378" i="1" s="1"/>
  <c r="AA378" i="1" s="1"/>
  <c r="AE378" i="1"/>
  <c r="AD378" i="1" s="1"/>
  <c r="B379" i="1"/>
  <c r="C379" i="1" s="1"/>
  <c r="W379" i="1"/>
  <c r="X379" i="1" s="1"/>
  <c r="Y379" i="1" s="1"/>
  <c r="Z379" i="1" l="1"/>
  <c r="AA379" i="1" s="1"/>
  <c r="AE379" i="1"/>
  <c r="AD379" i="1" s="1"/>
  <c r="B380" i="1"/>
  <c r="C380" i="1" s="1"/>
  <c r="W380" i="1"/>
  <c r="X380" i="1" s="1"/>
  <c r="Y380" i="1" s="1"/>
  <c r="Z380" i="1" s="1"/>
  <c r="AA380" i="1" s="1"/>
  <c r="AE380" i="1"/>
  <c r="AD380" i="1" s="1"/>
  <c r="B381" i="1"/>
  <c r="C381" i="1" s="1"/>
  <c r="W381" i="1"/>
  <c r="X381" i="1" s="1"/>
  <c r="Y381" i="1" s="1"/>
  <c r="Z381" i="1" l="1"/>
  <c r="AA381" i="1" s="1"/>
  <c r="AE381" i="1"/>
  <c r="AD381" i="1" s="1"/>
  <c r="B382" i="1"/>
  <c r="C382" i="1" s="1"/>
  <c r="W382" i="1"/>
  <c r="X382" i="1" s="1"/>
  <c r="Y382" i="1" s="1"/>
  <c r="Z382" i="1" l="1"/>
  <c r="AA382" i="1" s="1"/>
  <c r="AE382" i="1"/>
  <c r="AD382" i="1" s="1"/>
  <c r="B383" i="1"/>
  <c r="C383" i="1" s="1"/>
  <c r="W383" i="1"/>
  <c r="X383" i="1" s="1"/>
  <c r="Y383" i="1" s="1"/>
  <c r="Z383" i="1" l="1"/>
  <c r="AA383" i="1" s="1"/>
  <c r="AE383" i="1"/>
  <c r="AD383" i="1" s="1"/>
  <c r="B427" i="1" l="1"/>
  <c r="C427" i="1" s="1"/>
  <c r="D427" i="1"/>
  <c r="AC427" i="1" s="1"/>
  <c r="AD427" i="1"/>
  <c r="AE427" i="1"/>
  <c r="W427" i="1" s="1"/>
  <c r="AG427" i="1"/>
  <c r="AI427" i="1" s="1"/>
  <c r="B420" i="1"/>
  <c r="C420" i="1" s="1"/>
  <c r="D420" i="1"/>
  <c r="AC420" i="1" s="1"/>
  <c r="AD420" i="1"/>
  <c r="AE420" i="1"/>
  <c r="W420" i="1" s="1"/>
  <c r="AG420" i="1"/>
  <c r="AI420" i="1" s="1"/>
  <c r="B423" i="1"/>
  <c r="C423" i="1" s="1"/>
  <c r="D423" i="1"/>
  <c r="AC423" i="1" s="1"/>
  <c r="AD423" i="1"/>
  <c r="AE423" i="1"/>
  <c r="W423" i="1" s="1"/>
  <c r="AG423" i="1"/>
  <c r="AI423" i="1" s="1"/>
  <c r="B407" i="1"/>
  <c r="C407" i="1" s="1"/>
  <c r="D407" i="1"/>
  <c r="AC407" i="1" s="1"/>
  <c r="AD407" i="1"/>
  <c r="AE407" i="1"/>
  <c r="W407" i="1" s="1"/>
  <c r="AG407" i="1"/>
  <c r="AI407" i="1" s="1"/>
  <c r="B409" i="1"/>
  <c r="C409" i="1" s="1"/>
  <c r="AE409" i="1"/>
  <c r="W409" i="1" s="1"/>
  <c r="AF427" i="1" l="1"/>
  <c r="AB427" i="1"/>
  <c r="Y427" i="1"/>
  <c r="AA427" i="1"/>
  <c r="X427" i="1"/>
  <c r="Z427" i="1"/>
  <c r="AF420" i="1"/>
  <c r="AB420" i="1"/>
  <c r="Y420" i="1"/>
  <c r="AA420" i="1"/>
  <c r="X420" i="1"/>
  <c r="Z420" i="1"/>
  <c r="AF423" i="1"/>
  <c r="AB423" i="1"/>
  <c r="Y423" i="1"/>
  <c r="AA423" i="1"/>
  <c r="X423" i="1"/>
  <c r="Z423" i="1"/>
  <c r="AF407" i="1"/>
  <c r="AB407" i="1"/>
  <c r="Y407" i="1"/>
  <c r="AA407" i="1"/>
  <c r="X407" i="1"/>
  <c r="Z407" i="1"/>
  <c r="X409" i="1"/>
  <c r="Y409" i="1" s="1"/>
  <c r="Z409" i="1" s="1"/>
  <c r="AA409" i="1" s="1"/>
  <c r="AD409" i="1"/>
  <c r="B395" i="1"/>
  <c r="C395" i="1" s="1"/>
  <c r="D395" i="1"/>
  <c r="AC395" i="1" s="1"/>
  <c r="AD395" i="1"/>
  <c r="AE395" i="1"/>
  <c r="W395" i="1" s="1"/>
  <c r="AG395" i="1"/>
  <c r="AI395" i="1" s="1"/>
  <c r="AF395" i="1" l="1"/>
  <c r="AB395" i="1"/>
  <c r="Y395" i="1"/>
  <c r="AA395" i="1"/>
  <c r="X395" i="1"/>
  <c r="Z395" i="1"/>
  <c r="B325" i="1" l="1"/>
  <c r="C325" i="1" s="1"/>
  <c r="D325" i="1"/>
  <c r="AC325" i="1" s="1"/>
  <c r="AD325" i="1"/>
  <c r="AE325" i="1"/>
  <c r="W325" i="1" s="1"/>
  <c r="AG325" i="1"/>
  <c r="AI325" i="1" s="1"/>
  <c r="AE365" i="1"/>
  <c r="W365" i="1" s="1"/>
  <c r="B366" i="1"/>
  <c r="C366" i="1" s="1"/>
  <c r="AE366" i="1"/>
  <c r="W366" i="1" s="1"/>
  <c r="B367" i="1"/>
  <c r="C367" i="1" s="1"/>
  <c r="AE367" i="1"/>
  <c r="W367" i="1" s="1"/>
  <c r="B368" i="1"/>
  <c r="C368" i="1" s="1"/>
  <c r="AE368" i="1"/>
  <c r="W368" i="1" s="1"/>
  <c r="B369" i="1"/>
  <c r="C369" i="1" s="1"/>
  <c r="AE369" i="1"/>
  <c r="W369" i="1" s="1"/>
  <c r="B370" i="1"/>
  <c r="C370" i="1" s="1"/>
  <c r="D370" i="1"/>
  <c r="AC370" i="1" s="1"/>
  <c r="AD370" i="1"/>
  <c r="AE370" i="1"/>
  <c r="W370" i="1" s="1"/>
  <c r="AG370" i="1"/>
  <c r="AI370" i="1" s="1"/>
  <c r="AD365" i="1" l="1"/>
  <c r="AD369" i="1"/>
  <c r="AD368" i="1"/>
  <c r="AD367" i="1"/>
  <c r="AD366" i="1"/>
  <c r="AF325" i="1"/>
  <c r="AB325" i="1"/>
  <c r="X369" i="1"/>
  <c r="Y369" i="1" s="1"/>
  <c r="X367" i="1"/>
  <c r="Y367" i="1" s="1"/>
  <c r="Z367" i="1" s="1"/>
  <c r="AA367" i="1" s="1"/>
  <c r="X365" i="1"/>
  <c r="Y365" i="1" s="1"/>
  <c r="Z365" i="1" s="1"/>
  <c r="AA365" i="1" s="1"/>
  <c r="X368" i="1"/>
  <c r="Y368" i="1" s="1"/>
  <c r="Z368" i="1" s="1"/>
  <c r="AA368" i="1" s="1"/>
  <c r="X366" i="1"/>
  <c r="Y366" i="1" s="1"/>
  <c r="Z366" i="1" s="1"/>
  <c r="AA366" i="1" s="1"/>
  <c r="Y325" i="1"/>
  <c r="AA325" i="1"/>
  <c r="X325" i="1"/>
  <c r="Z325" i="1"/>
  <c r="AF370" i="1"/>
  <c r="AB370" i="1"/>
  <c r="Y370" i="1"/>
  <c r="AA370" i="1"/>
  <c r="X370" i="1"/>
  <c r="Z370" i="1"/>
  <c r="Z369" i="1" l="1"/>
  <c r="AA369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852" i="1" l="1"/>
  <c r="C852" i="1" s="1"/>
  <c r="D852" i="1"/>
  <c r="AC852" i="1" s="1"/>
  <c r="AD852" i="1"/>
  <c r="AE852" i="1"/>
  <c r="W852" i="1" s="1"/>
  <c r="AG852" i="1"/>
  <c r="AI852" i="1" s="1"/>
  <c r="AD853" i="1"/>
  <c r="AE853" i="1"/>
  <c r="W853" i="1" s="1"/>
  <c r="B860" i="1"/>
  <c r="C860" i="1" s="1"/>
  <c r="D860" i="1"/>
  <c r="AC860" i="1" s="1"/>
  <c r="AD860" i="1"/>
  <c r="AE860" i="1"/>
  <c r="W860" i="1" s="1"/>
  <c r="AG860" i="1"/>
  <c r="AI860" i="1" s="1"/>
  <c r="AD861" i="1"/>
  <c r="AE861" i="1"/>
  <c r="W861" i="1" s="1"/>
  <c r="AF852" i="1" l="1"/>
  <c r="AB852" i="1"/>
  <c r="X853" i="1"/>
  <c r="Y853" i="1" s="1"/>
  <c r="Z853" i="1" s="1"/>
  <c r="AA853" i="1" s="1"/>
  <c r="Y852" i="1"/>
  <c r="AA852" i="1"/>
  <c r="X852" i="1"/>
  <c r="Z852" i="1"/>
  <c r="AF860" i="1"/>
  <c r="AB860" i="1"/>
  <c r="X861" i="1"/>
  <c r="Y861" i="1" s="1"/>
  <c r="Z861" i="1" s="1"/>
  <c r="AA861" i="1" s="1"/>
  <c r="Y860" i="1"/>
  <c r="AA860" i="1"/>
  <c r="X860" i="1"/>
  <c r="Z860" i="1"/>
  <c r="G1" i="11" l="1"/>
  <c r="B517" i="1" l="1"/>
  <c r="C517" i="1" s="1"/>
  <c r="D517" i="1"/>
  <c r="AC517" i="1" s="1"/>
  <c r="AD517" i="1"/>
  <c r="AE517" i="1"/>
  <c r="W517" i="1" s="1"/>
  <c r="AG517" i="1"/>
  <c r="AI517" i="1" s="1"/>
  <c r="AE518" i="1"/>
  <c r="W518" i="1" s="1"/>
  <c r="B519" i="1"/>
  <c r="C519" i="1" s="1"/>
  <c r="AE519" i="1"/>
  <c r="W519" i="1" s="1"/>
  <c r="B520" i="1"/>
  <c r="C520" i="1" s="1"/>
  <c r="AE520" i="1"/>
  <c r="W520" i="1" s="1"/>
  <c r="AE521" i="1"/>
  <c r="W521" i="1" s="1"/>
  <c r="B522" i="1"/>
  <c r="C522" i="1" s="1"/>
  <c r="AE522" i="1"/>
  <c r="W522" i="1" s="1"/>
  <c r="AE523" i="1"/>
  <c r="W523" i="1" s="1"/>
  <c r="B524" i="1"/>
  <c r="C524" i="1" s="1"/>
  <c r="AE524" i="1"/>
  <c r="W524" i="1" s="1"/>
  <c r="AD518" i="1" l="1"/>
  <c r="AD524" i="1"/>
  <c r="AD523" i="1"/>
  <c r="AD522" i="1"/>
  <c r="AD521" i="1"/>
  <c r="AD520" i="1"/>
  <c r="AD519" i="1"/>
  <c r="AF517" i="1"/>
  <c r="AB517" i="1"/>
  <c r="X522" i="1"/>
  <c r="Y522" i="1" s="1"/>
  <c r="Z522" i="1" s="1"/>
  <c r="AA522" i="1" s="1"/>
  <c r="X520" i="1"/>
  <c r="X518" i="1"/>
  <c r="Y518" i="1" s="1"/>
  <c r="Z518" i="1" s="1"/>
  <c r="AA518" i="1" s="1"/>
  <c r="X523" i="1"/>
  <c r="Y523" i="1" s="1"/>
  <c r="Z523" i="1" s="1"/>
  <c r="AA523" i="1" s="1"/>
  <c r="X521" i="1"/>
  <c r="Y521" i="1" s="1"/>
  <c r="Z521" i="1" s="1"/>
  <c r="AA521" i="1" s="1"/>
  <c r="X519" i="1"/>
  <c r="Y517" i="1"/>
  <c r="AA517" i="1"/>
  <c r="X517" i="1"/>
  <c r="Z517" i="1"/>
  <c r="X524" i="1"/>
  <c r="Y524" i="1" s="1"/>
  <c r="Z524" i="1" s="1"/>
  <c r="AA524" i="1" s="1"/>
  <c r="Y520" i="1" l="1"/>
  <c r="Z520" i="1" s="1"/>
  <c r="AA520" i="1" s="1"/>
  <c r="Y519" i="1"/>
  <c r="Z519" i="1" s="1"/>
  <c r="AA519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790" i="1" l="1"/>
  <c r="W790" i="1" s="1"/>
  <c r="B791" i="1"/>
  <c r="C791" i="1" s="1"/>
  <c r="AE791" i="1"/>
  <c r="W791" i="1" s="1"/>
  <c r="B792" i="1"/>
  <c r="C792" i="1" s="1"/>
  <c r="AE792" i="1"/>
  <c r="W792" i="1" s="1"/>
  <c r="B793" i="1"/>
  <c r="C793" i="1" s="1"/>
  <c r="AE793" i="1"/>
  <c r="W793" i="1" s="1"/>
  <c r="B794" i="1"/>
  <c r="C794" i="1" s="1"/>
  <c r="AE794" i="1"/>
  <c r="W794" i="1" s="1"/>
  <c r="B795" i="1"/>
  <c r="C795" i="1" s="1"/>
  <c r="AE795" i="1"/>
  <c r="W795" i="1" s="1"/>
  <c r="B796" i="1"/>
  <c r="C796" i="1" s="1"/>
  <c r="AE796" i="1"/>
  <c r="W796" i="1" s="1"/>
  <c r="AE797" i="1"/>
  <c r="W797" i="1" s="1"/>
  <c r="B798" i="1"/>
  <c r="C798" i="1" s="1"/>
  <c r="AE798" i="1"/>
  <c r="W798" i="1" s="1"/>
  <c r="B799" i="1"/>
  <c r="C799" i="1" s="1"/>
  <c r="AE799" i="1"/>
  <c r="W799" i="1" s="1"/>
  <c r="AD798" i="1" l="1"/>
  <c r="AD799" i="1"/>
  <c r="AD797" i="1"/>
  <c r="AD795" i="1"/>
  <c r="AD796" i="1"/>
  <c r="AD794" i="1"/>
  <c r="AD793" i="1"/>
  <c r="AD792" i="1"/>
  <c r="AD791" i="1"/>
  <c r="AD790" i="1"/>
  <c r="X798" i="1"/>
  <c r="X796" i="1"/>
  <c r="X797" i="1"/>
  <c r="X795" i="1"/>
  <c r="X793" i="1"/>
  <c r="X791" i="1"/>
  <c r="X794" i="1"/>
  <c r="X792" i="1"/>
  <c r="X790" i="1"/>
  <c r="Y790" i="1" s="1"/>
  <c r="Z790" i="1" s="1"/>
  <c r="AA790" i="1" s="1"/>
  <c r="X799" i="1"/>
  <c r="Y799" i="1" s="1"/>
  <c r="Z799" i="1" s="1"/>
  <c r="AA799" i="1" s="1"/>
  <c r="Y798" i="1" l="1"/>
  <c r="Z798" i="1" s="1"/>
  <c r="AA798" i="1" s="1"/>
  <c r="Y795" i="1"/>
  <c r="Z795" i="1" s="1"/>
  <c r="AA795" i="1" s="1"/>
  <c r="Y797" i="1"/>
  <c r="Z797" i="1" s="1"/>
  <c r="AA797" i="1" s="1"/>
  <c r="Y796" i="1"/>
  <c r="Z796" i="1" s="1"/>
  <c r="AA796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B364" i="1" l="1"/>
  <c r="C364" i="1" s="1"/>
  <c r="AE364" i="1"/>
  <c r="W364" i="1" s="1"/>
  <c r="AD364" i="1" l="1"/>
  <c r="X364" i="1"/>
  <c r="Y364" i="1" s="1"/>
  <c r="Z364" i="1" l="1"/>
  <c r="AA364" i="1" s="1"/>
  <c r="AE602" i="1"/>
  <c r="W602" i="1" s="1"/>
  <c r="AE603" i="1"/>
  <c r="W603" i="1" s="1"/>
  <c r="B604" i="1"/>
  <c r="C604" i="1" s="1"/>
  <c r="AE604" i="1"/>
  <c r="W604" i="1" s="1"/>
  <c r="AD602" i="1" l="1"/>
  <c r="AD604" i="1"/>
  <c r="AD603" i="1"/>
  <c r="X602" i="1"/>
  <c r="Y602" i="1" s="1"/>
  <c r="Z602" i="1" s="1"/>
  <c r="AA602" i="1" s="1"/>
  <c r="X603" i="1"/>
  <c r="X604" i="1"/>
  <c r="Y604" i="1" s="1"/>
  <c r="Z604" i="1" s="1"/>
  <c r="AA604" i="1" s="1"/>
  <c r="F1" i="10"/>
  <c r="Y603" i="1" l="1"/>
  <c r="Z603" i="1" s="1"/>
  <c r="AA603" i="1" s="1"/>
  <c r="AE543" i="1"/>
  <c r="W543" i="1" s="1"/>
  <c r="AE544" i="1"/>
  <c r="W544" i="1" s="1"/>
  <c r="AD544" i="1" l="1"/>
  <c r="AD543" i="1"/>
  <c r="X544" i="1"/>
  <c r="X543" i="1"/>
  <c r="Y543" i="1" s="1"/>
  <c r="Z543" i="1" s="1"/>
  <c r="AA543" i="1" s="1"/>
  <c r="Y544" i="1" l="1"/>
  <c r="Z544" i="1" s="1"/>
  <c r="AA544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501" i="1" l="1"/>
  <c r="W501" i="1" s="1"/>
  <c r="AD501" i="1" l="1"/>
  <c r="X501" i="1"/>
  <c r="D169" i="1"/>
  <c r="D321" i="1"/>
  <c r="D616" i="1"/>
  <c r="D695" i="1"/>
  <c r="D704" i="1"/>
  <c r="D715" i="1"/>
  <c r="D766" i="1"/>
  <c r="D775" i="1"/>
  <c r="D785" i="1"/>
  <c r="D819" i="1"/>
  <c r="D824" i="1"/>
  <c r="D826" i="1"/>
  <c r="D831" i="1"/>
  <c r="D778" i="1"/>
  <c r="D836" i="1"/>
  <c r="D838" i="1"/>
  <c r="D840" i="1"/>
  <c r="D844" i="1"/>
  <c r="D850" i="1"/>
  <c r="D854" i="1"/>
  <c r="D858" i="1"/>
  <c r="D862" i="1"/>
  <c r="D866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Y501" i="1" l="1"/>
  <c r="Z501" i="1" s="1"/>
  <c r="AA501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943" i="1"/>
  <c r="AI943" i="1" s="1"/>
  <c r="AD943" i="1"/>
  <c r="AE943" i="1"/>
  <c r="W943" i="1" s="1"/>
  <c r="AC943" i="1"/>
  <c r="B943" i="1"/>
  <c r="C943" i="1" s="1"/>
  <c r="AG942" i="1"/>
  <c r="AI942" i="1" s="1"/>
  <c r="AD942" i="1"/>
  <c r="AE942" i="1"/>
  <c r="W942" i="1" s="1"/>
  <c r="AC942" i="1"/>
  <c r="B942" i="1"/>
  <c r="C942" i="1" s="1"/>
  <c r="AG941" i="1"/>
  <c r="AI941" i="1" s="1"/>
  <c r="AD941" i="1"/>
  <c r="AE941" i="1"/>
  <c r="W941" i="1" s="1"/>
  <c r="AC941" i="1"/>
  <c r="B941" i="1"/>
  <c r="C941" i="1" s="1"/>
  <c r="AG940" i="1"/>
  <c r="AI940" i="1" s="1"/>
  <c r="AD940" i="1"/>
  <c r="AE940" i="1"/>
  <c r="W940" i="1" s="1"/>
  <c r="AC940" i="1"/>
  <c r="B940" i="1"/>
  <c r="C940" i="1" s="1"/>
  <c r="AG939" i="1"/>
  <c r="AI939" i="1" s="1"/>
  <c r="AD939" i="1"/>
  <c r="AE939" i="1"/>
  <c r="W939" i="1" s="1"/>
  <c r="AC939" i="1"/>
  <c r="B939" i="1"/>
  <c r="C939" i="1" s="1"/>
  <c r="AG938" i="1"/>
  <c r="AI938" i="1" s="1"/>
  <c r="AD938" i="1"/>
  <c r="AE938" i="1"/>
  <c r="W938" i="1" s="1"/>
  <c r="AC938" i="1"/>
  <c r="B938" i="1"/>
  <c r="C938" i="1" s="1"/>
  <c r="AG937" i="1"/>
  <c r="AI937" i="1" s="1"/>
  <c r="AD937" i="1"/>
  <c r="AE937" i="1"/>
  <c r="W937" i="1" s="1"/>
  <c r="AC937" i="1"/>
  <c r="B937" i="1"/>
  <c r="C937" i="1" s="1"/>
  <c r="AG936" i="1"/>
  <c r="AI936" i="1" s="1"/>
  <c r="AD936" i="1"/>
  <c r="AE936" i="1"/>
  <c r="W936" i="1" s="1"/>
  <c r="AC936" i="1"/>
  <c r="B936" i="1"/>
  <c r="C936" i="1" s="1"/>
  <c r="AG935" i="1"/>
  <c r="AI935" i="1" s="1"/>
  <c r="AD935" i="1"/>
  <c r="AE935" i="1"/>
  <c r="W935" i="1" s="1"/>
  <c r="AC935" i="1"/>
  <c r="B935" i="1"/>
  <c r="C935" i="1" s="1"/>
  <c r="AG934" i="1"/>
  <c r="AI934" i="1" s="1"/>
  <c r="AD934" i="1"/>
  <c r="AE934" i="1"/>
  <c r="W934" i="1" s="1"/>
  <c r="AC934" i="1"/>
  <c r="B934" i="1"/>
  <c r="C934" i="1" s="1"/>
  <c r="AG933" i="1"/>
  <c r="AI933" i="1" s="1"/>
  <c r="AD933" i="1"/>
  <c r="AE933" i="1"/>
  <c r="W933" i="1" s="1"/>
  <c r="AC933" i="1"/>
  <c r="B933" i="1"/>
  <c r="C933" i="1" s="1"/>
  <c r="AG932" i="1"/>
  <c r="AI932" i="1" s="1"/>
  <c r="AD932" i="1"/>
  <c r="AE932" i="1"/>
  <c r="W932" i="1" s="1"/>
  <c r="AC932" i="1"/>
  <c r="B932" i="1"/>
  <c r="C932" i="1" s="1"/>
  <c r="AG931" i="1"/>
  <c r="AI931" i="1" s="1"/>
  <c r="AD931" i="1"/>
  <c r="AE931" i="1"/>
  <c r="W931" i="1" s="1"/>
  <c r="AC931" i="1"/>
  <c r="B931" i="1"/>
  <c r="C931" i="1" s="1"/>
  <c r="AG930" i="1"/>
  <c r="AI930" i="1" s="1"/>
  <c r="AD930" i="1"/>
  <c r="AE930" i="1"/>
  <c r="W930" i="1" s="1"/>
  <c r="AC930" i="1"/>
  <c r="B930" i="1"/>
  <c r="C930" i="1" s="1"/>
  <c r="AG929" i="1"/>
  <c r="AI929" i="1" s="1"/>
  <c r="AD929" i="1"/>
  <c r="AE929" i="1"/>
  <c r="W929" i="1" s="1"/>
  <c r="X929" i="1" s="1"/>
  <c r="AC929" i="1"/>
  <c r="B929" i="1"/>
  <c r="C929" i="1" s="1"/>
  <c r="AG928" i="1"/>
  <c r="AI928" i="1" s="1"/>
  <c r="AD928" i="1"/>
  <c r="AE928" i="1"/>
  <c r="W928" i="1" s="1"/>
  <c r="AC928" i="1"/>
  <c r="B928" i="1"/>
  <c r="C928" i="1" s="1"/>
  <c r="AG927" i="1"/>
  <c r="AI927" i="1" s="1"/>
  <c r="AD927" i="1"/>
  <c r="AE927" i="1"/>
  <c r="W927" i="1" s="1"/>
  <c r="X927" i="1" s="1"/>
  <c r="AC927" i="1"/>
  <c r="B927" i="1"/>
  <c r="C927" i="1" s="1"/>
  <c r="AG926" i="1"/>
  <c r="AI926" i="1" s="1"/>
  <c r="AD926" i="1"/>
  <c r="AE926" i="1"/>
  <c r="W926" i="1" s="1"/>
  <c r="AC926" i="1"/>
  <c r="B926" i="1"/>
  <c r="C926" i="1" s="1"/>
  <c r="AG925" i="1"/>
  <c r="AI925" i="1" s="1"/>
  <c r="AD925" i="1"/>
  <c r="AE925" i="1"/>
  <c r="W925" i="1" s="1"/>
  <c r="X925" i="1" s="1"/>
  <c r="AC925" i="1"/>
  <c r="B925" i="1"/>
  <c r="C925" i="1" s="1"/>
  <c r="AG924" i="1"/>
  <c r="AI924" i="1" s="1"/>
  <c r="AD924" i="1"/>
  <c r="AE924" i="1"/>
  <c r="W924" i="1" s="1"/>
  <c r="AC924" i="1"/>
  <c r="B924" i="1"/>
  <c r="C924" i="1" s="1"/>
  <c r="AG923" i="1"/>
  <c r="AI923" i="1" s="1"/>
  <c r="AD923" i="1"/>
  <c r="AE923" i="1"/>
  <c r="W923" i="1" s="1"/>
  <c r="X923" i="1" s="1"/>
  <c r="AC923" i="1"/>
  <c r="B923" i="1"/>
  <c r="C923" i="1" s="1"/>
  <c r="AG922" i="1"/>
  <c r="AI922" i="1" s="1"/>
  <c r="AD922" i="1"/>
  <c r="AE922" i="1"/>
  <c r="W922" i="1" s="1"/>
  <c r="AC922" i="1"/>
  <c r="B922" i="1"/>
  <c r="C922" i="1" s="1"/>
  <c r="AG921" i="1"/>
  <c r="AI921" i="1" s="1"/>
  <c r="AD921" i="1"/>
  <c r="AE921" i="1"/>
  <c r="W921" i="1" s="1"/>
  <c r="X921" i="1" s="1"/>
  <c r="AC921" i="1"/>
  <c r="B921" i="1"/>
  <c r="C921" i="1" s="1"/>
  <c r="AG920" i="1"/>
  <c r="AI920" i="1" s="1"/>
  <c r="AD920" i="1"/>
  <c r="AE920" i="1"/>
  <c r="W920" i="1" s="1"/>
  <c r="AC920" i="1"/>
  <c r="B920" i="1"/>
  <c r="C920" i="1" s="1"/>
  <c r="AG919" i="1"/>
  <c r="AI919" i="1" s="1"/>
  <c r="AD919" i="1"/>
  <c r="AE919" i="1"/>
  <c r="W919" i="1" s="1"/>
  <c r="X919" i="1" s="1"/>
  <c r="AC919" i="1"/>
  <c r="B919" i="1"/>
  <c r="C919" i="1" s="1"/>
  <c r="AG918" i="1"/>
  <c r="AI918" i="1" s="1"/>
  <c r="AD918" i="1"/>
  <c r="AE918" i="1"/>
  <c r="W918" i="1" s="1"/>
  <c r="AC918" i="1"/>
  <c r="B918" i="1"/>
  <c r="C918" i="1" s="1"/>
  <c r="AG917" i="1"/>
  <c r="AI917" i="1" s="1"/>
  <c r="AD917" i="1"/>
  <c r="AE917" i="1"/>
  <c r="W917" i="1" s="1"/>
  <c r="X917" i="1" s="1"/>
  <c r="AC917" i="1"/>
  <c r="B917" i="1"/>
  <c r="C917" i="1" s="1"/>
  <c r="AG916" i="1"/>
  <c r="AI916" i="1" s="1"/>
  <c r="AD916" i="1"/>
  <c r="AE916" i="1"/>
  <c r="W916" i="1" s="1"/>
  <c r="AC916" i="1"/>
  <c r="B916" i="1"/>
  <c r="C916" i="1" s="1"/>
  <c r="AG915" i="1"/>
  <c r="AI915" i="1" s="1"/>
  <c r="AD915" i="1"/>
  <c r="AE915" i="1"/>
  <c r="W915" i="1" s="1"/>
  <c r="X915" i="1" s="1"/>
  <c r="AC915" i="1"/>
  <c r="B915" i="1"/>
  <c r="C915" i="1" s="1"/>
  <c r="AG914" i="1"/>
  <c r="AI914" i="1" s="1"/>
  <c r="AD914" i="1"/>
  <c r="AE914" i="1"/>
  <c r="W914" i="1" s="1"/>
  <c r="AC914" i="1"/>
  <c r="B914" i="1"/>
  <c r="C914" i="1" s="1"/>
  <c r="AG913" i="1"/>
  <c r="AI913" i="1" s="1"/>
  <c r="AD913" i="1"/>
  <c r="AE913" i="1"/>
  <c r="W913" i="1" s="1"/>
  <c r="X913" i="1" s="1"/>
  <c r="AC913" i="1"/>
  <c r="B913" i="1"/>
  <c r="C913" i="1" s="1"/>
  <c r="AG912" i="1"/>
  <c r="AI912" i="1" s="1"/>
  <c r="AD912" i="1"/>
  <c r="AE912" i="1"/>
  <c r="W912" i="1" s="1"/>
  <c r="AC912" i="1"/>
  <c r="B912" i="1"/>
  <c r="C912" i="1" s="1"/>
  <c r="AG911" i="1"/>
  <c r="AI911" i="1" s="1"/>
  <c r="AD911" i="1"/>
  <c r="AE911" i="1"/>
  <c r="W911" i="1" s="1"/>
  <c r="X911" i="1" s="1"/>
  <c r="AC911" i="1"/>
  <c r="B911" i="1"/>
  <c r="C911" i="1" s="1"/>
  <c r="AG910" i="1"/>
  <c r="AI910" i="1" s="1"/>
  <c r="AD910" i="1"/>
  <c r="AE910" i="1"/>
  <c r="W910" i="1" s="1"/>
  <c r="AC910" i="1"/>
  <c r="B910" i="1"/>
  <c r="C910" i="1" s="1"/>
  <c r="AG909" i="1"/>
  <c r="AI909" i="1" s="1"/>
  <c r="AD909" i="1"/>
  <c r="AE909" i="1"/>
  <c r="W909" i="1" s="1"/>
  <c r="X909" i="1" s="1"/>
  <c r="AC909" i="1"/>
  <c r="B909" i="1"/>
  <c r="C909" i="1" s="1"/>
  <c r="AG908" i="1"/>
  <c r="AI908" i="1" s="1"/>
  <c r="AD908" i="1"/>
  <c r="AE908" i="1"/>
  <c r="W908" i="1" s="1"/>
  <c r="X908" i="1" s="1"/>
  <c r="AC908" i="1"/>
  <c r="B908" i="1"/>
  <c r="C908" i="1" s="1"/>
  <c r="AG907" i="1"/>
  <c r="AI907" i="1" s="1"/>
  <c r="AD907" i="1"/>
  <c r="AE907" i="1"/>
  <c r="W907" i="1" s="1"/>
  <c r="X907" i="1" s="1"/>
  <c r="AC907" i="1"/>
  <c r="B907" i="1"/>
  <c r="C907" i="1" s="1"/>
  <c r="AG906" i="1"/>
  <c r="AI906" i="1" s="1"/>
  <c r="AD906" i="1"/>
  <c r="AE906" i="1"/>
  <c r="W906" i="1" s="1"/>
  <c r="X906" i="1" s="1"/>
  <c r="AC906" i="1"/>
  <c r="B906" i="1"/>
  <c r="C906" i="1" s="1"/>
  <c r="AG905" i="1"/>
  <c r="AI905" i="1" s="1"/>
  <c r="AD905" i="1"/>
  <c r="AE905" i="1"/>
  <c r="W905" i="1" s="1"/>
  <c r="X905" i="1" s="1"/>
  <c r="AC905" i="1"/>
  <c r="B905" i="1"/>
  <c r="C905" i="1" s="1"/>
  <c r="AG904" i="1"/>
  <c r="AI904" i="1" s="1"/>
  <c r="AD904" i="1"/>
  <c r="AE904" i="1"/>
  <c r="W904" i="1" s="1"/>
  <c r="X904" i="1" s="1"/>
  <c r="AC904" i="1"/>
  <c r="B904" i="1"/>
  <c r="C904" i="1" s="1"/>
  <c r="AG903" i="1"/>
  <c r="AI903" i="1" s="1"/>
  <c r="AD903" i="1"/>
  <c r="AE903" i="1"/>
  <c r="W903" i="1" s="1"/>
  <c r="X903" i="1" s="1"/>
  <c r="AC903" i="1"/>
  <c r="B903" i="1"/>
  <c r="C903" i="1" s="1"/>
  <c r="AG902" i="1"/>
  <c r="AI902" i="1" s="1"/>
  <c r="AD902" i="1"/>
  <c r="AE902" i="1"/>
  <c r="W902" i="1" s="1"/>
  <c r="X902" i="1" s="1"/>
  <c r="AC902" i="1"/>
  <c r="B902" i="1"/>
  <c r="C902" i="1" s="1"/>
  <c r="AG901" i="1"/>
  <c r="AI901" i="1" s="1"/>
  <c r="AD901" i="1"/>
  <c r="AE901" i="1"/>
  <c r="W901" i="1" s="1"/>
  <c r="X901" i="1" s="1"/>
  <c r="AC901" i="1"/>
  <c r="B901" i="1"/>
  <c r="C901" i="1" s="1"/>
  <c r="AG900" i="1"/>
  <c r="AI900" i="1" s="1"/>
  <c r="AD900" i="1"/>
  <c r="AE900" i="1"/>
  <c r="W900" i="1" s="1"/>
  <c r="X900" i="1" s="1"/>
  <c r="AC900" i="1"/>
  <c r="B900" i="1"/>
  <c r="C900" i="1" s="1"/>
  <c r="AG899" i="1"/>
  <c r="AI899" i="1" s="1"/>
  <c r="AD899" i="1"/>
  <c r="AE899" i="1"/>
  <c r="W899" i="1" s="1"/>
  <c r="X899" i="1" s="1"/>
  <c r="AC899" i="1"/>
  <c r="B899" i="1"/>
  <c r="C899" i="1" s="1"/>
  <c r="AG898" i="1"/>
  <c r="AI898" i="1" s="1"/>
  <c r="AD898" i="1"/>
  <c r="AE898" i="1"/>
  <c r="W898" i="1" s="1"/>
  <c r="X898" i="1" s="1"/>
  <c r="AC898" i="1"/>
  <c r="B898" i="1"/>
  <c r="C898" i="1" s="1"/>
  <c r="AG897" i="1"/>
  <c r="AI897" i="1" s="1"/>
  <c r="AD897" i="1"/>
  <c r="AE897" i="1"/>
  <c r="W897" i="1" s="1"/>
  <c r="X897" i="1" s="1"/>
  <c r="AC897" i="1"/>
  <c r="B897" i="1"/>
  <c r="C897" i="1" s="1"/>
  <c r="AG896" i="1"/>
  <c r="AI896" i="1" s="1"/>
  <c r="AD896" i="1"/>
  <c r="AE896" i="1"/>
  <c r="W896" i="1" s="1"/>
  <c r="X896" i="1" s="1"/>
  <c r="AC896" i="1"/>
  <c r="B896" i="1"/>
  <c r="C896" i="1" s="1"/>
  <c r="AG895" i="1"/>
  <c r="AI895" i="1" s="1"/>
  <c r="AD895" i="1"/>
  <c r="AE895" i="1"/>
  <c r="W895" i="1" s="1"/>
  <c r="X895" i="1" s="1"/>
  <c r="AC895" i="1"/>
  <c r="B895" i="1"/>
  <c r="C895" i="1" s="1"/>
  <c r="AG894" i="1"/>
  <c r="AI894" i="1" s="1"/>
  <c r="AD894" i="1"/>
  <c r="AE894" i="1"/>
  <c r="W894" i="1" s="1"/>
  <c r="X894" i="1" s="1"/>
  <c r="AC894" i="1"/>
  <c r="B894" i="1"/>
  <c r="C894" i="1" s="1"/>
  <c r="AG893" i="1"/>
  <c r="AI893" i="1" s="1"/>
  <c r="AD893" i="1"/>
  <c r="AE893" i="1"/>
  <c r="W893" i="1" s="1"/>
  <c r="X893" i="1" s="1"/>
  <c r="AC893" i="1"/>
  <c r="B893" i="1"/>
  <c r="C893" i="1" s="1"/>
  <c r="AG892" i="1"/>
  <c r="AI892" i="1" s="1"/>
  <c r="AD892" i="1"/>
  <c r="AE892" i="1"/>
  <c r="W892" i="1" s="1"/>
  <c r="X892" i="1" s="1"/>
  <c r="AC892" i="1"/>
  <c r="B892" i="1"/>
  <c r="C892" i="1" s="1"/>
  <c r="AG891" i="1"/>
  <c r="AI891" i="1" s="1"/>
  <c r="AD891" i="1"/>
  <c r="AE891" i="1"/>
  <c r="W891" i="1" s="1"/>
  <c r="AC891" i="1"/>
  <c r="B891" i="1"/>
  <c r="C891" i="1" s="1"/>
  <c r="AG890" i="1"/>
  <c r="AI890" i="1" s="1"/>
  <c r="AD890" i="1"/>
  <c r="AE890" i="1"/>
  <c r="W890" i="1" s="1"/>
  <c r="AC890" i="1"/>
  <c r="B890" i="1"/>
  <c r="C890" i="1" s="1"/>
  <c r="AG889" i="1"/>
  <c r="AI889" i="1" s="1"/>
  <c r="AD889" i="1"/>
  <c r="AE889" i="1"/>
  <c r="W889" i="1" s="1"/>
  <c r="AC889" i="1"/>
  <c r="B889" i="1"/>
  <c r="C889" i="1" s="1"/>
  <c r="AG888" i="1"/>
  <c r="AI888" i="1" s="1"/>
  <c r="AD888" i="1"/>
  <c r="AE888" i="1"/>
  <c r="W888" i="1" s="1"/>
  <c r="AC888" i="1"/>
  <c r="B888" i="1"/>
  <c r="C888" i="1" s="1"/>
  <c r="AG887" i="1"/>
  <c r="AI887" i="1" s="1"/>
  <c r="AD887" i="1"/>
  <c r="AE887" i="1"/>
  <c r="W887" i="1" s="1"/>
  <c r="AC887" i="1"/>
  <c r="B887" i="1"/>
  <c r="C887" i="1" s="1"/>
  <c r="AG886" i="1"/>
  <c r="AI886" i="1" s="1"/>
  <c r="AD886" i="1"/>
  <c r="AE886" i="1"/>
  <c r="W886" i="1" s="1"/>
  <c r="AC886" i="1"/>
  <c r="B886" i="1"/>
  <c r="C886" i="1" s="1"/>
  <c r="AG885" i="1"/>
  <c r="AI885" i="1" s="1"/>
  <c r="AD885" i="1"/>
  <c r="AE885" i="1"/>
  <c r="W885" i="1" s="1"/>
  <c r="AC885" i="1"/>
  <c r="B885" i="1"/>
  <c r="C885" i="1" s="1"/>
  <c r="AG884" i="1"/>
  <c r="AI884" i="1" s="1"/>
  <c r="AD884" i="1"/>
  <c r="AE884" i="1"/>
  <c r="W884" i="1" s="1"/>
  <c r="AC884" i="1"/>
  <c r="B884" i="1"/>
  <c r="C884" i="1" s="1"/>
  <c r="AG883" i="1"/>
  <c r="AI883" i="1" s="1"/>
  <c r="AD883" i="1"/>
  <c r="AE883" i="1"/>
  <c r="W883" i="1" s="1"/>
  <c r="AC883" i="1"/>
  <c r="B883" i="1"/>
  <c r="C883" i="1" s="1"/>
  <c r="AG882" i="1"/>
  <c r="AI882" i="1" s="1"/>
  <c r="AD882" i="1"/>
  <c r="AE882" i="1"/>
  <c r="W882" i="1" s="1"/>
  <c r="AC882" i="1"/>
  <c r="B882" i="1"/>
  <c r="C882" i="1" s="1"/>
  <c r="AG881" i="1"/>
  <c r="AI881" i="1" s="1"/>
  <c r="AD881" i="1"/>
  <c r="AE881" i="1"/>
  <c r="W881" i="1" s="1"/>
  <c r="AC881" i="1"/>
  <c r="B881" i="1"/>
  <c r="C881" i="1" s="1"/>
  <c r="AG880" i="1"/>
  <c r="AI880" i="1" s="1"/>
  <c r="AD880" i="1"/>
  <c r="AE880" i="1"/>
  <c r="W880" i="1" s="1"/>
  <c r="AC880" i="1"/>
  <c r="B880" i="1"/>
  <c r="C880" i="1" s="1"/>
  <c r="AG879" i="1"/>
  <c r="AI879" i="1" s="1"/>
  <c r="AD879" i="1"/>
  <c r="AE879" i="1"/>
  <c r="W879" i="1" s="1"/>
  <c r="AC879" i="1"/>
  <c r="B879" i="1"/>
  <c r="C879" i="1" s="1"/>
  <c r="AG878" i="1"/>
  <c r="AI878" i="1" s="1"/>
  <c r="AD878" i="1"/>
  <c r="AE878" i="1"/>
  <c r="W878" i="1" s="1"/>
  <c r="AC878" i="1"/>
  <c r="B878" i="1"/>
  <c r="C878" i="1" s="1"/>
  <c r="AG877" i="1"/>
  <c r="AI877" i="1" s="1"/>
  <c r="AD877" i="1"/>
  <c r="AE877" i="1"/>
  <c r="W877" i="1" s="1"/>
  <c r="AC877" i="1"/>
  <c r="B877" i="1"/>
  <c r="C877" i="1" s="1"/>
  <c r="AG876" i="1"/>
  <c r="AI876" i="1" s="1"/>
  <c r="AD876" i="1"/>
  <c r="AE876" i="1"/>
  <c r="W876" i="1" s="1"/>
  <c r="AC876" i="1"/>
  <c r="B876" i="1"/>
  <c r="C876" i="1" s="1"/>
  <c r="AG875" i="1"/>
  <c r="AI875" i="1" s="1"/>
  <c r="AD875" i="1"/>
  <c r="AE875" i="1"/>
  <c r="W875" i="1" s="1"/>
  <c r="AC875" i="1"/>
  <c r="B875" i="1"/>
  <c r="C875" i="1" s="1"/>
  <c r="AG874" i="1"/>
  <c r="AI874" i="1" s="1"/>
  <c r="AD874" i="1"/>
  <c r="AE874" i="1"/>
  <c r="W874" i="1" s="1"/>
  <c r="AC874" i="1"/>
  <c r="B874" i="1"/>
  <c r="C874" i="1" s="1"/>
  <c r="AG873" i="1"/>
  <c r="AI873" i="1" s="1"/>
  <c r="AD873" i="1"/>
  <c r="AE873" i="1"/>
  <c r="W873" i="1" s="1"/>
  <c r="AC873" i="1"/>
  <c r="B873" i="1"/>
  <c r="C873" i="1" s="1"/>
  <c r="AG872" i="1"/>
  <c r="AI872" i="1" s="1"/>
  <c r="AD872" i="1"/>
  <c r="AE872" i="1"/>
  <c r="W872" i="1" s="1"/>
  <c r="AC872" i="1"/>
  <c r="B872" i="1"/>
  <c r="C872" i="1" s="1"/>
  <c r="AG871" i="1"/>
  <c r="AI871" i="1" s="1"/>
  <c r="AD871" i="1"/>
  <c r="AE871" i="1"/>
  <c r="W871" i="1" s="1"/>
  <c r="AC871" i="1"/>
  <c r="B871" i="1"/>
  <c r="C871" i="1" s="1"/>
  <c r="AG870" i="1"/>
  <c r="AI870" i="1" s="1"/>
  <c r="AD870" i="1"/>
  <c r="AE870" i="1"/>
  <c r="W870" i="1" s="1"/>
  <c r="AC870" i="1"/>
  <c r="B870" i="1"/>
  <c r="C870" i="1" s="1"/>
  <c r="AG869" i="1"/>
  <c r="AI869" i="1" s="1"/>
  <c r="AD869" i="1"/>
  <c r="AE869" i="1"/>
  <c r="W869" i="1" s="1"/>
  <c r="AC869" i="1"/>
  <c r="AG868" i="1"/>
  <c r="AI868" i="1" s="1"/>
  <c r="AD868" i="1"/>
  <c r="AE868" i="1"/>
  <c r="W868" i="1" s="1"/>
  <c r="AC868" i="1"/>
  <c r="B868" i="1"/>
  <c r="C868" i="1" s="1"/>
  <c r="AE867" i="1"/>
  <c r="W867" i="1" s="1"/>
  <c r="AG866" i="1"/>
  <c r="AI866" i="1" s="1"/>
  <c r="AD866" i="1"/>
  <c r="AE866" i="1"/>
  <c r="W866" i="1" s="1"/>
  <c r="AC866" i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AG862" i="1"/>
  <c r="AI862" i="1" s="1"/>
  <c r="AD862" i="1"/>
  <c r="AE862" i="1"/>
  <c r="W862" i="1" s="1"/>
  <c r="AC862" i="1"/>
  <c r="B862" i="1"/>
  <c r="C862" i="1" s="1"/>
  <c r="AE859" i="1"/>
  <c r="W859" i="1" s="1"/>
  <c r="AG858" i="1"/>
  <c r="AI858" i="1" s="1"/>
  <c r="AD858" i="1"/>
  <c r="AE858" i="1"/>
  <c r="W858" i="1" s="1"/>
  <c r="AC858" i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G854" i="1"/>
  <c r="AI854" i="1" s="1"/>
  <c r="AD854" i="1"/>
  <c r="AE854" i="1"/>
  <c r="W854" i="1" s="1"/>
  <c r="AC854" i="1"/>
  <c r="B854" i="1"/>
  <c r="C854" i="1" s="1"/>
  <c r="AE851" i="1"/>
  <c r="W851" i="1" s="1"/>
  <c r="AG850" i="1"/>
  <c r="AI850" i="1" s="1"/>
  <c r="AD850" i="1"/>
  <c r="AE850" i="1"/>
  <c r="W850" i="1" s="1"/>
  <c r="AC850" i="1"/>
  <c r="B850" i="1"/>
  <c r="C850" i="1" s="1"/>
  <c r="AE849" i="1"/>
  <c r="W849" i="1" s="1"/>
  <c r="B849" i="1"/>
  <c r="C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AG844" i="1"/>
  <c r="AI844" i="1" s="1"/>
  <c r="AD844" i="1"/>
  <c r="AE844" i="1"/>
  <c r="W844" i="1" s="1"/>
  <c r="AC844" i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AG840" i="1"/>
  <c r="AI840" i="1" s="1"/>
  <c r="AD840" i="1"/>
  <c r="AE840" i="1"/>
  <c r="W840" i="1" s="1"/>
  <c r="AC840" i="1"/>
  <c r="B840" i="1"/>
  <c r="C840" i="1" s="1"/>
  <c r="AE839" i="1"/>
  <c r="W839" i="1" s="1"/>
  <c r="AG838" i="1"/>
  <c r="AI838" i="1" s="1"/>
  <c r="AD838" i="1"/>
  <c r="AE838" i="1"/>
  <c r="W838" i="1" s="1"/>
  <c r="AC838" i="1"/>
  <c r="B838" i="1"/>
  <c r="C838" i="1" s="1"/>
  <c r="AE837" i="1"/>
  <c r="W837" i="1" s="1"/>
  <c r="AG836" i="1"/>
  <c r="AI836" i="1" s="1"/>
  <c r="AD836" i="1"/>
  <c r="AE836" i="1"/>
  <c r="W836" i="1" s="1"/>
  <c r="AC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AG778" i="1"/>
  <c r="AI778" i="1" s="1"/>
  <c r="AD778" i="1"/>
  <c r="AE778" i="1"/>
  <c r="W778" i="1" s="1"/>
  <c r="Z778" i="1" s="1"/>
  <c r="AF778" i="1"/>
  <c r="B778" i="1"/>
  <c r="C778" i="1" s="1"/>
  <c r="AE777" i="1"/>
  <c r="W777" i="1" s="1"/>
  <c r="B777" i="1"/>
  <c r="C777" i="1" s="1"/>
  <c r="AE776" i="1"/>
  <c r="W776" i="1" s="1"/>
  <c r="AG831" i="1"/>
  <c r="AI831" i="1" s="1"/>
  <c r="AD831" i="1"/>
  <c r="AE831" i="1"/>
  <c r="W831" i="1" s="1"/>
  <c r="Z831" i="1" s="1"/>
  <c r="AF831" i="1"/>
  <c r="B831" i="1"/>
  <c r="C831" i="1" s="1"/>
  <c r="AD830" i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AG826" i="1"/>
  <c r="AI826" i="1" s="1"/>
  <c r="AD826" i="1"/>
  <c r="AE826" i="1"/>
  <c r="W826" i="1" s="1"/>
  <c r="Z826" i="1" s="1"/>
  <c r="AF826" i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AE812" i="1"/>
  <c r="W812" i="1" s="1"/>
  <c r="B812" i="1"/>
  <c r="C812" i="1" s="1"/>
  <c r="AE811" i="1"/>
  <c r="W811" i="1" s="1"/>
  <c r="AE810" i="1"/>
  <c r="W810" i="1" s="1"/>
  <c r="B810" i="1"/>
  <c r="C810" i="1" s="1"/>
  <c r="AE809" i="1"/>
  <c r="W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AE789" i="1"/>
  <c r="W789" i="1" s="1"/>
  <c r="B789" i="1"/>
  <c r="C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Z785" i="1" s="1"/>
  <c r="AF785" i="1"/>
  <c r="B785" i="1"/>
  <c r="C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AG775" i="1"/>
  <c r="AI775" i="1" s="1"/>
  <c r="AD775" i="1"/>
  <c r="AE775" i="1"/>
  <c r="W775" i="1" s="1"/>
  <c r="Z775" i="1" s="1"/>
  <c r="AF775" i="1"/>
  <c r="B775" i="1"/>
  <c r="C775" i="1" s="1"/>
  <c r="AE774" i="1"/>
  <c r="W774" i="1" s="1"/>
  <c r="B774" i="1"/>
  <c r="C774" i="1" s="1"/>
  <c r="AE773" i="1"/>
  <c r="W773" i="1" s="1"/>
  <c r="B773" i="1"/>
  <c r="C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AE768" i="1"/>
  <c r="W768" i="1" s="1"/>
  <c r="B768" i="1"/>
  <c r="C768" i="1" s="1"/>
  <c r="AE767" i="1"/>
  <c r="W767" i="1" s="1"/>
  <c r="AG766" i="1"/>
  <c r="AI766" i="1" s="1"/>
  <c r="AD766" i="1"/>
  <c r="AE766" i="1"/>
  <c r="W766" i="1" s="1"/>
  <c r="Z766" i="1" s="1"/>
  <c r="AF766" i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AE759" i="1"/>
  <c r="W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AE752" i="1"/>
  <c r="W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B732" i="1"/>
  <c r="C732" i="1" s="1"/>
  <c r="AE731" i="1"/>
  <c r="W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AE727" i="1"/>
  <c r="W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AG715" i="1"/>
  <c r="AI715" i="1" s="1"/>
  <c r="AD715" i="1"/>
  <c r="AE715" i="1"/>
  <c r="W715" i="1" s="1"/>
  <c r="Z715" i="1" s="1"/>
  <c r="AF715" i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B707" i="1"/>
  <c r="C707" i="1" s="1"/>
  <c r="AE706" i="1"/>
  <c r="W706" i="1" s="1"/>
  <c r="B706" i="1"/>
  <c r="C706" i="1" s="1"/>
  <c r="AE705" i="1"/>
  <c r="W705" i="1" s="1"/>
  <c r="AG704" i="1"/>
  <c r="AI704" i="1" s="1"/>
  <c r="AD704" i="1"/>
  <c r="AE704" i="1"/>
  <c r="W704" i="1" s="1"/>
  <c r="Z704" i="1" s="1"/>
  <c r="AF704" i="1"/>
  <c r="B704" i="1"/>
  <c r="C704" i="1" s="1"/>
  <c r="AE703" i="1"/>
  <c r="W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AE698" i="1"/>
  <c r="W698" i="1" s="1"/>
  <c r="B698" i="1"/>
  <c r="C698" i="1" s="1"/>
  <c r="AE697" i="1"/>
  <c r="W697" i="1" s="1"/>
  <c r="B697" i="1"/>
  <c r="C697" i="1" s="1"/>
  <c r="AE696" i="1"/>
  <c r="W696" i="1" s="1"/>
  <c r="AG695" i="1"/>
  <c r="AI695" i="1" s="1"/>
  <c r="AD695" i="1"/>
  <c r="AE695" i="1"/>
  <c r="W695" i="1" s="1"/>
  <c r="Y695" i="1" s="1"/>
  <c r="AC695" i="1"/>
  <c r="B695" i="1"/>
  <c r="C695" i="1" s="1"/>
  <c r="AE694" i="1"/>
  <c r="W694" i="1" s="1"/>
  <c r="AE693" i="1"/>
  <c r="W693" i="1" s="1"/>
  <c r="B693" i="1"/>
  <c r="C693" i="1" s="1"/>
  <c r="AE692" i="1"/>
  <c r="W692" i="1" s="1"/>
  <c r="AE691" i="1"/>
  <c r="W691" i="1" s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363" i="1"/>
  <c r="W363" i="1" s="1"/>
  <c r="AE362" i="1"/>
  <c r="W362" i="1" s="1"/>
  <c r="B362" i="1"/>
  <c r="C362" i="1" s="1"/>
  <c r="AE361" i="1"/>
  <c r="W361" i="1" s="1"/>
  <c r="B361" i="1"/>
  <c r="C361" i="1" s="1"/>
  <c r="AE360" i="1"/>
  <c r="W360" i="1" s="1"/>
  <c r="AE359" i="1"/>
  <c r="W359" i="1" s="1"/>
  <c r="AE358" i="1"/>
  <c r="W358" i="1" s="1"/>
  <c r="B358" i="1"/>
  <c r="C358" i="1" s="1"/>
  <c r="AE357" i="1"/>
  <c r="W357" i="1" s="1"/>
  <c r="AE356" i="1"/>
  <c r="W356" i="1" s="1"/>
  <c r="B356" i="1"/>
  <c r="C356" i="1" s="1"/>
  <c r="AE355" i="1"/>
  <c r="W355" i="1" s="1"/>
  <c r="B355" i="1"/>
  <c r="C355" i="1" s="1"/>
  <c r="AE354" i="1"/>
  <c r="W354" i="1" s="1"/>
  <c r="AE353" i="1"/>
  <c r="W353" i="1" s="1"/>
  <c r="B353" i="1"/>
  <c r="C353" i="1" s="1"/>
  <c r="AE352" i="1"/>
  <c r="W352" i="1" s="1"/>
  <c r="AE351" i="1"/>
  <c r="W351" i="1" s="1"/>
  <c r="B351" i="1"/>
  <c r="C351" i="1" s="1"/>
  <c r="AE350" i="1"/>
  <c r="W350" i="1" s="1"/>
  <c r="AE349" i="1"/>
  <c r="W349" i="1" s="1"/>
  <c r="AE348" i="1"/>
  <c r="W348" i="1" s="1"/>
  <c r="AE347" i="1"/>
  <c r="W347" i="1" s="1"/>
  <c r="B347" i="1"/>
  <c r="C347" i="1" s="1"/>
  <c r="AE346" i="1"/>
  <c r="W346" i="1" s="1"/>
  <c r="B346" i="1"/>
  <c r="C346" i="1" s="1"/>
  <c r="AE345" i="1"/>
  <c r="W345" i="1" s="1"/>
  <c r="AE344" i="1"/>
  <c r="W344" i="1" s="1"/>
  <c r="B344" i="1"/>
  <c r="C344" i="1" s="1"/>
  <c r="AE343" i="1"/>
  <c r="W343" i="1" s="1"/>
  <c r="AE342" i="1"/>
  <c r="W342" i="1" s="1"/>
  <c r="B342" i="1"/>
  <c r="C342" i="1" s="1"/>
  <c r="AE341" i="1"/>
  <c r="W341" i="1" s="1"/>
  <c r="B341" i="1"/>
  <c r="C341" i="1" s="1"/>
  <c r="AE340" i="1"/>
  <c r="W340" i="1" s="1"/>
  <c r="AE339" i="1"/>
  <c r="W339" i="1" s="1"/>
  <c r="B339" i="1"/>
  <c r="C339" i="1" s="1"/>
  <c r="AE338" i="1"/>
  <c r="W338" i="1" s="1"/>
  <c r="B338" i="1"/>
  <c r="C338" i="1" s="1"/>
  <c r="AE337" i="1"/>
  <c r="W337" i="1" s="1"/>
  <c r="B337" i="1"/>
  <c r="C337" i="1" s="1"/>
  <c r="AE336" i="1"/>
  <c r="W336" i="1" s="1"/>
  <c r="B336" i="1"/>
  <c r="C336" i="1" s="1"/>
  <c r="AE335" i="1"/>
  <c r="W335" i="1" s="1"/>
  <c r="B335" i="1"/>
  <c r="C335" i="1" s="1"/>
  <c r="AE334" i="1"/>
  <c r="W334" i="1" s="1"/>
  <c r="B334" i="1"/>
  <c r="C334" i="1" s="1"/>
  <c r="AE333" i="1"/>
  <c r="W333" i="1" s="1"/>
  <c r="B333" i="1"/>
  <c r="C333" i="1" s="1"/>
  <c r="AE332" i="1"/>
  <c r="W332" i="1" s="1"/>
  <c r="AE331" i="1"/>
  <c r="W331" i="1" s="1"/>
  <c r="AE330" i="1"/>
  <c r="W330" i="1" s="1"/>
  <c r="AE329" i="1"/>
  <c r="W329" i="1" s="1"/>
  <c r="B329" i="1"/>
  <c r="C329" i="1" s="1"/>
  <c r="AE328" i="1"/>
  <c r="W328" i="1" s="1"/>
  <c r="AE327" i="1"/>
  <c r="W327" i="1" s="1"/>
  <c r="B327" i="1"/>
  <c r="C327" i="1" s="1"/>
  <c r="AE326" i="1"/>
  <c r="W326" i="1" s="1"/>
  <c r="AE663" i="1"/>
  <c r="W663" i="1" s="1"/>
  <c r="B663" i="1"/>
  <c r="C663" i="1" s="1"/>
  <c r="AE662" i="1"/>
  <c r="W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AE658" i="1"/>
  <c r="W658" i="1" s="1"/>
  <c r="B658" i="1"/>
  <c r="C658" i="1" s="1"/>
  <c r="AE657" i="1"/>
  <c r="W657" i="1" s="1"/>
  <c r="AE656" i="1"/>
  <c r="W656" i="1" s="1"/>
  <c r="B656" i="1"/>
  <c r="C656" i="1" s="1"/>
  <c r="AE655" i="1"/>
  <c r="W655" i="1" s="1"/>
  <c r="B655" i="1"/>
  <c r="C655" i="1" s="1"/>
  <c r="AE654" i="1"/>
  <c r="W654" i="1" s="1"/>
  <c r="AE653" i="1"/>
  <c r="W653" i="1" s="1"/>
  <c r="B653" i="1"/>
  <c r="C653" i="1" s="1"/>
  <c r="AE652" i="1"/>
  <c r="W652" i="1" s="1"/>
  <c r="B652" i="1"/>
  <c r="C652" i="1" s="1"/>
  <c r="AE651" i="1"/>
  <c r="W651" i="1" s="1"/>
  <c r="B651" i="1"/>
  <c r="C651" i="1" s="1"/>
  <c r="AE650" i="1"/>
  <c r="W650" i="1" s="1"/>
  <c r="AE649" i="1"/>
  <c r="W649" i="1" s="1"/>
  <c r="B649" i="1"/>
  <c r="C649" i="1" s="1"/>
  <c r="AE648" i="1"/>
  <c r="W648" i="1" s="1"/>
  <c r="B648" i="1"/>
  <c r="C648" i="1" s="1"/>
  <c r="AE647" i="1"/>
  <c r="W647" i="1" s="1"/>
  <c r="AE646" i="1"/>
  <c r="W646" i="1" s="1"/>
  <c r="B646" i="1"/>
  <c r="C646" i="1" s="1"/>
  <c r="AE645" i="1"/>
  <c r="W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E638" i="1"/>
  <c r="W638" i="1" s="1"/>
  <c r="AE637" i="1"/>
  <c r="W637" i="1" s="1"/>
  <c r="AE636" i="1"/>
  <c r="W636" i="1" s="1"/>
  <c r="AE635" i="1"/>
  <c r="W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AE629" i="1"/>
  <c r="W629" i="1" s="1"/>
  <c r="AE628" i="1"/>
  <c r="W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AE623" i="1"/>
  <c r="W623" i="1" s="1"/>
  <c r="B623" i="1"/>
  <c r="C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AE619" i="1"/>
  <c r="W619" i="1" s="1"/>
  <c r="AE618" i="1"/>
  <c r="W618" i="1" s="1"/>
  <c r="B618" i="1"/>
  <c r="C618" i="1" s="1"/>
  <c r="AE617" i="1"/>
  <c r="W617" i="1" s="1"/>
  <c r="AG616" i="1"/>
  <c r="AI616" i="1" s="1"/>
  <c r="AD616" i="1"/>
  <c r="AE616" i="1"/>
  <c r="W616" i="1" s="1"/>
  <c r="AC616" i="1"/>
  <c r="B616" i="1"/>
  <c r="C616" i="1" s="1"/>
  <c r="AE615" i="1"/>
  <c r="W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AE611" i="1"/>
  <c r="W611" i="1" s="1"/>
  <c r="B611" i="1"/>
  <c r="C611" i="1" s="1"/>
  <c r="AE610" i="1"/>
  <c r="W610" i="1" s="1"/>
  <c r="B610" i="1"/>
  <c r="C610" i="1" s="1"/>
  <c r="AE609" i="1"/>
  <c r="W609" i="1" s="1"/>
  <c r="AE608" i="1"/>
  <c r="W608" i="1" s="1"/>
  <c r="B608" i="1"/>
  <c r="C608" i="1" s="1"/>
  <c r="AE607" i="1"/>
  <c r="W607" i="1" s="1"/>
  <c r="B607" i="1"/>
  <c r="C607" i="1" s="1"/>
  <c r="AE606" i="1"/>
  <c r="W606" i="1" s="1"/>
  <c r="AE605" i="1"/>
  <c r="W605" i="1" s="1"/>
  <c r="B605" i="1"/>
  <c r="C605" i="1" s="1"/>
  <c r="AE601" i="1"/>
  <c r="W601" i="1" s="1"/>
  <c r="AE600" i="1"/>
  <c r="W600" i="1" s="1"/>
  <c r="AE599" i="1"/>
  <c r="W599" i="1" s="1"/>
  <c r="B599" i="1"/>
  <c r="C599" i="1" s="1"/>
  <c r="AE598" i="1"/>
  <c r="W598" i="1" s="1"/>
  <c r="AE592" i="1"/>
  <c r="W592" i="1" s="1"/>
  <c r="B592" i="1"/>
  <c r="C592" i="1" s="1"/>
  <c r="AE591" i="1"/>
  <c r="W591" i="1" s="1"/>
  <c r="AE590" i="1"/>
  <c r="W590" i="1" s="1"/>
  <c r="B590" i="1"/>
  <c r="C590" i="1" s="1"/>
  <c r="AE589" i="1"/>
  <c r="W589" i="1" s="1"/>
  <c r="AE588" i="1"/>
  <c r="W588" i="1" s="1"/>
  <c r="B588" i="1"/>
  <c r="C588" i="1" s="1"/>
  <c r="AE587" i="1"/>
  <c r="W587" i="1" s="1"/>
  <c r="AE586" i="1"/>
  <c r="W586" i="1" s="1"/>
  <c r="B586" i="1"/>
  <c r="C586" i="1" s="1"/>
  <c r="AE585" i="1"/>
  <c r="W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B579" i="1"/>
  <c r="C579" i="1" s="1"/>
  <c r="AE578" i="1"/>
  <c r="W578" i="1" s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AE597" i="1"/>
  <c r="W597" i="1" s="1"/>
  <c r="B597" i="1"/>
  <c r="C597" i="1" s="1"/>
  <c r="AE596" i="1"/>
  <c r="W596" i="1" s="1"/>
  <c r="B596" i="1"/>
  <c r="C596" i="1" s="1"/>
  <c r="AE595" i="1"/>
  <c r="W595" i="1" s="1"/>
  <c r="AE594" i="1"/>
  <c r="W594" i="1" s="1"/>
  <c r="B594" i="1"/>
  <c r="C594" i="1" s="1"/>
  <c r="AE593" i="1"/>
  <c r="W593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AE564" i="1"/>
  <c r="W564" i="1" s="1"/>
  <c r="B564" i="1"/>
  <c r="C564" i="1" s="1"/>
  <c r="AE563" i="1"/>
  <c r="W563" i="1" s="1"/>
  <c r="B563" i="1"/>
  <c r="C563" i="1" s="1"/>
  <c r="AE562" i="1"/>
  <c r="W562" i="1" s="1"/>
  <c r="X562" i="1" s="1"/>
  <c r="AE561" i="1"/>
  <c r="W561" i="1" s="1"/>
  <c r="B561" i="1"/>
  <c r="C561" i="1" s="1"/>
  <c r="AE560" i="1"/>
  <c r="W560" i="1" s="1"/>
  <c r="X560" i="1" s="1"/>
  <c r="B560" i="1"/>
  <c r="C560" i="1" s="1"/>
  <c r="AE559" i="1"/>
  <c r="W559" i="1" s="1"/>
  <c r="B559" i="1"/>
  <c r="C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B556" i="1"/>
  <c r="C556" i="1" s="1"/>
  <c r="AE555" i="1"/>
  <c r="W555" i="1" s="1"/>
  <c r="B555" i="1"/>
  <c r="C555" i="1" s="1"/>
  <c r="AE554" i="1"/>
  <c r="W554" i="1" s="1"/>
  <c r="X554" i="1" s="1"/>
  <c r="AE553" i="1"/>
  <c r="W553" i="1" s="1"/>
  <c r="B553" i="1"/>
  <c r="C553" i="1" s="1"/>
  <c r="AE552" i="1"/>
  <c r="W552" i="1" s="1"/>
  <c r="X552" i="1" s="1"/>
  <c r="AE551" i="1"/>
  <c r="W551" i="1" s="1"/>
  <c r="AE550" i="1"/>
  <c r="W550" i="1" s="1"/>
  <c r="X550" i="1" s="1"/>
  <c r="B550" i="1"/>
  <c r="C550" i="1" s="1"/>
  <c r="AE549" i="1"/>
  <c r="W549" i="1" s="1"/>
  <c r="B549" i="1"/>
  <c r="C549" i="1" s="1"/>
  <c r="AE548" i="1"/>
  <c r="W548" i="1" s="1"/>
  <c r="X548" i="1" s="1"/>
  <c r="B548" i="1"/>
  <c r="C548" i="1" s="1"/>
  <c r="AE547" i="1"/>
  <c r="W547" i="1" s="1"/>
  <c r="B547" i="1"/>
  <c r="C547" i="1" s="1"/>
  <c r="AE546" i="1"/>
  <c r="W546" i="1" s="1"/>
  <c r="X546" i="1" s="1"/>
  <c r="B546" i="1"/>
  <c r="C546" i="1" s="1"/>
  <c r="AE545" i="1"/>
  <c r="W545" i="1" s="1"/>
  <c r="AE542" i="1"/>
  <c r="W542" i="1" s="1"/>
  <c r="X542" i="1" s="1"/>
  <c r="AE541" i="1"/>
  <c r="W541" i="1" s="1"/>
  <c r="AE540" i="1"/>
  <c r="W540" i="1" s="1"/>
  <c r="X540" i="1" s="1"/>
  <c r="B540" i="1"/>
  <c r="C540" i="1" s="1"/>
  <c r="AE539" i="1"/>
  <c r="W539" i="1" s="1"/>
  <c r="AE538" i="1"/>
  <c r="W538" i="1" s="1"/>
  <c r="X538" i="1" s="1"/>
  <c r="AE537" i="1"/>
  <c r="W537" i="1" s="1"/>
  <c r="AE536" i="1"/>
  <c r="W536" i="1" s="1"/>
  <c r="X536" i="1" s="1"/>
  <c r="B536" i="1"/>
  <c r="C536" i="1" s="1"/>
  <c r="AE535" i="1"/>
  <c r="W535" i="1" s="1"/>
  <c r="AE534" i="1"/>
  <c r="W534" i="1" s="1"/>
  <c r="X534" i="1" s="1"/>
  <c r="B534" i="1"/>
  <c r="C534" i="1" s="1"/>
  <c r="AE533" i="1"/>
  <c r="W533" i="1" s="1"/>
  <c r="AE532" i="1"/>
  <c r="W532" i="1" s="1"/>
  <c r="X532" i="1" s="1"/>
  <c r="AE531" i="1"/>
  <c r="W531" i="1" s="1"/>
  <c r="B531" i="1"/>
  <c r="C531" i="1" s="1"/>
  <c r="AE530" i="1"/>
  <c r="W530" i="1" s="1"/>
  <c r="X530" i="1" s="1"/>
  <c r="AE525" i="1"/>
  <c r="W525" i="1" s="1"/>
  <c r="AE516" i="1"/>
  <c r="W516" i="1" s="1"/>
  <c r="X516" i="1" s="1"/>
  <c r="AE515" i="1"/>
  <c r="W515" i="1" s="1"/>
  <c r="AE514" i="1"/>
  <c r="W514" i="1" s="1"/>
  <c r="X514" i="1" s="1"/>
  <c r="AE513" i="1"/>
  <c r="W513" i="1" s="1"/>
  <c r="AE512" i="1"/>
  <c r="W512" i="1" s="1"/>
  <c r="X512" i="1" s="1"/>
  <c r="B512" i="1"/>
  <c r="C512" i="1" s="1"/>
  <c r="AE511" i="1"/>
  <c r="W511" i="1" s="1"/>
  <c r="B511" i="1"/>
  <c r="C511" i="1" s="1"/>
  <c r="AE510" i="1"/>
  <c r="W510" i="1" s="1"/>
  <c r="X510" i="1" s="1"/>
  <c r="B510" i="1"/>
  <c r="C510" i="1" s="1"/>
  <c r="AE509" i="1"/>
  <c r="W509" i="1" s="1"/>
  <c r="AE508" i="1"/>
  <c r="W508" i="1" s="1"/>
  <c r="X508" i="1" s="1"/>
  <c r="B508" i="1"/>
  <c r="C508" i="1" s="1"/>
  <c r="AE507" i="1"/>
  <c r="W507" i="1" s="1"/>
  <c r="AE506" i="1"/>
  <c r="W506" i="1" s="1"/>
  <c r="X506" i="1" s="1"/>
  <c r="AE505" i="1"/>
  <c r="W505" i="1" s="1"/>
  <c r="AE504" i="1"/>
  <c r="W504" i="1" s="1"/>
  <c r="X504" i="1" s="1"/>
  <c r="B504" i="1"/>
  <c r="C504" i="1" s="1"/>
  <c r="AE503" i="1"/>
  <c r="W503" i="1" s="1"/>
  <c r="AE502" i="1"/>
  <c r="W502" i="1" s="1"/>
  <c r="X502" i="1" s="1"/>
  <c r="AE500" i="1"/>
  <c r="W500" i="1" s="1"/>
  <c r="B500" i="1"/>
  <c r="C500" i="1" s="1"/>
  <c r="AE499" i="1"/>
  <c r="W499" i="1" s="1"/>
  <c r="X499" i="1" s="1"/>
  <c r="B499" i="1"/>
  <c r="C499" i="1" s="1"/>
  <c r="AE498" i="1"/>
  <c r="W498" i="1" s="1"/>
  <c r="AE529" i="1"/>
  <c r="W529" i="1" s="1"/>
  <c r="X529" i="1" s="1"/>
  <c r="B529" i="1"/>
  <c r="C529" i="1" s="1"/>
  <c r="AE528" i="1"/>
  <c r="W528" i="1" s="1"/>
  <c r="AE527" i="1"/>
  <c r="W527" i="1" s="1"/>
  <c r="X527" i="1" s="1"/>
  <c r="AE526" i="1"/>
  <c r="W526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B493" i="1"/>
  <c r="C493" i="1" s="1"/>
  <c r="AE492" i="1"/>
  <c r="W492" i="1" s="1"/>
  <c r="AE491" i="1"/>
  <c r="W491" i="1" s="1"/>
  <c r="X491" i="1" s="1"/>
  <c r="B491" i="1"/>
  <c r="C491" i="1" s="1"/>
  <c r="AE490" i="1"/>
  <c r="W490" i="1" s="1"/>
  <c r="AE489" i="1"/>
  <c r="W489" i="1" s="1"/>
  <c r="X489" i="1" s="1"/>
  <c r="AE488" i="1"/>
  <c r="W488" i="1" s="1"/>
  <c r="AE487" i="1"/>
  <c r="W487" i="1" s="1"/>
  <c r="B487" i="1"/>
  <c r="C487" i="1" s="1"/>
  <c r="AE486" i="1"/>
  <c r="W486" i="1" s="1"/>
  <c r="AE485" i="1"/>
  <c r="W485" i="1" s="1"/>
  <c r="B485" i="1"/>
  <c r="C485" i="1" s="1"/>
  <c r="AE484" i="1"/>
  <c r="W484" i="1" s="1"/>
  <c r="AE483" i="1"/>
  <c r="W483" i="1" s="1"/>
  <c r="AE482" i="1"/>
  <c r="W482" i="1" s="1"/>
  <c r="B482" i="1"/>
  <c r="C482" i="1" s="1"/>
  <c r="AE481" i="1"/>
  <c r="W481" i="1" s="1"/>
  <c r="B481" i="1"/>
  <c r="C481" i="1" s="1"/>
  <c r="AE480" i="1"/>
  <c r="W480" i="1" s="1"/>
  <c r="B480" i="1"/>
  <c r="C480" i="1" s="1"/>
  <c r="AE479" i="1"/>
  <c r="B479" i="1"/>
  <c r="C479" i="1" s="1"/>
  <c r="AE478" i="1"/>
  <c r="W478" i="1" s="1"/>
  <c r="AE477" i="1"/>
  <c r="B477" i="1"/>
  <c r="C477" i="1" s="1"/>
  <c r="AE476" i="1"/>
  <c r="W476" i="1" s="1"/>
  <c r="B476" i="1"/>
  <c r="C476" i="1" s="1"/>
  <c r="AE475" i="1"/>
  <c r="AE426" i="1"/>
  <c r="B426" i="1"/>
  <c r="C426" i="1" s="1"/>
  <c r="AE425" i="1"/>
  <c r="AE424" i="1"/>
  <c r="W424" i="1" s="1"/>
  <c r="AE422" i="1"/>
  <c r="AE421" i="1"/>
  <c r="AE419" i="1"/>
  <c r="W419" i="1" s="1"/>
  <c r="B419" i="1"/>
  <c r="C419" i="1" s="1"/>
  <c r="AE418" i="1"/>
  <c r="B418" i="1"/>
  <c r="C418" i="1" s="1"/>
  <c r="AE417" i="1"/>
  <c r="B417" i="1"/>
  <c r="C417" i="1" s="1"/>
  <c r="AE416" i="1"/>
  <c r="AE415" i="1"/>
  <c r="W415" i="1" s="1"/>
  <c r="B415" i="1"/>
  <c r="C415" i="1" s="1"/>
  <c r="AE414" i="1"/>
  <c r="B414" i="1"/>
  <c r="C414" i="1" s="1"/>
  <c r="AE413" i="1"/>
  <c r="B413" i="1"/>
  <c r="C413" i="1" s="1"/>
  <c r="AE412" i="1"/>
  <c r="W412" i="1" s="1"/>
  <c r="B412" i="1"/>
  <c r="C412" i="1" s="1"/>
  <c r="AE411" i="1"/>
  <c r="W411" i="1" s="1"/>
  <c r="B411" i="1"/>
  <c r="C411" i="1" s="1"/>
  <c r="AE410" i="1"/>
  <c r="W410" i="1" s="1"/>
  <c r="B410" i="1"/>
  <c r="C410" i="1" s="1"/>
  <c r="AE408" i="1"/>
  <c r="W408" i="1" s="1"/>
  <c r="AE406" i="1"/>
  <c r="W406" i="1" s="1"/>
  <c r="B406" i="1"/>
  <c r="C406" i="1" s="1"/>
  <c r="AE405" i="1"/>
  <c r="W405" i="1" s="1"/>
  <c r="B405" i="1"/>
  <c r="C405" i="1" s="1"/>
  <c r="AE404" i="1"/>
  <c r="W404" i="1" s="1"/>
  <c r="AE403" i="1"/>
  <c r="W403" i="1" s="1"/>
  <c r="AE402" i="1"/>
  <c r="W402" i="1" s="1"/>
  <c r="AE401" i="1"/>
  <c r="W401" i="1" s="1"/>
  <c r="AE400" i="1"/>
  <c r="W400" i="1" s="1"/>
  <c r="B400" i="1"/>
  <c r="C400" i="1" s="1"/>
  <c r="AE399" i="1"/>
  <c r="W399" i="1" s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AE394" i="1"/>
  <c r="W394" i="1" s="1"/>
  <c r="AE393" i="1"/>
  <c r="W393" i="1" s="1"/>
  <c r="AE392" i="1"/>
  <c r="W392" i="1" s="1"/>
  <c r="AE391" i="1"/>
  <c r="W391" i="1" s="1"/>
  <c r="B391" i="1"/>
  <c r="C391" i="1" s="1"/>
  <c r="AE390" i="1"/>
  <c r="W390" i="1" s="1"/>
  <c r="B390" i="1"/>
  <c r="C390" i="1" s="1"/>
  <c r="AE389" i="1"/>
  <c r="W389" i="1" s="1"/>
  <c r="AE388" i="1"/>
  <c r="W388" i="1" s="1"/>
  <c r="B388" i="1"/>
  <c r="C388" i="1" s="1"/>
  <c r="AE387" i="1"/>
  <c r="W387" i="1" s="1"/>
  <c r="AE386" i="1"/>
  <c r="W386" i="1" s="1"/>
  <c r="AE385" i="1"/>
  <c r="W385" i="1" s="1"/>
  <c r="AE384" i="1"/>
  <c r="W384" i="1" s="1"/>
  <c r="B384" i="1"/>
  <c r="C384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347" i="1" l="1"/>
  <c r="AD623" i="1"/>
  <c r="AD584" i="1"/>
  <c r="E1" i="12"/>
  <c r="B7" i="12" s="1"/>
  <c r="AD534" i="1"/>
  <c r="AD419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86" i="1"/>
  <c r="AD344" i="1"/>
  <c r="AD346" i="1"/>
  <c r="AD666" i="1"/>
  <c r="AD673" i="1"/>
  <c r="AD820" i="1"/>
  <c r="AD843" i="1"/>
  <c r="C1" i="10"/>
  <c r="D1" i="10" s="1"/>
  <c r="D1" i="11"/>
  <c r="E1" i="11" s="1"/>
  <c r="AD815" i="1"/>
  <c r="AD825" i="1"/>
  <c r="AD841" i="1"/>
  <c r="AD865" i="1"/>
  <c r="AD789" i="1"/>
  <c r="AD801" i="1"/>
  <c r="AD817" i="1"/>
  <c r="AD822" i="1"/>
  <c r="AD828" i="1"/>
  <c r="AD777" i="1"/>
  <c r="AD842" i="1"/>
  <c r="AD863" i="1"/>
  <c r="AD867" i="1"/>
  <c r="AD864" i="1"/>
  <c r="AD859" i="1"/>
  <c r="AD857" i="1"/>
  <c r="AD856" i="1"/>
  <c r="AD855" i="1"/>
  <c r="AD851" i="1"/>
  <c r="AD849" i="1"/>
  <c r="AD848" i="1"/>
  <c r="AD847" i="1"/>
  <c r="AD846" i="1"/>
  <c r="AD845" i="1"/>
  <c r="AD839" i="1"/>
  <c r="AD625" i="1"/>
  <c r="AD814" i="1"/>
  <c r="AD816" i="1"/>
  <c r="AD818" i="1"/>
  <c r="AD821" i="1"/>
  <c r="AD823" i="1"/>
  <c r="AD827" i="1"/>
  <c r="AD829" i="1"/>
  <c r="AD776" i="1"/>
  <c r="AD834" i="1"/>
  <c r="AD837" i="1"/>
  <c r="AD835" i="1"/>
  <c r="AD833" i="1"/>
  <c r="AD832" i="1"/>
  <c r="AD812" i="1"/>
  <c r="AD810" i="1"/>
  <c r="AD807" i="1"/>
  <c r="AD806" i="1"/>
  <c r="AD805" i="1"/>
  <c r="AD784" i="1"/>
  <c r="AD782" i="1"/>
  <c r="AD779" i="1"/>
  <c r="AD771" i="1"/>
  <c r="AD767" i="1"/>
  <c r="AD349" i="1"/>
  <c r="AD351" i="1"/>
  <c r="AD353" i="1"/>
  <c r="AD356" i="1"/>
  <c r="AD701" i="1"/>
  <c r="AD752" i="1"/>
  <c r="AD758" i="1"/>
  <c r="AD739" i="1"/>
  <c r="AD727" i="1"/>
  <c r="AD693" i="1"/>
  <c r="AD686" i="1"/>
  <c r="AD683" i="1"/>
  <c r="AD681" i="1"/>
  <c r="AD677" i="1"/>
  <c r="AD329" i="1"/>
  <c r="AD556" i="1"/>
  <c r="AD537" i="1"/>
  <c r="AD605" i="1"/>
  <c r="AD635" i="1"/>
  <c r="AD661" i="1"/>
  <c r="AD649" i="1"/>
  <c r="AD629" i="1"/>
  <c r="AD600" i="1"/>
  <c r="AD590" i="1"/>
  <c r="AD588" i="1"/>
  <c r="AD540" i="1"/>
  <c r="AD542" i="1"/>
  <c r="AD550" i="1"/>
  <c r="AD597" i="1"/>
  <c r="AD581" i="1"/>
  <c r="AD561" i="1"/>
  <c r="AD384" i="1"/>
  <c r="AD532" i="1"/>
  <c r="AD489" i="1"/>
  <c r="AD491" i="1"/>
  <c r="AD493" i="1"/>
  <c r="AD495" i="1"/>
  <c r="AD483" i="1"/>
  <c r="AD424" i="1"/>
  <c r="AD415" i="1"/>
  <c r="AD402" i="1"/>
  <c r="AD400" i="1"/>
  <c r="AD393" i="1"/>
  <c r="AD391" i="1"/>
  <c r="AD388" i="1"/>
  <c r="AD386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813" i="1"/>
  <c r="AD811" i="1"/>
  <c r="AD809" i="1"/>
  <c r="AD808" i="1"/>
  <c r="AD690" i="1"/>
  <c r="AD743" i="1"/>
  <c r="AD769" i="1"/>
  <c r="AD773" i="1"/>
  <c r="AD781" i="1"/>
  <c r="AD787" i="1"/>
  <c r="AD685" i="1"/>
  <c r="AD696" i="1"/>
  <c r="AD731" i="1"/>
  <c r="AD755" i="1"/>
  <c r="AD768" i="1"/>
  <c r="AD770" i="1"/>
  <c r="AD772" i="1"/>
  <c r="AD774" i="1"/>
  <c r="AD780" i="1"/>
  <c r="AD783" i="1"/>
  <c r="AD786" i="1"/>
  <c r="AD788" i="1"/>
  <c r="AD804" i="1"/>
  <c r="AD803" i="1"/>
  <c r="AD802" i="1"/>
  <c r="AD800" i="1"/>
  <c r="AD651" i="1"/>
  <c r="AD670" i="1"/>
  <c r="AD688" i="1"/>
  <c r="AD692" i="1"/>
  <c r="AD699" i="1"/>
  <c r="AD709" i="1"/>
  <c r="AD737" i="1"/>
  <c r="AD747" i="1"/>
  <c r="AD762" i="1"/>
  <c r="AD328" i="1"/>
  <c r="AD361" i="1"/>
  <c r="AD675" i="1"/>
  <c r="AD687" i="1"/>
  <c r="AD689" i="1"/>
  <c r="AD691" i="1"/>
  <c r="AD694" i="1"/>
  <c r="AD698" i="1"/>
  <c r="AD700" i="1"/>
  <c r="AD705" i="1"/>
  <c r="AD725" i="1"/>
  <c r="AD735" i="1"/>
  <c r="AD741" i="1"/>
  <c r="AD745" i="1"/>
  <c r="AD753" i="1"/>
  <c r="AD759" i="1"/>
  <c r="AD765" i="1"/>
  <c r="AD764" i="1"/>
  <c r="AD761" i="1"/>
  <c r="AD763" i="1"/>
  <c r="AD760" i="1"/>
  <c r="AD757" i="1"/>
  <c r="AD756" i="1"/>
  <c r="AD754" i="1"/>
  <c r="AD751" i="1"/>
  <c r="AD750" i="1"/>
  <c r="AD749" i="1"/>
  <c r="AD748" i="1"/>
  <c r="AD746" i="1"/>
  <c r="AD744" i="1"/>
  <c r="AD742" i="1"/>
  <c r="AD740" i="1"/>
  <c r="AD738" i="1"/>
  <c r="AD736" i="1"/>
  <c r="AD734" i="1"/>
  <c r="AD733" i="1"/>
  <c r="AD732" i="1"/>
  <c r="AD730" i="1"/>
  <c r="AD729" i="1"/>
  <c r="AD728" i="1"/>
  <c r="AD726" i="1"/>
  <c r="AD724" i="1"/>
  <c r="AD723" i="1"/>
  <c r="AD722" i="1"/>
  <c r="AD721" i="1"/>
  <c r="AD720" i="1"/>
  <c r="AD719" i="1"/>
  <c r="AD718" i="1"/>
  <c r="AD717" i="1"/>
  <c r="AD716" i="1"/>
  <c r="AD714" i="1"/>
  <c r="AD713" i="1"/>
  <c r="AD712" i="1"/>
  <c r="AD711" i="1"/>
  <c r="AD710" i="1"/>
  <c r="AD708" i="1"/>
  <c r="AD707" i="1"/>
  <c r="AD706" i="1"/>
  <c r="AD703" i="1"/>
  <c r="AD702" i="1"/>
  <c r="AD697" i="1"/>
  <c r="AD684" i="1"/>
  <c r="AD682" i="1"/>
  <c r="AD680" i="1"/>
  <c r="AD679" i="1"/>
  <c r="AD678" i="1"/>
  <c r="AD676" i="1"/>
  <c r="AD674" i="1"/>
  <c r="AD668" i="1"/>
  <c r="AD672" i="1"/>
  <c r="AD669" i="1"/>
  <c r="AD671" i="1"/>
  <c r="AD667" i="1"/>
  <c r="AD637" i="1"/>
  <c r="AD645" i="1"/>
  <c r="AD339" i="1"/>
  <c r="AD355" i="1"/>
  <c r="AD665" i="1"/>
  <c r="AD359" i="1"/>
  <c r="AD363" i="1"/>
  <c r="AD358" i="1"/>
  <c r="AD360" i="1"/>
  <c r="AD362" i="1"/>
  <c r="AD664" i="1"/>
  <c r="AD357" i="1"/>
  <c r="AD354" i="1"/>
  <c r="AD352" i="1"/>
  <c r="AD618" i="1"/>
  <c r="AD647" i="1"/>
  <c r="AD657" i="1"/>
  <c r="AD335" i="1"/>
  <c r="AD345" i="1"/>
  <c r="AD350" i="1"/>
  <c r="AD348" i="1"/>
  <c r="AD630" i="1"/>
  <c r="AD640" i="1"/>
  <c r="AD646" i="1"/>
  <c r="AD648" i="1"/>
  <c r="AD655" i="1"/>
  <c r="AD663" i="1"/>
  <c r="AD326" i="1"/>
  <c r="AD330" i="1"/>
  <c r="AD337" i="1"/>
  <c r="AD342" i="1"/>
  <c r="AD340" i="1"/>
  <c r="AD341" i="1"/>
  <c r="AD343" i="1"/>
  <c r="AD336" i="1"/>
  <c r="AD338" i="1"/>
  <c r="AD334" i="1"/>
  <c r="AD332" i="1"/>
  <c r="AD331" i="1"/>
  <c r="AD333" i="1"/>
  <c r="AD327" i="1"/>
  <c r="AD662" i="1"/>
  <c r="AD656" i="1"/>
  <c r="AD660" i="1"/>
  <c r="AD659" i="1"/>
  <c r="AD658" i="1"/>
  <c r="AD654" i="1"/>
  <c r="AD653" i="1"/>
  <c r="AD652" i="1"/>
  <c r="AD650" i="1"/>
  <c r="AD634" i="1"/>
  <c r="AD639" i="1"/>
  <c r="AD643" i="1"/>
  <c r="AD644" i="1"/>
  <c r="AD642" i="1"/>
  <c r="AD641" i="1"/>
  <c r="AD638" i="1"/>
  <c r="AD636" i="1"/>
  <c r="AD633" i="1"/>
  <c r="AD632" i="1"/>
  <c r="AD631" i="1"/>
  <c r="AD628" i="1"/>
  <c r="AD591" i="1"/>
  <c r="AD622" i="1"/>
  <c r="AD615" i="1"/>
  <c r="AD620" i="1"/>
  <c r="AD626" i="1"/>
  <c r="AD617" i="1"/>
  <c r="AD619" i="1"/>
  <c r="AD621" i="1"/>
  <c r="AD624" i="1"/>
  <c r="AD627" i="1"/>
  <c r="AD573" i="1"/>
  <c r="AD607" i="1"/>
  <c r="AD583" i="1"/>
  <c r="AD598" i="1"/>
  <c r="AD613" i="1"/>
  <c r="AD576" i="1"/>
  <c r="AD585" i="1"/>
  <c r="AD592" i="1"/>
  <c r="AD601" i="1"/>
  <c r="AD611" i="1"/>
  <c r="E1" i="9"/>
  <c r="B22" i="9" s="1"/>
  <c r="AD614" i="1"/>
  <c r="AD609" i="1"/>
  <c r="AD612" i="1"/>
  <c r="AD610" i="1"/>
  <c r="AD608" i="1"/>
  <c r="AD606" i="1"/>
  <c r="AD599" i="1"/>
  <c r="AD589" i="1"/>
  <c r="X587" i="1"/>
  <c r="AD587" i="1"/>
  <c r="AD582" i="1"/>
  <c r="AD580" i="1"/>
  <c r="AD579" i="1"/>
  <c r="AD578" i="1"/>
  <c r="AD577" i="1"/>
  <c r="AD575" i="1"/>
  <c r="AD571" i="1"/>
  <c r="AD554" i="1"/>
  <c r="AD559" i="1"/>
  <c r="AD565" i="1"/>
  <c r="AD572" i="1"/>
  <c r="AD574" i="1"/>
  <c r="AD595" i="1"/>
  <c r="AD569" i="1"/>
  <c r="AD563" i="1"/>
  <c r="AD567" i="1"/>
  <c r="AD593" i="1"/>
  <c r="AD562" i="1"/>
  <c r="AD564" i="1"/>
  <c r="AD566" i="1"/>
  <c r="AD568" i="1"/>
  <c r="AD570" i="1"/>
  <c r="AD594" i="1"/>
  <c r="AD596" i="1"/>
  <c r="AD557" i="1"/>
  <c r="AD541" i="1"/>
  <c r="AD555" i="1"/>
  <c r="AD558" i="1"/>
  <c r="AD560" i="1"/>
  <c r="AD553" i="1"/>
  <c r="AD552" i="1"/>
  <c r="AD551" i="1"/>
  <c r="AD533" i="1"/>
  <c r="AD547" i="1"/>
  <c r="AD549" i="1"/>
  <c r="AD548" i="1"/>
  <c r="AD546" i="1"/>
  <c r="AD545" i="1"/>
  <c r="AD539" i="1"/>
  <c r="AD538" i="1"/>
  <c r="AD536" i="1"/>
  <c r="AD535" i="1"/>
  <c r="AD531" i="1"/>
  <c r="AD513" i="1"/>
  <c r="AD505" i="1"/>
  <c r="AD497" i="1"/>
  <c r="AD511" i="1"/>
  <c r="AD516" i="1"/>
  <c r="AD530" i="1"/>
  <c r="AD507" i="1"/>
  <c r="AD525" i="1"/>
  <c r="AD529" i="1"/>
  <c r="AD504" i="1"/>
  <c r="AD509" i="1"/>
  <c r="AD514" i="1"/>
  <c r="AD496" i="1"/>
  <c r="AD506" i="1"/>
  <c r="AD508" i="1"/>
  <c r="AD510" i="1"/>
  <c r="AD512" i="1"/>
  <c r="AD515" i="1"/>
  <c r="AD527" i="1"/>
  <c r="AD499" i="1"/>
  <c r="AD503" i="1"/>
  <c r="AD526" i="1"/>
  <c r="AD528" i="1"/>
  <c r="AD498" i="1"/>
  <c r="AD500" i="1"/>
  <c r="AD502" i="1"/>
  <c r="W68" i="1"/>
  <c r="AD494" i="1"/>
  <c r="AD492" i="1"/>
  <c r="AD490" i="1"/>
  <c r="W102" i="1"/>
  <c r="X102" i="1" s="1"/>
  <c r="Y102" i="1" s="1"/>
  <c r="Z102" i="1" s="1"/>
  <c r="AA102" i="1" s="1"/>
  <c r="W89" i="1"/>
  <c r="X89" i="1" s="1"/>
  <c r="AD476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80" i="1"/>
  <c r="AD481" i="1"/>
  <c r="AD482" i="1"/>
  <c r="AD484" i="1"/>
  <c r="AD485" i="1"/>
  <c r="AD486" i="1"/>
  <c r="AD487" i="1"/>
  <c r="AD488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87" i="1"/>
  <c r="AD389" i="1"/>
  <c r="AD390" i="1"/>
  <c r="AD392" i="1"/>
  <c r="AD394" i="1"/>
  <c r="AD396" i="1"/>
  <c r="AD397" i="1"/>
  <c r="AD398" i="1"/>
  <c r="AD399" i="1"/>
  <c r="AD401" i="1"/>
  <c r="AD403" i="1"/>
  <c r="AD404" i="1"/>
  <c r="AD405" i="1"/>
  <c r="AD406" i="1"/>
  <c r="AD408" i="1"/>
  <c r="AD478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77" i="1"/>
  <c r="X477" i="1" s="1"/>
  <c r="AD477" i="1"/>
  <c r="W43" i="1"/>
  <c r="W413" i="1"/>
  <c r="X413" i="1" s="1"/>
  <c r="Y413" i="1" s="1"/>
  <c r="Z413" i="1" s="1"/>
  <c r="AA413" i="1" s="1"/>
  <c r="AD413" i="1"/>
  <c r="W414" i="1"/>
  <c r="X414" i="1" s="1"/>
  <c r="Y414" i="1" s="1"/>
  <c r="Z414" i="1" s="1"/>
  <c r="AA414" i="1" s="1"/>
  <c r="AD414" i="1"/>
  <c r="W416" i="1"/>
  <c r="X416" i="1" s="1"/>
  <c r="AD416" i="1"/>
  <c r="W417" i="1"/>
  <c r="X417" i="1" s="1"/>
  <c r="Y417" i="1" s="1"/>
  <c r="AD417" i="1"/>
  <c r="W418" i="1"/>
  <c r="X418" i="1" s="1"/>
  <c r="Y418" i="1" s="1"/>
  <c r="Z418" i="1" s="1"/>
  <c r="AA418" i="1" s="1"/>
  <c r="AD418" i="1"/>
  <c r="W421" i="1"/>
  <c r="X421" i="1" s="1"/>
  <c r="Y421" i="1" s="1"/>
  <c r="Z421" i="1" s="1"/>
  <c r="AA421" i="1" s="1"/>
  <c r="AD421" i="1"/>
  <c r="W422" i="1"/>
  <c r="X422" i="1" s="1"/>
  <c r="AD422" i="1"/>
  <c r="W425" i="1"/>
  <c r="X425" i="1" s="1"/>
  <c r="Y425" i="1" s="1"/>
  <c r="Z425" i="1" s="1"/>
  <c r="AA425" i="1" s="1"/>
  <c r="AD425" i="1"/>
  <c r="W426" i="1"/>
  <c r="X426" i="1" s="1"/>
  <c r="AD426" i="1"/>
  <c r="W475" i="1"/>
  <c r="X475" i="1" s="1"/>
  <c r="AD475" i="1"/>
  <c r="W479" i="1"/>
  <c r="X479" i="1" s="1"/>
  <c r="AD479" i="1"/>
  <c r="E1" i="4"/>
  <c r="AD410" i="1"/>
  <c r="AD411" i="1"/>
  <c r="AD412" i="1"/>
  <c r="AD385" i="1"/>
  <c r="D1" i="7"/>
  <c r="E1" i="7" s="1"/>
  <c r="B29" i="7" s="1"/>
  <c r="AF321" i="1"/>
  <c r="AF616" i="1"/>
  <c r="AB892" i="1"/>
  <c r="AF895" i="1"/>
  <c r="AB896" i="1"/>
  <c r="AF899" i="1"/>
  <c r="AB900" i="1"/>
  <c r="AF903" i="1"/>
  <c r="AB904" i="1"/>
  <c r="AF907" i="1"/>
  <c r="AB908" i="1"/>
  <c r="AF912" i="1"/>
  <c r="AB913" i="1"/>
  <c r="AF916" i="1"/>
  <c r="AB917" i="1"/>
  <c r="AF920" i="1"/>
  <c r="AB921" i="1"/>
  <c r="AF924" i="1"/>
  <c r="AB925" i="1"/>
  <c r="AF928" i="1"/>
  <c r="AB929" i="1"/>
  <c r="AB169" i="1"/>
  <c r="AF836" i="1"/>
  <c r="AF838" i="1"/>
  <c r="AF840" i="1"/>
  <c r="AF844" i="1"/>
  <c r="AF850" i="1"/>
  <c r="AF854" i="1"/>
  <c r="AF858" i="1"/>
  <c r="AF862" i="1"/>
  <c r="AF866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2" i="1"/>
  <c r="AF893" i="1"/>
  <c r="AB894" i="1"/>
  <c r="AB895" i="1"/>
  <c r="AF896" i="1"/>
  <c r="AF897" i="1"/>
  <c r="AB898" i="1"/>
  <c r="AB899" i="1"/>
  <c r="AF900" i="1"/>
  <c r="AF901" i="1"/>
  <c r="AB902" i="1"/>
  <c r="AB903" i="1"/>
  <c r="AF904" i="1"/>
  <c r="AF905" i="1"/>
  <c r="AB906" i="1"/>
  <c r="AB907" i="1"/>
  <c r="AF908" i="1"/>
  <c r="AF909" i="1"/>
  <c r="AF910" i="1"/>
  <c r="AB911" i="1"/>
  <c r="AB912" i="1"/>
  <c r="AF913" i="1"/>
  <c r="AF914" i="1"/>
  <c r="AB915" i="1"/>
  <c r="AB916" i="1"/>
  <c r="AF917" i="1"/>
  <c r="AF918" i="1"/>
  <c r="AB919" i="1"/>
  <c r="AB920" i="1"/>
  <c r="AF921" i="1"/>
  <c r="AF922" i="1"/>
  <c r="AB923" i="1"/>
  <c r="AB924" i="1"/>
  <c r="AF925" i="1"/>
  <c r="AF926" i="1"/>
  <c r="AB927" i="1"/>
  <c r="AB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169" i="1"/>
  <c r="AB321" i="1"/>
  <c r="AB616" i="1"/>
  <c r="AB836" i="1"/>
  <c r="AB838" i="1"/>
  <c r="AB840" i="1"/>
  <c r="AB844" i="1"/>
  <c r="AB850" i="1"/>
  <c r="AB854" i="1"/>
  <c r="AB858" i="1"/>
  <c r="AB862" i="1"/>
  <c r="AB866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F891" i="1"/>
  <c r="AB893" i="1"/>
  <c r="AF894" i="1"/>
  <c r="AB897" i="1"/>
  <c r="AF898" i="1"/>
  <c r="AB901" i="1"/>
  <c r="AF902" i="1"/>
  <c r="AB905" i="1"/>
  <c r="AF906" i="1"/>
  <c r="AB909" i="1"/>
  <c r="AB910" i="1"/>
  <c r="AF911" i="1"/>
  <c r="AB914" i="1"/>
  <c r="AF915" i="1"/>
  <c r="AB918" i="1"/>
  <c r="AF919" i="1"/>
  <c r="AB922" i="1"/>
  <c r="AF923" i="1"/>
  <c r="AB926" i="1"/>
  <c r="AF927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84" i="1"/>
  <c r="Y384" i="1" s="1"/>
  <c r="Z384" i="1" s="1"/>
  <c r="AA384" i="1" s="1"/>
  <c r="X385" i="1"/>
  <c r="Y385" i="1" s="1"/>
  <c r="Z385" i="1" s="1"/>
  <c r="AA385" i="1" s="1"/>
  <c r="X386" i="1"/>
  <c r="Y386" i="1" s="1"/>
  <c r="X387" i="1"/>
  <c r="X388" i="1"/>
  <c r="X389" i="1"/>
  <c r="Y389" i="1" s="1"/>
  <c r="Z389" i="1" s="1"/>
  <c r="AA389" i="1" s="1"/>
  <c r="X390" i="1"/>
  <c r="X391" i="1"/>
  <c r="X392" i="1"/>
  <c r="Y392" i="1" s="1"/>
  <c r="Z392" i="1" s="1"/>
  <c r="AA392" i="1" s="1"/>
  <c r="X393" i="1"/>
  <c r="Y393" i="1" s="1"/>
  <c r="Z393" i="1" s="1"/>
  <c r="AA393" i="1" s="1"/>
  <c r="X394" i="1"/>
  <c r="X396" i="1"/>
  <c r="X397" i="1"/>
  <c r="Y397" i="1" s="1"/>
  <c r="Z397" i="1" s="1"/>
  <c r="AA397" i="1" s="1"/>
  <c r="X398" i="1"/>
  <c r="X399" i="1"/>
  <c r="Y399" i="1" s="1"/>
  <c r="Z399" i="1" s="1"/>
  <c r="AA399" i="1" s="1"/>
  <c r="X400" i="1"/>
  <c r="Y400" i="1" s="1"/>
  <c r="X401" i="1"/>
  <c r="X402" i="1"/>
  <c r="X403" i="1"/>
  <c r="X404" i="1"/>
  <c r="Y404" i="1" s="1"/>
  <c r="Z404" i="1" s="1"/>
  <c r="AA404" i="1" s="1"/>
  <c r="X405" i="1"/>
  <c r="X406" i="1"/>
  <c r="X408" i="1"/>
  <c r="Y408" i="1" s="1"/>
  <c r="Z408" i="1" s="1"/>
  <c r="AA408" i="1" s="1"/>
  <c r="X410" i="1"/>
  <c r="X411" i="1"/>
  <c r="X412" i="1"/>
  <c r="X415" i="1"/>
  <c r="X419" i="1"/>
  <c r="X424" i="1"/>
  <c r="X476" i="1"/>
  <c r="Y476" i="1" s="1"/>
  <c r="Z476" i="1" s="1"/>
  <c r="AA476" i="1" s="1"/>
  <c r="X478" i="1"/>
  <c r="Y478" i="1" s="1"/>
  <c r="Z478" i="1" s="1"/>
  <c r="AA478" i="1" s="1"/>
  <c r="X480" i="1"/>
  <c r="Y480" i="1" s="1"/>
  <c r="Z480" i="1" s="1"/>
  <c r="AA480" i="1" s="1"/>
  <c r="X481" i="1"/>
  <c r="Y481" i="1" s="1"/>
  <c r="Z481" i="1" s="1"/>
  <c r="AA481" i="1" s="1"/>
  <c r="X482" i="1"/>
  <c r="X483" i="1"/>
  <c r="Y483" i="1" s="1"/>
  <c r="Z483" i="1" s="1"/>
  <c r="AA483" i="1" s="1"/>
  <c r="X484" i="1"/>
  <c r="Y484" i="1" s="1"/>
  <c r="Z484" i="1" s="1"/>
  <c r="AA484" i="1" s="1"/>
  <c r="X485" i="1"/>
  <c r="X486" i="1"/>
  <c r="Y486" i="1" s="1"/>
  <c r="X487" i="1"/>
  <c r="X488" i="1"/>
  <c r="Y488" i="1" s="1"/>
  <c r="Z488" i="1" s="1"/>
  <c r="AA488" i="1" s="1"/>
  <c r="X563" i="1"/>
  <c r="X564" i="1"/>
  <c r="X565" i="1"/>
  <c r="X566" i="1"/>
  <c r="X567" i="1"/>
  <c r="X568" i="1"/>
  <c r="X569" i="1"/>
  <c r="X570" i="1"/>
  <c r="X593" i="1"/>
  <c r="X594" i="1"/>
  <c r="X595" i="1"/>
  <c r="X596" i="1"/>
  <c r="X597" i="1"/>
  <c r="Y597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8" i="1"/>
  <c r="Y588" i="1" s="1"/>
  <c r="X589" i="1"/>
  <c r="X590" i="1"/>
  <c r="Y590" i="1" s="1"/>
  <c r="X591" i="1"/>
  <c r="Y591" i="1" s="1"/>
  <c r="X592" i="1"/>
  <c r="Y592" i="1" s="1"/>
  <c r="X598" i="1"/>
  <c r="Y598" i="1" s="1"/>
  <c r="X599" i="1"/>
  <c r="Y599" i="1" s="1"/>
  <c r="X600" i="1"/>
  <c r="Y600" i="1" s="1"/>
  <c r="X601" i="1"/>
  <c r="Y601" i="1" s="1"/>
  <c r="X605" i="1"/>
  <c r="X606" i="1"/>
  <c r="X607" i="1"/>
  <c r="Y607" i="1" s="1"/>
  <c r="X608" i="1"/>
  <c r="Y608" i="1" s="1"/>
  <c r="X609" i="1"/>
  <c r="X610" i="1"/>
  <c r="X611" i="1"/>
  <c r="Y611" i="1" s="1"/>
  <c r="X612" i="1"/>
  <c r="Y612" i="1" s="1"/>
  <c r="X613" i="1"/>
  <c r="X614" i="1"/>
  <c r="X615" i="1"/>
  <c r="Y615" i="1" s="1"/>
  <c r="Z616" i="1"/>
  <c r="X616" i="1"/>
  <c r="AA616" i="1"/>
  <c r="Y616" i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X642" i="1"/>
  <c r="X643" i="1"/>
  <c r="X644" i="1"/>
  <c r="X645" i="1"/>
  <c r="Y645" i="1" s="1"/>
  <c r="X646" i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X653" i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X660" i="1"/>
  <c r="X661" i="1"/>
  <c r="Y661" i="1" s="1"/>
  <c r="X662" i="1"/>
  <c r="X663" i="1"/>
  <c r="Y663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89" i="1"/>
  <c r="Z489" i="1" s="1"/>
  <c r="AA489" i="1" s="1"/>
  <c r="X490" i="1"/>
  <c r="Y490" i="1" s="1"/>
  <c r="Y491" i="1"/>
  <c r="Z491" i="1" s="1"/>
  <c r="AA491" i="1" s="1"/>
  <c r="X492" i="1"/>
  <c r="Y492" i="1" s="1"/>
  <c r="Z492" i="1" s="1"/>
  <c r="AA492" i="1" s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526" i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498" i="1"/>
  <c r="Y499" i="1"/>
  <c r="Z499" i="1" s="1"/>
  <c r="AA499" i="1" s="1"/>
  <c r="X500" i="1"/>
  <c r="Y500" i="1" s="1"/>
  <c r="Z500" i="1" s="1"/>
  <c r="AA500" i="1" s="1"/>
  <c r="Y502" i="1"/>
  <c r="Z502" i="1" s="1"/>
  <c r="AA502" i="1" s="1"/>
  <c r="X503" i="1"/>
  <c r="Y504" i="1"/>
  <c r="Z504" i="1" s="1"/>
  <c r="AA504" i="1" s="1"/>
  <c r="X505" i="1"/>
  <c r="Y505" i="1" s="1"/>
  <c r="Y506" i="1"/>
  <c r="Z506" i="1" s="1"/>
  <c r="AA506" i="1" s="1"/>
  <c r="X507" i="1"/>
  <c r="Y507" i="1" s="1"/>
  <c r="Y508" i="1"/>
  <c r="Z508" i="1" s="1"/>
  <c r="AA508" i="1" s="1"/>
  <c r="X509" i="1"/>
  <c r="Y509" i="1" s="1"/>
  <c r="Y510" i="1"/>
  <c r="Z510" i="1" s="1"/>
  <c r="AA510" i="1" s="1"/>
  <c r="X511" i="1"/>
  <c r="Y512" i="1"/>
  <c r="Z512" i="1" s="1"/>
  <c r="AA512" i="1" s="1"/>
  <c r="X513" i="1"/>
  <c r="Y514" i="1"/>
  <c r="Z514" i="1" s="1"/>
  <c r="AA514" i="1" s="1"/>
  <c r="X515" i="1"/>
  <c r="Y515" i="1" s="1"/>
  <c r="Y516" i="1"/>
  <c r="Z516" i="1" s="1"/>
  <c r="AA516" i="1" s="1"/>
  <c r="X525" i="1"/>
  <c r="Y525" i="1" s="1"/>
  <c r="Z525" i="1" s="1"/>
  <c r="AA525" i="1" s="1"/>
  <c r="Y530" i="1"/>
  <c r="Z530" i="1" s="1"/>
  <c r="AA530" i="1" s="1"/>
  <c r="X531" i="1"/>
  <c r="Y532" i="1"/>
  <c r="Z532" i="1" s="1"/>
  <c r="AA532" i="1" s="1"/>
  <c r="X533" i="1"/>
  <c r="Y534" i="1"/>
  <c r="Z534" i="1" s="1"/>
  <c r="AA534" i="1" s="1"/>
  <c r="X535" i="1"/>
  <c r="Y535" i="1" s="1"/>
  <c r="Y536" i="1"/>
  <c r="Z536" i="1" s="1"/>
  <c r="AA536" i="1" s="1"/>
  <c r="X537" i="1"/>
  <c r="Y537" i="1" s="1"/>
  <c r="Z537" i="1" s="1"/>
  <c r="AA537" i="1" s="1"/>
  <c r="Y538" i="1"/>
  <c r="Z538" i="1" s="1"/>
  <c r="AA538" i="1" s="1"/>
  <c r="X539" i="1"/>
  <c r="Y540" i="1"/>
  <c r="Z540" i="1" s="1"/>
  <c r="AA540" i="1" s="1"/>
  <c r="X541" i="1"/>
  <c r="Y542" i="1"/>
  <c r="Z542" i="1" s="1"/>
  <c r="AA542" i="1" s="1"/>
  <c r="X545" i="1"/>
  <c r="Y545" i="1" s="1"/>
  <c r="Y546" i="1"/>
  <c r="Z546" i="1" s="1"/>
  <c r="AA546" i="1" s="1"/>
  <c r="X547" i="1"/>
  <c r="Y547" i="1" s="1"/>
  <c r="Z547" i="1" s="1"/>
  <c r="AA547" i="1" s="1"/>
  <c r="Y548" i="1"/>
  <c r="Z548" i="1" s="1"/>
  <c r="AA548" i="1" s="1"/>
  <c r="X549" i="1"/>
  <c r="Y550" i="1"/>
  <c r="Z550" i="1" s="1"/>
  <c r="AA550" i="1" s="1"/>
  <c r="X551" i="1"/>
  <c r="Y551" i="1" s="1"/>
  <c r="Y552" i="1"/>
  <c r="Z552" i="1" s="1"/>
  <c r="AA552" i="1" s="1"/>
  <c r="X553" i="1"/>
  <c r="Y554" i="1"/>
  <c r="Z554" i="1" s="1"/>
  <c r="AA554" i="1" s="1"/>
  <c r="X555" i="1"/>
  <c r="Y555" i="1" s="1"/>
  <c r="Y556" i="1"/>
  <c r="Z556" i="1" s="1"/>
  <c r="AA556" i="1" s="1"/>
  <c r="X557" i="1"/>
  <c r="Y558" i="1"/>
  <c r="Z558" i="1" s="1"/>
  <c r="AA558" i="1" s="1"/>
  <c r="X559" i="1"/>
  <c r="Y560" i="1"/>
  <c r="Z560" i="1" s="1"/>
  <c r="AA560" i="1" s="1"/>
  <c r="X561" i="1"/>
  <c r="Y562" i="1"/>
  <c r="Z562" i="1" s="1"/>
  <c r="AA562" i="1" s="1"/>
  <c r="X834" i="1"/>
  <c r="X835" i="1"/>
  <c r="Z836" i="1"/>
  <c r="X836" i="1"/>
  <c r="AA836" i="1"/>
  <c r="Y836" i="1"/>
  <c r="X837" i="1"/>
  <c r="Z838" i="1"/>
  <c r="X838" i="1"/>
  <c r="AA838" i="1"/>
  <c r="Y838" i="1"/>
  <c r="X839" i="1"/>
  <c r="Y839" i="1" s="1"/>
  <c r="Z840" i="1"/>
  <c r="X840" i="1"/>
  <c r="AA840" i="1"/>
  <c r="Y840" i="1"/>
  <c r="X841" i="1"/>
  <c r="Y841" i="1" s="1"/>
  <c r="X842" i="1"/>
  <c r="Y842" i="1" s="1"/>
  <c r="X843" i="1"/>
  <c r="Y843" i="1" s="1"/>
  <c r="Z844" i="1"/>
  <c r="X844" i="1"/>
  <c r="AA844" i="1"/>
  <c r="Y844" i="1"/>
  <c r="X845" i="1"/>
  <c r="Z845" i="1" s="1"/>
  <c r="AA845" i="1" s="1"/>
  <c r="Y845" i="1"/>
  <c r="X846" i="1"/>
  <c r="Y846" i="1" s="1"/>
  <c r="X847" i="1"/>
  <c r="Y847" i="1" s="1"/>
  <c r="X848" i="1"/>
  <c r="Y848" i="1" s="1"/>
  <c r="X849" i="1"/>
  <c r="Y849" i="1" s="1"/>
  <c r="Z850" i="1"/>
  <c r="X850" i="1"/>
  <c r="AA850" i="1"/>
  <c r="Y850" i="1"/>
  <c r="X851" i="1"/>
  <c r="Y851" i="1" s="1"/>
  <c r="Z854" i="1"/>
  <c r="X854" i="1"/>
  <c r="AA854" i="1"/>
  <c r="Y854" i="1"/>
  <c r="X855" i="1"/>
  <c r="Y855" i="1" s="1"/>
  <c r="X856" i="1"/>
  <c r="Y856" i="1" s="1"/>
  <c r="X857" i="1"/>
  <c r="Y857" i="1" s="1"/>
  <c r="Z858" i="1"/>
  <c r="X858" i="1"/>
  <c r="AA858" i="1"/>
  <c r="Y858" i="1"/>
  <c r="X859" i="1"/>
  <c r="Z862" i="1"/>
  <c r="X862" i="1"/>
  <c r="AA862" i="1"/>
  <c r="Y862" i="1"/>
  <c r="X863" i="1"/>
  <c r="Y863" i="1" s="1"/>
  <c r="X864" i="1"/>
  <c r="Y864" i="1" s="1"/>
  <c r="X865" i="1"/>
  <c r="Y865" i="1" s="1"/>
  <c r="Z866" i="1"/>
  <c r="X866" i="1"/>
  <c r="AA866" i="1"/>
  <c r="Y866" i="1"/>
  <c r="X867" i="1"/>
  <c r="Z868" i="1"/>
  <c r="X868" i="1"/>
  <c r="AA868" i="1"/>
  <c r="Y868" i="1"/>
  <c r="Z869" i="1"/>
  <c r="X869" i="1"/>
  <c r="AA869" i="1"/>
  <c r="Y869" i="1"/>
  <c r="Z870" i="1"/>
  <c r="X870" i="1"/>
  <c r="AA870" i="1"/>
  <c r="Y870" i="1"/>
  <c r="Z871" i="1"/>
  <c r="X871" i="1"/>
  <c r="AA871" i="1"/>
  <c r="Y871" i="1"/>
  <c r="Z872" i="1"/>
  <c r="X872" i="1"/>
  <c r="AA872" i="1"/>
  <c r="Y872" i="1"/>
  <c r="Z873" i="1"/>
  <c r="X873" i="1"/>
  <c r="AA873" i="1"/>
  <c r="Y873" i="1"/>
  <c r="Z874" i="1"/>
  <c r="X874" i="1"/>
  <c r="AA874" i="1"/>
  <c r="Y874" i="1"/>
  <c r="Z875" i="1"/>
  <c r="X875" i="1"/>
  <c r="AA875" i="1"/>
  <c r="Y875" i="1"/>
  <c r="Z876" i="1"/>
  <c r="X876" i="1"/>
  <c r="AA876" i="1"/>
  <c r="Y876" i="1"/>
  <c r="Z877" i="1"/>
  <c r="X877" i="1"/>
  <c r="AA877" i="1"/>
  <c r="Y877" i="1"/>
  <c r="Z878" i="1"/>
  <c r="X878" i="1"/>
  <c r="AA878" i="1"/>
  <c r="Y878" i="1"/>
  <c r="Z879" i="1"/>
  <c r="X879" i="1"/>
  <c r="AA879" i="1"/>
  <c r="Y879" i="1"/>
  <c r="Z880" i="1"/>
  <c r="X880" i="1"/>
  <c r="AA880" i="1"/>
  <c r="Y880" i="1"/>
  <c r="Z881" i="1"/>
  <c r="X881" i="1"/>
  <c r="AA881" i="1"/>
  <c r="Y881" i="1"/>
  <c r="Z882" i="1"/>
  <c r="X882" i="1"/>
  <c r="AA882" i="1"/>
  <c r="Y882" i="1"/>
  <c r="Z883" i="1"/>
  <c r="X883" i="1"/>
  <c r="AA883" i="1"/>
  <c r="Y883" i="1"/>
  <c r="Z884" i="1"/>
  <c r="X884" i="1"/>
  <c r="AA884" i="1"/>
  <c r="Y884" i="1"/>
  <c r="Z885" i="1"/>
  <c r="X885" i="1"/>
  <c r="AA885" i="1"/>
  <c r="Y885" i="1"/>
  <c r="Z886" i="1"/>
  <c r="X886" i="1"/>
  <c r="AA886" i="1"/>
  <c r="Y886" i="1"/>
  <c r="Z887" i="1"/>
  <c r="X887" i="1"/>
  <c r="AA887" i="1"/>
  <c r="Y887" i="1"/>
  <c r="Z888" i="1"/>
  <c r="X888" i="1"/>
  <c r="AA888" i="1"/>
  <c r="Y888" i="1"/>
  <c r="Z889" i="1"/>
  <c r="X889" i="1"/>
  <c r="AA889" i="1"/>
  <c r="Y889" i="1"/>
  <c r="Z890" i="1"/>
  <c r="X890" i="1"/>
  <c r="AA890" i="1"/>
  <c r="Y890" i="1"/>
  <c r="AA891" i="1"/>
  <c r="Z891" i="1"/>
  <c r="X891" i="1"/>
  <c r="Y891" i="1"/>
  <c r="X326" i="1"/>
  <c r="Y326" i="1" s="1"/>
  <c r="X327" i="1"/>
  <c r="Y327" i="1" s="1"/>
  <c r="X328" i="1"/>
  <c r="Y328" i="1" s="1"/>
  <c r="Z328" i="1" s="1"/>
  <c r="AA328" i="1" s="1"/>
  <c r="X329" i="1"/>
  <c r="Y329" i="1" s="1"/>
  <c r="X330" i="1"/>
  <c r="Y330" i="1" s="1"/>
  <c r="Z330" i="1" s="1"/>
  <c r="AA330" i="1" s="1"/>
  <c r="X331" i="1"/>
  <c r="X332" i="1"/>
  <c r="Y332" i="1" s="1"/>
  <c r="Z332" i="1" s="1"/>
  <c r="AA332" i="1" s="1"/>
  <c r="X333" i="1"/>
  <c r="Y333" i="1" s="1"/>
  <c r="X334" i="1"/>
  <c r="Y334" i="1" s="1"/>
  <c r="Z334" i="1" s="1"/>
  <c r="AA334" i="1" s="1"/>
  <c r="X335" i="1"/>
  <c r="Y335" i="1" s="1"/>
  <c r="X336" i="1"/>
  <c r="Y336" i="1" s="1"/>
  <c r="Z336" i="1" s="1"/>
  <c r="AA336" i="1" s="1"/>
  <c r="X337" i="1"/>
  <c r="Y337" i="1" s="1"/>
  <c r="X338" i="1"/>
  <c r="Y338" i="1" s="1"/>
  <c r="Z338" i="1" s="1"/>
  <c r="AA338" i="1" s="1"/>
  <c r="X339" i="1"/>
  <c r="Y339" i="1" s="1"/>
  <c r="Z339" i="1" s="1"/>
  <c r="AA339" i="1" s="1"/>
  <c r="X340" i="1"/>
  <c r="Y340" i="1" s="1"/>
  <c r="X341" i="1"/>
  <c r="Y341" i="1" s="1"/>
  <c r="Z341" i="1" s="1"/>
  <c r="AA341" i="1" s="1"/>
  <c r="X342" i="1"/>
  <c r="Y342" i="1" s="1"/>
  <c r="X343" i="1"/>
  <c r="Y343" i="1" s="1"/>
  <c r="Z343" i="1" s="1"/>
  <c r="AA343" i="1" s="1"/>
  <c r="X344" i="1"/>
  <c r="Y344" i="1" s="1"/>
  <c r="Z344" i="1" s="1"/>
  <c r="AA344" i="1" s="1"/>
  <c r="X345" i="1"/>
  <c r="X346" i="1"/>
  <c r="Y346" i="1" s="1"/>
  <c r="X347" i="1"/>
  <c r="Y347" i="1" s="1"/>
  <c r="Z347" i="1" s="1"/>
  <c r="AA347" i="1" s="1"/>
  <c r="X348" i="1"/>
  <c r="Y348" i="1" s="1"/>
  <c r="Z348" i="1" s="1"/>
  <c r="AA348" i="1" s="1"/>
  <c r="X349" i="1"/>
  <c r="Y349" i="1" s="1"/>
  <c r="X350" i="1"/>
  <c r="Y350" i="1" s="1"/>
  <c r="Z350" i="1" s="1"/>
  <c r="AA350" i="1" s="1"/>
  <c r="X351" i="1"/>
  <c r="Y351" i="1" s="1"/>
  <c r="X352" i="1"/>
  <c r="Y352" i="1" s="1"/>
  <c r="X353" i="1"/>
  <c r="Y353" i="1" s="1"/>
  <c r="Z353" i="1" s="1"/>
  <c r="AA353" i="1" s="1"/>
  <c r="X354" i="1"/>
  <c r="Y354" i="1" s="1"/>
  <c r="X355" i="1"/>
  <c r="Y355" i="1" s="1"/>
  <c r="Z355" i="1" s="1"/>
  <c r="AA355" i="1" s="1"/>
  <c r="X356" i="1"/>
  <c r="Y356" i="1" s="1"/>
  <c r="X357" i="1"/>
  <c r="Y357" i="1" s="1"/>
  <c r="X358" i="1"/>
  <c r="Y358" i="1" s="1"/>
  <c r="Z358" i="1" s="1"/>
  <c r="AA358" i="1" s="1"/>
  <c r="X359" i="1"/>
  <c r="Y359" i="1" s="1"/>
  <c r="X360" i="1"/>
  <c r="Y360" i="1" s="1"/>
  <c r="Z360" i="1" s="1"/>
  <c r="AA360" i="1" s="1"/>
  <c r="X361" i="1"/>
  <c r="Y361" i="1" s="1"/>
  <c r="X362" i="1"/>
  <c r="Y362" i="1" s="1"/>
  <c r="Z362" i="1" s="1"/>
  <c r="AA362" i="1" s="1"/>
  <c r="X363" i="1"/>
  <c r="Y363" i="1" s="1"/>
  <c r="X664" i="1"/>
  <c r="Y664" i="1" s="1"/>
  <c r="Z664" i="1" s="1"/>
  <c r="AA664" i="1" s="1"/>
  <c r="X665" i="1"/>
  <c r="Y665" i="1" s="1"/>
  <c r="X666" i="1"/>
  <c r="Y666" i="1" s="1"/>
  <c r="Z666" i="1" s="1"/>
  <c r="AA666" i="1" s="1"/>
  <c r="X667" i="1"/>
  <c r="Y667" i="1" s="1"/>
  <c r="X668" i="1"/>
  <c r="Y668" i="1" s="1"/>
  <c r="Z668" i="1" s="1"/>
  <c r="AA668" i="1" s="1"/>
  <c r="X669" i="1"/>
  <c r="Y669" i="1" s="1"/>
  <c r="X670" i="1"/>
  <c r="Y670" i="1" s="1"/>
  <c r="Z670" i="1" s="1"/>
  <c r="AA670" i="1" s="1"/>
  <c r="X671" i="1"/>
  <c r="Y671" i="1" s="1"/>
  <c r="X672" i="1"/>
  <c r="Y672" i="1" s="1"/>
  <c r="Z672" i="1" s="1"/>
  <c r="AA672" i="1" s="1"/>
  <c r="X673" i="1"/>
  <c r="Y673" i="1" s="1"/>
  <c r="Z673" i="1" s="1"/>
  <c r="AA673" i="1" s="1"/>
  <c r="X674" i="1"/>
  <c r="Y674" i="1" s="1"/>
  <c r="X675" i="1"/>
  <c r="Y675" i="1" s="1"/>
  <c r="X676" i="1"/>
  <c r="Y676" i="1" s="1"/>
  <c r="Z676" i="1" s="1"/>
  <c r="AA676" i="1" s="1"/>
  <c r="X677" i="1"/>
  <c r="Y677" i="1" s="1"/>
  <c r="Z677" i="1" s="1"/>
  <c r="AA677" i="1" s="1"/>
  <c r="X678" i="1"/>
  <c r="Y678" i="1" s="1"/>
  <c r="Z678" i="1" s="1"/>
  <c r="AA678" i="1" s="1"/>
  <c r="X679" i="1"/>
  <c r="Y679" i="1" s="1"/>
  <c r="Z679" i="1" s="1"/>
  <c r="AA679" i="1" s="1"/>
  <c r="X680" i="1"/>
  <c r="Y680" i="1" s="1"/>
  <c r="Z680" i="1" s="1"/>
  <c r="AA680" i="1" s="1"/>
  <c r="X681" i="1"/>
  <c r="Y681" i="1" s="1"/>
  <c r="X682" i="1"/>
  <c r="Y682" i="1" s="1"/>
  <c r="X683" i="1"/>
  <c r="Y683" i="1" s="1"/>
  <c r="Z683" i="1" s="1"/>
  <c r="AA683" i="1" s="1"/>
  <c r="X684" i="1"/>
  <c r="Y684" i="1" s="1"/>
  <c r="X685" i="1"/>
  <c r="Y685" i="1" s="1"/>
  <c r="X686" i="1"/>
  <c r="Y686" i="1" s="1"/>
  <c r="Z686" i="1" s="1"/>
  <c r="AA686" i="1" s="1"/>
  <c r="X687" i="1"/>
  <c r="Y687" i="1" s="1"/>
  <c r="Z687" i="1" s="1"/>
  <c r="AA687" i="1" s="1"/>
  <c r="X688" i="1"/>
  <c r="Y688" i="1" s="1"/>
  <c r="Z688" i="1" s="1"/>
  <c r="AA688" i="1" s="1"/>
  <c r="X689" i="1"/>
  <c r="Y689" i="1" s="1"/>
  <c r="Z689" i="1" s="1"/>
  <c r="AA689" i="1" s="1"/>
  <c r="X690" i="1"/>
  <c r="Y690" i="1" s="1"/>
  <c r="X691" i="1"/>
  <c r="Y691" i="1" s="1"/>
  <c r="Z691" i="1" s="1"/>
  <c r="AA691" i="1" s="1"/>
  <c r="X692" i="1"/>
  <c r="Y692" i="1" s="1"/>
  <c r="X693" i="1"/>
  <c r="Y693" i="1" s="1"/>
  <c r="Z693" i="1" s="1"/>
  <c r="AA693" i="1" s="1"/>
  <c r="X694" i="1"/>
  <c r="Y694" i="1" s="1"/>
  <c r="Z694" i="1" s="1"/>
  <c r="AA694" i="1" s="1"/>
  <c r="AF695" i="1"/>
  <c r="AB695" i="1"/>
  <c r="Z695" i="1"/>
  <c r="X695" i="1"/>
  <c r="AA695" i="1"/>
  <c r="X696" i="1"/>
  <c r="Y696" i="1" s="1"/>
  <c r="X697" i="1"/>
  <c r="Y697" i="1" s="1"/>
  <c r="X698" i="1"/>
  <c r="Y698" i="1" s="1"/>
  <c r="Z698" i="1" s="1"/>
  <c r="AA698" i="1" s="1"/>
  <c r="Y704" i="1"/>
  <c r="AA704" i="1"/>
  <c r="AC704" i="1"/>
  <c r="Y715" i="1"/>
  <c r="AA715" i="1"/>
  <c r="AC715" i="1"/>
  <c r="Y766" i="1"/>
  <c r="AA766" i="1"/>
  <c r="AC766" i="1"/>
  <c r="Y775" i="1"/>
  <c r="AA775" i="1"/>
  <c r="AC775" i="1"/>
  <c r="Y785" i="1"/>
  <c r="AA785" i="1"/>
  <c r="AC785" i="1"/>
  <c r="Y819" i="1"/>
  <c r="AA819" i="1"/>
  <c r="AC819" i="1"/>
  <c r="Y824" i="1"/>
  <c r="AA824" i="1"/>
  <c r="AC824" i="1"/>
  <c r="Y826" i="1"/>
  <c r="AA826" i="1"/>
  <c r="AC826" i="1"/>
  <c r="Y831" i="1"/>
  <c r="AA831" i="1"/>
  <c r="AC831" i="1"/>
  <c r="Y778" i="1"/>
  <c r="AA778" i="1"/>
  <c r="AC778" i="1"/>
  <c r="AB891" i="1"/>
  <c r="AA892" i="1"/>
  <c r="Y892" i="1"/>
  <c r="Z892" i="1"/>
  <c r="AA894" i="1"/>
  <c r="Y894" i="1"/>
  <c r="Z894" i="1"/>
  <c r="AA896" i="1"/>
  <c r="Y896" i="1"/>
  <c r="Z896" i="1"/>
  <c r="AA898" i="1"/>
  <c r="Y898" i="1"/>
  <c r="Z898" i="1"/>
  <c r="AA900" i="1"/>
  <c r="Y900" i="1"/>
  <c r="Z900" i="1"/>
  <c r="AA902" i="1"/>
  <c r="Y902" i="1"/>
  <c r="Z902" i="1"/>
  <c r="AA904" i="1"/>
  <c r="Y904" i="1"/>
  <c r="Z904" i="1"/>
  <c r="AA906" i="1"/>
  <c r="Y906" i="1"/>
  <c r="Z906" i="1"/>
  <c r="AA908" i="1"/>
  <c r="Y908" i="1"/>
  <c r="Z908" i="1"/>
  <c r="AA910" i="1"/>
  <c r="Y910" i="1"/>
  <c r="Z910" i="1"/>
  <c r="AA912" i="1"/>
  <c r="Y912" i="1"/>
  <c r="Z912" i="1"/>
  <c r="AA914" i="1"/>
  <c r="Y914" i="1"/>
  <c r="Z914" i="1"/>
  <c r="AA916" i="1"/>
  <c r="Y916" i="1"/>
  <c r="Z916" i="1"/>
  <c r="AA918" i="1"/>
  <c r="Y918" i="1"/>
  <c r="Z918" i="1"/>
  <c r="AA920" i="1"/>
  <c r="Y920" i="1"/>
  <c r="Z920" i="1"/>
  <c r="AA922" i="1"/>
  <c r="Y922" i="1"/>
  <c r="Z922" i="1"/>
  <c r="AA924" i="1"/>
  <c r="Y924" i="1"/>
  <c r="Z924" i="1"/>
  <c r="AA926" i="1"/>
  <c r="Y926" i="1"/>
  <c r="Z926" i="1"/>
  <c r="AA928" i="1"/>
  <c r="Y928" i="1"/>
  <c r="Z928" i="1"/>
  <c r="AA930" i="1"/>
  <c r="Y930" i="1"/>
  <c r="Z930" i="1"/>
  <c r="Z931" i="1"/>
  <c r="X931" i="1"/>
  <c r="AA931" i="1"/>
  <c r="Y931" i="1"/>
  <c r="Z932" i="1"/>
  <c r="X932" i="1"/>
  <c r="AA932" i="1"/>
  <c r="Y932" i="1"/>
  <c r="Z933" i="1"/>
  <c r="X933" i="1"/>
  <c r="AA933" i="1"/>
  <c r="Y933" i="1"/>
  <c r="Z934" i="1"/>
  <c r="X934" i="1"/>
  <c r="AA934" i="1"/>
  <c r="Y934" i="1"/>
  <c r="Z935" i="1"/>
  <c r="X935" i="1"/>
  <c r="AA935" i="1"/>
  <c r="Y935" i="1"/>
  <c r="Z936" i="1"/>
  <c r="X936" i="1"/>
  <c r="AA936" i="1"/>
  <c r="Y936" i="1"/>
  <c r="Z937" i="1"/>
  <c r="X937" i="1"/>
  <c r="AA937" i="1"/>
  <c r="Y937" i="1"/>
  <c r="Z938" i="1"/>
  <c r="X938" i="1"/>
  <c r="AA938" i="1"/>
  <c r="Y938" i="1"/>
  <c r="Z939" i="1"/>
  <c r="X939" i="1"/>
  <c r="AA939" i="1"/>
  <c r="Y939" i="1"/>
  <c r="Z940" i="1"/>
  <c r="X940" i="1"/>
  <c r="AA940" i="1"/>
  <c r="Y940" i="1"/>
  <c r="Z941" i="1"/>
  <c r="X941" i="1"/>
  <c r="AA941" i="1"/>
  <c r="Y941" i="1"/>
  <c r="Z942" i="1"/>
  <c r="X942" i="1"/>
  <c r="AA942" i="1"/>
  <c r="Y942" i="1"/>
  <c r="Z943" i="1"/>
  <c r="X943" i="1"/>
  <c r="AA943" i="1"/>
  <c r="Y943" i="1"/>
  <c r="X699" i="1"/>
  <c r="X700" i="1"/>
  <c r="X701" i="1"/>
  <c r="X702" i="1"/>
  <c r="X703" i="1"/>
  <c r="X704" i="1"/>
  <c r="AB704" i="1"/>
  <c r="X705" i="1"/>
  <c r="X706" i="1"/>
  <c r="X707" i="1"/>
  <c r="Y707" i="1" s="1"/>
  <c r="X708" i="1"/>
  <c r="X709" i="1"/>
  <c r="X710" i="1"/>
  <c r="X711" i="1"/>
  <c r="X712" i="1"/>
  <c r="X713" i="1"/>
  <c r="X714" i="1"/>
  <c r="X715" i="1"/>
  <c r="AB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Y751" i="1" s="1"/>
  <c r="X752" i="1"/>
  <c r="X753" i="1"/>
  <c r="X754" i="1"/>
  <c r="X755" i="1"/>
  <c r="X756" i="1"/>
  <c r="X757" i="1"/>
  <c r="X758" i="1"/>
  <c r="X759" i="1"/>
  <c r="X760" i="1"/>
  <c r="X761" i="1"/>
  <c r="Y761" i="1" s="1"/>
  <c r="X762" i="1"/>
  <c r="X763" i="1"/>
  <c r="X764" i="1"/>
  <c r="X765" i="1"/>
  <c r="X766" i="1"/>
  <c r="AB766" i="1"/>
  <c r="X767" i="1"/>
  <c r="X768" i="1"/>
  <c r="X769" i="1"/>
  <c r="X770" i="1"/>
  <c r="X771" i="1"/>
  <c r="X772" i="1"/>
  <c r="X773" i="1"/>
  <c r="X774" i="1"/>
  <c r="X775" i="1"/>
  <c r="AB775" i="1"/>
  <c r="X779" i="1"/>
  <c r="X780" i="1"/>
  <c r="X781" i="1"/>
  <c r="X782" i="1"/>
  <c r="X783" i="1"/>
  <c r="X784" i="1"/>
  <c r="X785" i="1"/>
  <c r="AB785" i="1"/>
  <c r="X786" i="1"/>
  <c r="X787" i="1"/>
  <c r="X788" i="1"/>
  <c r="X789" i="1"/>
  <c r="X800" i="1"/>
  <c r="X801" i="1"/>
  <c r="X802" i="1"/>
  <c r="Y802" i="1" s="1"/>
  <c r="X803" i="1"/>
  <c r="X804" i="1"/>
  <c r="Y804" i="1" s="1"/>
  <c r="X805" i="1"/>
  <c r="X806" i="1"/>
  <c r="X807" i="1"/>
  <c r="X808" i="1"/>
  <c r="X809" i="1"/>
  <c r="Y809" i="1" s="1"/>
  <c r="Z809" i="1" s="1"/>
  <c r="AA809" i="1" s="1"/>
  <c r="X810" i="1"/>
  <c r="Y810" i="1" s="1"/>
  <c r="X811" i="1"/>
  <c r="X812" i="1"/>
  <c r="X813" i="1"/>
  <c r="X814" i="1"/>
  <c r="X815" i="1"/>
  <c r="X816" i="1"/>
  <c r="X817" i="1"/>
  <c r="X818" i="1"/>
  <c r="X819" i="1"/>
  <c r="AB819" i="1"/>
  <c r="X820" i="1"/>
  <c r="X821" i="1"/>
  <c r="X822" i="1"/>
  <c r="X823" i="1"/>
  <c r="X824" i="1"/>
  <c r="AB824" i="1"/>
  <c r="X825" i="1"/>
  <c r="X826" i="1"/>
  <c r="AB826" i="1"/>
  <c r="X827" i="1"/>
  <c r="X828" i="1"/>
  <c r="X829" i="1"/>
  <c r="X830" i="1"/>
  <c r="X831" i="1"/>
  <c r="AB831" i="1"/>
  <c r="X776" i="1"/>
  <c r="X777" i="1"/>
  <c r="X778" i="1"/>
  <c r="AB778" i="1"/>
  <c r="X832" i="1"/>
  <c r="X833" i="1"/>
  <c r="Y833" i="1" s="1"/>
  <c r="AA893" i="1"/>
  <c r="Y893" i="1"/>
  <c r="Z893" i="1"/>
  <c r="AA895" i="1"/>
  <c r="Y895" i="1"/>
  <c r="Z895" i="1"/>
  <c r="AA897" i="1"/>
  <c r="Y897" i="1"/>
  <c r="Z897" i="1"/>
  <c r="AA899" i="1"/>
  <c r="Y899" i="1"/>
  <c r="Z899" i="1"/>
  <c r="AA901" i="1"/>
  <c r="Y901" i="1"/>
  <c r="Z901" i="1"/>
  <c r="AA903" i="1"/>
  <c r="Y903" i="1"/>
  <c r="Z903" i="1"/>
  <c r="AA905" i="1"/>
  <c r="Y905" i="1"/>
  <c r="Z905" i="1"/>
  <c r="AA907" i="1"/>
  <c r="Y907" i="1"/>
  <c r="Z907" i="1"/>
  <c r="AA909" i="1"/>
  <c r="Y909" i="1"/>
  <c r="Z909" i="1"/>
  <c r="X910" i="1"/>
  <c r="AA911" i="1"/>
  <c r="Y911" i="1"/>
  <c r="Z911" i="1"/>
  <c r="X912" i="1"/>
  <c r="AA913" i="1"/>
  <c r="Y913" i="1"/>
  <c r="Z913" i="1"/>
  <c r="X914" i="1"/>
  <c r="AA915" i="1"/>
  <c r="Y915" i="1"/>
  <c r="Z915" i="1"/>
  <c r="X916" i="1"/>
  <c r="AA917" i="1"/>
  <c r="Y917" i="1"/>
  <c r="Z917" i="1"/>
  <c r="X918" i="1"/>
  <c r="AA919" i="1"/>
  <c r="Y919" i="1"/>
  <c r="Z919" i="1"/>
  <c r="X920" i="1"/>
  <c r="AA921" i="1"/>
  <c r="Y921" i="1"/>
  <c r="Z921" i="1"/>
  <c r="X922" i="1"/>
  <c r="AA923" i="1"/>
  <c r="Y923" i="1"/>
  <c r="Z923" i="1"/>
  <c r="X924" i="1"/>
  <c r="AA925" i="1"/>
  <c r="Y925" i="1"/>
  <c r="Z925" i="1"/>
  <c r="X926" i="1"/>
  <c r="AA927" i="1"/>
  <c r="Y927" i="1"/>
  <c r="Z927" i="1"/>
  <c r="X928" i="1"/>
  <c r="AA929" i="1"/>
  <c r="Y929" i="1"/>
  <c r="Z929" i="1"/>
  <c r="X93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625" i="1" l="1"/>
  <c r="AA625" i="1" s="1"/>
  <c r="Z623" i="1"/>
  <c r="AA623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84" i="1"/>
  <c r="AA584" i="1" s="1"/>
  <c r="Y419" i="1"/>
  <c r="Z419" i="1" s="1"/>
  <c r="AA419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865" i="1"/>
  <c r="AA865" i="1" s="1"/>
  <c r="Z864" i="1"/>
  <c r="AA864" i="1" s="1"/>
  <c r="Z842" i="1"/>
  <c r="AA842" i="1" s="1"/>
  <c r="B5" i="11"/>
  <c r="B4" i="11"/>
  <c r="B6" i="11"/>
  <c r="Y835" i="1"/>
  <c r="Z835" i="1" s="1"/>
  <c r="AA835" i="1" s="1"/>
  <c r="Z857" i="1"/>
  <c r="AA857" i="1" s="1"/>
  <c r="Z863" i="1"/>
  <c r="AA863" i="1" s="1"/>
  <c r="Z855" i="1"/>
  <c r="AA855" i="1" s="1"/>
  <c r="Z851" i="1"/>
  <c r="AA851" i="1" s="1"/>
  <c r="Z849" i="1"/>
  <c r="AA849" i="1" s="1"/>
  <c r="Z848" i="1"/>
  <c r="AA848" i="1" s="1"/>
  <c r="Z847" i="1"/>
  <c r="AA847" i="1" s="1"/>
  <c r="Z846" i="1"/>
  <c r="AA846" i="1" s="1"/>
  <c r="Y867" i="1"/>
  <c r="Z867" i="1" s="1"/>
  <c r="AA867" i="1" s="1"/>
  <c r="Y859" i="1"/>
  <c r="Z859" i="1" s="1"/>
  <c r="AA859" i="1" s="1"/>
  <c r="Z856" i="1"/>
  <c r="AA856" i="1" s="1"/>
  <c r="Z843" i="1"/>
  <c r="AA843" i="1" s="1"/>
  <c r="Z841" i="1"/>
  <c r="AA841" i="1" s="1"/>
  <c r="Z839" i="1"/>
  <c r="AA839" i="1" s="1"/>
  <c r="Z833" i="1"/>
  <c r="AA833" i="1" s="1"/>
  <c r="Y832" i="1"/>
  <c r="Z832" i="1" s="1"/>
  <c r="AA832" i="1" s="1"/>
  <c r="Y837" i="1"/>
  <c r="Z837" i="1" s="1"/>
  <c r="AA837" i="1" s="1"/>
  <c r="Y834" i="1"/>
  <c r="Z834" i="1" s="1"/>
  <c r="AA834" i="1" s="1"/>
  <c r="Y777" i="1"/>
  <c r="Z777" i="1" s="1"/>
  <c r="AA777" i="1" s="1"/>
  <c r="Y776" i="1"/>
  <c r="Z776" i="1" s="1"/>
  <c r="AA776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Z810" i="1"/>
  <c r="AA810" i="1" s="1"/>
  <c r="Y807" i="1"/>
  <c r="Z807" i="1" s="1"/>
  <c r="AA807" i="1" s="1"/>
  <c r="Y805" i="1"/>
  <c r="Z805" i="1" s="1"/>
  <c r="AA805" i="1" s="1"/>
  <c r="Y789" i="1"/>
  <c r="Z789" i="1" s="1"/>
  <c r="AA789" i="1" s="1"/>
  <c r="Y782" i="1"/>
  <c r="Z782" i="1" s="1"/>
  <c r="AA782" i="1" s="1"/>
  <c r="Y758" i="1"/>
  <c r="Z758" i="1" s="1"/>
  <c r="AA758" i="1" s="1"/>
  <c r="Y752" i="1"/>
  <c r="Z752" i="1" s="1"/>
  <c r="AA752" i="1" s="1"/>
  <c r="Y739" i="1"/>
  <c r="Z739" i="1" s="1"/>
  <c r="AA739" i="1" s="1"/>
  <c r="Y727" i="1"/>
  <c r="Z727" i="1" s="1"/>
  <c r="AA727" i="1" s="1"/>
  <c r="Z681" i="1"/>
  <c r="AA681" i="1" s="1"/>
  <c r="Z356" i="1"/>
  <c r="AA356" i="1" s="1"/>
  <c r="Z351" i="1"/>
  <c r="AA351" i="1" s="1"/>
  <c r="Z349" i="1"/>
  <c r="AA349" i="1" s="1"/>
  <c r="Z329" i="1"/>
  <c r="AA329" i="1" s="1"/>
  <c r="Y605" i="1"/>
  <c r="Z605" i="1" s="1"/>
  <c r="AA605" i="1" s="1"/>
  <c r="Z661" i="1"/>
  <c r="AA661" i="1" s="1"/>
  <c r="Y629" i="1"/>
  <c r="Z629" i="1" s="1"/>
  <c r="AA629" i="1" s="1"/>
  <c r="Z615" i="1"/>
  <c r="AA615" i="1" s="1"/>
  <c r="Z600" i="1"/>
  <c r="AA600" i="1" s="1"/>
  <c r="Z635" i="1"/>
  <c r="AA635" i="1" s="1"/>
  <c r="Z588" i="1"/>
  <c r="AA588" i="1" s="1"/>
  <c r="Z586" i="1"/>
  <c r="AA586" i="1" s="1"/>
  <c r="Z649" i="1"/>
  <c r="AA649" i="1" s="1"/>
  <c r="Z590" i="1"/>
  <c r="AA590" i="1" s="1"/>
  <c r="Z581" i="1"/>
  <c r="AA581" i="1" s="1"/>
  <c r="Z597" i="1"/>
  <c r="AA597" i="1" s="1"/>
  <c r="Y561" i="1"/>
  <c r="Z561" i="1" s="1"/>
  <c r="AA561" i="1" s="1"/>
  <c r="Y424" i="1"/>
  <c r="Z424" i="1" s="1"/>
  <c r="AA424" i="1" s="1"/>
  <c r="Y415" i="1"/>
  <c r="Z415" i="1" s="1"/>
  <c r="AA415" i="1" s="1"/>
  <c r="Y402" i="1"/>
  <c r="Z402" i="1" s="1"/>
  <c r="AA402" i="1" s="1"/>
  <c r="Z400" i="1"/>
  <c r="AA400" i="1" s="1"/>
  <c r="Y391" i="1"/>
  <c r="Z391" i="1" s="1"/>
  <c r="AA391" i="1" s="1"/>
  <c r="Y388" i="1"/>
  <c r="Z388" i="1" s="1"/>
  <c r="AA388" i="1" s="1"/>
  <c r="Z386" i="1"/>
  <c r="AA386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813" i="1"/>
  <c r="Z813" i="1" s="1"/>
  <c r="AA813" i="1" s="1"/>
  <c r="Y808" i="1"/>
  <c r="Z808" i="1" s="1"/>
  <c r="AA808" i="1" s="1"/>
  <c r="Y806" i="1"/>
  <c r="Z806" i="1" s="1"/>
  <c r="AA806" i="1" s="1"/>
  <c r="Z804" i="1"/>
  <c r="AA804" i="1" s="1"/>
  <c r="Y803" i="1"/>
  <c r="Z803" i="1" s="1"/>
  <c r="AA803" i="1" s="1"/>
  <c r="Z802" i="1"/>
  <c r="AA802" i="1" s="1"/>
  <c r="Y801" i="1"/>
  <c r="Z801" i="1" s="1"/>
  <c r="AA801" i="1" s="1"/>
  <c r="Y800" i="1"/>
  <c r="Z800" i="1" s="1"/>
  <c r="AA800" i="1" s="1"/>
  <c r="Y788" i="1"/>
  <c r="Z788" i="1" s="1"/>
  <c r="AA788" i="1" s="1"/>
  <c r="Y787" i="1"/>
  <c r="Z787" i="1" s="1"/>
  <c r="AA787" i="1" s="1"/>
  <c r="Y786" i="1"/>
  <c r="Z786" i="1" s="1"/>
  <c r="AA786" i="1" s="1"/>
  <c r="Y784" i="1"/>
  <c r="Z784" i="1" s="1"/>
  <c r="AA784" i="1" s="1"/>
  <c r="Y783" i="1"/>
  <c r="Z783" i="1" s="1"/>
  <c r="AA783" i="1" s="1"/>
  <c r="Y781" i="1"/>
  <c r="Z781" i="1" s="1"/>
  <c r="AA781" i="1" s="1"/>
  <c r="Y780" i="1"/>
  <c r="Z780" i="1" s="1"/>
  <c r="AA780" i="1" s="1"/>
  <c r="Y779" i="1"/>
  <c r="Z779" i="1" s="1"/>
  <c r="AA779" i="1" s="1"/>
  <c r="Y774" i="1"/>
  <c r="Z774" i="1" s="1"/>
  <c r="AA774" i="1" s="1"/>
  <c r="Y773" i="1"/>
  <c r="Z773" i="1" s="1"/>
  <c r="AA773" i="1" s="1"/>
  <c r="Y772" i="1"/>
  <c r="Z772" i="1" s="1"/>
  <c r="AA772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X69" i="1"/>
  <c r="X43" i="1"/>
  <c r="Y43" i="1" s="1"/>
  <c r="Z43" i="1" s="1"/>
  <c r="AA43" i="1" s="1"/>
  <c r="Y653" i="1"/>
  <c r="Z653" i="1" s="1"/>
  <c r="AA653" i="1" s="1"/>
  <c r="Y765" i="1"/>
  <c r="Z765" i="1" s="1"/>
  <c r="AA765" i="1" s="1"/>
  <c r="Y764" i="1"/>
  <c r="Z764" i="1" s="1"/>
  <c r="AA764" i="1" s="1"/>
  <c r="Z761" i="1"/>
  <c r="AA761" i="1" s="1"/>
  <c r="Y763" i="1"/>
  <c r="Z763" i="1" s="1"/>
  <c r="AA763" i="1" s="1"/>
  <c r="Y762" i="1"/>
  <c r="Z762" i="1" s="1"/>
  <c r="AA762" i="1" s="1"/>
  <c r="Y760" i="1"/>
  <c r="Z760" i="1" s="1"/>
  <c r="AA760" i="1" s="1"/>
  <c r="Y759" i="1"/>
  <c r="Z759" i="1" s="1"/>
  <c r="AA759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1" i="1"/>
  <c r="AA751" i="1" s="1"/>
  <c r="Y750" i="1"/>
  <c r="Z750" i="1" s="1"/>
  <c r="AA750" i="1" s="1"/>
  <c r="Y749" i="1"/>
  <c r="Z749" i="1" s="1"/>
  <c r="AA749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Y743" i="1"/>
  <c r="Z743" i="1" s="1"/>
  <c r="AA743" i="1" s="1"/>
  <c r="Y742" i="1"/>
  <c r="Z742" i="1" s="1"/>
  <c r="AA742" i="1" s="1"/>
  <c r="Y741" i="1"/>
  <c r="Z741" i="1" s="1"/>
  <c r="AA741" i="1" s="1"/>
  <c r="Y740" i="1"/>
  <c r="Z740" i="1" s="1"/>
  <c r="AA740" i="1" s="1"/>
  <c r="Y738" i="1"/>
  <c r="Z738" i="1" s="1"/>
  <c r="AA738" i="1" s="1"/>
  <c r="Y737" i="1"/>
  <c r="Z737" i="1" s="1"/>
  <c r="AA737" i="1" s="1"/>
  <c r="Y736" i="1"/>
  <c r="Z736" i="1" s="1"/>
  <c r="AA736" i="1" s="1"/>
  <c r="Y735" i="1"/>
  <c r="Z735" i="1" s="1"/>
  <c r="AA735" i="1" s="1"/>
  <c r="Y734" i="1"/>
  <c r="Z734" i="1" s="1"/>
  <c r="AA734" i="1" s="1"/>
  <c r="Y733" i="1"/>
  <c r="Z733" i="1" s="1"/>
  <c r="AA733" i="1" s="1"/>
  <c r="Y732" i="1"/>
  <c r="Z732" i="1" s="1"/>
  <c r="AA732" i="1" s="1"/>
  <c r="Y731" i="1"/>
  <c r="Z731" i="1" s="1"/>
  <c r="AA731" i="1" s="1"/>
  <c r="Y730" i="1"/>
  <c r="Z730" i="1" s="1"/>
  <c r="AA730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Y714" i="1"/>
  <c r="Z714" i="1" s="1"/>
  <c r="AA714" i="1" s="1"/>
  <c r="Y713" i="1"/>
  <c r="Z713" i="1" s="1"/>
  <c r="AA713" i="1" s="1"/>
  <c r="Y712" i="1"/>
  <c r="Z712" i="1" s="1"/>
  <c r="AA712" i="1" s="1"/>
  <c r="Y711" i="1"/>
  <c r="Z711" i="1" s="1"/>
  <c r="AA711" i="1" s="1"/>
  <c r="Y710" i="1"/>
  <c r="Z710" i="1" s="1"/>
  <c r="AA710" i="1" s="1"/>
  <c r="Y709" i="1"/>
  <c r="Z709" i="1" s="1"/>
  <c r="AA709" i="1" s="1"/>
  <c r="Y708" i="1"/>
  <c r="Z708" i="1" s="1"/>
  <c r="AA708" i="1" s="1"/>
  <c r="Z707" i="1"/>
  <c r="AA707" i="1" s="1"/>
  <c r="Y706" i="1"/>
  <c r="Z706" i="1" s="1"/>
  <c r="AA706" i="1" s="1"/>
  <c r="Y705" i="1"/>
  <c r="Z705" i="1" s="1"/>
  <c r="AA705" i="1" s="1"/>
  <c r="Y703" i="1"/>
  <c r="Z703" i="1" s="1"/>
  <c r="AA703" i="1" s="1"/>
  <c r="Y702" i="1"/>
  <c r="Z702" i="1" s="1"/>
  <c r="AA702" i="1" s="1"/>
  <c r="Y701" i="1"/>
  <c r="Z701" i="1" s="1"/>
  <c r="AA701" i="1" s="1"/>
  <c r="Y700" i="1"/>
  <c r="Z700" i="1" s="1"/>
  <c r="AA700" i="1" s="1"/>
  <c r="Y699" i="1"/>
  <c r="Z699" i="1" s="1"/>
  <c r="AA699" i="1" s="1"/>
  <c r="Z697" i="1"/>
  <c r="AA697" i="1" s="1"/>
  <c r="Z696" i="1"/>
  <c r="AA696" i="1" s="1"/>
  <c r="Z692" i="1"/>
  <c r="AA692" i="1" s="1"/>
  <c r="Z690" i="1"/>
  <c r="AA690" i="1" s="1"/>
  <c r="Z685" i="1"/>
  <c r="AA685" i="1" s="1"/>
  <c r="Z684" i="1"/>
  <c r="AA684" i="1" s="1"/>
  <c r="Z682" i="1"/>
  <c r="AA682" i="1" s="1"/>
  <c r="Z675" i="1"/>
  <c r="AA675" i="1" s="1"/>
  <c r="Z674" i="1"/>
  <c r="AA674" i="1" s="1"/>
  <c r="Z671" i="1"/>
  <c r="AA671" i="1" s="1"/>
  <c r="Z669" i="1"/>
  <c r="AA669" i="1" s="1"/>
  <c r="Z667" i="1"/>
  <c r="AA667" i="1" s="1"/>
  <c r="Z665" i="1"/>
  <c r="AA665" i="1" s="1"/>
  <c r="Z363" i="1"/>
  <c r="AA363" i="1" s="1"/>
  <c r="Z361" i="1"/>
  <c r="AA361" i="1" s="1"/>
  <c r="Z359" i="1"/>
  <c r="AA359" i="1" s="1"/>
  <c r="Z357" i="1"/>
  <c r="AA357" i="1" s="1"/>
  <c r="Z354" i="1"/>
  <c r="AA354" i="1" s="1"/>
  <c r="Z352" i="1"/>
  <c r="AA352" i="1" s="1"/>
  <c r="Z651" i="1"/>
  <c r="AA651" i="1" s="1"/>
  <c r="Y644" i="1"/>
  <c r="Z644" i="1" s="1"/>
  <c r="AA644" i="1" s="1"/>
  <c r="Z630" i="1"/>
  <c r="AA630" i="1" s="1"/>
  <c r="Z346" i="1"/>
  <c r="AA346" i="1" s="1"/>
  <c r="Y345" i="1"/>
  <c r="Z345" i="1" s="1"/>
  <c r="AA345" i="1" s="1"/>
  <c r="Y662" i="1"/>
  <c r="Z662" i="1" s="1"/>
  <c r="AA662" i="1" s="1"/>
  <c r="Y660" i="1"/>
  <c r="Z660" i="1" s="1"/>
  <c r="AA660" i="1" s="1"/>
  <c r="Y659" i="1"/>
  <c r="Z659" i="1" s="1"/>
  <c r="AA659" i="1" s="1"/>
  <c r="Y642" i="1"/>
  <c r="Z642" i="1" s="1"/>
  <c r="AA642" i="1" s="1"/>
  <c r="Z601" i="1"/>
  <c r="AA601" i="1" s="1"/>
  <c r="Z342" i="1"/>
  <c r="AA342" i="1" s="1"/>
  <c r="Z340" i="1"/>
  <c r="AA340" i="1" s="1"/>
  <c r="Z337" i="1"/>
  <c r="AA337" i="1" s="1"/>
  <c r="Z335" i="1"/>
  <c r="AA335" i="1" s="1"/>
  <c r="Y331" i="1"/>
  <c r="Z331" i="1" s="1"/>
  <c r="AA331" i="1" s="1"/>
  <c r="Z333" i="1"/>
  <c r="AA333" i="1" s="1"/>
  <c r="Z327" i="1"/>
  <c r="AA327" i="1" s="1"/>
  <c r="Z326" i="1"/>
  <c r="AA326" i="1" s="1"/>
  <c r="Z663" i="1"/>
  <c r="AA663" i="1" s="1"/>
  <c r="Z658" i="1"/>
  <c r="AA658" i="1" s="1"/>
  <c r="Z657" i="1"/>
  <c r="AA657" i="1" s="1"/>
  <c r="Z656" i="1"/>
  <c r="AA656" i="1" s="1"/>
  <c r="Z655" i="1"/>
  <c r="AA655" i="1" s="1"/>
  <c r="Z654" i="1"/>
  <c r="AA654" i="1" s="1"/>
  <c r="Y652" i="1"/>
  <c r="Z652" i="1" s="1"/>
  <c r="AA652" i="1" s="1"/>
  <c r="Z650" i="1"/>
  <c r="AA650" i="1" s="1"/>
  <c r="Z648" i="1"/>
  <c r="AA648" i="1" s="1"/>
  <c r="Z647" i="1"/>
  <c r="AA647" i="1" s="1"/>
  <c r="Y646" i="1"/>
  <c r="Z646" i="1" s="1"/>
  <c r="AA646" i="1" s="1"/>
  <c r="Z645" i="1"/>
  <c r="AA645" i="1" s="1"/>
  <c r="Y643" i="1"/>
  <c r="Z643" i="1" s="1"/>
  <c r="AA643" i="1" s="1"/>
  <c r="Y641" i="1"/>
  <c r="Z641" i="1" s="1"/>
  <c r="AA641" i="1" s="1"/>
  <c r="Z640" i="1"/>
  <c r="AA640" i="1" s="1"/>
  <c r="Z639" i="1"/>
  <c r="AA639" i="1" s="1"/>
  <c r="Z638" i="1"/>
  <c r="AA638" i="1" s="1"/>
  <c r="Z637" i="1"/>
  <c r="AA637" i="1" s="1"/>
  <c r="Z636" i="1"/>
  <c r="AA636" i="1" s="1"/>
  <c r="Z634" i="1"/>
  <c r="AA634" i="1" s="1"/>
  <c r="Z633" i="1"/>
  <c r="AA633" i="1" s="1"/>
  <c r="Z632" i="1"/>
  <c r="AA632" i="1" s="1"/>
  <c r="Z631" i="1"/>
  <c r="AA631" i="1" s="1"/>
  <c r="Z628" i="1"/>
  <c r="AA628" i="1" s="1"/>
  <c r="Z627" i="1"/>
  <c r="AA627" i="1" s="1"/>
  <c r="Z622" i="1"/>
  <c r="AA622" i="1" s="1"/>
  <c r="Z621" i="1"/>
  <c r="AA621" i="1" s="1"/>
  <c r="Z620" i="1"/>
  <c r="AA620" i="1" s="1"/>
  <c r="Z619" i="1"/>
  <c r="AA619" i="1" s="1"/>
  <c r="Z618" i="1"/>
  <c r="AA618" i="1" s="1"/>
  <c r="Z617" i="1"/>
  <c r="AA617" i="1" s="1"/>
  <c r="X133" i="1"/>
  <c r="Y133" i="1" s="1"/>
  <c r="Z133" i="1" s="1"/>
  <c r="AA133" i="1" s="1"/>
  <c r="X70" i="1"/>
  <c r="Z626" i="1"/>
  <c r="AA626" i="1" s="1"/>
  <c r="Z624" i="1"/>
  <c r="AA624" i="1" s="1"/>
  <c r="B24" i="9"/>
  <c r="H24" i="9" s="1"/>
  <c r="Z612" i="1"/>
  <c r="AA612" i="1" s="1"/>
  <c r="Z611" i="1"/>
  <c r="AA611" i="1" s="1"/>
  <c r="Z608" i="1"/>
  <c r="AA608" i="1" s="1"/>
  <c r="Z607" i="1"/>
  <c r="AA607" i="1" s="1"/>
  <c r="B19" i="9"/>
  <c r="G19" i="9" s="1"/>
  <c r="B17" i="9"/>
  <c r="G17" i="9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99" i="1"/>
  <c r="AA599" i="1" s="1"/>
  <c r="Z585" i="1"/>
  <c r="AA585" i="1" s="1"/>
  <c r="Z582" i="1"/>
  <c r="AA582" i="1" s="1"/>
  <c r="Z580" i="1"/>
  <c r="AA580" i="1" s="1"/>
  <c r="Z579" i="1"/>
  <c r="AA579" i="1" s="1"/>
  <c r="Z578" i="1"/>
  <c r="AA578" i="1" s="1"/>
  <c r="Z576" i="1"/>
  <c r="AA576" i="1" s="1"/>
  <c r="Z575" i="1"/>
  <c r="AA575" i="1" s="1"/>
  <c r="Z574" i="1"/>
  <c r="AA574" i="1" s="1"/>
  <c r="Z573" i="1"/>
  <c r="AA573" i="1" s="1"/>
  <c r="Z572" i="1"/>
  <c r="AA572" i="1" s="1"/>
  <c r="Z571" i="1"/>
  <c r="AA571" i="1" s="1"/>
  <c r="Y614" i="1"/>
  <c r="Z614" i="1" s="1"/>
  <c r="AA614" i="1" s="1"/>
  <c r="Y613" i="1"/>
  <c r="Z613" i="1" s="1"/>
  <c r="AA613" i="1" s="1"/>
  <c r="Y610" i="1"/>
  <c r="Z610" i="1" s="1"/>
  <c r="AA610" i="1" s="1"/>
  <c r="Y609" i="1"/>
  <c r="Z609" i="1" s="1"/>
  <c r="AA609" i="1" s="1"/>
  <c r="Y606" i="1"/>
  <c r="Z606" i="1" s="1"/>
  <c r="AA606" i="1" s="1"/>
  <c r="Z583" i="1"/>
  <c r="AA583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98" i="1"/>
  <c r="AA598" i="1" s="1"/>
  <c r="Z592" i="1"/>
  <c r="AA592" i="1" s="1"/>
  <c r="Z591" i="1"/>
  <c r="AA591" i="1" s="1"/>
  <c r="Y589" i="1"/>
  <c r="Z589" i="1" s="1"/>
  <c r="AA589" i="1" s="1"/>
  <c r="Y587" i="1"/>
  <c r="Z587" i="1" s="1"/>
  <c r="AA587" i="1" s="1"/>
  <c r="Z577" i="1"/>
  <c r="AA577" i="1" s="1"/>
  <c r="A5" i="10"/>
  <c r="A7" i="10"/>
  <c r="A9" i="10"/>
  <c r="A11" i="10"/>
  <c r="A6" i="10"/>
  <c r="A8" i="10"/>
  <c r="A10" i="10"/>
  <c r="Y596" i="1"/>
  <c r="Z596" i="1" s="1"/>
  <c r="AA596" i="1" s="1"/>
  <c r="Y595" i="1"/>
  <c r="Z595" i="1" s="1"/>
  <c r="AA595" i="1" s="1"/>
  <c r="Y594" i="1"/>
  <c r="Z594" i="1" s="1"/>
  <c r="AA594" i="1" s="1"/>
  <c r="Y593" i="1"/>
  <c r="Z593" i="1" s="1"/>
  <c r="AA593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65" i="1"/>
  <c r="Z565" i="1" s="1"/>
  <c r="AA565" i="1" s="1"/>
  <c r="Y564" i="1"/>
  <c r="Z564" i="1" s="1"/>
  <c r="AA564" i="1" s="1"/>
  <c r="Y563" i="1"/>
  <c r="Z563" i="1" s="1"/>
  <c r="AA563" i="1" s="1"/>
  <c r="Y559" i="1"/>
  <c r="Z559" i="1" s="1"/>
  <c r="AA559" i="1" s="1"/>
  <c r="Y557" i="1"/>
  <c r="Z557" i="1" s="1"/>
  <c r="AA557" i="1" s="1"/>
  <c r="Z555" i="1"/>
  <c r="AA555" i="1" s="1"/>
  <c r="Y553" i="1"/>
  <c r="Z553" i="1" s="1"/>
  <c r="AA553" i="1" s="1"/>
  <c r="Z551" i="1"/>
  <c r="AA551" i="1" s="1"/>
  <c r="Y549" i="1"/>
  <c r="Z549" i="1" s="1"/>
  <c r="AA549" i="1" s="1"/>
  <c r="Z545" i="1"/>
  <c r="AA545" i="1" s="1"/>
  <c r="Y531" i="1"/>
  <c r="Z531" i="1" s="1"/>
  <c r="AA531" i="1" s="1"/>
  <c r="Y541" i="1"/>
  <c r="Z541" i="1" s="1"/>
  <c r="AA541" i="1" s="1"/>
  <c r="Y539" i="1"/>
  <c r="Z539" i="1" s="1"/>
  <c r="AA539" i="1" s="1"/>
  <c r="Z535" i="1"/>
  <c r="AA535" i="1" s="1"/>
  <c r="Y533" i="1"/>
  <c r="Z533" i="1" s="1"/>
  <c r="AA533" i="1" s="1"/>
  <c r="Y513" i="1"/>
  <c r="Z513" i="1" s="1"/>
  <c r="AA513" i="1" s="1"/>
  <c r="Z505" i="1"/>
  <c r="AA505" i="1" s="1"/>
  <c r="Z515" i="1"/>
  <c r="AA515" i="1" s="1"/>
  <c r="Y511" i="1"/>
  <c r="Z511" i="1" s="1"/>
  <c r="AA511" i="1" s="1"/>
  <c r="Z509" i="1"/>
  <c r="AA509" i="1" s="1"/>
  <c r="Z507" i="1"/>
  <c r="AA507" i="1" s="1"/>
  <c r="Y503" i="1"/>
  <c r="Z503" i="1" s="1"/>
  <c r="AA503" i="1" s="1"/>
  <c r="Y498" i="1"/>
  <c r="Z498" i="1" s="1"/>
  <c r="AA498" i="1" s="1"/>
  <c r="Y526" i="1"/>
  <c r="Z526" i="1" s="1"/>
  <c r="AA526" i="1" s="1"/>
  <c r="Z496" i="1"/>
  <c r="AA496" i="1" s="1"/>
  <c r="Y494" i="1"/>
  <c r="Z494" i="1" s="1"/>
  <c r="AA494" i="1" s="1"/>
  <c r="Z490" i="1"/>
  <c r="AA490" i="1" s="1"/>
  <c r="Z21" i="1"/>
  <c r="AA21" i="1" s="1"/>
  <c r="Z19" i="1"/>
  <c r="AA19" i="1" s="1"/>
  <c r="Z17" i="1"/>
  <c r="AA17" i="1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Y487" i="1"/>
  <c r="Z487" i="1" s="1"/>
  <c r="AA487" i="1" s="1"/>
  <c r="Z486" i="1"/>
  <c r="AA486" i="1" s="1"/>
  <c r="Y485" i="1"/>
  <c r="Z485" i="1" s="1"/>
  <c r="AA485" i="1" s="1"/>
  <c r="Y482" i="1"/>
  <c r="Z482" i="1" s="1"/>
  <c r="AA482" i="1" s="1"/>
  <c r="Y479" i="1"/>
  <c r="Z479" i="1" s="1"/>
  <c r="AA479" i="1" s="1"/>
  <c r="Y477" i="1"/>
  <c r="Z477" i="1" s="1"/>
  <c r="AA477" i="1" s="1"/>
  <c r="Y475" i="1"/>
  <c r="Z475" i="1" s="1"/>
  <c r="AA475" i="1" s="1"/>
  <c r="Y426" i="1"/>
  <c r="Z426" i="1" s="1"/>
  <c r="AA426" i="1" s="1"/>
  <c r="Y422" i="1"/>
  <c r="Z422" i="1" s="1"/>
  <c r="AA422" i="1" s="1"/>
  <c r="Z417" i="1"/>
  <c r="AA417" i="1" s="1"/>
  <c r="Y416" i="1"/>
  <c r="Z416" i="1" s="1"/>
  <c r="AA416" i="1" s="1"/>
  <c r="Y412" i="1"/>
  <c r="Z412" i="1" s="1"/>
  <c r="AA412" i="1" s="1"/>
  <c r="Y411" i="1"/>
  <c r="Z411" i="1" s="1"/>
  <c r="AA411" i="1" s="1"/>
  <c r="Y410" i="1"/>
  <c r="Z410" i="1" s="1"/>
  <c r="AA410" i="1" s="1"/>
  <c r="Y406" i="1"/>
  <c r="Z406" i="1" s="1"/>
  <c r="AA406" i="1" s="1"/>
  <c r="Y405" i="1"/>
  <c r="Z405" i="1" s="1"/>
  <c r="AA405" i="1" s="1"/>
  <c r="Y403" i="1"/>
  <c r="Z403" i="1" s="1"/>
  <c r="AA403" i="1" s="1"/>
  <c r="Y401" i="1"/>
  <c r="Z401" i="1" s="1"/>
  <c r="AA401" i="1" s="1"/>
  <c r="Y398" i="1"/>
  <c r="Z398" i="1" s="1"/>
  <c r="AA398" i="1" s="1"/>
  <c r="Y396" i="1"/>
  <c r="Z396" i="1" s="1"/>
  <c r="AA396" i="1" s="1"/>
  <c r="Y394" i="1"/>
  <c r="Z394" i="1" s="1"/>
  <c r="AA394" i="1" s="1"/>
  <c r="Y390" i="1"/>
  <c r="Z390" i="1" s="1"/>
  <c r="AA390" i="1" s="1"/>
  <c r="Y387" i="1"/>
  <c r="Z387" i="1" s="1"/>
  <c r="AA387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K16" i="6"/>
  <c r="L16" i="6" s="1"/>
  <c r="M16" i="6" s="1"/>
  <c r="K23" i="8"/>
  <c r="L23" i="8" s="1"/>
  <c r="M23" i="8" s="1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37" i="5"/>
  <c r="L37" i="5" s="1"/>
  <c r="M37" i="5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29" i="1"/>
  <c r="AI529" i="1" s="1"/>
  <c r="D529" i="1"/>
  <c r="AF529" i="1" l="1"/>
  <c r="AC529" i="1" l="1"/>
  <c r="AB529" i="1"/>
  <c r="B506" i="1" l="1"/>
  <c r="C506" i="1" s="1"/>
  <c r="B502" i="1"/>
  <c r="C502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97" i="1"/>
  <c r="AG497" i="1"/>
  <c r="AI497" i="1" s="1"/>
  <c r="AG538" i="1"/>
  <c r="AI538" i="1" s="1"/>
  <c r="D538" i="1"/>
  <c r="AG543" i="1"/>
  <c r="AI543" i="1" s="1"/>
  <c r="D543" i="1"/>
  <c r="AG627" i="1"/>
  <c r="AI627" i="1" s="1"/>
  <c r="D627" i="1"/>
  <c r="D658" i="1"/>
  <c r="AG658" i="1"/>
  <c r="AI658" i="1" s="1"/>
  <c r="AG668" i="1"/>
  <c r="AI668" i="1" s="1"/>
  <c r="D668" i="1"/>
  <c r="D672" i="1"/>
  <c r="AG672" i="1"/>
  <c r="AI672" i="1" s="1"/>
  <c r="D674" i="1"/>
  <c r="AG674" i="1"/>
  <c r="AI674" i="1" s="1"/>
  <c r="D687" i="1"/>
  <c r="AG687" i="1"/>
  <c r="AI687" i="1" s="1"/>
  <c r="D691" i="1"/>
  <c r="AG691" i="1"/>
  <c r="AI691" i="1" s="1"/>
  <c r="D698" i="1"/>
  <c r="AG698" i="1"/>
  <c r="AI698" i="1" s="1"/>
  <c r="D702" i="1"/>
  <c r="AG702" i="1"/>
  <c r="AI702" i="1" s="1"/>
  <c r="AG709" i="1"/>
  <c r="AI709" i="1" s="1"/>
  <c r="D709" i="1"/>
  <c r="AG711" i="1"/>
  <c r="AI711" i="1" s="1"/>
  <c r="D711" i="1"/>
  <c r="AG713" i="1"/>
  <c r="AI713" i="1" s="1"/>
  <c r="D713" i="1"/>
  <c r="D717" i="1"/>
  <c r="AG717" i="1"/>
  <c r="AI717" i="1" s="1"/>
  <c r="D719" i="1"/>
  <c r="AG719" i="1"/>
  <c r="AI719" i="1" s="1"/>
  <c r="D722" i="1"/>
  <c r="AG722" i="1"/>
  <c r="AI722" i="1" s="1"/>
  <c r="D724" i="1"/>
  <c r="AG724" i="1"/>
  <c r="AI724" i="1" s="1"/>
  <c r="D726" i="1"/>
  <c r="AG726" i="1"/>
  <c r="AI726" i="1" s="1"/>
  <c r="AG730" i="1"/>
  <c r="AI730" i="1" s="1"/>
  <c r="D730" i="1"/>
  <c r="AG733" i="1"/>
  <c r="AI733" i="1" s="1"/>
  <c r="D733" i="1"/>
  <c r="AG735" i="1"/>
  <c r="AI735" i="1" s="1"/>
  <c r="D735" i="1"/>
  <c r="AG737" i="1"/>
  <c r="AI737" i="1" s="1"/>
  <c r="D737" i="1"/>
  <c r="D742" i="1"/>
  <c r="AG742" i="1"/>
  <c r="AI742" i="1" s="1"/>
  <c r="D751" i="1"/>
  <c r="AG751" i="1"/>
  <c r="AI751" i="1" s="1"/>
  <c r="AG759" i="1"/>
  <c r="AI759" i="1" s="1"/>
  <c r="D759" i="1"/>
  <c r="D764" i="1"/>
  <c r="AG764" i="1"/>
  <c r="AI764" i="1" s="1"/>
  <c r="AG768" i="1"/>
  <c r="AI768" i="1" s="1"/>
  <c r="D768" i="1"/>
  <c r="AG770" i="1"/>
  <c r="AI770" i="1" s="1"/>
  <c r="D770" i="1"/>
  <c r="AG796" i="1"/>
  <c r="AI796" i="1" s="1"/>
  <c r="D796" i="1"/>
  <c r="AG808" i="1"/>
  <c r="AI808" i="1" s="1"/>
  <c r="D808" i="1" l="1"/>
  <c r="AF319" i="1"/>
  <c r="AF317" i="1"/>
  <c r="AF298" i="1"/>
  <c r="AF235" i="1"/>
  <c r="AF13" i="1"/>
  <c r="AF796" i="1"/>
  <c r="AF770" i="1"/>
  <c r="AF768" i="1"/>
  <c r="AF764" i="1"/>
  <c r="AF759" i="1"/>
  <c r="AF751" i="1"/>
  <c r="AF742" i="1"/>
  <c r="AF737" i="1"/>
  <c r="AF735" i="1"/>
  <c r="AF733" i="1"/>
  <c r="AF730" i="1"/>
  <c r="AF726" i="1"/>
  <c r="AF724" i="1"/>
  <c r="AF722" i="1"/>
  <c r="AF719" i="1"/>
  <c r="AF717" i="1"/>
  <c r="AF713" i="1"/>
  <c r="AF711" i="1"/>
  <c r="AF709" i="1"/>
  <c r="AF702" i="1"/>
  <c r="AF698" i="1"/>
  <c r="AF691" i="1"/>
  <c r="AF687" i="1"/>
  <c r="AF674" i="1"/>
  <c r="AF672" i="1"/>
  <c r="AF668" i="1"/>
  <c r="AF658" i="1"/>
  <c r="AF627" i="1"/>
  <c r="AF543" i="1"/>
  <c r="AF538" i="1"/>
  <c r="AF497" i="1"/>
  <c r="AF255" i="1"/>
  <c r="AF283" i="1"/>
  <c r="AF202" i="1"/>
  <c r="AF101" i="1"/>
  <c r="AF76" i="1"/>
  <c r="AF65" i="1"/>
  <c r="AF8" i="1"/>
  <c r="A3" i="1"/>
  <c r="AF808" i="1" l="1"/>
  <c r="A4" i="1"/>
  <c r="AG3" i="1"/>
  <c r="D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37" i="5"/>
  <c r="A7" i="7"/>
  <c r="A20" i="7"/>
  <c r="A8" i="8"/>
  <c r="A14" i="9"/>
  <c r="A14" i="7"/>
  <c r="A20" i="6"/>
  <c r="A17" i="7"/>
  <c r="A24" i="8"/>
  <c r="A19" i="9"/>
  <c r="A25" i="7"/>
  <c r="A15" i="6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11" i="8"/>
  <c r="A40" i="5"/>
  <c r="A26" i="7"/>
  <c r="A19" i="8"/>
  <c r="A22" i="9"/>
  <c r="A30" i="7"/>
  <c r="A14" i="6"/>
  <c r="A15" i="7"/>
  <c r="A43" i="5"/>
  <c r="A13" i="9"/>
  <c r="A11" i="9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23" i="9"/>
  <c r="A39" i="5"/>
  <c r="A7" i="8"/>
  <c r="A13" i="6"/>
  <c r="A18" i="7"/>
  <c r="A10" i="7"/>
  <c r="A7" i="6"/>
  <c r="A34" i="5"/>
  <c r="A45" i="5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D4" i="1"/>
  <c r="A5" i="1"/>
  <c r="AG4" i="1"/>
  <c r="AF3" i="1"/>
  <c r="AI4" i="1" l="1"/>
  <c r="AH5" i="1"/>
  <c r="D813" i="1"/>
  <c r="AF4" i="1"/>
  <c r="A6" i="1"/>
  <c r="D5" i="1"/>
  <c r="AG5" i="1"/>
  <c r="AI5" i="1" l="1"/>
  <c r="AH6" i="1"/>
  <c r="AG813" i="1"/>
  <c r="AI813" i="1" s="1"/>
  <c r="AF5" i="1"/>
  <c r="D6" i="1"/>
  <c r="A7" i="1"/>
  <c r="AG6" i="1"/>
  <c r="AI6" i="1" l="1"/>
  <c r="AH7" i="1"/>
  <c r="AB658" i="1"/>
  <c r="AC101" i="1"/>
  <c r="AB76" i="1"/>
  <c r="AC711" i="1"/>
  <c r="AC627" i="1"/>
  <c r="AB13" i="1"/>
  <c r="AB751" i="1"/>
  <c r="AB813" i="1"/>
  <c r="AC719" i="1"/>
  <c r="AC672" i="1"/>
  <c r="AC202" i="1"/>
  <c r="AC796" i="1"/>
  <c r="AB702" i="1"/>
  <c r="AB808" i="1"/>
  <c r="AB202" i="1"/>
  <c r="AC283" i="1"/>
  <c r="AB538" i="1"/>
  <c r="AC813" i="1"/>
  <c r="AB737" i="1"/>
  <c r="AC76" i="1"/>
  <c r="AB672" i="1"/>
  <c r="AB733" i="1"/>
  <c r="AC722" i="1"/>
  <c r="AC674" i="1"/>
  <c r="AC65" i="1"/>
  <c r="AC768" i="1"/>
  <c r="AC235" i="1"/>
  <c r="AB713" i="1"/>
  <c r="AC698" i="1"/>
  <c r="AB719" i="1"/>
  <c r="AB255" i="1"/>
  <c r="AB730" i="1"/>
  <c r="AC735" i="1"/>
  <c r="AC702" i="1"/>
  <c r="AB8" i="1"/>
  <c r="AB691" i="1"/>
  <c r="AB65" i="1"/>
  <c r="AC717" i="1"/>
  <c r="AC737" i="1"/>
  <c r="AF813" i="1"/>
  <c r="AB497" i="1"/>
  <c r="AB283" i="1"/>
  <c r="AC691" i="1"/>
  <c r="AC298" i="1"/>
  <c r="AC759" i="1"/>
  <c r="AC497" i="1"/>
  <c r="AC709" i="1"/>
  <c r="AC770" i="1"/>
  <c r="AB674" i="1"/>
  <c r="AC319" i="1"/>
  <c r="AB764" i="1"/>
  <c r="AB735" i="1"/>
  <c r="AC724" i="1"/>
  <c r="AB711" i="1"/>
  <c r="AC13" i="1"/>
  <c r="AC538" i="1"/>
  <c r="AB709" i="1"/>
  <c r="AB768" i="1"/>
  <c r="AC658" i="1"/>
  <c r="AC808" i="1"/>
  <c r="AB668" i="1"/>
  <c r="AB796" i="1"/>
  <c r="AC317" i="1"/>
  <c r="AB717" i="1"/>
  <c r="AC726" i="1"/>
  <c r="AC733" i="1"/>
  <c r="AC255" i="1"/>
  <c r="AB101" i="1"/>
  <c r="AB319" i="1"/>
  <c r="AB742" i="1"/>
  <c r="AC713" i="1"/>
  <c r="AC543" i="1"/>
  <c r="AC764" i="1"/>
  <c r="AB759" i="1"/>
  <c r="AB722" i="1"/>
  <c r="AB770" i="1"/>
  <c r="AB298" i="1"/>
  <c r="AC668" i="1"/>
  <c r="AB724" i="1"/>
  <c r="AB317" i="1"/>
  <c r="AC751" i="1"/>
  <c r="AC8" i="1"/>
  <c r="AC730" i="1"/>
  <c r="AC687" i="1"/>
  <c r="AB627" i="1"/>
  <c r="AB698" i="1"/>
  <c r="AC742" i="1"/>
  <c r="AB687" i="1"/>
  <c r="AB726" i="1"/>
  <c r="AB543" i="1"/>
  <c r="AB235" i="1"/>
  <c r="AG7" i="1"/>
  <c r="A8" i="1"/>
  <c r="AF6" i="1"/>
  <c r="D7" i="1"/>
  <c r="AI7" i="1" l="1"/>
  <c r="AH8" i="1"/>
  <c r="B813" i="1"/>
  <c r="C813" i="1" s="1"/>
  <c r="AF7" i="1"/>
  <c r="A9" i="1"/>
  <c r="AG15" i="1" l="1"/>
  <c r="AI15" i="1" s="1"/>
  <c r="D15" i="1"/>
  <c r="D9" i="1"/>
  <c r="AG9" i="1"/>
  <c r="A10" i="1"/>
  <c r="A11" i="1"/>
  <c r="AG11" i="1"/>
  <c r="AG10" i="1"/>
  <c r="D10" i="1"/>
  <c r="D11" i="1"/>
  <c r="AI10" i="1" l="1"/>
  <c r="AI11" i="1" s="1"/>
  <c r="AH11" i="1"/>
  <c r="AH10" i="1"/>
  <c r="B10" i="1" s="1"/>
  <c r="C10" i="1" s="1"/>
  <c r="AF15" i="1"/>
  <c r="A12" i="1"/>
  <c r="AF10" i="1"/>
  <c r="AG12" i="1"/>
  <c r="D12" i="1"/>
  <c r="AF9" i="1"/>
  <c r="AF11" i="1"/>
  <c r="AH12" i="1" l="1"/>
  <c r="B12" i="1" s="1"/>
  <c r="C12" i="1" s="1"/>
  <c r="AI12" i="1"/>
  <c r="AF12" i="1"/>
  <c r="A13" i="1"/>
  <c r="A14" i="1"/>
  <c r="AG14" i="1"/>
  <c r="A15" i="1"/>
  <c r="D14" i="1"/>
  <c r="A16" i="1"/>
  <c r="AG16" i="1"/>
  <c r="D16" i="1"/>
  <c r="A17" i="1"/>
  <c r="AG17" i="1"/>
  <c r="D17" i="1"/>
  <c r="A18" i="1"/>
  <c r="AH15" i="1" l="1"/>
  <c r="AH13" i="1"/>
  <c r="AI17" i="1"/>
  <c r="AH18" i="1"/>
  <c r="D20" i="1"/>
  <c r="AG20" i="1"/>
  <c r="AI20" i="1" s="1"/>
  <c r="AF16" i="1"/>
  <c r="A19" i="1"/>
  <c r="AG19" i="1"/>
  <c r="AF14" i="1"/>
  <c r="A20" i="1"/>
  <c r="AF17" i="1"/>
  <c r="D18" i="1"/>
  <c r="AG18" i="1"/>
  <c r="D19" i="1"/>
  <c r="AI18" i="1" l="1"/>
  <c r="AI19" i="1" s="1"/>
  <c r="AH19" i="1"/>
  <c r="AH20" i="1"/>
  <c r="AF20" i="1"/>
  <c r="AF18" i="1"/>
  <c r="AF19" i="1"/>
  <c r="A21" i="1"/>
  <c r="AG24" i="1" l="1"/>
  <c r="AI24" i="1" s="1"/>
  <c r="D24" i="1"/>
  <c r="AG34" i="1"/>
  <c r="AI34" i="1" s="1"/>
  <c r="AG21" i="1"/>
  <c r="D21" i="1"/>
  <c r="A22" i="1"/>
  <c r="D22" i="1"/>
  <c r="A23" i="1"/>
  <c r="AG22" i="1"/>
  <c r="D23" i="1"/>
  <c r="AG23" i="1"/>
  <c r="AI22" i="1" l="1"/>
  <c r="AI23" i="1" s="1"/>
  <c r="AH22" i="1"/>
  <c r="AH23" i="1"/>
  <c r="D34" i="1"/>
  <c r="AF24" i="1"/>
  <c r="A24" i="1"/>
  <c r="AF23" i="1"/>
  <c r="AF21" i="1"/>
  <c r="AF22" i="1"/>
  <c r="AH24" i="1" l="1"/>
  <c r="B24" i="1" s="1"/>
  <c r="C24" i="1" s="1"/>
  <c r="AF34" i="1"/>
  <c r="D38" i="1"/>
  <c r="A25" i="1"/>
  <c r="AG25" i="1"/>
  <c r="D25" i="1"/>
  <c r="A26" i="1"/>
  <c r="AH26" i="1" l="1"/>
  <c r="AG38" i="1"/>
  <c r="AI38" i="1" s="1"/>
  <c r="AF38" i="1"/>
  <c r="A27" i="1"/>
  <c r="AF25" i="1"/>
  <c r="AG27" i="1"/>
  <c r="D27" i="1"/>
  <c r="A28" i="1"/>
  <c r="AH28" i="1" l="1"/>
  <c r="AG40" i="1"/>
  <c r="AI40" i="1" s="1"/>
  <c r="D40" i="1"/>
  <c r="A29" i="1"/>
  <c r="A30" i="1"/>
  <c r="AF27" i="1"/>
  <c r="AG29" i="1"/>
  <c r="D29" i="1"/>
  <c r="AH30" i="1" l="1"/>
  <c r="AF40" i="1"/>
  <c r="D30" i="1"/>
  <c r="A31" i="1"/>
  <c r="AG30" i="1"/>
  <c r="AF29" i="1"/>
  <c r="AG31" i="1"/>
  <c r="A32" i="1"/>
  <c r="AI30" i="1" l="1"/>
  <c r="AI31" i="1" s="1"/>
  <c r="AH31" i="1"/>
  <c r="AH32" i="1"/>
  <c r="AG45" i="1"/>
  <c r="AI45" i="1" s="1"/>
  <c r="D45" i="1"/>
  <c r="A33" i="1"/>
  <c r="AF30" i="1"/>
  <c r="A34" i="1"/>
  <c r="D31" i="1"/>
  <c r="AG33" i="1"/>
  <c r="D33" i="1"/>
  <c r="AF45" i="1" l="1"/>
  <c r="A35" i="1"/>
  <c r="D35" i="1"/>
  <c r="AF33" i="1"/>
  <c r="AF31" i="1"/>
  <c r="AG35" i="1"/>
  <c r="A36" i="1"/>
  <c r="AG51" i="1" l="1"/>
  <c r="AI51" i="1" s="1"/>
  <c r="D51" i="1"/>
  <c r="AG36" i="1"/>
  <c r="A37" i="1"/>
  <c r="AG37" i="1"/>
  <c r="A38" i="1"/>
  <c r="AF35" i="1"/>
  <c r="D36" i="1"/>
  <c r="D37" i="1"/>
  <c r="A39" i="1"/>
  <c r="AG39" i="1"/>
  <c r="A40" i="1"/>
  <c r="D39" i="1"/>
  <c r="A41" i="1"/>
  <c r="D41" i="1"/>
  <c r="AG41" i="1"/>
  <c r="A42" i="1"/>
  <c r="AG42" i="1"/>
  <c r="D42" i="1"/>
  <c r="AH37" i="1" l="1"/>
  <c r="AI36" i="1"/>
  <c r="AI37" i="1" s="1"/>
  <c r="AI42" i="1"/>
  <c r="AH42" i="1"/>
  <c r="AF51" i="1"/>
  <c r="AF42" i="1"/>
  <c r="AF39" i="1"/>
  <c r="A43" i="1"/>
  <c r="A44" i="1"/>
  <c r="AF37" i="1"/>
  <c r="AF36" i="1"/>
  <c r="AF41" i="1"/>
  <c r="D43" i="1"/>
  <c r="AH44" i="1" l="1"/>
  <c r="AG44" i="1"/>
  <c r="D44" i="1"/>
  <c r="AG43" i="1"/>
  <c r="AF43" i="1"/>
  <c r="A45" i="1"/>
  <c r="AI43" i="1" l="1"/>
  <c r="AI44" i="1" s="1"/>
  <c r="A46" i="1"/>
  <c r="A47" i="1"/>
  <c r="A48" i="1" s="1"/>
  <c r="A49" i="1" s="1"/>
  <c r="AF44" i="1"/>
  <c r="D47" i="1"/>
  <c r="AG48" i="1"/>
  <c r="D48" i="1"/>
  <c r="AG46" i="1"/>
  <c r="AG47" i="1"/>
  <c r="D46" i="1"/>
  <c r="AH47" i="1" l="1"/>
  <c r="AI47" i="1"/>
  <c r="AI48" i="1" s="1"/>
  <c r="AH49" i="1"/>
  <c r="AF47" i="1"/>
  <c r="AF46" i="1"/>
  <c r="AF48" i="1"/>
  <c r="D49" i="1"/>
  <c r="A50" i="1"/>
  <c r="AG49" i="1"/>
  <c r="AG50" i="1"/>
  <c r="D50" i="1"/>
  <c r="AI49" i="1" l="1"/>
  <c r="AI50" i="1" s="1"/>
  <c r="AH45" i="1"/>
  <c r="B45" i="1" s="1"/>
  <c r="C45" i="1" s="1"/>
  <c r="AB45" i="1"/>
  <c r="AC45" i="1"/>
  <c r="A51" i="1"/>
  <c r="AF49" i="1"/>
  <c r="AF50" i="1"/>
  <c r="A52" i="1"/>
  <c r="AH51" i="1" l="1"/>
  <c r="D58" i="1"/>
  <c r="AG58" i="1"/>
  <c r="AI58" i="1" s="1"/>
  <c r="D52" i="1"/>
  <c r="A53" i="1"/>
  <c r="AG53" i="1" s="1"/>
  <c r="AG52" i="1"/>
  <c r="D53" i="1"/>
  <c r="A54" i="1"/>
  <c r="AG54" i="1"/>
  <c r="A55" i="1"/>
  <c r="D54" i="1"/>
  <c r="D55" i="1"/>
  <c r="AG55" i="1"/>
  <c r="AI53" i="1" l="1"/>
  <c r="AI54" i="1" s="1"/>
  <c r="AI55" i="1" s="1"/>
  <c r="AH53" i="1"/>
  <c r="AH55" i="1"/>
  <c r="AF58" i="1"/>
  <c r="A56" i="1"/>
  <c r="AG56" i="1"/>
  <c r="AF54" i="1"/>
  <c r="AF53" i="1"/>
  <c r="A57" i="1"/>
  <c r="D56" i="1"/>
  <c r="AF52" i="1"/>
  <c r="AF55" i="1"/>
  <c r="AI56" i="1" l="1"/>
  <c r="AH57" i="1"/>
  <c r="D115" i="1"/>
  <c r="AG115" i="1"/>
  <c r="AI115" i="1" s="1"/>
  <c r="D61" i="1"/>
  <c r="AG61" i="1"/>
  <c r="AI61" i="1" s="1"/>
  <c r="AG57" i="1"/>
  <c r="A58" i="1"/>
  <c r="A59" i="1"/>
  <c r="D59" i="1"/>
  <c r="AG59" i="1"/>
  <c r="D57" i="1"/>
  <c r="AF56" i="1"/>
  <c r="AI57" i="1" l="1"/>
  <c r="AF115" i="1"/>
  <c r="AF61" i="1"/>
  <c r="AF57" i="1"/>
  <c r="A60" i="1"/>
  <c r="A61" i="1"/>
  <c r="AF59" i="1"/>
  <c r="AG60" i="1"/>
  <c r="D60" i="1"/>
  <c r="AI60" i="1" l="1"/>
  <c r="AH61" i="1"/>
  <c r="AH60" i="1"/>
  <c r="B60" i="1" s="1"/>
  <c r="C60" i="1" s="1"/>
  <c r="A62" i="1"/>
  <c r="A63" i="1"/>
  <c r="AG62" i="1"/>
  <c r="AF60" i="1"/>
  <c r="D62" i="1"/>
  <c r="AH63" i="1" l="1"/>
  <c r="B63" i="1" s="1"/>
  <c r="C63" i="1" s="1"/>
  <c r="D80" i="1"/>
  <c r="AG80" i="1"/>
  <c r="AI80" i="1" s="1"/>
  <c r="D63" i="1"/>
  <c r="AG63" i="1"/>
  <c r="A64" i="1"/>
  <c r="AF62" i="1"/>
  <c r="D64" i="1"/>
  <c r="A65" i="1"/>
  <c r="AI63" i="1" l="1"/>
  <c r="AH65" i="1"/>
  <c r="B65" i="1" s="1"/>
  <c r="C65" i="1" s="1"/>
  <c r="AF80" i="1"/>
  <c r="D82" i="1"/>
  <c r="AG64" i="1"/>
  <c r="A66" i="1"/>
  <c r="AF64" i="1"/>
  <c r="AF63" i="1"/>
  <c r="AI64" i="1" l="1"/>
  <c r="AG82" i="1"/>
  <c r="AI82" i="1" s="1"/>
  <c r="AF82" i="1"/>
  <c r="D66" i="1"/>
  <c r="AG66" i="1"/>
  <c r="A67" i="1"/>
  <c r="A68" i="1"/>
  <c r="AG67" i="1"/>
  <c r="AG68" i="1"/>
  <c r="AH68" i="1" l="1"/>
  <c r="AI67" i="1"/>
  <c r="AI68" i="1" s="1"/>
  <c r="AH67" i="1"/>
  <c r="B67" i="1" s="1"/>
  <c r="C67" i="1" s="1"/>
  <c r="D68" i="1"/>
  <c r="AF66" i="1"/>
  <c r="D67" i="1"/>
  <c r="A69" i="1"/>
  <c r="AG69" i="1"/>
  <c r="A70" i="1"/>
  <c r="D69" i="1"/>
  <c r="AG70" i="1"/>
  <c r="D70" i="1"/>
  <c r="A71" i="1"/>
  <c r="D71" i="1"/>
  <c r="AG71" i="1"/>
  <c r="AH70" i="1" l="1"/>
  <c r="AH69" i="1"/>
  <c r="AI69" i="1"/>
  <c r="AI70" i="1" s="1"/>
  <c r="AI71" i="1" s="1"/>
  <c r="AH71" i="1"/>
  <c r="AF67" i="1"/>
  <c r="A72" i="1"/>
  <c r="AF70" i="1"/>
  <c r="D72" i="1"/>
  <c r="A73" i="1"/>
  <c r="AG73" i="1"/>
  <c r="AF68" i="1"/>
  <c r="AF71" i="1"/>
  <c r="AF69" i="1"/>
  <c r="AG72" i="1"/>
  <c r="A74" i="1"/>
  <c r="AG74" i="1"/>
  <c r="D73" i="1"/>
  <c r="A75" i="1"/>
  <c r="D75" i="1" s="1"/>
  <c r="D74" i="1"/>
  <c r="AH73" i="1" l="1"/>
  <c r="AH72" i="1"/>
  <c r="AI72" i="1"/>
  <c r="AI73" i="1" s="1"/>
  <c r="AI74" i="1" s="1"/>
  <c r="AH74" i="1"/>
  <c r="AH75" i="1"/>
  <c r="B75" i="1" s="1"/>
  <c r="C75" i="1" s="1"/>
  <c r="AG89" i="1"/>
  <c r="AI89" i="1" s="1"/>
  <c r="D89" i="1"/>
  <c r="AF72" i="1"/>
  <c r="AF75" i="1"/>
  <c r="AF73" i="1"/>
  <c r="AG75" i="1"/>
  <c r="A76" i="1"/>
  <c r="AF74" i="1"/>
  <c r="A77" i="1"/>
  <c r="A78" i="1" s="1"/>
  <c r="D77" i="1"/>
  <c r="AI75" i="1" l="1"/>
  <c r="AH76" i="1"/>
  <c r="AH78" i="1"/>
  <c r="AF89" i="1"/>
  <c r="AG78" i="1"/>
  <c r="AG77" i="1"/>
  <c r="D78" i="1"/>
  <c r="AF77" i="1"/>
  <c r="A79" i="1"/>
  <c r="D79" i="1"/>
  <c r="A80" i="1"/>
  <c r="AI78" i="1" l="1"/>
  <c r="AH79" i="1"/>
  <c r="AH80" i="1"/>
  <c r="AG79" i="1"/>
  <c r="A81" i="1"/>
  <c r="AF79" i="1"/>
  <c r="AF78" i="1"/>
  <c r="D81" i="1"/>
  <c r="A82" i="1"/>
  <c r="AG81" i="1"/>
  <c r="AI79" i="1" l="1"/>
  <c r="AH82" i="1"/>
  <c r="A83" i="1"/>
  <c r="AG83" i="1"/>
  <c r="A84" i="1"/>
  <c r="AF81" i="1"/>
  <c r="D83" i="1"/>
  <c r="AG84" i="1"/>
  <c r="D84" i="1"/>
  <c r="A85" i="1"/>
  <c r="AG85" i="1"/>
  <c r="D85" i="1"/>
  <c r="AI84" i="1" l="1"/>
  <c r="AI85" i="1" s="1"/>
  <c r="AH84" i="1"/>
  <c r="AH85" i="1"/>
  <c r="AG95" i="1"/>
  <c r="AI95" i="1" s="1"/>
  <c r="D95" i="1"/>
  <c r="AF83" i="1"/>
  <c r="AF84" i="1"/>
  <c r="A86" i="1"/>
  <c r="AF85" i="1"/>
  <c r="D86" i="1"/>
  <c r="A87" i="1"/>
  <c r="AH86" i="1" l="1"/>
  <c r="B86" i="1" s="1"/>
  <c r="C86" i="1" s="1"/>
  <c r="AH87" i="1"/>
  <c r="AF95" i="1"/>
  <c r="AG86" i="1"/>
  <c r="D87" i="1"/>
  <c r="A88" i="1"/>
  <c r="D88" i="1"/>
  <c r="AF86" i="1"/>
  <c r="AG87" i="1"/>
  <c r="AG88" i="1"/>
  <c r="AI86" i="1" l="1"/>
  <c r="AH88" i="1"/>
  <c r="AI87" i="1"/>
  <c r="AI88" i="1" s="1"/>
  <c r="AC115" i="1"/>
  <c r="AB115" i="1"/>
  <c r="D104" i="1"/>
  <c r="AG104" i="1"/>
  <c r="AI104" i="1" s="1"/>
  <c r="AG106" i="1"/>
  <c r="AI106" i="1" s="1"/>
  <c r="D106" i="1"/>
  <c r="A89" i="1"/>
  <c r="AF88" i="1"/>
  <c r="AF87" i="1"/>
  <c r="A90" i="1"/>
  <c r="AF106" i="1" l="1"/>
  <c r="AF104" i="1"/>
  <c r="A91" i="1"/>
  <c r="D91" i="1"/>
  <c r="D90" i="1"/>
  <c r="A92" i="1"/>
  <c r="AG91" i="1"/>
  <c r="AG90" i="1"/>
  <c r="D92" i="1"/>
  <c r="A93" i="1"/>
  <c r="AH91" i="1" l="1"/>
  <c r="AI91" i="1"/>
  <c r="AH92" i="1"/>
  <c r="A3" i="10"/>
  <c r="AF91" i="1"/>
  <c r="AF90" i="1"/>
  <c r="AF92" i="1"/>
  <c r="AG92" i="1"/>
  <c r="AG93" i="1"/>
  <c r="D93" i="1"/>
  <c r="A94" i="1"/>
  <c r="D94" i="1" s="1"/>
  <c r="AI92" i="1" l="1"/>
  <c r="AI93" i="1" s="1"/>
  <c r="AH94" i="1"/>
  <c r="A4" i="10"/>
  <c r="B3" i="10"/>
  <c r="F3" i="10"/>
  <c r="D3" i="10"/>
  <c r="C3" i="10"/>
  <c r="I3" i="10"/>
  <c r="E3" i="10"/>
  <c r="G3" i="10"/>
  <c r="H3" i="10"/>
  <c r="AG94" i="1"/>
  <c r="AF94" i="1"/>
  <c r="A95" i="1"/>
  <c r="AF93" i="1"/>
  <c r="A96" i="1"/>
  <c r="AG96" i="1"/>
  <c r="D96" i="1"/>
  <c r="A97" i="1"/>
  <c r="AI94" i="1" l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D97" i="1"/>
  <c r="A98" i="1"/>
  <c r="AG97" i="1"/>
  <c r="AF96" i="1"/>
  <c r="AI97" i="1" l="1"/>
  <c r="AH98" i="1"/>
  <c r="B98" i="1" s="1"/>
  <c r="C98" i="1" s="1"/>
  <c r="J4" i="10"/>
  <c r="K4" i="10" s="1"/>
  <c r="L4" i="10" s="1"/>
  <c r="AF117" i="1"/>
  <c r="AF97" i="1"/>
  <c r="D98" i="1"/>
  <c r="A99" i="1"/>
  <c r="AG98" i="1"/>
  <c r="D99" i="1"/>
  <c r="A100" i="1"/>
  <c r="AG99" i="1"/>
  <c r="AH99" i="1" l="1"/>
  <c r="AI98" i="1"/>
  <c r="AI99" i="1" s="1"/>
  <c r="AH100" i="1"/>
  <c r="D122" i="1"/>
  <c r="AG122" i="1"/>
  <c r="AI122" i="1" s="1"/>
  <c r="A101" i="1"/>
  <c r="D100" i="1"/>
  <c r="AG100" i="1"/>
  <c r="AF98" i="1"/>
  <c r="A102" i="1"/>
  <c r="AG102" i="1" s="1"/>
  <c r="D102" i="1"/>
  <c r="AF99" i="1"/>
  <c r="AH101" i="1" l="1"/>
  <c r="B101" i="1" s="1"/>
  <c r="C101" i="1" s="1"/>
  <c r="AI100" i="1"/>
  <c r="AF122" i="1"/>
  <c r="A103" i="1"/>
  <c r="AF102" i="1"/>
  <c r="AF100" i="1"/>
  <c r="A104" i="1"/>
  <c r="D103" i="1"/>
  <c r="AH103" i="1" l="1"/>
  <c r="AH104" i="1"/>
  <c r="D135" i="1"/>
  <c r="AG135" i="1"/>
  <c r="AI135" i="1" s="1"/>
  <c r="A105" i="1"/>
  <c r="AF103" i="1"/>
  <c r="AG105" i="1"/>
  <c r="AG103" i="1"/>
  <c r="A106" i="1"/>
  <c r="D105" i="1"/>
  <c r="A107" i="1"/>
  <c r="D107" i="1"/>
  <c r="A108" i="1"/>
  <c r="AG108" i="1" s="1"/>
  <c r="AI103" i="1" l="1"/>
  <c r="AI108" i="1"/>
  <c r="AH108" i="1"/>
  <c r="AF135" i="1"/>
  <c r="A109" i="1"/>
  <c r="D109" i="1"/>
  <c r="D108" i="1"/>
  <c r="AG109" i="1"/>
  <c r="A110" i="1"/>
  <c r="AF105" i="1"/>
  <c r="AG107" i="1"/>
  <c r="AF107" i="1"/>
  <c r="AH109" i="1" l="1"/>
  <c r="AI109" i="1"/>
  <c r="AH110" i="1"/>
  <c r="AF109" i="1"/>
  <c r="A111" i="1"/>
  <c r="AF108" i="1"/>
  <c r="D111" i="1"/>
  <c r="A112" i="1"/>
  <c r="AG111" i="1"/>
  <c r="A113" i="1"/>
  <c r="AG113" i="1"/>
  <c r="AH112" i="1" l="1"/>
  <c r="D143" i="1"/>
  <c r="AG143" i="1"/>
  <c r="AI143" i="1" s="1"/>
  <c r="D113" i="1"/>
  <c r="A114" i="1"/>
  <c r="AG114" i="1"/>
  <c r="A115" i="1"/>
  <c r="D114" i="1"/>
  <c r="AF111" i="1"/>
  <c r="A116" i="1"/>
  <c r="AG116" i="1"/>
  <c r="D116" i="1"/>
  <c r="A117" i="1"/>
  <c r="AH117" i="1" l="1"/>
  <c r="AH115" i="1"/>
  <c r="AI114" i="1"/>
  <c r="AH114" i="1"/>
  <c r="AF143" i="1"/>
  <c r="A118" i="1"/>
  <c r="AF116" i="1"/>
  <c r="A119" i="1"/>
  <c r="A120" i="1"/>
  <c r="A121" i="1"/>
  <c r="D121" i="1"/>
  <c r="AG120" i="1"/>
  <c r="AF113" i="1"/>
  <c r="AF114" i="1"/>
  <c r="AG118" i="1"/>
  <c r="D118" i="1"/>
  <c r="AG121" i="1"/>
  <c r="AH119" i="1" l="1"/>
  <c r="AI121" i="1"/>
  <c r="AH121" i="1"/>
  <c r="D146" i="1"/>
  <c r="AG146" i="1"/>
  <c r="AI146" i="1" s="1"/>
  <c r="A122" i="1"/>
  <c r="D120" i="1"/>
  <c r="AF118" i="1"/>
  <c r="AF121" i="1"/>
  <c r="A123" i="1"/>
  <c r="AG123" i="1"/>
  <c r="AF146" i="1" l="1"/>
  <c r="D123" i="1"/>
  <c r="AF120" i="1"/>
  <c r="A124" i="1"/>
  <c r="D124" i="1"/>
  <c r="AG124" i="1"/>
  <c r="A125" i="1"/>
  <c r="D125" i="1"/>
  <c r="AG125" i="1"/>
  <c r="A126" i="1"/>
  <c r="AG126" i="1" s="1"/>
  <c r="AH125" i="1" l="1"/>
  <c r="AI124" i="1"/>
  <c r="AI125" i="1" s="1"/>
  <c r="AI126" i="1" s="1"/>
  <c r="AH124" i="1"/>
  <c r="AH126" i="1"/>
  <c r="AF123" i="1"/>
  <c r="D126" i="1"/>
  <c r="AF124" i="1"/>
  <c r="A127" i="1"/>
  <c r="D127" i="1"/>
  <c r="AF125" i="1"/>
  <c r="AG127" i="1"/>
  <c r="A128" i="1"/>
  <c r="AG128" i="1" s="1"/>
  <c r="AH127" i="1" l="1"/>
  <c r="AI127" i="1"/>
  <c r="AI128" i="1" s="1"/>
  <c r="A129" i="1"/>
  <c r="AF126" i="1"/>
  <c r="D128" i="1"/>
  <c r="A130" i="1"/>
  <c r="AF127" i="1"/>
  <c r="AH129" i="1" l="1"/>
  <c r="AG152" i="1"/>
  <c r="AI152" i="1" s="1"/>
  <c r="D152" i="1"/>
  <c r="AG130" i="1"/>
  <c r="AF128" i="1"/>
  <c r="D130" i="1"/>
  <c r="A131" i="1"/>
  <c r="D131" i="1"/>
  <c r="A132" i="1"/>
  <c r="AG132" i="1"/>
  <c r="D132" i="1"/>
  <c r="AH132" i="1" l="1"/>
  <c r="AH131" i="1"/>
  <c r="AG154" i="1"/>
  <c r="AI154" i="1" s="1"/>
  <c r="AF152" i="1"/>
  <c r="D154" i="1"/>
  <c r="A133" i="1"/>
  <c r="AF130" i="1"/>
  <c r="AF131" i="1"/>
  <c r="AG133" i="1"/>
  <c r="AG131" i="1"/>
  <c r="A134" i="1"/>
  <c r="AF132" i="1"/>
  <c r="AI131" i="1" l="1"/>
  <c r="AI132" i="1" s="1"/>
  <c r="AI133" i="1" s="1"/>
  <c r="AH133" i="1"/>
  <c r="AF154" i="1"/>
  <c r="AG134" i="1"/>
  <c r="D134" i="1"/>
  <c r="D133" i="1"/>
  <c r="A135" i="1"/>
  <c r="AI134" i="1" l="1"/>
  <c r="AH135" i="1"/>
  <c r="B135" i="1" s="1"/>
  <c r="C135" i="1" s="1"/>
  <c r="D157" i="1"/>
  <c r="AG157" i="1"/>
  <c r="AI157" i="1" s="1"/>
  <c r="AG159" i="1"/>
  <c r="AI159" i="1" s="1"/>
  <c r="D159" i="1"/>
  <c r="AF133" i="1"/>
  <c r="A136" i="1"/>
  <c r="A137" i="1"/>
  <c r="D137" i="1"/>
  <c r="AG137" i="1"/>
  <c r="AF134" i="1"/>
  <c r="D136" i="1"/>
  <c r="A138" i="1"/>
  <c r="AH138" i="1" l="1"/>
  <c r="AI137" i="1"/>
  <c r="AH137" i="1"/>
  <c r="AF157" i="1"/>
  <c r="D161" i="1"/>
  <c r="AG161" i="1"/>
  <c r="AI161" i="1" s="1"/>
  <c r="AG136" i="1"/>
  <c r="AF137" i="1"/>
  <c r="A139" i="1"/>
  <c r="D139" i="1"/>
  <c r="A140" i="1"/>
  <c r="AG139" i="1"/>
  <c r="D138" i="1"/>
  <c r="AF136" i="1"/>
  <c r="AG138" i="1"/>
  <c r="AI138" i="1" l="1"/>
  <c r="AI139" i="1" s="1"/>
  <c r="AH140" i="1"/>
  <c r="AH139" i="1"/>
  <c r="A5" i="11"/>
  <c r="A4" i="11"/>
  <c r="A6" i="11"/>
  <c r="AF161" i="1"/>
  <c r="AF159" i="1"/>
  <c r="AF138" i="1"/>
  <c r="AG140" i="1"/>
  <c r="AF139" i="1"/>
  <c r="D140" i="1"/>
  <c r="A141" i="1"/>
  <c r="AG141" i="1"/>
  <c r="D141" i="1"/>
  <c r="A142" i="1"/>
  <c r="AG142" i="1"/>
  <c r="D142" i="1"/>
  <c r="AI140" i="1" l="1"/>
  <c r="AI141" i="1" s="1"/>
  <c r="AI142" i="1" s="1"/>
  <c r="AH141" i="1"/>
  <c r="D164" i="1"/>
  <c r="AF164" i="1" s="1"/>
  <c r="AG164" i="1"/>
  <c r="AI164" i="1" s="1"/>
  <c r="AF140" i="1"/>
  <c r="AF141" i="1"/>
  <c r="A143" i="1"/>
  <c r="AF142" i="1"/>
  <c r="AH143" i="1" l="1"/>
  <c r="D167" i="1"/>
  <c r="AG167" i="1"/>
  <c r="AI167" i="1" s="1"/>
  <c r="A144" i="1"/>
  <c r="A145" i="1"/>
  <c r="AG145" i="1"/>
  <c r="D145" i="1"/>
  <c r="AG144" i="1"/>
  <c r="AI145" i="1" l="1"/>
  <c r="AH145" i="1"/>
  <c r="AF167" i="1"/>
  <c r="AF145" i="1"/>
  <c r="D144" i="1"/>
  <c r="A146" i="1"/>
  <c r="A147" i="1"/>
  <c r="D147" i="1"/>
  <c r="AG147" i="1"/>
  <c r="AH146" i="1" l="1"/>
  <c r="AF147" i="1"/>
  <c r="A148" i="1"/>
  <c r="A149" i="1"/>
  <c r="A150" i="1" s="1"/>
  <c r="AG150" i="1"/>
  <c r="AF144" i="1"/>
  <c r="D148" i="1"/>
  <c r="D150" i="1"/>
  <c r="D149" i="1"/>
  <c r="AG149" i="1"/>
  <c r="AG148" i="1"/>
  <c r="AH150" i="1" l="1"/>
  <c r="AH149" i="1"/>
  <c r="AI148" i="1"/>
  <c r="AI149" i="1" s="1"/>
  <c r="AI150" i="1" s="1"/>
  <c r="AH148" i="1"/>
  <c r="D176" i="1"/>
  <c r="A151" i="1"/>
  <c r="D151" i="1"/>
  <c r="AF150" i="1"/>
  <c r="AF149" i="1"/>
  <c r="A152" i="1"/>
  <c r="AF148" i="1"/>
  <c r="AG151" i="1"/>
  <c r="AH151" i="1" l="1"/>
  <c r="AI151" i="1"/>
  <c r="AG176" i="1"/>
  <c r="AI176" i="1" s="1"/>
  <c r="AF176" i="1"/>
  <c r="A153" i="1"/>
  <c r="D153" i="1"/>
  <c r="A154" i="1"/>
  <c r="AF151" i="1"/>
  <c r="AG153" i="1"/>
  <c r="A155" i="1"/>
  <c r="A156" i="1"/>
  <c r="A157" i="1"/>
  <c r="AG156" i="1"/>
  <c r="AG155" i="1"/>
  <c r="AH157" i="1" l="1"/>
  <c r="AI156" i="1"/>
  <c r="AF153" i="1"/>
  <c r="D155" i="1"/>
  <c r="A158" i="1"/>
  <c r="D158" i="1" s="1"/>
  <c r="D156" i="1"/>
  <c r="A159" i="1"/>
  <c r="AG158" i="1"/>
  <c r="AH159" i="1" l="1"/>
  <c r="AG183" i="1"/>
  <c r="AI183" i="1" s="1"/>
  <c r="AF155" i="1"/>
  <c r="A160" i="1"/>
  <c r="D160" i="1"/>
  <c r="A161" i="1"/>
  <c r="AF156" i="1"/>
  <c r="AF158" i="1"/>
  <c r="AH161" i="1" l="1"/>
  <c r="B161" i="1" s="1"/>
  <c r="C161" i="1" s="1"/>
  <c r="D183" i="1"/>
  <c r="AG160" i="1"/>
  <c r="AF160" i="1"/>
  <c r="A162" i="1"/>
  <c r="AG162" i="1"/>
  <c r="A163" i="1"/>
  <c r="A164" i="1" s="1"/>
  <c r="D163" i="1"/>
  <c r="AG163" i="1"/>
  <c r="D162" i="1"/>
  <c r="AH164" i="1" l="1"/>
  <c r="AI163" i="1"/>
  <c r="AF183" i="1"/>
  <c r="AF162" i="1"/>
  <c r="A165" i="1"/>
  <c r="AG165" i="1"/>
  <c r="AF163" i="1"/>
  <c r="A166" i="1"/>
  <c r="D165" i="1"/>
  <c r="D166" i="1"/>
  <c r="AH166" i="1" l="1"/>
  <c r="B166" i="1" s="1"/>
  <c r="C166" i="1" s="1"/>
  <c r="AG166" i="1"/>
  <c r="A167" i="1"/>
  <c r="A168" i="1"/>
  <c r="AG168" i="1"/>
  <c r="AF166" i="1"/>
  <c r="AF165" i="1"/>
  <c r="AI166" i="1" l="1"/>
  <c r="AH167" i="1"/>
  <c r="D168" i="1"/>
  <c r="A169" i="1"/>
  <c r="A170" i="1"/>
  <c r="D170" i="1"/>
  <c r="AG170" i="1"/>
  <c r="A171" i="1"/>
  <c r="AG171" i="1"/>
  <c r="D171" i="1"/>
  <c r="A172" i="1"/>
  <c r="D172" i="1"/>
  <c r="AG172" i="1"/>
  <c r="A173" i="1"/>
  <c r="AG173" i="1"/>
  <c r="D173" i="1"/>
  <c r="AH173" i="1" l="1"/>
  <c r="AI171" i="1"/>
  <c r="AI172" i="1" s="1"/>
  <c r="AI173" i="1" s="1"/>
  <c r="AH171" i="1"/>
  <c r="AH169" i="1"/>
  <c r="A174" i="1"/>
  <c r="AF168" i="1"/>
  <c r="AF170" i="1"/>
  <c r="AF171" i="1"/>
  <c r="AF173" i="1"/>
  <c r="AF172" i="1"/>
  <c r="AG174" i="1"/>
  <c r="D174" i="1"/>
  <c r="A175" i="1"/>
  <c r="AG175" i="1"/>
  <c r="D175" i="1"/>
  <c r="A176" i="1"/>
  <c r="A177" i="1"/>
  <c r="AG177" i="1"/>
  <c r="D177" i="1"/>
  <c r="A178" i="1"/>
  <c r="AG178" i="1"/>
  <c r="AH174" i="1" l="1"/>
  <c r="AI174" i="1"/>
  <c r="AI175" i="1" s="1"/>
  <c r="AI178" i="1"/>
  <c r="AH178" i="1"/>
  <c r="AH176" i="1"/>
  <c r="D191" i="1"/>
  <c r="AG191" i="1"/>
  <c r="AI191" i="1" s="1"/>
  <c r="D178" i="1"/>
  <c r="AF174" i="1"/>
  <c r="AF177" i="1"/>
  <c r="A179" i="1"/>
  <c r="A180" i="1"/>
  <c r="AG180" i="1"/>
  <c r="AF175" i="1"/>
  <c r="D179" i="1"/>
  <c r="AG179" i="1"/>
  <c r="D180" i="1"/>
  <c r="AH180" i="1" l="1"/>
  <c r="AH179" i="1"/>
  <c r="B179" i="1" s="1"/>
  <c r="C179" i="1" s="1"/>
  <c r="AI179" i="1"/>
  <c r="AI180" i="1" s="1"/>
  <c r="AF191" i="1"/>
  <c r="AF178" i="1"/>
  <c r="AF179" i="1"/>
  <c r="AF180" i="1"/>
  <c r="A181" i="1"/>
  <c r="AG181" i="1"/>
  <c r="AH181" i="1" l="1"/>
  <c r="B181" i="1" s="1"/>
  <c r="C181" i="1" s="1"/>
  <c r="AI181" i="1"/>
  <c r="D199" i="1"/>
  <c r="AG199" i="1"/>
  <c r="AI199" i="1" s="1"/>
  <c r="D181" i="1"/>
  <c r="A182" i="1"/>
  <c r="A183" i="1"/>
  <c r="A184" i="1"/>
  <c r="AG184" i="1"/>
  <c r="D182" i="1"/>
  <c r="AG182" i="1"/>
  <c r="D184" i="1"/>
  <c r="AH183" i="1" l="1"/>
  <c r="AI182" i="1"/>
  <c r="AH182" i="1"/>
  <c r="AF199" i="1"/>
  <c r="AF181" i="1"/>
  <c r="AF182" i="1"/>
  <c r="A185" i="1"/>
  <c r="A186" i="1"/>
  <c r="AF184" i="1"/>
  <c r="A187" i="1"/>
  <c r="A188" i="1" s="1"/>
  <c r="D186" i="1"/>
  <c r="D187" i="1"/>
  <c r="D188" i="1"/>
  <c r="A189" i="1"/>
  <c r="A190" i="1" s="1"/>
  <c r="D189" i="1"/>
  <c r="D190" i="1"/>
  <c r="A191" i="1"/>
  <c r="A192" i="1" s="1"/>
  <c r="AG192" i="1"/>
  <c r="A193" i="1"/>
  <c r="A194" i="1" s="1"/>
  <c r="AG193" i="1"/>
  <c r="AG194" i="1"/>
  <c r="A195" i="1"/>
  <c r="A196" i="1"/>
  <c r="A197" i="1" s="1"/>
  <c r="AG196" i="1"/>
  <c r="AG197" i="1"/>
  <c r="A198" i="1"/>
  <c r="A199" i="1" s="1"/>
  <c r="D198" i="1"/>
  <c r="AG198" i="1"/>
  <c r="D197" i="1"/>
  <c r="D196" i="1"/>
  <c r="D195" i="1"/>
  <c r="D194" i="1"/>
  <c r="D193" i="1"/>
  <c r="D192" i="1"/>
  <c r="AG190" i="1"/>
  <c r="AG189" i="1"/>
  <c r="AG188" i="1"/>
  <c r="AG187" i="1"/>
  <c r="AG186" i="1"/>
  <c r="D185" i="1"/>
  <c r="AG185" i="1"/>
  <c r="AI185" i="1" l="1"/>
  <c r="AI186" i="1" s="1"/>
  <c r="AI187" i="1" s="1"/>
  <c r="AI188" i="1" s="1"/>
  <c r="AI189" i="1" s="1"/>
  <c r="AI190" i="1" s="1"/>
  <c r="AH185" i="1"/>
  <c r="AH195" i="1"/>
  <c r="AH194" i="1"/>
  <c r="AI193" i="1"/>
  <c r="AI194" i="1" s="1"/>
  <c r="AH193" i="1"/>
  <c r="B193" i="1" s="1"/>
  <c r="C193" i="1" s="1"/>
  <c r="AH191" i="1"/>
  <c r="AH190" i="1"/>
  <c r="AH189" i="1"/>
  <c r="AH188" i="1"/>
  <c r="AH186" i="1"/>
  <c r="AH198" i="1"/>
  <c r="AH197" i="1"/>
  <c r="AH199" i="1"/>
  <c r="AF196" i="1"/>
  <c r="AF194" i="1"/>
  <c r="AG195" i="1"/>
  <c r="AF188" i="1"/>
  <c r="AF185" i="1"/>
  <c r="AF195" i="1"/>
  <c r="AF198" i="1"/>
  <c r="AF186" i="1"/>
  <c r="AF192" i="1"/>
  <c r="A200" i="1"/>
  <c r="AF197" i="1"/>
  <c r="AF187" i="1"/>
  <c r="AF190" i="1"/>
  <c r="AF189" i="1"/>
  <c r="AF193" i="1"/>
  <c r="D200" i="1"/>
  <c r="AI195" i="1" l="1"/>
  <c r="AI196" i="1" s="1"/>
  <c r="AI197" i="1" s="1"/>
  <c r="AI198" i="1" s="1"/>
  <c r="AG200" i="1"/>
  <c r="A201" i="1"/>
  <c r="D201" i="1"/>
  <c r="AF200" i="1"/>
  <c r="AG201" i="1"/>
  <c r="A202" i="1"/>
  <c r="AH201" i="1" l="1"/>
  <c r="AI201" i="1"/>
  <c r="AH202" i="1"/>
  <c r="D204" i="1"/>
  <c r="AG204" i="1"/>
  <c r="AI204" i="1" s="1"/>
  <c r="A203" i="1"/>
  <c r="AF201" i="1"/>
  <c r="AF204" i="1" l="1"/>
  <c r="AG203" i="1"/>
  <c r="A204" i="1"/>
  <c r="D203" i="1"/>
  <c r="AH204" i="1" l="1"/>
  <c r="B204" i="1" s="1"/>
  <c r="C204" i="1" s="1"/>
  <c r="AF203" i="1"/>
  <c r="A205" i="1"/>
  <c r="D208" i="1" l="1"/>
  <c r="AG208" i="1"/>
  <c r="AI208" i="1" s="1"/>
  <c r="A206" i="1"/>
  <c r="AG205" i="1"/>
  <c r="D205" i="1"/>
  <c r="AG206" i="1"/>
  <c r="D206" i="1"/>
  <c r="A207" i="1"/>
  <c r="D207" i="1" s="1"/>
  <c r="AI206" i="1" l="1"/>
  <c r="AH207" i="1"/>
  <c r="AH206" i="1"/>
  <c r="AF208" i="1"/>
  <c r="AG207" i="1"/>
  <c r="AF205" i="1"/>
  <c r="AF207" i="1"/>
  <c r="A208" i="1"/>
  <c r="AF206" i="1"/>
  <c r="AI207" i="1" l="1"/>
  <c r="AG211" i="1"/>
  <c r="AI211" i="1" s="1"/>
  <c r="D211" i="1"/>
  <c r="A209" i="1"/>
  <c r="A210" i="1"/>
  <c r="D210" i="1"/>
  <c r="A211" i="1"/>
  <c r="AG210" i="1"/>
  <c r="D209" i="1"/>
  <c r="AG209" i="1"/>
  <c r="AI210" i="1" l="1"/>
  <c r="AH210" i="1"/>
  <c r="AH211" i="1"/>
  <c r="B211" i="1" s="1"/>
  <c r="C211" i="1" s="1"/>
  <c r="AF211" i="1"/>
  <c r="AG214" i="1"/>
  <c r="AI214" i="1" s="1"/>
  <c r="D214" i="1"/>
  <c r="AF209" i="1"/>
  <c r="AF210" i="1"/>
  <c r="A212" i="1"/>
  <c r="A213" i="1"/>
  <c r="AF214" i="1" l="1"/>
  <c r="D213" i="1"/>
  <c r="AG212" i="1"/>
  <c r="A214" i="1"/>
  <c r="D212" i="1"/>
  <c r="AG213" i="1"/>
  <c r="AI213" i="1" l="1"/>
  <c r="AH214" i="1"/>
  <c r="AG227" i="1"/>
  <c r="AI227" i="1" s="1"/>
  <c r="D227" i="1"/>
  <c r="AF212" i="1"/>
  <c r="AF213" i="1"/>
  <c r="A215" i="1"/>
  <c r="A216" i="1"/>
  <c r="AH216" i="1" l="1"/>
  <c r="AF227" i="1"/>
  <c r="AG215" i="1"/>
  <c r="AG216" i="1"/>
  <c r="D216" i="1"/>
  <c r="D215" i="1"/>
  <c r="A217" i="1"/>
  <c r="AG217" i="1"/>
  <c r="D217" i="1"/>
  <c r="A218" i="1"/>
  <c r="AG218" i="1"/>
  <c r="D218" i="1"/>
  <c r="AH217" i="1" l="1"/>
  <c r="AI216" i="1"/>
  <c r="AI217" i="1" s="1"/>
  <c r="AI218" i="1" s="1"/>
  <c r="AH218" i="1"/>
  <c r="D229" i="1"/>
  <c r="AF229" i="1" s="1"/>
  <c r="AG229" i="1"/>
  <c r="AI229" i="1" s="1"/>
  <c r="AF217" i="1"/>
  <c r="A219" i="1"/>
  <c r="AF218" i="1"/>
  <c r="A220" i="1"/>
  <c r="AF216" i="1"/>
  <c r="AF215" i="1"/>
  <c r="D219" i="1"/>
  <c r="AG219" i="1"/>
  <c r="AI219" i="1" l="1"/>
  <c r="AH220" i="1"/>
  <c r="A221" i="1"/>
  <c r="A222" i="1"/>
  <c r="AG222" i="1"/>
  <c r="D221" i="1"/>
  <c r="AG221" i="1"/>
  <c r="D222" i="1"/>
  <c r="AF219" i="1"/>
  <c r="A223" i="1"/>
  <c r="AI222" i="1" l="1"/>
  <c r="AH223" i="1"/>
  <c r="AH222" i="1"/>
  <c r="D223" i="1"/>
  <c r="AG223" i="1"/>
  <c r="AF221" i="1"/>
  <c r="AF222" i="1"/>
  <c r="A224" i="1"/>
  <c r="A225" i="1"/>
  <c r="D224" i="1"/>
  <c r="AI223" i="1" l="1"/>
  <c r="AH224" i="1"/>
  <c r="AH225" i="1"/>
  <c r="AG224" i="1"/>
  <c r="D225" i="1"/>
  <c r="AF224" i="1"/>
  <c r="AF223" i="1"/>
  <c r="AG225" i="1"/>
  <c r="A226" i="1"/>
  <c r="D226" i="1"/>
  <c r="AG226" i="1"/>
  <c r="AI224" i="1" l="1"/>
  <c r="AI225" i="1"/>
  <c r="AI226" i="1" s="1"/>
  <c r="AH226" i="1"/>
  <c r="A227" i="1"/>
  <c r="A228" i="1"/>
  <c r="D228" i="1" s="1"/>
  <c r="AF226" i="1"/>
  <c r="AF225" i="1"/>
  <c r="AH227" i="1" l="1"/>
  <c r="AG241" i="1"/>
  <c r="AI241" i="1" s="1"/>
  <c r="A229" i="1"/>
  <c r="A230" i="1"/>
  <c r="AG230" i="1"/>
  <c r="A231" i="1"/>
  <c r="D231" i="1"/>
  <c r="AG228" i="1"/>
  <c r="AF228" i="1"/>
  <c r="D230" i="1"/>
  <c r="AG231" i="1"/>
  <c r="A232" i="1"/>
  <c r="AG232" i="1"/>
  <c r="A233" i="1"/>
  <c r="D232" i="1"/>
  <c r="AG233" i="1"/>
  <c r="D233" i="1"/>
  <c r="AH232" i="1" l="1"/>
  <c r="AI231" i="1"/>
  <c r="AI232" i="1" s="1"/>
  <c r="AI233" i="1" s="1"/>
  <c r="AH231" i="1"/>
  <c r="AH229" i="1"/>
  <c r="AH233" i="1"/>
  <c r="D241" i="1"/>
  <c r="A234" i="1"/>
  <c r="AF230" i="1"/>
  <c r="A235" i="1"/>
  <c r="AF232" i="1"/>
  <c r="A236" i="1"/>
  <c r="AG234" i="1"/>
  <c r="AF233" i="1"/>
  <c r="AF231" i="1"/>
  <c r="D234" i="1"/>
  <c r="AG236" i="1"/>
  <c r="AH234" i="1" l="1"/>
  <c r="AI234" i="1"/>
  <c r="AH235" i="1"/>
  <c r="AF241" i="1"/>
  <c r="D245" i="1"/>
  <c r="AG243" i="1"/>
  <c r="AI243" i="1" s="1"/>
  <c r="D243" i="1"/>
  <c r="A237" i="1"/>
  <c r="D237" i="1"/>
  <c r="A238" i="1"/>
  <c r="A239" i="1"/>
  <c r="AG237" i="1"/>
  <c r="D238" i="1"/>
  <c r="AF234" i="1"/>
  <c r="D236" i="1"/>
  <c r="AG238" i="1"/>
  <c r="AI237" i="1" l="1"/>
  <c r="AI238" i="1" s="1"/>
  <c r="AH237" i="1"/>
  <c r="B237" i="1" s="1"/>
  <c r="C237" i="1" s="1"/>
  <c r="AH239" i="1"/>
  <c r="B239" i="1" s="1"/>
  <c r="C239" i="1" s="1"/>
  <c r="AG245" i="1"/>
  <c r="AI245" i="1" s="1"/>
  <c r="AF245" i="1"/>
  <c r="AF243" i="1"/>
  <c r="D239" i="1"/>
  <c r="A240" i="1"/>
  <c r="AF236" i="1"/>
  <c r="AF237" i="1"/>
  <c r="AG239" i="1"/>
  <c r="AF238" i="1"/>
  <c r="AI239" i="1" l="1"/>
  <c r="AH240" i="1"/>
  <c r="D270" i="1"/>
  <c r="AG270" i="1"/>
  <c r="AI270" i="1" s="1"/>
  <c r="AF239" i="1"/>
  <c r="D240" i="1"/>
  <c r="AG240" i="1"/>
  <c r="A241" i="1"/>
  <c r="A242" i="1"/>
  <c r="AG242" i="1"/>
  <c r="D242" i="1"/>
  <c r="AI240" i="1" l="1"/>
  <c r="AH241" i="1"/>
  <c r="AF270" i="1"/>
  <c r="A243" i="1"/>
  <c r="AF242" i="1"/>
  <c r="AF240" i="1"/>
  <c r="A244" i="1"/>
  <c r="D244" i="1"/>
  <c r="AG244" i="1"/>
  <c r="A245" i="1"/>
  <c r="AH245" i="1" l="1"/>
  <c r="AH243" i="1"/>
  <c r="D280" i="1"/>
  <c r="AG280" i="1"/>
  <c r="AI280" i="1" s="1"/>
  <c r="AF244" i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88" i="1"/>
  <c r="AG388" i="1"/>
  <c r="AI388" i="1" s="1"/>
  <c r="AG477" i="1"/>
  <c r="AI477" i="1" s="1"/>
  <c r="D477" i="1"/>
  <c r="D483" i="1"/>
  <c r="AG483" i="1"/>
  <c r="AI483" i="1" s="1"/>
  <c r="AG488" i="1"/>
  <c r="AI488" i="1" s="1"/>
  <c r="D488" i="1"/>
  <c r="AG500" i="1"/>
  <c r="AI500" i="1" s="1"/>
  <c r="D500" i="1"/>
  <c r="AG502" i="1"/>
  <c r="AI502" i="1" s="1"/>
  <c r="D502" i="1"/>
  <c r="D513" i="1"/>
  <c r="AG513" i="1"/>
  <c r="AI513" i="1" s="1"/>
  <c r="AG515" i="1"/>
  <c r="AI515" i="1" s="1"/>
  <c r="D515" i="1"/>
  <c r="AG520" i="1"/>
  <c r="AI520" i="1" s="1"/>
  <c r="D520" i="1"/>
  <c r="AG522" i="1"/>
  <c r="AI522" i="1" s="1"/>
  <c r="D522" i="1"/>
  <c r="AG524" i="1"/>
  <c r="AI524" i="1" s="1"/>
  <c r="D524" i="1"/>
  <c r="AG526" i="1"/>
  <c r="AI526" i="1" s="1"/>
  <c r="D526" i="1"/>
  <c r="AG541" i="1"/>
  <c r="AI541" i="1" s="1"/>
  <c r="D541" i="1"/>
  <c r="AG551" i="1"/>
  <c r="AI551" i="1" s="1"/>
  <c r="D551" i="1"/>
  <c r="AG561" i="1"/>
  <c r="AI561" i="1" s="1"/>
  <c r="D561" i="1"/>
  <c r="AG564" i="1"/>
  <c r="AI564" i="1" s="1"/>
  <c r="D564" i="1"/>
  <c r="AG570" i="1"/>
  <c r="AI570" i="1" s="1"/>
  <c r="D570" i="1"/>
  <c r="AG597" i="1"/>
  <c r="AI597" i="1" s="1"/>
  <c r="D597" i="1"/>
  <c r="AG573" i="1"/>
  <c r="AI573" i="1" s="1"/>
  <c r="D573" i="1"/>
  <c r="AG586" i="1"/>
  <c r="AI586" i="1" s="1"/>
  <c r="D586" i="1"/>
  <c r="AG592" i="1"/>
  <c r="AI592" i="1" s="1"/>
  <c r="D592" i="1"/>
  <c r="AF592" i="1" s="1"/>
  <c r="AG599" i="1"/>
  <c r="AI599" i="1" s="1"/>
  <c r="D599" i="1"/>
  <c r="D602" i="1"/>
  <c r="AG602" i="1"/>
  <c r="AI602" i="1" s="1"/>
  <c r="D608" i="1"/>
  <c r="AG608" i="1"/>
  <c r="AI608" i="1" s="1"/>
  <c r="AG611" i="1"/>
  <c r="AI611" i="1" s="1"/>
  <c r="D611" i="1"/>
  <c r="D614" i="1"/>
  <c r="AG614" i="1"/>
  <c r="AI614" i="1" s="1"/>
  <c r="D619" i="1"/>
  <c r="AG619" i="1"/>
  <c r="AI619" i="1" s="1"/>
  <c r="D634" i="1"/>
  <c r="AG634" i="1"/>
  <c r="AI634" i="1" s="1"/>
  <c r="D636" i="1"/>
  <c r="AG636" i="1"/>
  <c r="AI636" i="1" s="1"/>
  <c r="AG638" i="1"/>
  <c r="AI638" i="1" s="1"/>
  <c r="D638" i="1"/>
  <c r="D641" i="1"/>
  <c r="AG641" i="1"/>
  <c r="AI641" i="1" s="1"/>
  <c r="D644" i="1"/>
  <c r="AG644" i="1"/>
  <c r="AI644" i="1" s="1"/>
  <c r="AG653" i="1"/>
  <c r="AI653" i="1" s="1"/>
  <c r="D653" i="1"/>
  <c r="D656" i="1"/>
  <c r="AG656" i="1"/>
  <c r="AI656" i="1" s="1"/>
  <c r="AG661" i="1"/>
  <c r="AI661" i="1" s="1"/>
  <c r="D661" i="1"/>
  <c r="D663" i="1"/>
  <c r="AG663" i="1"/>
  <c r="AI663" i="1" s="1"/>
  <c r="AG330" i="1"/>
  <c r="AI330" i="1" s="1"/>
  <c r="D330" i="1"/>
  <c r="D339" i="1"/>
  <c r="AG339" i="1"/>
  <c r="AI339" i="1" s="1"/>
  <c r="D348" i="1"/>
  <c r="AG348" i="1"/>
  <c r="AI348" i="1" s="1"/>
  <c r="D359" i="1"/>
  <c r="AG359" i="1"/>
  <c r="AI359" i="1" s="1"/>
  <c r="AG362" i="1"/>
  <c r="AI362" i="1" s="1"/>
  <c r="D362" i="1"/>
  <c r="AG364" i="1"/>
  <c r="AI364" i="1" s="1"/>
  <c r="D364" i="1"/>
  <c r="AG664" i="1"/>
  <c r="AI664" i="1" s="1"/>
  <c r="D664" i="1"/>
  <c r="D665" i="1"/>
  <c r="AG665" i="1"/>
  <c r="AI665" i="1" s="1"/>
  <c r="AG666" i="1"/>
  <c r="AI666" i="1" s="1"/>
  <c r="D666" i="1"/>
  <c r="AG667" i="1"/>
  <c r="AI667" i="1" s="1"/>
  <c r="D667" i="1"/>
  <c r="D669" i="1"/>
  <c r="AG669" i="1"/>
  <c r="AI669" i="1" s="1"/>
  <c r="D670" i="1"/>
  <c r="AG670" i="1"/>
  <c r="AI670" i="1" s="1"/>
  <c r="AG671" i="1"/>
  <c r="AI671" i="1" s="1"/>
  <c r="D671" i="1"/>
  <c r="AG673" i="1"/>
  <c r="AI673" i="1" s="1"/>
  <c r="D673" i="1"/>
  <c r="AG675" i="1"/>
  <c r="AI675" i="1" s="1"/>
  <c r="D675" i="1"/>
  <c r="AG676" i="1"/>
  <c r="AI676" i="1" s="1"/>
  <c r="D676" i="1"/>
  <c r="AG677" i="1"/>
  <c r="AI677" i="1" s="1"/>
  <c r="D677" i="1"/>
  <c r="AG678" i="1"/>
  <c r="AI678" i="1" s="1"/>
  <c r="D678" i="1"/>
  <c r="AG679" i="1"/>
  <c r="AI679" i="1" s="1"/>
  <c r="D679" i="1"/>
  <c r="D680" i="1"/>
  <c r="AG680" i="1"/>
  <c r="AI680" i="1" s="1"/>
  <c r="AG681" i="1"/>
  <c r="AI681" i="1" s="1"/>
  <c r="D681" i="1"/>
  <c r="AG682" i="1"/>
  <c r="AI682" i="1" s="1"/>
  <c r="D682" i="1"/>
  <c r="AG683" i="1"/>
  <c r="AI683" i="1" s="1"/>
  <c r="D683" i="1"/>
  <c r="D684" i="1"/>
  <c r="AG684" i="1"/>
  <c r="AI684" i="1" s="1"/>
  <c r="AG685" i="1"/>
  <c r="AI685" i="1" s="1"/>
  <c r="D685" i="1"/>
  <c r="D686" i="1"/>
  <c r="AG686" i="1"/>
  <c r="AI686" i="1" s="1"/>
  <c r="AG688" i="1"/>
  <c r="AI688" i="1" s="1"/>
  <c r="D688" i="1"/>
  <c r="AG689" i="1"/>
  <c r="AI689" i="1" s="1"/>
  <c r="D689" i="1"/>
  <c r="AG690" i="1"/>
  <c r="AI690" i="1" s="1"/>
  <c r="D690" i="1"/>
  <c r="AG692" i="1"/>
  <c r="AI692" i="1" s="1"/>
  <c r="D692" i="1"/>
  <c r="AG693" i="1"/>
  <c r="AI693" i="1" s="1"/>
  <c r="D693" i="1"/>
  <c r="AG694" i="1"/>
  <c r="AI694" i="1" s="1"/>
  <c r="D694" i="1"/>
  <c r="AG696" i="1"/>
  <c r="AI696" i="1" s="1"/>
  <c r="D696" i="1"/>
  <c r="AG697" i="1"/>
  <c r="AI697" i="1" s="1"/>
  <c r="D697" i="1"/>
  <c r="AG699" i="1"/>
  <c r="AI699" i="1" s="1"/>
  <c r="D699" i="1"/>
  <c r="AG700" i="1"/>
  <c r="AI700" i="1" s="1"/>
  <c r="D700" i="1"/>
  <c r="D701" i="1"/>
  <c r="AG701" i="1"/>
  <c r="AI701" i="1" s="1"/>
  <c r="D703" i="1"/>
  <c r="AG703" i="1"/>
  <c r="AI703" i="1" s="1"/>
  <c r="AG705" i="1"/>
  <c r="AI705" i="1" s="1"/>
  <c r="D705" i="1"/>
  <c r="D706" i="1"/>
  <c r="AG706" i="1"/>
  <c r="AI706" i="1" s="1"/>
  <c r="AG707" i="1"/>
  <c r="AI707" i="1" s="1"/>
  <c r="D707" i="1"/>
  <c r="D708" i="1"/>
  <c r="AG708" i="1"/>
  <c r="AI708" i="1" s="1"/>
  <c r="D710" i="1"/>
  <c r="AG710" i="1"/>
  <c r="AI710" i="1" s="1"/>
  <c r="D712" i="1"/>
  <c r="AG712" i="1"/>
  <c r="AI712" i="1" s="1"/>
  <c r="AG714" i="1"/>
  <c r="AI714" i="1" s="1"/>
  <c r="D714" i="1"/>
  <c r="AG716" i="1"/>
  <c r="AI716" i="1" s="1"/>
  <c r="D716" i="1"/>
  <c r="AG718" i="1"/>
  <c r="AI718" i="1" s="1"/>
  <c r="D718" i="1"/>
  <c r="AG720" i="1"/>
  <c r="AI720" i="1" s="1"/>
  <c r="D720" i="1"/>
  <c r="D721" i="1"/>
  <c r="AG721" i="1"/>
  <c r="AI721" i="1" s="1"/>
  <c r="AG723" i="1"/>
  <c r="AI723" i="1" s="1"/>
  <c r="D723" i="1"/>
  <c r="D725" i="1"/>
  <c r="AG725" i="1"/>
  <c r="AI725" i="1" s="1"/>
  <c r="AG727" i="1"/>
  <c r="AI727" i="1" s="1"/>
  <c r="D727" i="1"/>
  <c r="D728" i="1"/>
  <c r="AG728" i="1"/>
  <c r="AI728" i="1" s="1"/>
  <c r="AG729" i="1"/>
  <c r="AI729" i="1" s="1"/>
  <c r="D729" i="1"/>
  <c r="AG731" i="1"/>
  <c r="AI731" i="1" s="1"/>
  <c r="D731" i="1"/>
  <c r="D732" i="1"/>
  <c r="AG732" i="1"/>
  <c r="AI732" i="1" s="1"/>
  <c r="D734" i="1"/>
  <c r="AG734" i="1"/>
  <c r="AI734" i="1" s="1"/>
  <c r="D736" i="1"/>
  <c r="AG736" i="1"/>
  <c r="AI736" i="1" s="1"/>
  <c r="D738" i="1"/>
  <c r="AG738" i="1"/>
  <c r="AI738" i="1" s="1"/>
  <c r="AG739" i="1"/>
  <c r="AI739" i="1" s="1"/>
  <c r="D739" i="1"/>
  <c r="AG740" i="1"/>
  <c r="AI740" i="1" s="1"/>
  <c r="D740" i="1"/>
  <c r="D741" i="1"/>
  <c r="AG741" i="1"/>
  <c r="AI741" i="1" s="1"/>
  <c r="D743" i="1"/>
  <c r="AG743" i="1"/>
  <c r="AI743" i="1" s="1"/>
  <c r="AG744" i="1"/>
  <c r="AI744" i="1" s="1"/>
  <c r="D744" i="1"/>
  <c r="D745" i="1"/>
  <c r="AG745" i="1"/>
  <c r="AI745" i="1" s="1"/>
  <c r="D746" i="1"/>
  <c r="AG746" i="1"/>
  <c r="AI746" i="1" s="1"/>
  <c r="AG747" i="1"/>
  <c r="AI747" i="1" s="1"/>
  <c r="D747" i="1"/>
  <c r="AG748" i="1"/>
  <c r="AI748" i="1" s="1"/>
  <c r="D748" i="1"/>
  <c r="D749" i="1"/>
  <c r="AG749" i="1"/>
  <c r="AI749" i="1" s="1"/>
  <c r="D750" i="1"/>
  <c r="AG750" i="1"/>
  <c r="AI750" i="1" s="1"/>
  <c r="D752" i="1"/>
  <c r="AG752" i="1"/>
  <c r="AI752" i="1" s="1"/>
  <c r="AG753" i="1"/>
  <c r="AI753" i="1" s="1"/>
  <c r="D753" i="1"/>
  <c r="AG754" i="1"/>
  <c r="AI754" i="1" s="1"/>
  <c r="D754" i="1"/>
  <c r="AG755" i="1"/>
  <c r="AI755" i="1" s="1"/>
  <c r="D755" i="1"/>
  <c r="AG756" i="1"/>
  <c r="AI756" i="1" s="1"/>
  <c r="D756" i="1"/>
  <c r="D757" i="1"/>
  <c r="AG757" i="1"/>
  <c r="AI757" i="1" s="1"/>
  <c r="AG758" i="1"/>
  <c r="AI758" i="1" s="1"/>
  <c r="D758" i="1"/>
  <c r="AG760" i="1"/>
  <c r="AI760" i="1" s="1"/>
  <c r="D760" i="1"/>
  <c r="AG761" i="1"/>
  <c r="AI761" i="1" s="1"/>
  <c r="D761" i="1"/>
  <c r="AG762" i="1"/>
  <c r="AI762" i="1" s="1"/>
  <c r="D762" i="1"/>
  <c r="D763" i="1"/>
  <c r="AG763" i="1"/>
  <c r="AI763" i="1" s="1"/>
  <c r="D765" i="1"/>
  <c r="AG765" i="1"/>
  <c r="AI765" i="1" s="1"/>
  <c r="D767" i="1"/>
  <c r="AG767" i="1"/>
  <c r="AI767" i="1" s="1"/>
  <c r="D769" i="1"/>
  <c r="AG769" i="1"/>
  <c r="AI769" i="1" s="1"/>
  <c r="AG771" i="1"/>
  <c r="AI771" i="1" s="1"/>
  <c r="D771" i="1"/>
  <c r="AG772" i="1"/>
  <c r="AI772" i="1" s="1"/>
  <c r="D772" i="1"/>
  <c r="D773" i="1"/>
  <c r="AG773" i="1"/>
  <c r="AI773" i="1" s="1"/>
  <c r="AG774" i="1"/>
  <c r="AI774" i="1" s="1"/>
  <c r="D774" i="1"/>
  <c r="AG776" i="1"/>
  <c r="AI776" i="1" s="1"/>
  <c r="D776" i="1"/>
  <c r="AG777" i="1"/>
  <c r="AI777" i="1" s="1"/>
  <c r="D777" i="1"/>
  <c r="AG779" i="1"/>
  <c r="AI779" i="1" s="1"/>
  <c r="D779" i="1"/>
  <c r="D780" i="1"/>
  <c r="AG780" i="1"/>
  <c r="AI780" i="1" s="1"/>
  <c r="D781" i="1"/>
  <c r="AG781" i="1"/>
  <c r="AI781" i="1" s="1"/>
  <c r="D782" i="1"/>
  <c r="AG782" i="1"/>
  <c r="AI782" i="1" s="1"/>
  <c r="D783" i="1"/>
  <c r="AG783" i="1"/>
  <c r="AI783" i="1" s="1"/>
  <c r="D784" i="1"/>
  <c r="AG784" i="1"/>
  <c r="AI784" i="1" s="1"/>
  <c r="D786" i="1"/>
  <c r="AG786" i="1"/>
  <c r="AI786" i="1" s="1"/>
  <c r="D787" i="1"/>
  <c r="AG787" i="1"/>
  <c r="AI787" i="1" s="1"/>
  <c r="D788" i="1"/>
  <c r="AG788" i="1"/>
  <c r="AI788" i="1" s="1"/>
  <c r="AG789" i="1"/>
  <c r="AI789" i="1" s="1"/>
  <c r="D789" i="1"/>
  <c r="D790" i="1"/>
  <c r="AG790" i="1"/>
  <c r="AI790" i="1" s="1"/>
  <c r="D791" i="1"/>
  <c r="AG791" i="1"/>
  <c r="AI791" i="1" s="1"/>
  <c r="D792" i="1"/>
  <c r="AG792" i="1"/>
  <c r="AI792" i="1" s="1"/>
  <c r="D793" i="1"/>
  <c r="AG793" i="1"/>
  <c r="AI793" i="1" s="1"/>
  <c r="D794" i="1"/>
  <c r="AG794" i="1"/>
  <c r="AI794" i="1" s="1"/>
  <c r="D795" i="1"/>
  <c r="AG795" i="1"/>
  <c r="AI795" i="1" s="1"/>
  <c r="D797" i="1"/>
  <c r="AG797" i="1"/>
  <c r="AI797" i="1" s="1"/>
  <c r="AG798" i="1"/>
  <c r="AI798" i="1" s="1"/>
  <c r="D798" i="1"/>
  <c r="D799" i="1"/>
  <c r="AG799" i="1"/>
  <c r="AI799" i="1" s="1"/>
  <c r="D800" i="1"/>
  <c r="AG800" i="1"/>
  <c r="AI800" i="1" s="1"/>
  <c r="D801" i="1"/>
  <c r="AG801" i="1"/>
  <c r="AI801" i="1" s="1"/>
  <c r="D802" i="1"/>
  <c r="AG802" i="1"/>
  <c r="AI802" i="1" s="1"/>
  <c r="D803" i="1"/>
  <c r="AG803" i="1"/>
  <c r="AI803" i="1" s="1"/>
  <c r="AG804" i="1"/>
  <c r="AI804" i="1" s="1"/>
  <c r="D804" i="1"/>
  <c r="AG805" i="1"/>
  <c r="AI805" i="1" s="1"/>
  <c r="D805" i="1"/>
  <c r="AG806" i="1"/>
  <c r="AI806" i="1" s="1"/>
  <c r="D806" i="1"/>
  <c r="D807" i="1"/>
  <c r="AG807" i="1"/>
  <c r="AI807" i="1" s="1"/>
  <c r="AG809" i="1"/>
  <c r="AI809" i="1" s="1"/>
  <c r="D809" i="1"/>
  <c r="D810" i="1"/>
  <c r="AG810" i="1"/>
  <c r="AI810" i="1" s="1"/>
  <c r="D811" i="1"/>
  <c r="AG811" i="1"/>
  <c r="AI811" i="1" s="1"/>
  <c r="D812" i="1"/>
  <c r="AG812" i="1"/>
  <c r="AI812" i="1" s="1"/>
  <c r="D814" i="1"/>
  <c r="AG814" i="1"/>
  <c r="AI814" i="1" s="1"/>
  <c r="AG815" i="1"/>
  <c r="AI815" i="1" s="1"/>
  <c r="D815" i="1"/>
  <c r="D816" i="1"/>
  <c r="AG816" i="1"/>
  <c r="AI816" i="1" s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2" i="1"/>
  <c r="AI822" i="1" s="1"/>
  <c r="D822" i="1"/>
  <c r="D823" i="1"/>
  <c r="AG823" i="1"/>
  <c r="AI823" i="1" s="1"/>
  <c r="D825" i="1"/>
  <c r="AG825" i="1"/>
  <c r="AI825" i="1" s="1"/>
  <c r="AG827" i="1"/>
  <c r="AI827" i="1" s="1"/>
  <c r="D827" i="1"/>
  <c r="D828" i="1"/>
  <c r="AG828" i="1"/>
  <c r="AI828" i="1" s="1"/>
  <c r="D829" i="1"/>
  <c r="AG829" i="1"/>
  <c r="AI829" i="1" s="1"/>
  <c r="AG830" i="1"/>
  <c r="AI830" i="1" s="1"/>
  <c r="D830" i="1"/>
  <c r="D832" i="1"/>
  <c r="AG832" i="1"/>
  <c r="AI832" i="1" s="1"/>
  <c r="D833" i="1"/>
  <c r="AG833" i="1"/>
  <c r="AI833" i="1" s="1"/>
  <c r="AG834" i="1"/>
  <c r="AI834" i="1" s="1"/>
  <c r="D834" i="1"/>
  <c r="D835" i="1"/>
  <c r="AG835" i="1"/>
  <c r="AI835" i="1" s="1"/>
  <c r="D837" i="1"/>
  <c r="AG837" i="1"/>
  <c r="AI837" i="1" s="1"/>
  <c r="D839" i="1"/>
  <c r="AG839" i="1"/>
  <c r="AI839" i="1" s="1"/>
  <c r="D841" i="1"/>
  <c r="AG841" i="1"/>
  <c r="AI841" i="1" s="1"/>
  <c r="D842" i="1"/>
  <c r="AG842" i="1"/>
  <c r="AI842" i="1" s="1"/>
  <c r="D843" i="1"/>
  <c r="AG843" i="1"/>
  <c r="AI843" i="1" s="1"/>
  <c r="D845" i="1"/>
  <c r="AG845" i="1"/>
  <c r="AI845" i="1" s="1"/>
  <c r="AG846" i="1"/>
  <c r="AI846" i="1" s="1"/>
  <c r="D846" i="1"/>
  <c r="AG847" i="1"/>
  <c r="AI847" i="1" s="1"/>
  <c r="D847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D856" i="1"/>
  <c r="AG856" i="1"/>
  <c r="AI856" i="1" s="1"/>
  <c r="D857" i="1"/>
  <c r="AG857" i="1"/>
  <c r="AI857" i="1" s="1"/>
  <c r="AG859" i="1"/>
  <c r="AI859" i="1" s="1"/>
  <c r="D859" i="1"/>
  <c r="D861" i="1"/>
  <c r="AG861" i="1"/>
  <c r="AI861" i="1" s="1"/>
  <c r="D863" i="1"/>
  <c r="AG863" i="1"/>
  <c r="AI863" i="1" s="1"/>
  <c r="D864" i="1"/>
  <c r="AG864" i="1"/>
  <c r="AI864" i="1" s="1"/>
  <c r="D865" i="1"/>
  <c r="AG865" i="1"/>
  <c r="AI865" i="1" s="1"/>
  <c r="D867" i="1"/>
  <c r="AG867" i="1"/>
  <c r="AI86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867" i="1"/>
  <c r="AC867" i="1"/>
  <c r="AB865" i="1"/>
  <c r="AF864" i="1"/>
  <c r="AB863" i="1"/>
  <c r="AB861" i="1"/>
  <c r="AC861" i="1"/>
  <c r="AF859" i="1"/>
  <c r="AC857" i="1"/>
  <c r="AB857" i="1"/>
  <c r="AB856" i="1"/>
  <c r="AF856" i="1"/>
  <c r="AC855" i="1"/>
  <c r="AF855" i="1"/>
  <c r="AF853" i="1"/>
  <c r="AB851" i="1"/>
  <c r="AF851" i="1"/>
  <c r="AF849" i="1"/>
  <c r="AB848" i="1"/>
  <c r="AF847" i="1"/>
  <c r="AC846" i="1"/>
  <c r="AC845" i="1"/>
  <c r="AC843" i="1"/>
  <c r="AB843" i="1"/>
  <c r="AF842" i="1"/>
  <c r="AC842" i="1"/>
  <c r="AF841" i="1"/>
  <c r="AB841" i="1"/>
  <c r="AB839" i="1"/>
  <c r="AB837" i="1"/>
  <c r="AF837" i="1"/>
  <c r="AF835" i="1"/>
  <c r="AC834" i="1"/>
  <c r="AC833" i="1"/>
  <c r="AB832" i="1"/>
  <c r="AC830" i="1"/>
  <c r="AF830" i="1"/>
  <c r="AB829" i="1"/>
  <c r="AC829" i="1"/>
  <c r="AB828" i="1"/>
  <c r="AF828" i="1"/>
  <c r="AB827" i="1"/>
  <c r="AC827" i="1"/>
  <c r="AC825" i="1"/>
  <c r="AF823" i="1"/>
  <c r="AB823" i="1"/>
  <c r="AC822" i="1"/>
  <c r="AF822" i="1"/>
  <c r="AF821" i="1"/>
  <c r="AC821" i="1"/>
  <c r="AB820" i="1"/>
  <c r="AC820" i="1"/>
  <c r="AC818" i="1"/>
  <c r="AC817" i="1"/>
  <c r="AC816" i="1"/>
  <c r="AC815" i="1"/>
  <c r="AF814" i="1"/>
  <c r="AF812" i="1"/>
  <c r="AB812" i="1"/>
  <c r="AB811" i="1"/>
  <c r="AC811" i="1"/>
  <c r="AB810" i="1"/>
  <c r="AF810" i="1"/>
  <c r="AC809" i="1"/>
  <c r="AF809" i="1"/>
  <c r="AC807" i="1"/>
  <c r="AC806" i="1"/>
  <c r="AF805" i="1"/>
  <c r="AB804" i="1"/>
  <c r="AF803" i="1"/>
  <c r="AB802" i="1"/>
  <c r="AC801" i="1"/>
  <c r="AC800" i="1"/>
  <c r="AB799" i="1"/>
  <c r="AF798" i="1"/>
  <c r="AF797" i="1"/>
  <c r="AF795" i="1"/>
  <c r="AB795" i="1"/>
  <c r="AC794" i="1"/>
  <c r="AF794" i="1"/>
  <c r="AC793" i="1"/>
  <c r="AF793" i="1"/>
  <c r="AC792" i="1"/>
  <c r="AB792" i="1"/>
  <c r="AB791" i="1"/>
  <c r="AF791" i="1"/>
  <c r="AF790" i="1"/>
  <c r="AC790" i="1"/>
  <c r="AC789" i="1"/>
  <c r="AF789" i="1"/>
  <c r="AB788" i="1"/>
  <c r="AF788" i="1"/>
  <c r="AB787" i="1"/>
  <c r="AF787" i="1"/>
  <c r="AB786" i="1"/>
  <c r="AC786" i="1"/>
  <c r="AC784" i="1"/>
  <c r="AC783" i="1"/>
  <c r="AB782" i="1"/>
  <c r="AF781" i="1"/>
  <c r="AB780" i="1"/>
  <c r="AF779" i="1"/>
  <c r="AF777" i="1"/>
  <c r="AC777" i="1"/>
  <c r="AC776" i="1"/>
  <c r="AB776" i="1"/>
  <c r="AF774" i="1"/>
  <c r="AC773" i="1"/>
  <c r="AF772" i="1"/>
  <c r="AC771" i="1"/>
  <c r="AC769" i="1"/>
  <c r="AF769" i="1"/>
  <c r="AC767" i="1"/>
  <c r="AF765" i="1"/>
  <c r="AB765" i="1"/>
  <c r="AF763" i="1"/>
  <c r="AB762" i="1"/>
  <c r="AB761" i="1"/>
  <c r="AC760" i="1"/>
  <c r="AF758" i="1"/>
  <c r="AB758" i="1"/>
  <c r="AC757" i="1"/>
  <c r="AB757" i="1"/>
  <c r="AC756" i="1"/>
  <c r="AF756" i="1"/>
  <c r="AB755" i="1"/>
  <c r="AC755" i="1"/>
  <c r="AC754" i="1"/>
  <c r="AF754" i="1"/>
  <c r="AF753" i="1"/>
  <c r="AC753" i="1"/>
  <c r="AC752" i="1"/>
  <c r="AF752" i="1"/>
  <c r="AC750" i="1"/>
  <c r="AC749" i="1"/>
  <c r="AF748" i="1"/>
  <c r="AF747" i="1"/>
  <c r="AB746" i="1"/>
  <c r="AC745" i="1"/>
  <c r="AC744" i="1"/>
  <c r="AC743" i="1"/>
  <c r="AC741" i="1"/>
  <c r="AB741" i="1"/>
  <c r="AC740" i="1"/>
  <c r="AF740" i="1"/>
  <c r="AB739" i="1"/>
  <c r="AF739" i="1"/>
  <c r="AB738" i="1"/>
  <c r="AF738" i="1"/>
  <c r="AF736" i="1"/>
  <c r="AF734" i="1"/>
  <c r="AB734" i="1"/>
  <c r="AC732" i="1"/>
  <c r="AB731" i="1"/>
  <c r="AB729" i="1"/>
  <c r="AC729" i="1"/>
  <c r="AF728" i="1"/>
  <c r="AC728" i="1"/>
  <c r="AB727" i="1"/>
  <c r="AF727" i="1"/>
  <c r="AC725" i="1"/>
  <c r="AC723" i="1"/>
  <c r="AF723" i="1"/>
  <c r="AC721" i="1"/>
  <c r="AF720" i="1"/>
  <c r="AB718" i="1"/>
  <c r="AF718" i="1"/>
  <c r="AB716" i="1"/>
  <c r="AF714" i="1"/>
  <c r="AB714" i="1"/>
  <c r="AF712" i="1"/>
  <c r="AF710" i="1"/>
  <c r="AC710" i="1"/>
  <c r="AC708" i="1"/>
  <c r="AB707" i="1"/>
  <c r="AF706" i="1"/>
  <c r="AC705" i="1"/>
  <c r="AB703" i="1"/>
  <c r="AC703" i="1"/>
  <c r="AC701" i="1"/>
  <c r="AC700" i="1"/>
  <c r="AB699" i="1"/>
  <c r="AB697" i="1"/>
  <c r="AF697" i="1"/>
  <c r="AF696" i="1"/>
  <c r="AC696" i="1"/>
  <c r="AF694" i="1"/>
  <c r="AF693" i="1"/>
  <c r="AB692" i="1"/>
  <c r="AC690" i="1"/>
  <c r="AF690" i="1"/>
  <c r="AF689" i="1"/>
  <c r="AB689" i="1"/>
  <c r="AF688" i="1"/>
  <c r="AC688" i="1"/>
  <c r="AC686" i="1"/>
  <c r="AC685" i="1"/>
  <c r="AF684" i="1"/>
  <c r="AC683" i="1"/>
  <c r="AF682" i="1"/>
  <c r="AB681" i="1"/>
  <c r="AB680" i="1"/>
  <c r="AF679" i="1"/>
  <c r="AC678" i="1"/>
  <c r="AC677" i="1"/>
  <c r="AB676" i="1"/>
  <c r="AB675" i="1"/>
  <c r="AC673" i="1"/>
  <c r="AF673" i="1"/>
  <c r="AF671" i="1"/>
  <c r="AB670" i="1"/>
  <c r="AB669" i="1"/>
  <c r="AB667" i="1"/>
  <c r="AF667" i="1"/>
  <c r="AB666" i="1"/>
  <c r="AC666" i="1"/>
  <c r="AC665" i="1"/>
  <c r="AF665" i="1"/>
  <c r="AC664" i="1"/>
  <c r="AF664" i="1"/>
  <c r="AB364" i="1"/>
  <c r="AF364" i="1"/>
  <c r="AF362" i="1"/>
  <c r="AC362" i="1"/>
  <c r="AB359" i="1"/>
  <c r="AF359" i="1"/>
  <c r="AF348" i="1"/>
  <c r="AC339" i="1"/>
  <c r="AB330" i="1"/>
  <c r="AF330" i="1"/>
  <c r="AC663" i="1"/>
  <c r="AC661" i="1"/>
  <c r="AF656" i="1"/>
  <c r="AC656" i="1"/>
  <c r="AB653" i="1"/>
  <c r="AC644" i="1"/>
  <c r="AB641" i="1"/>
  <c r="AC638" i="1"/>
  <c r="AB636" i="1"/>
  <c r="AC634" i="1"/>
  <c r="AC619" i="1"/>
  <c r="AB614" i="1"/>
  <c r="AF614" i="1"/>
  <c r="AC611" i="1"/>
  <c r="AF611" i="1"/>
  <c r="AF608" i="1"/>
  <c r="AC608" i="1"/>
  <c r="AF602" i="1"/>
  <c r="AC602" i="1"/>
  <c r="AC599" i="1"/>
  <c r="AB592" i="1"/>
  <c r="AB586" i="1"/>
  <c r="AC573" i="1"/>
  <c r="AF573" i="1"/>
  <c r="AF597" i="1"/>
  <c r="AC597" i="1"/>
  <c r="AC570" i="1"/>
  <c r="AC564" i="1"/>
  <c r="AC561" i="1"/>
  <c r="AC551" i="1"/>
  <c r="AB551" i="1"/>
  <c r="AF541" i="1"/>
  <c r="AB526" i="1"/>
  <c r="AF524" i="1"/>
  <c r="AB524" i="1"/>
  <c r="AB522" i="1"/>
  <c r="AC522" i="1"/>
  <c r="AC520" i="1"/>
  <c r="AB520" i="1"/>
  <c r="AB515" i="1"/>
  <c r="AF513" i="1"/>
  <c r="AC502" i="1"/>
  <c r="AB502" i="1"/>
  <c r="AF500" i="1"/>
  <c r="AC500" i="1"/>
  <c r="AF488" i="1"/>
  <c r="AB483" i="1"/>
  <c r="AF477" i="1"/>
  <c r="AB477" i="1"/>
  <c r="AB388" i="1"/>
  <c r="AF388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867" i="1"/>
  <c r="AC865" i="1"/>
  <c r="AF865" i="1"/>
  <c r="AC864" i="1"/>
  <c r="AB864" i="1"/>
  <c r="AF863" i="1"/>
  <c r="AC863" i="1"/>
  <c r="AF861" i="1"/>
  <c r="AB859" i="1"/>
  <c r="AC859" i="1"/>
  <c r="AF857" i="1"/>
  <c r="AC856" i="1"/>
  <c r="AB855" i="1"/>
  <c r="AB853" i="1"/>
  <c r="AC853" i="1"/>
  <c r="AC851" i="1"/>
  <c r="AB849" i="1"/>
  <c r="AC849" i="1"/>
  <c r="AF848" i="1"/>
  <c r="AC848" i="1"/>
  <c r="AC847" i="1"/>
  <c r="AB847" i="1"/>
  <c r="AF846" i="1"/>
  <c r="AB846" i="1"/>
  <c r="AB845" i="1"/>
  <c r="AF845" i="1"/>
  <c r="AF843" i="1"/>
  <c r="AB842" i="1"/>
  <c r="AC841" i="1"/>
  <c r="AF839" i="1"/>
  <c r="AC839" i="1"/>
  <c r="AC837" i="1"/>
  <c r="AB835" i="1"/>
  <c r="AC835" i="1"/>
  <c r="AF834" i="1"/>
  <c r="AB834" i="1"/>
  <c r="AF833" i="1"/>
  <c r="AB833" i="1"/>
  <c r="AF832" i="1"/>
  <c r="AC832" i="1"/>
  <c r="AB830" i="1"/>
  <c r="AF829" i="1"/>
  <c r="AC828" i="1"/>
  <c r="AF827" i="1"/>
  <c r="AF825" i="1"/>
  <c r="AB825" i="1"/>
  <c r="AC823" i="1"/>
  <c r="AB822" i="1"/>
  <c r="AB821" i="1"/>
  <c r="AF820" i="1"/>
  <c r="AF818" i="1"/>
  <c r="AB818" i="1"/>
  <c r="AB817" i="1"/>
  <c r="AF817" i="1"/>
  <c r="AF816" i="1"/>
  <c r="AB816" i="1"/>
  <c r="AF815" i="1"/>
  <c r="AB815" i="1"/>
  <c r="AC814" i="1"/>
  <c r="AB814" i="1"/>
  <c r="AC812" i="1"/>
  <c r="AF811" i="1"/>
  <c r="AC810" i="1"/>
  <c r="AB809" i="1"/>
  <c r="AF807" i="1"/>
  <c r="AB807" i="1"/>
  <c r="AF806" i="1"/>
  <c r="AB806" i="1"/>
  <c r="AC805" i="1"/>
  <c r="AB805" i="1"/>
  <c r="AC804" i="1"/>
  <c r="AF804" i="1"/>
  <c r="AC803" i="1"/>
  <c r="AB803" i="1"/>
  <c r="AF802" i="1"/>
  <c r="AC802" i="1"/>
  <c r="AF801" i="1"/>
  <c r="AB801" i="1"/>
  <c r="AB800" i="1"/>
  <c r="AF800" i="1"/>
  <c r="AF799" i="1"/>
  <c r="AC799" i="1"/>
  <c r="AB798" i="1"/>
  <c r="AC798" i="1"/>
  <c r="AC797" i="1"/>
  <c r="AB797" i="1"/>
  <c r="AC795" i="1"/>
  <c r="AB794" i="1"/>
  <c r="AB793" i="1"/>
  <c r="AF792" i="1"/>
  <c r="AC791" i="1"/>
  <c r="AB790" i="1"/>
  <c r="AB789" i="1"/>
  <c r="AC788" i="1"/>
  <c r="AC787" i="1"/>
  <c r="AF786" i="1"/>
  <c r="AF784" i="1"/>
  <c r="AB784" i="1"/>
  <c r="AF783" i="1"/>
  <c r="AB783" i="1"/>
  <c r="AC782" i="1"/>
  <c r="AF782" i="1"/>
  <c r="AB781" i="1"/>
  <c r="AC781" i="1"/>
  <c r="AC780" i="1"/>
  <c r="AF780" i="1"/>
  <c r="AC779" i="1"/>
  <c r="AB779" i="1"/>
  <c r="AB777" i="1"/>
  <c r="AF776" i="1"/>
  <c r="AB774" i="1"/>
  <c r="AC774" i="1"/>
  <c r="AF773" i="1"/>
  <c r="AB773" i="1"/>
  <c r="AB772" i="1"/>
  <c r="AC772" i="1"/>
  <c r="AB771" i="1"/>
  <c r="AF771" i="1"/>
  <c r="AB769" i="1"/>
  <c r="AB767" i="1"/>
  <c r="AF767" i="1"/>
  <c r="AC765" i="1"/>
  <c r="AB763" i="1"/>
  <c r="AC763" i="1"/>
  <c r="AC762" i="1"/>
  <c r="AF762" i="1"/>
  <c r="AC761" i="1"/>
  <c r="AF761" i="1"/>
  <c r="AB760" i="1"/>
  <c r="AF760" i="1"/>
  <c r="AC758" i="1"/>
  <c r="AF757" i="1"/>
  <c r="AB756" i="1"/>
  <c r="AF755" i="1"/>
  <c r="AB754" i="1"/>
  <c r="AB753" i="1"/>
  <c r="AB752" i="1"/>
  <c r="AB750" i="1"/>
  <c r="AF750" i="1"/>
  <c r="AF749" i="1"/>
  <c r="AB749" i="1"/>
  <c r="AB748" i="1"/>
  <c r="AC748" i="1"/>
  <c r="AB747" i="1"/>
  <c r="AC747" i="1"/>
  <c r="AF746" i="1"/>
  <c r="AC746" i="1"/>
  <c r="AB745" i="1"/>
  <c r="AF745" i="1"/>
  <c r="AB744" i="1"/>
  <c r="AF744" i="1"/>
  <c r="AF743" i="1"/>
  <c r="AB743" i="1"/>
  <c r="AF741" i="1"/>
  <c r="AB740" i="1"/>
  <c r="AC739" i="1"/>
  <c r="AC738" i="1"/>
  <c r="AC736" i="1"/>
  <c r="AB736" i="1"/>
  <c r="AC734" i="1"/>
  <c r="AB732" i="1"/>
  <c r="AF732" i="1"/>
  <c r="AC731" i="1"/>
  <c r="AF731" i="1"/>
  <c r="AF729" i="1"/>
  <c r="AB728" i="1"/>
  <c r="AC727" i="1"/>
  <c r="AB725" i="1"/>
  <c r="AF725" i="1"/>
  <c r="AB723" i="1"/>
  <c r="AF721" i="1"/>
  <c r="AB721" i="1"/>
  <c r="AC720" i="1"/>
  <c r="AB720" i="1"/>
  <c r="AC718" i="1"/>
  <c r="AC716" i="1"/>
  <c r="AF716" i="1"/>
  <c r="AC714" i="1"/>
  <c r="AB712" i="1"/>
  <c r="AC712" i="1"/>
  <c r="AB710" i="1"/>
  <c r="AB708" i="1"/>
  <c r="AF708" i="1"/>
  <c r="AC707" i="1"/>
  <c r="AF707" i="1"/>
  <c r="AB706" i="1"/>
  <c r="AC706" i="1"/>
  <c r="AF705" i="1"/>
  <c r="AB705" i="1"/>
  <c r="AF703" i="1"/>
  <c r="AB701" i="1"/>
  <c r="AF701" i="1"/>
  <c r="AB700" i="1"/>
  <c r="AF700" i="1"/>
  <c r="AC699" i="1"/>
  <c r="AF699" i="1"/>
  <c r="AC697" i="1"/>
  <c r="AB696" i="1"/>
  <c r="AB694" i="1"/>
  <c r="AC694" i="1"/>
  <c r="AB693" i="1"/>
  <c r="AC693" i="1"/>
  <c r="AC692" i="1"/>
  <c r="AF692" i="1"/>
  <c r="AB690" i="1"/>
  <c r="AC689" i="1"/>
  <c r="AB688" i="1"/>
  <c r="AB686" i="1"/>
  <c r="AF686" i="1"/>
  <c r="AB685" i="1"/>
  <c r="AF685" i="1"/>
  <c r="AC684" i="1"/>
  <c r="AB684" i="1"/>
  <c r="AF683" i="1"/>
  <c r="AB683" i="1"/>
  <c r="AC682" i="1"/>
  <c r="AB682" i="1"/>
  <c r="AC681" i="1"/>
  <c r="AF681" i="1"/>
  <c r="AC680" i="1"/>
  <c r="AF680" i="1"/>
  <c r="AB679" i="1"/>
  <c r="AC679" i="1"/>
  <c r="AB678" i="1"/>
  <c r="AF678" i="1"/>
  <c r="AF677" i="1"/>
  <c r="AB677" i="1"/>
  <c r="AC676" i="1"/>
  <c r="AF676" i="1"/>
  <c r="AC675" i="1"/>
  <c r="AF675" i="1"/>
  <c r="AB673" i="1"/>
  <c r="AB671" i="1"/>
  <c r="AC671" i="1"/>
  <c r="AF670" i="1"/>
  <c r="AC670" i="1"/>
  <c r="AF669" i="1"/>
  <c r="AC669" i="1"/>
  <c r="AC667" i="1"/>
  <c r="AF666" i="1"/>
  <c r="AB665" i="1"/>
  <c r="AB664" i="1"/>
  <c r="AC364" i="1"/>
  <c r="AB362" i="1"/>
  <c r="AC359" i="1"/>
  <c r="AC348" i="1"/>
  <c r="AB348" i="1"/>
  <c r="AF339" i="1"/>
  <c r="AB339" i="1"/>
  <c r="AC330" i="1"/>
  <c r="AB663" i="1"/>
  <c r="AF663" i="1"/>
  <c r="AB661" i="1"/>
  <c r="AF661" i="1"/>
  <c r="AB656" i="1"/>
  <c r="AC653" i="1"/>
  <c r="AF653" i="1"/>
  <c r="AB644" i="1"/>
  <c r="AF644" i="1"/>
  <c r="AC641" i="1"/>
  <c r="AF641" i="1"/>
  <c r="AB638" i="1"/>
  <c r="AF638" i="1"/>
  <c r="AC636" i="1"/>
  <c r="AF636" i="1"/>
  <c r="AF634" i="1"/>
  <c r="AB634" i="1"/>
  <c r="AF619" i="1"/>
  <c r="AB619" i="1"/>
  <c r="AC614" i="1"/>
  <c r="AB611" i="1"/>
  <c r="AB608" i="1"/>
  <c r="AB602" i="1"/>
  <c r="AB599" i="1"/>
  <c r="AF599" i="1"/>
  <c r="AC592" i="1"/>
  <c r="AC586" i="1"/>
  <c r="AF586" i="1"/>
  <c r="AB573" i="1"/>
  <c r="AB597" i="1"/>
  <c r="AF570" i="1"/>
  <c r="AB570" i="1"/>
  <c r="AF564" i="1"/>
  <c r="AB564" i="1"/>
  <c r="AB561" i="1"/>
  <c r="AF561" i="1"/>
  <c r="AF551" i="1"/>
  <c r="AB541" i="1"/>
  <c r="AC541" i="1"/>
  <c r="AC526" i="1"/>
  <c r="AF526" i="1"/>
  <c r="AC524" i="1"/>
  <c r="AF522" i="1"/>
  <c r="AF520" i="1"/>
  <c r="AF515" i="1"/>
  <c r="AC515" i="1"/>
  <c r="AB513" i="1"/>
  <c r="AC513" i="1"/>
  <c r="AF502" i="1"/>
  <c r="AB500" i="1"/>
  <c r="AB488" i="1"/>
  <c r="AC488" i="1"/>
  <c r="AC483" i="1"/>
  <c r="AF483" i="1"/>
  <c r="AC477" i="1"/>
  <c r="AC388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404" i="1"/>
  <c r="C404" i="1" s="1"/>
  <c r="B483" i="1"/>
  <c r="C483" i="1" s="1"/>
  <c r="B486" i="1"/>
  <c r="C486" i="1" s="1"/>
  <c r="B509" i="1"/>
  <c r="C509" i="1" s="1"/>
  <c r="B526" i="1"/>
  <c r="C526" i="1" s="1"/>
  <c r="B532" i="1"/>
  <c r="C532" i="1" s="1"/>
  <c r="B535" i="1"/>
  <c r="C535" i="1" s="1"/>
  <c r="B537" i="1"/>
  <c r="C537" i="1" s="1"/>
  <c r="B554" i="1"/>
  <c r="C554" i="1" s="1"/>
  <c r="B585" i="1"/>
  <c r="C585" i="1" s="1"/>
  <c r="B619" i="1"/>
  <c r="C619" i="1" s="1"/>
  <c r="B629" i="1"/>
  <c r="C629" i="1" s="1"/>
  <c r="B638" i="1"/>
  <c r="C638" i="1" s="1"/>
  <c r="B647" i="1"/>
  <c r="C647" i="1" s="1"/>
  <c r="B328" i="1"/>
  <c r="C328" i="1" s="1"/>
  <c r="B332" i="1"/>
  <c r="C332" i="1" s="1"/>
  <c r="B669" i="1"/>
  <c r="C669" i="1" s="1"/>
  <c r="B675" i="1"/>
  <c r="C675" i="1" s="1"/>
  <c r="B692" i="1"/>
  <c r="C692" i="1" s="1"/>
  <c r="B699" i="1"/>
  <c r="C699" i="1" s="1"/>
  <c r="B703" i="1"/>
  <c r="C703" i="1" s="1"/>
  <c r="B705" i="1"/>
  <c r="C705" i="1" s="1"/>
  <c r="B716" i="1"/>
  <c r="C716" i="1" s="1"/>
  <c r="B725" i="1"/>
  <c r="C725" i="1" s="1"/>
  <c r="B731" i="1"/>
  <c r="C731" i="1" s="1"/>
  <c r="B743" i="1"/>
  <c r="C743" i="1" s="1"/>
  <c r="B760" i="1"/>
  <c r="C760" i="1" s="1"/>
  <c r="B767" i="1"/>
  <c r="C767" i="1" s="1"/>
  <c r="B771" i="1"/>
  <c r="C771" i="1" s="1"/>
  <c r="B776" i="1"/>
  <c r="C776" i="1" s="1"/>
  <c r="B786" i="1"/>
  <c r="C786" i="1" s="1"/>
  <c r="B820" i="1"/>
  <c r="C820" i="1" s="1"/>
  <c r="B825" i="1"/>
  <c r="C825" i="1" s="1"/>
  <c r="B827" i="1"/>
  <c r="C827" i="1" s="1"/>
  <c r="B832" i="1"/>
  <c r="C832" i="1" s="1"/>
  <c r="B839" i="1"/>
  <c r="C839" i="1" s="1"/>
  <c r="B845" i="1"/>
  <c r="C845" i="1" s="1"/>
  <c r="B861" i="1"/>
  <c r="C861" i="1" s="1"/>
  <c r="B863" i="1"/>
  <c r="C863" i="1" s="1"/>
  <c r="B867" i="1"/>
  <c r="C867" i="1" s="1"/>
  <c r="B261" i="1"/>
  <c r="C261" i="1" s="1"/>
  <c r="B386" i="1"/>
  <c r="C386" i="1" s="1"/>
  <c r="B393" i="1"/>
  <c r="C393" i="1" s="1"/>
  <c r="B402" i="1"/>
  <c r="C402" i="1" s="1"/>
  <c r="B488" i="1"/>
  <c r="C488" i="1" s="1"/>
  <c r="B528" i="1"/>
  <c r="C528" i="1" s="1"/>
  <c r="B595" i="1"/>
  <c r="C595" i="1" s="1"/>
  <c r="B602" i="1"/>
  <c r="C602" i="1" s="1"/>
  <c r="B624" i="1"/>
  <c r="C624" i="1" s="1"/>
  <c r="B343" i="1"/>
  <c r="C343" i="1" s="1"/>
  <c r="B348" i="1"/>
  <c r="C348" i="1" s="1"/>
  <c r="B359" i="1"/>
  <c r="C359" i="1" s="1"/>
  <c r="B673" i="1"/>
  <c r="C673" i="1" s="1"/>
  <c r="B688" i="1"/>
  <c r="C688" i="1" s="1"/>
  <c r="B696" i="1"/>
  <c r="C696" i="1" s="1"/>
  <c r="B710" i="1"/>
  <c r="C710" i="1" s="1"/>
  <c r="B712" i="1"/>
  <c r="C712" i="1" s="1"/>
  <c r="B714" i="1"/>
  <c r="C714" i="1" s="1"/>
  <c r="B718" i="1"/>
  <c r="C718" i="1" s="1"/>
  <c r="B720" i="1"/>
  <c r="C720" i="1" s="1"/>
  <c r="B723" i="1"/>
  <c r="C723" i="1" s="1"/>
  <c r="B727" i="1"/>
  <c r="C727" i="1" s="1"/>
  <c r="B734" i="1"/>
  <c r="C734" i="1" s="1"/>
  <c r="B736" i="1"/>
  <c r="C736" i="1" s="1"/>
  <c r="B738" i="1"/>
  <c r="C738" i="1" s="1"/>
  <c r="B752" i="1"/>
  <c r="C752" i="1" s="1"/>
  <c r="B765" i="1"/>
  <c r="C765" i="1" s="1"/>
  <c r="B769" i="1"/>
  <c r="C769" i="1" s="1"/>
  <c r="B779" i="1"/>
  <c r="C779" i="1" s="1"/>
  <c r="B797" i="1"/>
  <c r="C797" i="1" s="1"/>
  <c r="B809" i="1"/>
  <c r="C809" i="1" s="1"/>
  <c r="B814" i="1"/>
  <c r="C814" i="1" s="1"/>
  <c r="B837" i="1"/>
  <c r="C837" i="1" s="1"/>
  <c r="B841" i="1"/>
  <c r="C841" i="1" s="1"/>
  <c r="B851" i="1"/>
  <c r="C851" i="1" s="1"/>
  <c r="B853" i="1"/>
  <c r="C853" i="1" s="1"/>
  <c r="B855" i="1"/>
  <c r="C855" i="1" s="1"/>
  <c r="B859" i="1"/>
  <c r="C859" i="1" s="1"/>
  <c r="B3" i="6"/>
  <c r="B3" i="11"/>
  <c r="B4" i="6"/>
  <c r="B5" i="6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G5" i="6"/>
  <c r="H5" i="6"/>
  <c r="F5" i="6"/>
  <c r="H4" i="6"/>
  <c r="D4" i="6"/>
  <c r="F4" i="6"/>
  <c r="G4" i="6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C5" i="6"/>
  <c r="D5" i="6"/>
  <c r="E5" i="6"/>
  <c r="C4" i="6"/>
  <c r="E4" i="6"/>
  <c r="F3" i="11"/>
  <c r="C3" i="11"/>
  <c r="E3" i="11"/>
  <c r="D3" i="6"/>
  <c r="H3" i="6"/>
  <c r="N80" i="2"/>
  <c r="M80" i="2" l="1"/>
  <c r="O80" i="2" s="1"/>
  <c r="P80" i="2" s="1"/>
  <c r="Q80" i="2" s="1"/>
  <c r="J3" i="11"/>
  <c r="J32" i="5"/>
  <c r="J31" i="5"/>
  <c r="J3" i="6"/>
  <c r="A3" i="11"/>
  <c r="A4" i="6"/>
  <c r="A5" i="6"/>
  <c r="A30" i="5"/>
  <c r="A32" i="5"/>
  <c r="J30" i="5"/>
  <c r="J29" i="5"/>
  <c r="J5" i="6"/>
  <c r="J4" i="6"/>
  <c r="A3" i="6"/>
  <c r="A29" i="5"/>
  <c r="A31" i="5"/>
  <c r="I3" i="6"/>
  <c r="I4" i="6"/>
  <c r="I31" i="5"/>
  <c r="I32" i="5"/>
  <c r="J80" i="2"/>
  <c r="A2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5" i="6"/>
  <c r="K5" i="6" s="1"/>
  <c r="L5" i="6" s="1"/>
  <c r="M5" i="6" s="1"/>
  <c r="I2" i="2"/>
  <c r="H2" i="2"/>
  <c r="A246" i="1"/>
  <c r="B2" i="2"/>
  <c r="J2" i="2"/>
  <c r="F2" i="2"/>
  <c r="A78" i="2" l="1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A247" i="1"/>
  <c r="D247" i="1"/>
  <c r="J77" i="2"/>
  <c r="J79" i="2"/>
  <c r="J92" i="2"/>
  <c r="J86" i="2"/>
  <c r="AG247" i="1"/>
  <c r="AG246" i="1"/>
  <c r="J91" i="2"/>
  <c r="J83" i="2"/>
  <c r="J87" i="2"/>
  <c r="J89" i="2"/>
  <c r="D246" i="1"/>
  <c r="J88" i="2"/>
  <c r="J81" i="2"/>
  <c r="J93" i="2"/>
  <c r="J78" i="2"/>
  <c r="J84" i="2"/>
  <c r="A248" i="1"/>
  <c r="A249" i="1"/>
  <c r="J90" i="2"/>
  <c r="J85" i="2"/>
  <c r="J82" i="2"/>
  <c r="AG249" i="1"/>
  <c r="D248" i="1"/>
  <c r="AG248" i="1"/>
  <c r="AH249" i="1" l="1"/>
  <c r="AH248" i="1"/>
  <c r="AI247" i="1"/>
  <c r="AI248" i="1" s="1"/>
  <c r="AI249" i="1" s="1"/>
  <c r="AH247" i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A250" i="1"/>
  <c r="J73" i="2"/>
  <c r="J71" i="2"/>
  <c r="AF248" i="1"/>
  <c r="J75" i="2"/>
  <c r="D249" i="1"/>
  <c r="AF246" i="1"/>
  <c r="J76" i="2"/>
  <c r="AF247" i="1"/>
  <c r="J69" i="2"/>
  <c r="J74" i="2"/>
  <c r="J70" i="2"/>
  <c r="A251" i="1"/>
  <c r="AG251" i="1"/>
  <c r="D251" i="1"/>
  <c r="A252" i="1"/>
  <c r="A253" i="1"/>
  <c r="AG253" i="1"/>
  <c r="D253" i="1"/>
  <c r="A254" i="1"/>
  <c r="D254" i="1"/>
  <c r="AG254" i="1"/>
  <c r="A255" i="1"/>
  <c r="AH252" i="1" l="1"/>
  <c r="AH250" i="1"/>
  <c r="B250" i="1" s="1"/>
  <c r="C250" i="1" s="1"/>
  <c r="AH254" i="1"/>
  <c r="B254" i="1" s="1"/>
  <c r="C254" i="1" s="1"/>
  <c r="AI254" i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AF253" i="1"/>
  <c r="AF251" i="1"/>
  <c r="AF254" i="1"/>
  <c r="A256" i="1"/>
  <c r="AG256" i="1" s="1"/>
  <c r="J72" i="2"/>
  <c r="AF249" i="1"/>
  <c r="A257" i="1"/>
  <c r="A258" i="1" s="1"/>
  <c r="D257" i="1"/>
  <c r="AH258" i="1" l="1"/>
  <c r="AH257" i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D256" i="1"/>
  <c r="AG257" i="1"/>
  <c r="AF257" i="1"/>
  <c r="A259" i="1"/>
  <c r="D259" i="1"/>
  <c r="A260" i="1"/>
  <c r="AG260" i="1" s="1"/>
  <c r="AI257" i="1" l="1"/>
  <c r="AI260" i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AG259" i="1"/>
  <c r="D260" i="1"/>
  <c r="A261" i="1"/>
  <c r="AF256" i="1"/>
  <c r="AG261" i="1"/>
  <c r="AF259" i="1"/>
  <c r="D261" i="1"/>
  <c r="A262" i="1"/>
  <c r="D262" i="1" s="1"/>
  <c r="AI261" i="1" l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AF260" i="1"/>
  <c r="AG262" i="1"/>
  <c r="AF262" i="1"/>
  <c r="A263" i="1"/>
  <c r="AF261" i="1"/>
  <c r="AI262" i="1" l="1"/>
  <c r="AH263" i="1"/>
  <c r="A264" i="1"/>
  <c r="AG264" i="1"/>
  <c r="D264" i="1"/>
  <c r="A265" i="1"/>
  <c r="A266" i="1"/>
  <c r="D266" i="1"/>
  <c r="D265" i="1"/>
  <c r="AG265" i="1"/>
  <c r="AG266" i="1"/>
  <c r="AI265" i="1" l="1"/>
  <c r="AI266" i="1" s="1"/>
  <c r="AH266" i="1"/>
  <c r="B266" i="1" s="1"/>
  <c r="C266" i="1" s="1"/>
  <c r="AH265" i="1"/>
  <c r="A267" i="1"/>
  <c r="AF264" i="1"/>
  <c r="A268" i="1"/>
  <c r="D268" i="1"/>
  <c r="D267" i="1"/>
  <c r="AF265" i="1"/>
  <c r="AG267" i="1"/>
  <c r="AF266" i="1"/>
  <c r="AG268" i="1"/>
  <c r="AH267" i="1" l="1"/>
  <c r="AI267" i="1"/>
  <c r="AI268" i="1" s="1"/>
  <c r="AH268" i="1"/>
  <c r="B268" i="1" s="1"/>
  <c r="C268" i="1" s="1"/>
  <c r="AF267" i="1"/>
  <c r="A269" i="1"/>
  <c r="AF268" i="1"/>
  <c r="D269" i="1"/>
  <c r="AG269" i="1"/>
  <c r="A270" i="1"/>
  <c r="AH269" i="1" l="1"/>
  <c r="AI269" i="1"/>
  <c r="AH270" i="1"/>
  <c r="B270" i="1" s="1"/>
  <c r="C270" i="1" s="1"/>
  <c r="A271" i="1"/>
  <c r="A272" i="1"/>
  <c r="AG271" i="1"/>
  <c r="D272" i="1"/>
  <c r="AF269" i="1"/>
  <c r="D271" i="1"/>
  <c r="A273" i="1"/>
  <c r="AG272" i="1"/>
  <c r="AH273" i="1" l="1"/>
  <c r="AI272" i="1"/>
  <c r="AH272" i="1"/>
  <c r="B272" i="1" s="1"/>
  <c r="C272" i="1" s="1"/>
  <c r="B869" i="1"/>
  <c r="C869" i="1" s="1"/>
  <c r="B811" i="1"/>
  <c r="C811" i="1" s="1"/>
  <c r="B808" i="1"/>
  <c r="C808" i="1" s="1"/>
  <c r="B806" i="1"/>
  <c r="C806" i="1" s="1"/>
  <c r="B800" i="1"/>
  <c r="C800" i="1" s="1"/>
  <c r="B790" i="1"/>
  <c r="C790" i="1" s="1"/>
  <c r="B783" i="1"/>
  <c r="C783" i="1" s="1"/>
  <c r="B759" i="1"/>
  <c r="C759" i="1" s="1"/>
  <c r="B753" i="1"/>
  <c r="C753" i="1" s="1"/>
  <c r="B740" i="1"/>
  <c r="C740" i="1" s="1"/>
  <c r="B728" i="1"/>
  <c r="C728" i="1" s="1"/>
  <c r="B694" i="1"/>
  <c r="C694" i="1" s="1"/>
  <c r="B687" i="1"/>
  <c r="C687" i="1" s="1"/>
  <c r="B684" i="1"/>
  <c r="C684" i="1" s="1"/>
  <c r="B682" i="1"/>
  <c r="C682" i="1" s="1"/>
  <c r="B678" i="1"/>
  <c r="C678" i="1" s="1"/>
  <c r="B674" i="1"/>
  <c r="C674" i="1" s="1"/>
  <c r="B667" i="1"/>
  <c r="C667" i="1" s="1"/>
  <c r="B357" i="1"/>
  <c r="C357" i="1" s="1"/>
  <c r="B354" i="1"/>
  <c r="C354" i="1" s="1"/>
  <c r="B352" i="1"/>
  <c r="C352" i="1" s="1"/>
  <c r="B350" i="1"/>
  <c r="C350" i="1" s="1"/>
  <c r="B345" i="1"/>
  <c r="C345" i="1" s="1"/>
  <c r="B330" i="1"/>
  <c r="C330" i="1" s="1"/>
  <c r="B650" i="1"/>
  <c r="C650" i="1" s="1"/>
  <c r="B636" i="1"/>
  <c r="C636" i="1" s="1"/>
  <c r="B630" i="1"/>
  <c r="C630" i="1" s="1"/>
  <c r="B626" i="1"/>
  <c r="C626" i="1" s="1"/>
  <c r="B606" i="1"/>
  <c r="C606" i="1" s="1"/>
  <c r="D273" i="1"/>
  <c r="A274" i="1"/>
  <c r="AF271" i="1"/>
  <c r="AG274" i="1"/>
  <c r="AG273" i="1"/>
  <c r="D274" i="1"/>
  <c r="AF272" i="1"/>
  <c r="A275" i="1"/>
  <c r="AI273" i="1" l="1"/>
  <c r="AI274" i="1" s="1"/>
  <c r="AH275" i="1"/>
  <c r="B275" i="1" s="1"/>
  <c r="C275" i="1" s="1"/>
  <c r="AH274" i="1"/>
  <c r="B601" i="1"/>
  <c r="C601" i="1" s="1"/>
  <c r="B591" i="1"/>
  <c r="C591" i="1" s="1"/>
  <c r="B589" i="1"/>
  <c r="C589" i="1" s="1"/>
  <c r="AG275" i="1"/>
  <c r="A276" i="1"/>
  <c r="D275" i="1"/>
  <c r="AG276" i="1"/>
  <c r="AF274" i="1"/>
  <c r="D276" i="1"/>
  <c r="AF273" i="1"/>
  <c r="A277" i="1"/>
  <c r="AI275" i="1" l="1"/>
  <c r="AI276" i="1" s="1"/>
  <c r="AH277" i="1"/>
  <c r="AH276" i="1"/>
  <c r="AF276" i="1"/>
  <c r="AF275" i="1"/>
  <c r="D277" i="1"/>
  <c r="A278" i="1"/>
  <c r="D278" i="1" s="1"/>
  <c r="AG277" i="1"/>
  <c r="AI277" i="1" l="1"/>
  <c r="AH278" i="1"/>
  <c r="AG278" i="1"/>
  <c r="AF278" i="1"/>
  <c r="A279" i="1"/>
  <c r="D279" i="1" s="1"/>
  <c r="AF277" i="1"/>
  <c r="AI278" i="1" l="1"/>
  <c r="AH279" i="1"/>
  <c r="B279" i="1" s="1"/>
  <c r="C279" i="1" s="1"/>
  <c r="AF279" i="1"/>
  <c r="A280" i="1"/>
  <c r="AG279" i="1"/>
  <c r="A281" i="1"/>
  <c r="D281" i="1"/>
  <c r="AG281" i="1"/>
  <c r="A282" i="1"/>
  <c r="D282" i="1"/>
  <c r="AG282" i="1"/>
  <c r="A283" i="1"/>
  <c r="AI279" i="1" l="1"/>
  <c r="AH283" i="1"/>
  <c r="B283" i="1" s="1"/>
  <c r="C283" i="1" s="1"/>
  <c r="AI282" i="1"/>
  <c r="AH282" i="1"/>
  <c r="AH280" i="1"/>
  <c r="AF282" i="1"/>
  <c r="A284" i="1"/>
  <c r="AG284" i="1"/>
  <c r="AF281" i="1"/>
  <c r="A285" i="1"/>
  <c r="D284" i="1"/>
  <c r="D285" i="1"/>
  <c r="A286" i="1"/>
  <c r="AG285" i="1"/>
  <c r="D286" i="1"/>
  <c r="AG286" i="1"/>
  <c r="AH286" i="1" l="1"/>
  <c r="AH285" i="1"/>
  <c r="B285" i="1" s="1"/>
  <c r="C285" i="1" s="1"/>
  <c r="AI285" i="1"/>
  <c r="AI286" i="1" s="1"/>
  <c r="AF284" i="1"/>
  <c r="A287" i="1"/>
  <c r="A288" i="1" s="1"/>
  <c r="AF285" i="1"/>
  <c r="AG288" i="1"/>
  <c r="AG287" i="1"/>
  <c r="AF286" i="1"/>
  <c r="D287" i="1"/>
  <c r="D288" i="1"/>
  <c r="AH288" i="1" l="1"/>
  <c r="AH287" i="1"/>
  <c r="AI287" i="1"/>
  <c r="AI288" i="1" s="1"/>
  <c r="A289" i="1"/>
  <c r="AF287" i="1"/>
  <c r="AG289" i="1"/>
  <c r="AF288" i="1"/>
  <c r="A290" i="1"/>
  <c r="A291" i="1"/>
  <c r="A292" i="1" s="1"/>
  <c r="D292" i="1"/>
  <c r="AG291" i="1"/>
  <c r="D289" i="1"/>
  <c r="D291" i="1"/>
  <c r="AG292" i="1"/>
  <c r="AI292" i="1" l="1"/>
  <c r="AH292" i="1"/>
  <c r="AH290" i="1"/>
  <c r="AH289" i="1"/>
  <c r="AI289" i="1"/>
  <c r="A293" i="1"/>
  <c r="AF292" i="1"/>
  <c r="AF289" i="1"/>
  <c r="AF291" i="1"/>
  <c r="D293" i="1"/>
  <c r="AG293" i="1"/>
  <c r="AH293" i="1" l="1"/>
  <c r="AI293" i="1"/>
  <c r="AF293" i="1"/>
  <c r="A294" i="1"/>
  <c r="AG294" i="1"/>
  <c r="D294" i="1"/>
  <c r="A295" i="1"/>
  <c r="AG295" i="1"/>
  <c r="D295" i="1"/>
  <c r="A296" i="1"/>
  <c r="D296" i="1"/>
  <c r="AG296" i="1"/>
  <c r="A297" i="1"/>
  <c r="D297" i="1"/>
  <c r="AG297" i="1"/>
  <c r="A298" i="1"/>
  <c r="A299" i="1"/>
  <c r="AG299" i="1"/>
  <c r="A300" i="1"/>
  <c r="AH297" i="1" l="1"/>
  <c r="B297" i="1" s="1"/>
  <c r="C297" i="1" s="1"/>
  <c r="AH296" i="1"/>
  <c r="AH295" i="1"/>
  <c r="AH294" i="1"/>
  <c r="B294" i="1" s="1"/>
  <c r="C294" i="1" s="1"/>
  <c r="AI294" i="1"/>
  <c r="AI295" i="1" s="1"/>
  <c r="AI296" i="1" s="1"/>
  <c r="AI297" i="1" s="1"/>
  <c r="AH298" i="1"/>
  <c r="B298" i="1" s="1"/>
  <c r="C298" i="1" s="1"/>
  <c r="AH300" i="1"/>
  <c r="B300" i="1" s="1"/>
  <c r="C300" i="1" s="1"/>
  <c r="D299" i="1"/>
  <c r="AF296" i="1"/>
  <c r="AF295" i="1"/>
  <c r="AG300" i="1"/>
  <c r="AF294" i="1"/>
  <c r="D300" i="1"/>
  <c r="A301" i="1"/>
  <c r="D301" i="1" s="1"/>
  <c r="A302" i="1"/>
  <c r="D302" i="1"/>
  <c r="AF297" i="1"/>
  <c r="AG301" i="1"/>
  <c r="AI300" i="1" l="1"/>
  <c r="AI301" i="1" s="1"/>
  <c r="AH302" i="1"/>
  <c r="AH301" i="1"/>
  <c r="AF299" i="1"/>
  <c r="AG302" i="1"/>
  <c r="AF300" i="1"/>
  <c r="AF302" i="1"/>
  <c r="A303" i="1"/>
  <c r="AF301" i="1"/>
  <c r="D303" i="1"/>
  <c r="A304" i="1"/>
  <c r="AG303" i="1"/>
  <c r="AI302" i="1" l="1"/>
  <c r="AI303" i="1" s="1"/>
  <c r="AH304" i="1"/>
  <c r="AH303" i="1"/>
  <c r="AF303" i="1"/>
  <c r="A305" i="1"/>
  <c r="AG305" i="1"/>
  <c r="D304" i="1"/>
  <c r="AG304" i="1"/>
  <c r="D305" i="1"/>
  <c r="AI304" i="1" l="1"/>
  <c r="AI305" i="1" s="1"/>
  <c r="AH305" i="1"/>
  <c r="A306" i="1"/>
  <c r="D306" i="1"/>
  <c r="AG306" i="1"/>
  <c r="A307" i="1"/>
  <c r="AF305" i="1"/>
  <c r="AF304" i="1"/>
  <c r="D307" i="1"/>
  <c r="AH306" i="1" l="1"/>
  <c r="AI306" i="1"/>
  <c r="AH307" i="1"/>
  <c r="B307" i="1" s="1"/>
  <c r="C307" i="1" s="1"/>
  <c r="AF307" i="1"/>
  <c r="A308" i="1"/>
  <c r="AG307" i="1"/>
  <c r="AF306" i="1"/>
  <c r="AI307" i="1" l="1"/>
  <c r="AH308" i="1"/>
  <c r="AG308" i="1"/>
  <c r="A309" i="1"/>
  <c r="D309" i="1"/>
  <c r="AG309" i="1"/>
  <c r="D308" i="1"/>
  <c r="A310" i="1"/>
  <c r="AI308" i="1" l="1"/>
  <c r="AI309" i="1" s="1"/>
  <c r="AH310" i="1"/>
  <c r="B310" i="1" s="1"/>
  <c r="C310" i="1" s="1"/>
  <c r="AH309" i="1"/>
  <c r="A311" i="1"/>
  <c r="AG311" i="1"/>
  <c r="D311" i="1"/>
  <c r="AF309" i="1"/>
  <c r="AF308" i="1"/>
  <c r="A312" i="1"/>
  <c r="A313" i="1"/>
  <c r="AG313" i="1" s="1"/>
  <c r="D313" i="1"/>
  <c r="AH312" i="1" l="1"/>
  <c r="AF311" i="1"/>
  <c r="AF313" i="1"/>
  <c r="A314" i="1"/>
  <c r="D314" i="1"/>
  <c r="A315" i="1"/>
  <c r="AH315" i="1" l="1"/>
  <c r="AH314" i="1"/>
  <c r="AG314" i="1"/>
  <c r="A316" i="1"/>
  <c r="AF314" i="1"/>
  <c r="A317" i="1"/>
  <c r="AG316" i="1"/>
  <c r="AI314" i="1" l="1"/>
  <c r="AH317" i="1"/>
  <c r="D316" i="1"/>
  <c r="A318" i="1"/>
  <c r="A319" i="1" s="1"/>
  <c r="D318" i="1"/>
  <c r="AH319" i="1" l="1"/>
  <c r="A320" i="1"/>
  <c r="D320" i="1"/>
  <c r="AF318" i="1"/>
  <c r="AG318" i="1"/>
  <c r="A321" i="1"/>
  <c r="AF316" i="1"/>
  <c r="AH321" i="1" l="1"/>
  <c r="A322" i="1"/>
  <c r="AG322" i="1"/>
  <c r="AF320" i="1"/>
  <c r="AG320" i="1"/>
  <c r="A323" i="1"/>
  <c r="D322" i="1"/>
  <c r="AH323" i="1" l="1"/>
  <c r="A67" i="2"/>
  <c r="A68" i="2"/>
  <c r="AF322" i="1"/>
  <c r="A324" i="1"/>
  <c r="A325" i="1" s="1"/>
  <c r="D324" i="1"/>
  <c r="AH325" i="1" l="1"/>
  <c r="R68" i="2"/>
  <c r="G68" i="2"/>
  <c r="G67" i="2"/>
  <c r="R67" i="2"/>
  <c r="B68" i="2"/>
  <c r="I68" i="2"/>
  <c r="I67" i="2"/>
  <c r="B67" i="2"/>
  <c r="H67" i="2"/>
  <c r="H68" i="2"/>
  <c r="F68" i="2"/>
  <c r="C68" i="2"/>
  <c r="C67" i="2"/>
  <c r="F67" i="2"/>
  <c r="AF324" i="1"/>
  <c r="AG324" i="1"/>
  <c r="E67" i="2" l="1"/>
  <c r="L67" i="2"/>
  <c r="K67" i="2"/>
  <c r="E68" i="2"/>
  <c r="L68" i="2"/>
  <c r="K68" i="2"/>
  <c r="N68" i="2"/>
  <c r="N67" i="2"/>
  <c r="J68" i="2"/>
  <c r="J67" i="2"/>
  <c r="M68" i="2" l="1"/>
  <c r="O68" i="2" s="1"/>
  <c r="P68" i="2" s="1"/>
  <c r="Q68" i="2" s="1"/>
  <c r="M67" i="2"/>
  <c r="O67" i="2" s="1"/>
  <c r="P67" i="2" s="1"/>
  <c r="Q67" i="2" s="1"/>
  <c r="AI360" i="1" l="1"/>
  <c r="AI349" i="1"/>
  <c r="AI340" i="1"/>
  <c r="AI331" i="1"/>
  <c r="AI326" i="1"/>
  <c r="B34" i="4" l="1"/>
  <c r="B33" i="4"/>
  <c r="B35" i="4"/>
  <c r="B36" i="4"/>
  <c r="B38" i="4"/>
  <c r="B37" i="4"/>
  <c r="B42" i="4"/>
  <c r="B44" i="4"/>
  <c r="B45" i="4"/>
  <c r="B46" i="4"/>
  <c r="B47" i="4"/>
  <c r="B48" i="4" s="1"/>
  <c r="B49" i="4" s="1"/>
  <c r="B50" i="4" s="1"/>
  <c r="D50" i="4" s="1"/>
  <c r="B51" i="4"/>
  <c r="B52" i="4" s="1"/>
  <c r="B39" i="4" s="1"/>
  <c r="B40" i="4" s="1"/>
  <c r="B41" i="4" s="1"/>
  <c r="B43" i="4" s="1"/>
  <c r="AI363" i="1" l="1"/>
  <c r="G50" i="4"/>
  <c r="C50" i="4"/>
  <c r="A50" i="4" s="1"/>
  <c r="H50" i="4"/>
  <c r="E50" i="4"/>
  <c r="F50" i="4"/>
  <c r="I46" i="4"/>
  <c r="G46" i="4"/>
  <c r="C46" i="4"/>
  <c r="F46" i="4"/>
  <c r="I45" i="4"/>
  <c r="C45" i="4"/>
  <c r="E45" i="4"/>
  <c r="D45" i="4"/>
  <c r="G44" i="4"/>
  <c r="E44" i="4"/>
  <c r="H44" i="4"/>
  <c r="D44" i="4"/>
  <c r="I42" i="4"/>
  <c r="C42" i="4"/>
  <c r="G42" i="4"/>
  <c r="F42" i="4"/>
  <c r="I37" i="4"/>
  <c r="C37" i="4"/>
  <c r="F37" i="4"/>
  <c r="H37" i="4"/>
  <c r="G38" i="4"/>
  <c r="I38" i="4"/>
  <c r="H38" i="4"/>
  <c r="D38" i="4"/>
  <c r="G36" i="4"/>
  <c r="I36" i="4"/>
  <c r="C36" i="4"/>
  <c r="J36" i="4"/>
  <c r="I35" i="4"/>
  <c r="J35" i="4"/>
  <c r="D35" i="4"/>
  <c r="F35" i="4"/>
  <c r="I33" i="4"/>
  <c r="H33" i="4"/>
  <c r="J33" i="4"/>
  <c r="F33" i="4"/>
  <c r="G34" i="4"/>
  <c r="I34" i="4"/>
  <c r="F34" i="4"/>
  <c r="D34" i="4"/>
  <c r="J50" i="4"/>
  <c r="D46" i="4"/>
  <c r="J46" i="4"/>
  <c r="H46" i="4"/>
  <c r="E46" i="4"/>
  <c r="G45" i="4"/>
  <c r="F45" i="4"/>
  <c r="H45" i="4"/>
  <c r="J45" i="4"/>
  <c r="F44" i="4"/>
  <c r="I44" i="4"/>
  <c r="J44" i="4"/>
  <c r="C44" i="4"/>
  <c r="H42" i="4"/>
  <c r="J42" i="4"/>
  <c r="D42" i="4"/>
  <c r="E42" i="4"/>
  <c r="D37" i="4"/>
  <c r="G37" i="4"/>
  <c r="E37" i="4"/>
  <c r="J37" i="4"/>
  <c r="J38" i="4"/>
  <c r="E38" i="4"/>
  <c r="F38" i="4"/>
  <c r="C38" i="4"/>
  <c r="F36" i="4"/>
  <c r="D36" i="4"/>
  <c r="E36" i="4"/>
  <c r="H36" i="4"/>
  <c r="G35" i="4"/>
  <c r="C35" i="4"/>
  <c r="H35" i="4"/>
  <c r="E35" i="4"/>
  <c r="G33" i="4"/>
  <c r="D33" i="4"/>
  <c r="C33" i="4"/>
  <c r="E33" i="4"/>
  <c r="E34" i="4"/>
  <c r="H34" i="4"/>
  <c r="J34" i="4"/>
  <c r="C34" i="4"/>
  <c r="I50" i="4"/>
  <c r="G41" i="4"/>
  <c r="F41" i="4"/>
  <c r="I41" i="4"/>
  <c r="C41" i="4"/>
  <c r="F43" i="4"/>
  <c r="H43" i="4"/>
  <c r="D43" i="4"/>
  <c r="E43" i="4"/>
  <c r="H52" i="4"/>
  <c r="J52" i="4"/>
  <c r="E52" i="4"/>
  <c r="D52" i="4"/>
  <c r="C39" i="4"/>
  <c r="H39" i="4"/>
  <c r="E39" i="4"/>
  <c r="F39" i="4"/>
  <c r="E40" i="4"/>
  <c r="J40" i="4"/>
  <c r="F40" i="4"/>
  <c r="H40" i="4"/>
  <c r="G51" i="4"/>
  <c r="I51" i="4"/>
  <c r="C51" i="4"/>
  <c r="J51" i="4"/>
  <c r="I47" i="4"/>
  <c r="G47" i="4"/>
  <c r="J47" i="4"/>
  <c r="F47" i="4"/>
  <c r="C49" i="4"/>
  <c r="H49" i="4"/>
  <c r="G49" i="4"/>
  <c r="E49" i="4"/>
  <c r="E48" i="4"/>
  <c r="C48" i="4"/>
  <c r="G48" i="4"/>
  <c r="J48" i="4"/>
  <c r="J41" i="4"/>
  <c r="E41" i="4"/>
  <c r="D41" i="4"/>
  <c r="H41" i="4"/>
  <c r="J43" i="4"/>
  <c r="G43" i="4"/>
  <c r="C43" i="4"/>
  <c r="I43" i="4"/>
  <c r="G52" i="4"/>
  <c r="C52" i="4"/>
  <c r="F52" i="4"/>
  <c r="I52" i="4"/>
  <c r="G39" i="4"/>
  <c r="I39" i="4"/>
  <c r="D39" i="4"/>
  <c r="J39" i="4"/>
  <c r="I40" i="4"/>
  <c r="G40" i="4"/>
  <c r="C40" i="4"/>
  <c r="D40" i="4"/>
  <c r="F51" i="4"/>
  <c r="H51" i="4"/>
  <c r="D51" i="4"/>
  <c r="E51" i="4"/>
  <c r="D47" i="4"/>
  <c r="H47" i="4"/>
  <c r="E47" i="4"/>
  <c r="C47" i="4"/>
  <c r="F49" i="4"/>
  <c r="D49" i="4"/>
  <c r="I49" i="4"/>
  <c r="J49" i="4"/>
  <c r="I48" i="4"/>
  <c r="F48" i="4"/>
  <c r="D48" i="4"/>
  <c r="H48" i="4"/>
  <c r="B3" i="4"/>
  <c r="K50" i="4" l="1"/>
  <c r="L50" i="4" s="1"/>
  <c r="M50" i="4" s="1"/>
  <c r="A34" i="4"/>
  <c r="A33" i="4"/>
  <c r="A35" i="4"/>
  <c r="A38" i="4"/>
  <c r="K37" i="4"/>
  <c r="L37" i="4" s="1"/>
  <c r="M37" i="4" s="1"/>
  <c r="K42" i="4"/>
  <c r="L42" i="4" s="1"/>
  <c r="M42" i="4" s="1"/>
  <c r="A44" i="4"/>
  <c r="K44" i="4"/>
  <c r="L44" i="4" s="1"/>
  <c r="M44" i="4" s="1"/>
  <c r="K45" i="4"/>
  <c r="L45" i="4" s="1"/>
  <c r="M45" i="4" s="1"/>
  <c r="K46" i="4"/>
  <c r="L46" i="4" s="1"/>
  <c r="M46" i="4" s="1"/>
  <c r="K34" i="4"/>
  <c r="L34" i="4" s="1"/>
  <c r="M34" i="4" s="1"/>
  <c r="K33" i="4"/>
  <c r="L33" i="4" s="1"/>
  <c r="M33" i="4" s="1"/>
  <c r="K35" i="4"/>
  <c r="L35" i="4" s="1"/>
  <c r="M35" i="4" s="1"/>
  <c r="A36" i="4"/>
  <c r="K36" i="4"/>
  <c r="L36" i="4" s="1"/>
  <c r="M36" i="4" s="1"/>
  <c r="K38" i="4"/>
  <c r="L38" i="4" s="1"/>
  <c r="M38" i="4" s="1"/>
  <c r="A37" i="4"/>
  <c r="A42" i="4"/>
  <c r="A45" i="4"/>
  <c r="A46" i="4"/>
  <c r="K48" i="4"/>
  <c r="L48" i="4" s="1"/>
  <c r="M48" i="4" s="1"/>
  <c r="K49" i="4"/>
  <c r="L49" i="4" s="1"/>
  <c r="M49" i="4" s="1"/>
  <c r="A47" i="4"/>
  <c r="A40" i="4"/>
  <c r="K40" i="4"/>
  <c r="L40" i="4" s="1"/>
  <c r="M40" i="4" s="1"/>
  <c r="K39" i="4"/>
  <c r="L39" i="4" s="1"/>
  <c r="M39" i="4" s="1"/>
  <c r="K52" i="4"/>
  <c r="L52" i="4" s="1"/>
  <c r="M52" i="4" s="1"/>
  <c r="A52" i="4"/>
  <c r="K43" i="4"/>
  <c r="L43" i="4" s="1"/>
  <c r="M43" i="4" s="1"/>
  <c r="A43" i="4"/>
  <c r="A48" i="4"/>
  <c r="A49" i="4"/>
  <c r="K47" i="4"/>
  <c r="L47" i="4" s="1"/>
  <c r="M47" i="4" s="1"/>
  <c r="A51" i="4"/>
  <c r="K51" i="4"/>
  <c r="L51" i="4" s="1"/>
  <c r="M51" i="4" s="1"/>
  <c r="A39" i="4"/>
  <c r="A41" i="4"/>
  <c r="K41" i="4"/>
  <c r="L41" i="4" s="1"/>
  <c r="M41" i="4" s="1"/>
  <c r="G3" i="4"/>
  <c r="E3" i="4"/>
  <c r="H3" i="4"/>
  <c r="C3" i="4"/>
  <c r="F3" i="4"/>
  <c r="D3" i="4"/>
  <c r="A3" i="4" l="1"/>
  <c r="D82" i="2" l="1"/>
  <c r="D85" i="2"/>
  <c r="D73" i="2"/>
  <c r="D88" i="2"/>
  <c r="D79" i="2"/>
  <c r="D90" i="2"/>
  <c r="D74" i="2"/>
  <c r="D92" i="2"/>
  <c r="D78" i="2"/>
  <c r="D87" i="2"/>
  <c r="D68" i="2"/>
  <c r="D83" i="2"/>
  <c r="D67" i="2"/>
  <c r="D2" i="2"/>
  <c r="D80" i="2"/>
  <c r="D70" i="2"/>
  <c r="D77" i="2"/>
  <c r="D93" i="2"/>
  <c r="D89" i="2"/>
  <c r="D71" i="2"/>
  <c r="D69" i="2"/>
  <c r="D84" i="2"/>
  <c r="D72" i="2"/>
  <c r="D81" i="2"/>
  <c r="D86" i="2"/>
  <c r="D75" i="2"/>
  <c r="D91" i="2"/>
  <c r="D76" i="2"/>
  <c r="A326" i="1" l="1"/>
  <c r="A327" i="1"/>
  <c r="AG327" i="1"/>
  <c r="D327" i="1"/>
  <c r="D326" i="1"/>
  <c r="AG326" i="1"/>
  <c r="A328" i="1"/>
  <c r="D328" i="1"/>
  <c r="A329" i="1"/>
  <c r="AG329" i="1"/>
  <c r="D329" i="1"/>
  <c r="AG328" i="1"/>
  <c r="A330" i="1"/>
  <c r="A331" i="1"/>
  <c r="AG331" i="1"/>
  <c r="D331" i="1"/>
  <c r="A332" i="1"/>
  <c r="AG332" i="1"/>
  <c r="D332" i="1"/>
  <c r="A333" i="1"/>
  <c r="D333" i="1"/>
  <c r="AG333" i="1"/>
  <c r="A334" i="1"/>
  <c r="AG334" i="1"/>
  <c r="D334" i="1"/>
  <c r="A335" i="1"/>
  <c r="D335" i="1"/>
  <c r="AG335" i="1"/>
  <c r="A336" i="1"/>
  <c r="AG336" i="1"/>
  <c r="D336" i="1"/>
  <c r="A337" i="1"/>
  <c r="D337" i="1"/>
  <c r="AG337" i="1"/>
  <c r="A338" i="1"/>
  <c r="AG338" i="1"/>
  <c r="D338" i="1"/>
  <c r="A339" i="1"/>
  <c r="A340" i="1"/>
  <c r="D340" i="1"/>
  <c r="AG340" i="1"/>
  <c r="A341" i="1"/>
  <c r="AG341" i="1"/>
  <c r="D341" i="1"/>
  <c r="A342" i="1"/>
  <c r="AG342" i="1"/>
  <c r="D342" i="1"/>
  <c r="A343" i="1"/>
  <c r="D343" i="1"/>
  <c r="AG343" i="1"/>
  <c r="A344" i="1"/>
  <c r="D344" i="1"/>
  <c r="AG344" i="1"/>
  <c r="A345" i="1"/>
  <c r="AG345" i="1"/>
  <c r="D345" i="1"/>
  <c r="A346" i="1"/>
  <c r="D346" i="1"/>
  <c r="AG346" i="1"/>
  <c r="A347" i="1"/>
  <c r="AG347" i="1"/>
  <c r="D347" i="1"/>
  <c r="A348" i="1"/>
  <c r="A349" i="1"/>
  <c r="AG349" i="1"/>
  <c r="D349" i="1"/>
  <c r="A350" i="1"/>
  <c r="D350" i="1"/>
  <c r="AG350" i="1"/>
  <c r="A351" i="1"/>
  <c r="AG351" i="1"/>
  <c r="D351" i="1"/>
  <c r="A352" i="1"/>
  <c r="D352" i="1"/>
  <c r="AG352" i="1"/>
  <c r="A353" i="1"/>
  <c r="AG353" i="1"/>
  <c r="D353" i="1"/>
  <c r="A354" i="1"/>
  <c r="AG354" i="1"/>
  <c r="D354" i="1"/>
  <c r="A355" i="1"/>
  <c r="AG355" i="1"/>
  <c r="D355" i="1"/>
  <c r="A356" i="1"/>
  <c r="D356" i="1"/>
  <c r="AG356" i="1"/>
  <c r="A357" i="1"/>
  <c r="D357" i="1"/>
  <c r="AG357" i="1"/>
  <c r="A358" i="1"/>
  <c r="AG358" i="1"/>
  <c r="D358" i="1"/>
  <c r="A359" i="1"/>
  <c r="A360" i="1"/>
  <c r="D360" i="1"/>
  <c r="AG360" i="1"/>
  <c r="A361" i="1"/>
  <c r="AG361" i="1"/>
  <c r="D361" i="1"/>
  <c r="A362" i="1"/>
  <c r="A363" i="1"/>
  <c r="D363" i="1"/>
  <c r="AG363" i="1"/>
  <c r="A364" i="1"/>
  <c r="A365" i="1"/>
  <c r="AG365" i="1"/>
  <c r="D365" i="1"/>
  <c r="A366" i="1"/>
  <c r="AG366" i="1"/>
  <c r="D366" i="1"/>
  <c r="A367" i="1"/>
  <c r="D367" i="1"/>
  <c r="AG367" i="1"/>
  <c r="A368" i="1"/>
  <c r="D368" i="1"/>
  <c r="AG368" i="1"/>
  <c r="A369" i="1"/>
  <c r="D369" i="1"/>
  <c r="AG369" i="1"/>
  <c r="A370" i="1"/>
  <c r="A371" i="1"/>
  <c r="AG371" i="1"/>
  <c r="D371" i="1"/>
  <c r="A372" i="1"/>
  <c r="AG372" i="1"/>
  <c r="D372" i="1"/>
  <c r="A373" i="1"/>
  <c r="D373" i="1"/>
  <c r="AG373" i="1"/>
  <c r="A374" i="1"/>
  <c r="AG374" i="1"/>
  <c r="D374" i="1"/>
  <c r="A375" i="1"/>
  <c r="D375" i="1"/>
  <c r="AG375" i="1"/>
  <c r="A376" i="1"/>
  <c r="A377" i="1"/>
  <c r="AG377" i="1"/>
  <c r="D377" i="1"/>
  <c r="A378" i="1"/>
  <c r="D378" i="1"/>
  <c r="AG378" i="1"/>
  <c r="A379" i="1"/>
  <c r="D379" i="1"/>
  <c r="AG379" i="1"/>
  <c r="A380" i="1"/>
  <c r="D380" i="1"/>
  <c r="AG380" i="1"/>
  <c r="A381" i="1"/>
  <c r="AG381" i="1"/>
  <c r="D381" i="1"/>
  <c r="A382" i="1"/>
  <c r="D382" i="1"/>
  <c r="AG382" i="1"/>
  <c r="A383" i="1"/>
  <c r="AG383" i="1"/>
  <c r="D383" i="1"/>
  <c r="A384" i="1"/>
  <c r="D384" i="1"/>
  <c r="AG384" i="1"/>
  <c r="A385" i="1"/>
  <c r="D385" i="1"/>
  <c r="AG385" i="1"/>
  <c r="A386" i="1"/>
  <c r="D386" i="1"/>
  <c r="AG386" i="1"/>
  <c r="A387" i="1"/>
  <c r="AG387" i="1"/>
  <c r="D387" i="1"/>
  <c r="A388" i="1"/>
  <c r="A389" i="1"/>
  <c r="D389" i="1"/>
  <c r="AG389" i="1"/>
  <c r="A390" i="1"/>
  <c r="AG390" i="1"/>
  <c r="D390" i="1"/>
  <c r="A391" i="1"/>
  <c r="D391" i="1"/>
  <c r="AG391" i="1"/>
  <c r="A392" i="1"/>
  <c r="D392" i="1"/>
  <c r="AG392" i="1"/>
  <c r="A393" i="1"/>
  <c r="D393" i="1"/>
  <c r="AG393" i="1"/>
  <c r="A394" i="1"/>
  <c r="AG394" i="1"/>
  <c r="D394" i="1"/>
  <c r="A395" i="1"/>
  <c r="A396" i="1"/>
  <c r="D396" i="1"/>
  <c r="AG396" i="1"/>
  <c r="A397" i="1"/>
  <c r="AG397" i="1"/>
  <c r="D397" i="1"/>
  <c r="A398" i="1"/>
  <c r="AG398" i="1"/>
  <c r="D398" i="1"/>
  <c r="A399" i="1"/>
  <c r="D399" i="1"/>
  <c r="AG399" i="1"/>
  <c r="A400" i="1"/>
  <c r="D400" i="1"/>
  <c r="AG400" i="1"/>
  <c r="A401" i="1"/>
  <c r="AG401" i="1"/>
  <c r="D401" i="1"/>
  <c r="A402" i="1"/>
  <c r="AG402" i="1"/>
  <c r="D402" i="1"/>
  <c r="A403" i="1"/>
  <c r="AG403" i="1"/>
  <c r="D403" i="1"/>
  <c r="A404" i="1"/>
  <c r="AG404" i="1"/>
  <c r="D404" i="1"/>
  <c r="A405" i="1"/>
  <c r="AG405" i="1"/>
  <c r="D405" i="1"/>
  <c r="A406" i="1"/>
  <c r="AG406" i="1"/>
  <c r="D406" i="1"/>
  <c r="A407" i="1"/>
  <c r="A408" i="1"/>
  <c r="AG408" i="1"/>
  <c r="D408" i="1"/>
  <c r="A409" i="1"/>
  <c r="D409" i="1"/>
  <c r="AG409" i="1"/>
  <c r="A410" i="1"/>
  <c r="D410" i="1"/>
  <c r="AG410" i="1"/>
  <c r="A411" i="1"/>
  <c r="AG411" i="1"/>
  <c r="D411" i="1"/>
  <c r="A412" i="1"/>
  <c r="D412" i="1"/>
  <c r="AG412" i="1"/>
  <c r="A413" i="1"/>
  <c r="D413" i="1"/>
  <c r="AG413" i="1"/>
  <c r="A414" i="1"/>
  <c r="D414" i="1"/>
  <c r="AG414" i="1"/>
  <c r="A415" i="1"/>
  <c r="AG415" i="1"/>
  <c r="D415" i="1"/>
  <c r="A416" i="1"/>
  <c r="D416" i="1"/>
  <c r="AG416" i="1"/>
  <c r="A417" i="1"/>
  <c r="D417" i="1"/>
  <c r="AG417" i="1"/>
  <c r="A418" i="1"/>
  <c r="AG418" i="1"/>
  <c r="D418" i="1"/>
  <c r="A419" i="1"/>
  <c r="D419" i="1"/>
  <c r="AG419" i="1"/>
  <c r="A420" i="1"/>
  <c r="A421" i="1"/>
  <c r="D421" i="1"/>
  <c r="AG421" i="1"/>
  <c r="A422" i="1"/>
  <c r="AG422" i="1"/>
  <c r="D422" i="1"/>
  <c r="A423" i="1"/>
  <c r="A424" i="1"/>
  <c r="D424" i="1"/>
  <c r="AG424" i="1"/>
  <c r="A425" i="1"/>
  <c r="D425" i="1"/>
  <c r="AG425" i="1"/>
  <c r="A426" i="1"/>
  <c r="AG426" i="1"/>
  <c r="D426" i="1"/>
  <c r="A427" i="1"/>
  <c r="A428" i="1"/>
  <c r="D428" i="1"/>
  <c r="AG428" i="1"/>
  <c r="A429" i="1"/>
  <c r="D429" i="1"/>
  <c r="AG429" i="1"/>
  <c r="A430" i="1"/>
  <c r="A431" i="1"/>
  <c r="AG431" i="1"/>
  <c r="D431" i="1"/>
  <c r="A432" i="1"/>
  <c r="D432" i="1"/>
  <c r="AG432" i="1"/>
  <c r="A433" i="1"/>
  <c r="A434" i="1"/>
  <c r="AG434" i="1"/>
  <c r="D434" i="1"/>
  <c r="A435" i="1"/>
  <c r="D435" i="1"/>
  <c r="AG435" i="1"/>
  <c r="A436" i="1"/>
  <c r="D436" i="1"/>
  <c r="AG436" i="1"/>
  <c r="A437" i="1"/>
  <c r="AG437" i="1"/>
  <c r="D437" i="1"/>
  <c r="A438" i="1"/>
  <c r="A439" i="1"/>
  <c r="D439" i="1"/>
  <c r="AG439" i="1"/>
  <c r="A440" i="1"/>
  <c r="A441" i="1"/>
  <c r="D441" i="1"/>
  <c r="AG441" i="1"/>
  <c r="A442" i="1"/>
  <c r="A443" i="1"/>
  <c r="D443" i="1"/>
  <c r="AG443" i="1"/>
  <c r="A444" i="1"/>
  <c r="D444" i="1"/>
  <c r="AG444" i="1"/>
  <c r="A445" i="1"/>
  <c r="A446" i="1"/>
  <c r="AG446" i="1"/>
  <c r="D446" i="1"/>
  <c r="A447" i="1"/>
  <c r="A448" i="1"/>
  <c r="AG448" i="1"/>
  <c r="D448" i="1"/>
  <c r="A449" i="1"/>
  <c r="D449" i="1"/>
  <c r="AG449" i="1"/>
  <c r="A450" i="1"/>
  <c r="A451" i="1"/>
  <c r="AG451" i="1"/>
  <c r="D451" i="1"/>
  <c r="A452" i="1"/>
  <c r="AG452" i="1"/>
  <c r="D452" i="1"/>
  <c r="A453" i="1"/>
  <c r="D453" i="1"/>
  <c r="AG453" i="1"/>
  <c r="A454" i="1"/>
  <c r="D454" i="1"/>
  <c r="AG454" i="1"/>
  <c r="A455" i="1"/>
  <c r="AG455" i="1"/>
  <c r="D455" i="1"/>
  <c r="A456" i="1"/>
  <c r="AG456" i="1"/>
  <c r="D456" i="1"/>
  <c r="A457" i="1"/>
  <c r="D457" i="1"/>
  <c r="AG457" i="1"/>
  <c r="A458" i="1"/>
  <c r="A459" i="1"/>
  <c r="D459" i="1"/>
  <c r="AG459" i="1"/>
  <c r="A460" i="1"/>
  <c r="D460" i="1"/>
  <c r="AG460" i="1"/>
  <c r="A461" i="1"/>
  <c r="AG461" i="1"/>
  <c r="D461" i="1"/>
  <c r="A462" i="1"/>
  <c r="D462" i="1"/>
  <c r="AG462" i="1"/>
  <c r="A463" i="1"/>
  <c r="D463" i="1"/>
  <c r="AG463" i="1"/>
  <c r="A464" i="1"/>
  <c r="D464" i="1"/>
  <c r="AG464" i="1"/>
  <c r="A465" i="1"/>
  <c r="A466" i="1"/>
  <c r="AG466" i="1"/>
  <c r="D466" i="1"/>
  <c r="A467" i="1"/>
  <c r="D467" i="1"/>
  <c r="AG467" i="1"/>
  <c r="A468" i="1"/>
  <c r="A469" i="1"/>
  <c r="AG469" i="1"/>
  <c r="D469" i="1"/>
  <c r="A470" i="1"/>
  <c r="A471" i="1"/>
  <c r="AG471" i="1"/>
  <c r="D471" i="1"/>
  <c r="A472" i="1"/>
  <c r="A473" i="1"/>
  <c r="D473" i="1"/>
  <c r="AG473" i="1"/>
  <c r="A474" i="1"/>
  <c r="A475" i="1"/>
  <c r="D475" i="1"/>
  <c r="AG475" i="1"/>
  <c r="A476" i="1"/>
  <c r="D476" i="1"/>
  <c r="AG476" i="1"/>
  <c r="A477" i="1"/>
  <c r="A478" i="1"/>
  <c r="D478" i="1"/>
  <c r="AG478" i="1"/>
  <c r="A479" i="1"/>
  <c r="AG479" i="1"/>
  <c r="D479" i="1"/>
  <c r="A480" i="1"/>
  <c r="AG480" i="1"/>
  <c r="D480" i="1"/>
  <c r="A481" i="1"/>
  <c r="AG481" i="1"/>
  <c r="D481" i="1"/>
  <c r="A482" i="1"/>
  <c r="D482" i="1"/>
  <c r="AG482" i="1"/>
  <c r="A483" i="1"/>
  <c r="A484" i="1"/>
  <c r="D484" i="1"/>
  <c r="AG484" i="1"/>
  <c r="A485" i="1"/>
  <c r="D485" i="1"/>
  <c r="AG485" i="1"/>
  <c r="A486" i="1"/>
  <c r="D486" i="1"/>
  <c r="AG486" i="1"/>
  <c r="A487" i="1"/>
  <c r="D487" i="1"/>
  <c r="AG487" i="1"/>
  <c r="A488" i="1"/>
  <c r="A489" i="1"/>
  <c r="AG489" i="1"/>
  <c r="D489" i="1"/>
  <c r="A490" i="1"/>
  <c r="D490" i="1"/>
  <c r="AG490" i="1"/>
  <c r="A491" i="1"/>
  <c r="D491" i="1"/>
  <c r="AG491" i="1"/>
  <c r="A492" i="1"/>
  <c r="D492" i="1"/>
  <c r="AG492" i="1"/>
  <c r="A493" i="1"/>
  <c r="D493" i="1"/>
  <c r="AG493" i="1"/>
  <c r="A494" i="1"/>
  <c r="AG494" i="1"/>
  <c r="D494" i="1"/>
  <c r="A495" i="1"/>
  <c r="D495" i="1"/>
  <c r="AG495" i="1"/>
  <c r="A496" i="1"/>
  <c r="D496" i="1"/>
  <c r="AG496" i="1"/>
  <c r="A497" i="1"/>
  <c r="A498" i="1"/>
  <c r="D498" i="1"/>
  <c r="AG498" i="1"/>
  <c r="A499" i="1"/>
  <c r="AG499" i="1"/>
  <c r="D499" i="1"/>
  <c r="A500" i="1"/>
  <c r="A501" i="1"/>
  <c r="D501" i="1"/>
  <c r="AG501" i="1"/>
  <c r="A502" i="1"/>
  <c r="A503" i="1"/>
  <c r="AG503" i="1"/>
  <c r="D503" i="1"/>
  <c r="A504" i="1"/>
  <c r="D504" i="1"/>
  <c r="AG504" i="1"/>
  <c r="A505" i="1"/>
  <c r="D505" i="1"/>
  <c r="AG505" i="1"/>
  <c r="A506" i="1"/>
  <c r="D506" i="1"/>
  <c r="AG506" i="1"/>
  <c r="A507" i="1"/>
  <c r="D507" i="1"/>
  <c r="AG507" i="1"/>
  <c r="A508" i="1"/>
  <c r="AG508" i="1"/>
  <c r="D508" i="1"/>
  <c r="A509" i="1"/>
  <c r="D509" i="1"/>
  <c r="AG509" i="1"/>
  <c r="A510" i="1"/>
  <c r="D510" i="1"/>
  <c r="AG510" i="1"/>
  <c r="A511" i="1"/>
  <c r="AG511" i="1"/>
  <c r="D511" i="1"/>
  <c r="A512" i="1"/>
  <c r="AG512" i="1"/>
  <c r="D512" i="1"/>
  <c r="A513" i="1"/>
  <c r="A514" i="1"/>
  <c r="AG514" i="1"/>
  <c r="D514" i="1"/>
  <c r="A515" i="1"/>
  <c r="A516" i="1"/>
  <c r="D516" i="1"/>
  <c r="AG516" i="1"/>
  <c r="A517" i="1"/>
  <c r="A518" i="1"/>
  <c r="AG518" i="1"/>
  <c r="D518" i="1"/>
  <c r="A519" i="1"/>
  <c r="D519" i="1"/>
  <c r="AG519" i="1"/>
  <c r="A520" i="1"/>
  <c r="A521" i="1"/>
  <c r="AG521" i="1"/>
  <c r="D521" i="1"/>
  <c r="A522" i="1"/>
  <c r="A523" i="1"/>
  <c r="D523" i="1"/>
  <c r="AG523" i="1"/>
  <c r="A524" i="1"/>
  <c r="A525" i="1"/>
  <c r="AG525" i="1"/>
  <c r="D525" i="1"/>
  <c r="A526" i="1"/>
  <c r="A527" i="1"/>
  <c r="D527" i="1"/>
  <c r="AG527" i="1"/>
  <c r="A528" i="1"/>
  <c r="D528" i="1"/>
  <c r="AG528" i="1"/>
  <c r="A529" i="1"/>
  <c r="A530" i="1"/>
  <c r="D530" i="1"/>
  <c r="AG530" i="1"/>
  <c r="A531" i="1"/>
  <c r="D531" i="1"/>
  <c r="AG531" i="1"/>
  <c r="A532" i="1"/>
  <c r="AG532" i="1"/>
  <c r="D532" i="1"/>
  <c r="A533" i="1"/>
  <c r="AG533" i="1"/>
  <c r="D533" i="1"/>
  <c r="A534" i="1"/>
  <c r="AG534" i="1"/>
  <c r="D534" i="1"/>
  <c r="A535" i="1"/>
  <c r="AG535" i="1"/>
  <c r="D535" i="1"/>
  <c r="A536" i="1"/>
  <c r="D536" i="1"/>
  <c r="AG536" i="1"/>
  <c r="A537" i="1"/>
  <c r="AG537" i="1"/>
  <c r="D537" i="1"/>
  <c r="A538" i="1"/>
  <c r="A539" i="1"/>
  <c r="AG539" i="1"/>
  <c r="D539" i="1"/>
  <c r="A540" i="1"/>
  <c r="D540" i="1"/>
  <c r="AG540" i="1"/>
  <c r="A541" i="1"/>
  <c r="A542" i="1"/>
  <c r="AG542" i="1"/>
  <c r="D542" i="1"/>
  <c r="A543" i="1"/>
  <c r="A544" i="1"/>
  <c r="AG544" i="1"/>
  <c r="D544" i="1"/>
  <c r="A545" i="1"/>
  <c r="AG545" i="1"/>
  <c r="D545" i="1"/>
  <c r="A546" i="1"/>
  <c r="D546" i="1"/>
  <c r="AG546" i="1"/>
  <c r="A547" i="1"/>
  <c r="AG547" i="1"/>
  <c r="D547" i="1"/>
  <c r="A548" i="1"/>
  <c r="AG548" i="1"/>
  <c r="D548" i="1"/>
  <c r="A549" i="1"/>
  <c r="AG549" i="1"/>
  <c r="D549" i="1"/>
  <c r="A550" i="1"/>
  <c r="AG550" i="1"/>
  <c r="D550" i="1"/>
  <c r="A551" i="1"/>
  <c r="A552" i="1"/>
  <c r="AG552" i="1"/>
  <c r="D552" i="1"/>
  <c r="A553" i="1"/>
  <c r="AG553" i="1"/>
  <c r="D553" i="1"/>
  <c r="A554" i="1"/>
  <c r="AG554" i="1"/>
  <c r="D554" i="1"/>
  <c r="A555" i="1"/>
  <c r="D555" i="1"/>
  <c r="AG555" i="1"/>
  <c r="A556" i="1"/>
  <c r="D556" i="1"/>
  <c r="AG556" i="1"/>
  <c r="A557" i="1"/>
  <c r="D557" i="1"/>
  <c r="AG557" i="1"/>
  <c r="A558" i="1"/>
  <c r="D558" i="1"/>
  <c r="AG558" i="1"/>
  <c r="A559" i="1"/>
  <c r="D559" i="1"/>
  <c r="AG559" i="1"/>
  <c r="A560" i="1"/>
  <c r="D560" i="1"/>
  <c r="AG560" i="1"/>
  <c r="A561" i="1"/>
  <c r="A562" i="1"/>
  <c r="D562" i="1"/>
  <c r="AG562" i="1"/>
  <c r="A563" i="1"/>
  <c r="D563" i="1"/>
  <c r="AG563" i="1"/>
  <c r="A564" i="1"/>
  <c r="A565" i="1"/>
  <c r="AG565" i="1"/>
  <c r="D565" i="1"/>
  <c r="A566" i="1"/>
  <c r="D566" i="1"/>
  <c r="AG566" i="1"/>
  <c r="A567" i="1"/>
  <c r="D567" i="1"/>
  <c r="AG567" i="1"/>
  <c r="A568" i="1"/>
  <c r="AG568" i="1"/>
  <c r="D568" i="1"/>
  <c r="A569" i="1"/>
  <c r="AG569" i="1"/>
  <c r="D569" i="1"/>
  <c r="A570" i="1"/>
  <c r="A571" i="1"/>
  <c r="D571" i="1"/>
  <c r="AG571" i="1"/>
  <c r="A572" i="1"/>
  <c r="D572" i="1"/>
  <c r="AG572" i="1"/>
  <c r="A573" i="1"/>
  <c r="A574" i="1"/>
  <c r="AG574" i="1"/>
  <c r="D574" i="1"/>
  <c r="A575" i="1"/>
  <c r="D575" i="1"/>
  <c r="AG575" i="1"/>
  <c r="A576" i="1"/>
  <c r="D576" i="1"/>
  <c r="AG576" i="1"/>
  <c r="A577" i="1"/>
  <c r="AG577" i="1"/>
  <c r="D577" i="1"/>
  <c r="A578" i="1"/>
  <c r="D578" i="1"/>
  <c r="AG578" i="1"/>
  <c r="A579" i="1"/>
  <c r="D579" i="1"/>
  <c r="AG579" i="1"/>
  <c r="A580" i="1"/>
  <c r="D580" i="1"/>
  <c r="AG580" i="1"/>
  <c r="A581" i="1"/>
  <c r="AG581" i="1"/>
  <c r="D581" i="1"/>
  <c r="A582" i="1"/>
  <c r="D582" i="1"/>
  <c r="AG582" i="1"/>
  <c r="A583" i="1"/>
  <c r="AG583" i="1"/>
  <c r="D583" i="1"/>
  <c r="A584" i="1"/>
  <c r="D584" i="1"/>
  <c r="AG584" i="1"/>
  <c r="A585" i="1"/>
  <c r="AG585" i="1"/>
  <c r="D585" i="1"/>
  <c r="A586" i="1"/>
  <c r="A587" i="1"/>
  <c r="AG587" i="1"/>
  <c r="D587" i="1"/>
  <c r="A588" i="1"/>
  <c r="D588" i="1"/>
  <c r="AG588" i="1"/>
  <c r="A589" i="1"/>
  <c r="AG589" i="1"/>
  <c r="D589" i="1"/>
  <c r="A590" i="1"/>
  <c r="D590" i="1"/>
  <c r="AG590" i="1"/>
  <c r="A591" i="1"/>
  <c r="AG591" i="1"/>
  <c r="D591" i="1"/>
  <c r="A592" i="1"/>
  <c r="A593" i="1"/>
  <c r="AG593" i="1"/>
  <c r="D593" i="1"/>
  <c r="A594" i="1"/>
  <c r="D594" i="1"/>
  <c r="AG594" i="1"/>
  <c r="A595" i="1"/>
  <c r="AG595" i="1"/>
  <c r="D595" i="1"/>
  <c r="A596" i="1"/>
  <c r="D596" i="1"/>
  <c r="AG596" i="1"/>
  <c r="A597" i="1"/>
  <c r="A598" i="1"/>
  <c r="AG598" i="1"/>
  <c r="D598" i="1"/>
  <c r="A599" i="1"/>
  <c r="A600" i="1"/>
  <c r="D600" i="1"/>
  <c r="AG600" i="1"/>
  <c r="A601" i="1"/>
  <c r="AG601" i="1"/>
  <c r="D601" i="1"/>
  <c r="A602" i="1"/>
  <c r="A603" i="1"/>
  <c r="AG603" i="1"/>
  <c r="D603" i="1"/>
  <c r="A604" i="1"/>
  <c r="D604" i="1"/>
  <c r="AG604" i="1"/>
  <c r="A605" i="1"/>
  <c r="AG605" i="1"/>
  <c r="D605" i="1"/>
  <c r="A606" i="1"/>
  <c r="D606" i="1"/>
  <c r="AG606" i="1"/>
  <c r="A607" i="1"/>
  <c r="AG607" i="1"/>
  <c r="D607" i="1"/>
  <c r="A608" i="1"/>
  <c r="A609" i="1"/>
  <c r="D609" i="1"/>
  <c r="AG609" i="1"/>
  <c r="A610" i="1"/>
  <c r="D610" i="1"/>
  <c r="AG610" i="1"/>
  <c r="A611" i="1"/>
  <c r="A612" i="1"/>
  <c r="D612" i="1"/>
  <c r="AG612" i="1"/>
  <c r="A613" i="1"/>
  <c r="AG613" i="1"/>
  <c r="D613" i="1"/>
  <c r="A614" i="1"/>
  <c r="A615" i="1"/>
  <c r="D615" i="1"/>
  <c r="AG615" i="1"/>
  <c r="A616" i="1"/>
  <c r="A617" i="1"/>
  <c r="AG617" i="1"/>
  <c r="D617" i="1"/>
  <c r="A618" i="1"/>
  <c r="D618" i="1"/>
  <c r="AG618" i="1"/>
  <c r="A619" i="1"/>
  <c r="A620" i="1"/>
  <c r="D620" i="1"/>
  <c r="AG620" i="1"/>
  <c r="A621" i="1"/>
  <c r="D621" i="1"/>
  <c r="AG621" i="1"/>
  <c r="A622" i="1"/>
  <c r="D622" i="1"/>
  <c r="AG622" i="1"/>
  <c r="A623" i="1"/>
  <c r="D623" i="1"/>
  <c r="AG623" i="1"/>
  <c r="A624" i="1"/>
  <c r="AG624" i="1"/>
  <c r="D624" i="1"/>
  <c r="A625" i="1"/>
  <c r="D625" i="1"/>
  <c r="AG625" i="1"/>
  <c r="A626" i="1"/>
  <c r="AG626" i="1"/>
  <c r="D626" i="1"/>
  <c r="A627" i="1"/>
  <c r="A628" i="1"/>
  <c r="AG628" i="1"/>
  <c r="D628" i="1"/>
  <c r="A629" i="1"/>
  <c r="D629" i="1"/>
  <c r="AG629" i="1"/>
  <c r="A630" i="1"/>
  <c r="AG630" i="1"/>
  <c r="D630" i="1"/>
  <c r="A631" i="1"/>
  <c r="D631" i="1"/>
  <c r="AG631" i="1"/>
  <c r="A632" i="1"/>
  <c r="AG632" i="1"/>
  <c r="D632" i="1"/>
  <c r="A633" i="1"/>
  <c r="AG633" i="1"/>
  <c r="D633" i="1"/>
  <c r="A634" i="1"/>
  <c r="A635" i="1"/>
  <c r="D635" i="1"/>
  <c r="AG635" i="1"/>
  <c r="A636" i="1"/>
  <c r="A637" i="1"/>
  <c r="D637" i="1"/>
  <c r="AG637" i="1"/>
  <c r="A638" i="1"/>
  <c r="A639" i="1"/>
  <c r="D639" i="1"/>
  <c r="AG639" i="1"/>
  <c r="A640" i="1"/>
  <c r="D640" i="1"/>
  <c r="AG640" i="1"/>
  <c r="A641" i="1"/>
  <c r="A642" i="1"/>
  <c r="AG642" i="1"/>
  <c r="D642" i="1"/>
  <c r="A643" i="1"/>
  <c r="D643" i="1"/>
  <c r="AG643" i="1"/>
  <c r="A644" i="1"/>
  <c r="A645" i="1"/>
  <c r="AG645" i="1"/>
  <c r="D645" i="1"/>
  <c r="A646" i="1"/>
  <c r="D646" i="1"/>
  <c r="AG646" i="1"/>
  <c r="A647" i="1"/>
  <c r="AG647" i="1"/>
  <c r="D647" i="1"/>
  <c r="A648" i="1"/>
  <c r="AG648" i="1"/>
  <c r="D648" i="1"/>
  <c r="A649" i="1"/>
  <c r="D649" i="1"/>
  <c r="AG649" i="1"/>
  <c r="A650" i="1"/>
  <c r="AG650" i="1"/>
  <c r="D650" i="1"/>
  <c r="A651" i="1"/>
  <c r="D651" i="1"/>
  <c r="AG651" i="1"/>
  <c r="A652" i="1"/>
  <c r="AG652" i="1"/>
  <c r="D652" i="1"/>
  <c r="A653" i="1"/>
  <c r="A654" i="1"/>
  <c r="AG654" i="1"/>
  <c r="D654" i="1"/>
  <c r="A655" i="1"/>
  <c r="AG655" i="1"/>
  <c r="D655" i="1"/>
  <c r="A656" i="1"/>
  <c r="A657" i="1"/>
  <c r="D657" i="1"/>
  <c r="AG657" i="1"/>
  <c r="A658" i="1"/>
  <c r="A659" i="1"/>
  <c r="AG659" i="1"/>
  <c r="D659" i="1"/>
  <c r="A660" i="1"/>
  <c r="AG660" i="1"/>
  <c r="D660" i="1"/>
  <c r="A661" i="1"/>
  <c r="A662" i="1"/>
  <c r="D662" i="1"/>
  <c r="AG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H943" i="1" l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I660" i="1"/>
  <c r="AH660" i="1"/>
  <c r="AH659" i="1"/>
  <c r="AH658" i="1"/>
  <c r="AH657" i="1"/>
  <c r="AH656" i="1"/>
  <c r="AI655" i="1"/>
  <c r="AH655" i="1"/>
  <c r="AH654" i="1"/>
  <c r="AH653" i="1"/>
  <c r="AH652" i="1"/>
  <c r="AH651" i="1"/>
  <c r="AH650" i="1"/>
  <c r="AH649" i="1"/>
  <c r="AH648" i="1"/>
  <c r="AH647" i="1"/>
  <c r="AI646" i="1"/>
  <c r="AI647" i="1" s="1"/>
  <c r="AI648" i="1" s="1"/>
  <c r="AI649" i="1" s="1"/>
  <c r="AI650" i="1" s="1"/>
  <c r="AI651" i="1" s="1"/>
  <c r="AI652" i="1" s="1"/>
  <c r="AH646" i="1"/>
  <c r="AH645" i="1"/>
  <c r="AH644" i="1"/>
  <c r="AI643" i="1"/>
  <c r="AH643" i="1"/>
  <c r="AH642" i="1"/>
  <c r="AH641" i="1"/>
  <c r="AI640" i="1"/>
  <c r="AH640" i="1"/>
  <c r="AH639" i="1"/>
  <c r="AH638" i="1"/>
  <c r="AH637" i="1"/>
  <c r="AH636" i="1"/>
  <c r="AH635" i="1"/>
  <c r="AH634" i="1"/>
  <c r="AH633" i="1"/>
  <c r="AH632" i="1"/>
  <c r="AH631" i="1"/>
  <c r="AH630" i="1"/>
  <c r="AI629" i="1"/>
  <c r="AI630" i="1" s="1"/>
  <c r="AI631" i="1" s="1"/>
  <c r="AI632" i="1" s="1"/>
  <c r="AI633" i="1" s="1"/>
  <c r="AH629" i="1"/>
  <c r="AH628" i="1"/>
  <c r="AH627" i="1"/>
  <c r="AH626" i="1"/>
  <c r="AH625" i="1"/>
  <c r="AH624" i="1"/>
  <c r="AH623" i="1"/>
  <c r="AH622" i="1"/>
  <c r="AI621" i="1"/>
  <c r="AI622" i="1" s="1"/>
  <c r="AI623" i="1" s="1"/>
  <c r="AI624" i="1" s="1"/>
  <c r="AI625" i="1" s="1"/>
  <c r="AI626" i="1" s="1"/>
  <c r="AH621" i="1"/>
  <c r="AH620" i="1"/>
  <c r="AH619" i="1"/>
  <c r="AI618" i="1"/>
  <c r="AH618" i="1"/>
  <c r="AH617" i="1"/>
  <c r="AH616" i="1"/>
  <c r="AH615" i="1"/>
  <c r="AH614" i="1"/>
  <c r="AI613" i="1"/>
  <c r="AH613" i="1"/>
  <c r="AH612" i="1"/>
  <c r="AH611" i="1"/>
  <c r="AI610" i="1"/>
  <c r="AH610" i="1"/>
  <c r="AH609" i="1"/>
  <c r="AH608" i="1"/>
  <c r="AH607" i="1"/>
  <c r="AH606" i="1"/>
  <c r="AH605" i="1"/>
  <c r="AI604" i="1"/>
  <c r="AI605" i="1" s="1"/>
  <c r="AI606" i="1" s="1"/>
  <c r="AI607" i="1" s="1"/>
  <c r="AH604" i="1"/>
  <c r="AH603" i="1"/>
  <c r="AH602" i="1"/>
  <c r="AI601" i="1"/>
  <c r="AH601" i="1"/>
  <c r="AH600" i="1"/>
  <c r="AH599" i="1"/>
  <c r="AH598" i="1"/>
  <c r="AH597" i="1"/>
  <c r="AH596" i="1"/>
  <c r="AH595" i="1"/>
  <c r="AI594" i="1"/>
  <c r="AI595" i="1" s="1"/>
  <c r="AI596" i="1" s="1"/>
  <c r="AH594" i="1"/>
  <c r="AH593" i="1"/>
  <c r="AH592" i="1"/>
  <c r="AH591" i="1"/>
  <c r="AH590" i="1"/>
  <c r="AH589" i="1"/>
  <c r="AI588" i="1"/>
  <c r="AI589" i="1" s="1"/>
  <c r="AI590" i="1" s="1"/>
  <c r="AI591" i="1" s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I575" i="1"/>
  <c r="AI576" i="1" s="1"/>
  <c r="AI577" i="1" s="1"/>
  <c r="AI578" i="1" s="1"/>
  <c r="AI579" i="1" s="1"/>
  <c r="AI580" i="1" s="1"/>
  <c r="AI581" i="1" s="1"/>
  <c r="AI582" i="1" s="1"/>
  <c r="AI583" i="1" s="1"/>
  <c r="AI584" i="1" s="1"/>
  <c r="AI585" i="1" s="1"/>
  <c r="AH575" i="1"/>
  <c r="AH574" i="1"/>
  <c r="AH573" i="1"/>
  <c r="AI572" i="1"/>
  <c r="AH572" i="1"/>
  <c r="AH571" i="1"/>
  <c r="AH570" i="1"/>
  <c r="AH569" i="1"/>
  <c r="AH568" i="1"/>
  <c r="AH567" i="1"/>
  <c r="AI566" i="1"/>
  <c r="AI567" i="1" s="1"/>
  <c r="AI568" i="1" s="1"/>
  <c r="AI569" i="1" s="1"/>
  <c r="AH566" i="1"/>
  <c r="AH565" i="1"/>
  <c r="AH564" i="1"/>
  <c r="AI563" i="1"/>
  <c r="AH563" i="1"/>
  <c r="AH562" i="1"/>
  <c r="AH561" i="1"/>
  <c r="AH560" i="1"/>
  <c r="AH559" i="1"/>
  <c r="AH558" i="1"/>
  <c r="AH557" i="1"/>
  <c r="B557" i="1" s="1"/>
  <c r="C557" i="1" s="1"/>
  <c r="AH556" i="1"/>
  <c r="AH555" i="1"/>
  <c r="AH554" i="1"/>
  <c r="AI553" i="1"/>
  <c r="AI554" i="1" s="1"/>
  <c r="AI555" i="1" s="1"/>
  <c r="AI556" i="1" s="1"/>
  <c r="AI557" i="1" s="1"/>
  <c r="AI558" i="1" s="1"/>
  <c r="AI559" i="1" s="1"/>
  <c r="AI560" i="1" s="1"/>
  <c r="AH553" i="1"/>
  <c r="AH552" i="1"/>
  <c r="AH551" i="1"/>
  <c r="B551" i="1" s="1"/>
  <c r="C551" i="1" s="1"/>
  <c r="AH550" i="1"/>
  <c r="AH549" i="1"/>
  <c r="AH548" i="1"/>
  <c r="AH547" i="1"/>
  <c r="AH546" i="1"/>
  <c r="AI545" i="1"/>
  <c r="AI546" i="1" s="1"/>
  <c r="AI547" i="1" s="1"/>
  <c r="AI548" i="1" s="1"/>
  <c r="AI549" i="1" s="1"/>
  <c r="AI550" i="1" s="1"/>
  <c r="AH545" i="1"/>
  <c r="B545" i="1" s="1"/>
  <c r="C545" i="1" s="1"/>
  <c r="AH544" i="1"/>
  <c r="AH543" i="1"/>
  <c r="B543" i="1" s="1"/>
  <c r="C543" i="1" s="1"/>
  <c r="AH542" i="1"/>
  <c r="AH541" i="1"/>
  <c r="B541" i="1" s="1"/>
  <c r="C541" i="1" s="1"/>
  <c r="AI540" i="1"/>
  <c r="AH540" i="1"/>
  <c r="AH539" i="1"/>
  <c r="AH538" i="1"/>
  <c r="B538" i="1" s="1"/>
  <c r="C538" i="1" s="1"/>
  <c r="AH537" i="1"/>
  <c r="AH536" i="1"/>
  <c r="AH535" i="1"/>
  <c r="AH534" i="1"/>
  <c r="AH533" i="1"/>
  <c r="B533" i="1" s="1"/>
  <c r="C533" i="1" s="1"/>
  <c r="AH532" i="1"/>
  <c r="AI531" i="1"/>
  <c r="AI532" i="1" s="1"/>
  <c r="AI533" i="1" s="1"/>
  <c r="AI534" i="1" s="1"/>
  <c r="AI535" i="1" s="1"/>
  <c r="AI536" i="1" s="1"/>
  <c r="AI537" i="1" s="1"/>
  <c r="AH531" i="1"/>
  <c r="AH530" i="1"/>
  <c r="AH529" i="1"/>
  <c r="AI528" i="1"/>
  <c r="AH528" i="1"/>
  <c r="AH527" i="1"/>
  <c r="AH526" i="1"/>
  <c r="AH525" i="1"/>
  <c r="AH524" i="1"/>
  <c r="AH523" i="1"/>
  <c r="AH522" i="1"/>
  <c r="AH521" i="1"/>
  <c r="AH520" i="1"/>
  <c r="AI519" i="1"/>
  <c r="AH519" i="1"/>
  <c r="AH518" i="1"/>
  <c r="AH517" i="1"/>
  <c r="AH516" i="1"/>
  <c r="AH515" i="1"/>
  <c r="B515" i="1" s="1"/>
  <c r="C515" i="1" s="1"/>
  <c r="AH514" i="1"/>
  <c r="AH513" i="1"/>
  <c r="B513" i="1" s="1"/>
  <c r="C513" i="1" s="1"/>
  <c r="AH512" i="1"/>
  <c r="AH511" i="1"/>
  <c r="AH510" i="1"/>
  <c r="AH509" i="1"/>
  <c r="AH508" i="1"/>
  <c r="AH507" i="1"/>
  <c r="B507" i="1" s="1"/>
  <c r="C507" i="1" s="1"/>
  <c r="AH506" i="1"/>
  <c r="AH505" i="1"/>
  <c r="B505" i="1" s="1"/>
  <c r="C505" i="1" s="1"/>
  <c r="AI504" i="1"/>
  <c r="AI505" i="1" s="1"/>
  <c r="AI506" i="1" s="1"/>
  <c r="AI507" i="1" s="1"/>
  <c r="AI508" i="1" s="1"/>
  <c r="AI509" i="1" s="1"/>
  <c r="AI510" i="1" s="1"/>
  <c r="AI511" i="1" s="1"/>
  <c r="AI512" i="1" s="1"/>
  <c r="AH504" i="1"/>
  <c r="AH503" i="1"/>
  <c r="AH502" i="1"/>
  <c r="AH501" i="1"/>
  <c r="AH500" i="1"/>
  <c r="AI499" i="1"/>
  <c r="AH499" i="1"/>
  <c r="AH498" i="1"/>
  <c r="AH497" i="1"/>
  <c r="AH496" i="1"/>
  <c r="B496" i="1" s="1"/>
  <c r="C496" i="1" s="1"/>
  <c r="AH495" i="1"/>
  <c r="AH494" i="1"/>
  <c r="B494" i="1" s="1"/>
  <c r="C494" i="1" s="1"/>
  <c r="AH493" i="1"/>
  <c r="AH492" i="1"/>
  <c r="B492" i="1" s="1"/>
  <c r="C492" i="1" s="1"/>
  <c r="AH491" i="1"/>
  <c r="AI490" i="1"/>
  <c r="AI491" i="1" s="1"/>
  <c r="AI492" i="1" s="1"/>
  <c r="AI493" i="1" s="1"/>
  <c r="AI494" i="1" s="1"/>
  <c r="AI495" i="1" s="1"/>
  <c r="AI496" i="1" s="1"/>
  <c r="AH490" i="1"/>
  <c r="B490" i="1" s="1"/>
  <c r="C490" i="1" s="1"/>
  <c r="AH489" i="1"/>
  <c r="AH488" i="1"/>
  <c r="AH487" i="1"/>
  <c r="AH486" i="1"/>
  <c r="AI485" i="1"/>
  <c r="AI486" i="1" s="1"/>
  <c r="AI487" i="1" s="1"/>
  <c r="AH485" i="1"/>
  <c r="AH484" i="1"/>
  <c r="AH483" i="1"/>
  <c r="AH482" i="1"/>
  <c r="AH481" i="1"/>
  <c r="AH480" i="1"/>
  <c r="AI479" i="1"/>
  <c r="AI480" i="1" s="1"/>
  <c r="AI481" i="1" s="1"/>
  <c r="AI482" i="1" s="1"/>
  <c r="AH479" i="1"/>
  <c r="AH478" i="1"/>
  <c r="AH477" i="1"/>
  <c r="AI476" i="1"/>
  <c r="AH476" i="1"/>
  <c r="AH475" i="1"/>
  <c r="AH474" i="1"/>
  <c r="AH473" i="1"/>
  <c r="AH472" i="1"/>
  <c r="AH471" i="1"/>
  <c r="AH470" i="1"/>
  <c r="AH469" i="1"/>
  <c r="AH468" i="1"/>
  <c r="AI467" i="1"/>
  <c r="AH467" i="1"/>
  <c r="AH466" i="1"/>
  <c r="AH465" i="1"/>
  <c r="AH464" i="1"/>
  <c r="AH463" i="1"/>
  <c r="AH462" i="1"/>
  <c r="AH461" i="1"/>
  <c r="AI460" i="1"/>
  <c r="AI461" i="1" s="1"/>
  <c r="AI462" i="1" s="1"/>
  <c r="AI463" i="1" s="1"/>
  <c r="AI464" i="1" s="1"/>
  <c r="AH460" i="1"/>
  <c r="AH459" i="1"/>
  <c r="AH458" i="1"/>
  <c r="AH457" i="1"/>
  <c r="AH456" i="1"/>
  <c r="AH455" i="1"/>
  <c r="AH454" i="1"/>
  <c r="AH453" i="1"/>
  <c r="AI452" i="1"/>
  <c r="AI453" i="1" s="1"/>
  <c r="AI454" i="1" s="1"/>
  <c r="AI455" i="1" s="1"/>
  <c r="AI456" i="1" s="1"/>
  <c r="AI457" i="1" s="1"/>
  <c r="AH452" i="1"/>
  <c r="AH451" i="1"/>
  <c r="AH450" i="1"/>
  <c r="AI449" i="1"/>
  <c r="AH449" i="1"/>
  <c r="AH448" i="1"/>
  <c r="AH447" i="1"/>
  <c r="AH446" i="1"/>
  <c r="AH445" i="1"/>
  <c r="AI444" i="1"/>
  <c r="AH444" i="1"/>
  <c r="AH443" i="1"/>
  <c r="AH442" i="1"/>
  <c r="AH441" i="1"/>
  <c r="AH440" i="1"/>
  <c r="AH439" i="1"/>
  <c r="AH438" i="1"/>
  <c r="AH437" i="1"/>
  <c r="AH436" i="1"/>
  <c r="AI435" i="1"/>
  <c r="AI436" i="1" s="1"/>
  <c r="AI437" i="1" s="1"/>
  <c r="AH435" i="1"/>
  <c r="AH434" i="1"/>
  <c r="AH433" i="1"/>
  <c r="AI432" i="1"/>
  <c r="AH432" i="1"/>
  <c r="AH431" i="1"/>
  <c r="AH430" i="1"/>
  <c r="AI429" i="1"/>
  <c r="AH429" i="1"/>
  <c r="AH428" i="1"/>
  <c r="AH427" i="1"/>
  <c r="AH426" i="1"/>
  <c r="AI425" i="1"/>
  <c r="AI426" i="1" s="1"/>
  <c r="AH425" i="1"/>
  <c r="B425" i="1" s="1"/>
  <c r="C425" i="1" s="1"/>
  <c r="AH424" i="1"/>
  <c r="AH423" i="1"/>
  <c r="AI422" i="1"/>
  <c r="AH422" i="1"/>
  <c r="B422" i="1" s="1"/>
  <c r="C422" i="1" s="1"/>
  <c r="AH421" i="1"/>
  <c r="AH420" i="1"/>
  <c r="AH419" i="1"/>
  <c r="AH418" i="1"/>
  <c r="AH417" i="1"/>
  <c r="AH416" i="1"/>
  <c r="B416" i="1" s="1"/>
  <c r="C416" i="1" s="1"/>
  <c r="AH415" i="1"/>
  <c r="AH414" i="1"/>
  <c r="AH413" i="1"/>
  <c r="AH412" i="1"/>
  <c r="AH411" i="1"/>
  <c r="AH410" i="1"/>
  <c r="AI409" i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H409" i="1"/>
  <c r="AH408" i="1"/>
  <c r="AH407" i="1"/>
  <c r="AH406" i="1"/>
  <c r="AH405" i="1"/>
  <c r="AH404" i="1"/>
  <c r="AH403" i="1"/>
  <c r="B403" i="1" s="1"/>
  <c r="C403" i="1" s="1"/>
  <c r="AH402" i="1"/>
  <c r="AH401" i="1"/>
  <c r="B401" i="1" s="1"/>
  <c r="C401" i="1" s="1"/>
  <c r="AH400" i="1"/>
  <c r="AH399" i="1"/>
  <c r="AH398" i="1"/>
  <c r="AI397" i="1"/>
  <c r="AI398" i="1" s="1"/>
  <c r="AI399" i="1" s="1"/>
  <c r="AI400" i="1" s="1"/>
  <c r="AI401" i="1" s="1"/>
  <c r="AI402" i="1" s="1"/>
  <c r="AI403" i="1" s="1"/>
  <c r="AI404" i="1" s="1"/>
  <c r="AI405" i="1" s="1"/>
  <c r="AI406" i="1" s="1"/>
  <c r="AH397" i="1"/>
  <c r="AH396" i="1"/>
  <c r="AH395" i="1"/>
  <c r="AH394" i="1"/>
  <c r="B394" i="1" s="1"/>
  <c r="C394" i="1" s="1"/>
  <c r="AH393" i="1"/>
  <c r="AH392" i="1"/>
  <c r="B392" i="1" s="1"/>
  <c r="C392" i="1" s="1"/>
  <c r="AH391" i="1"/>
  <c r="AI390" i="1"/>
  <c r="AI391" i="1" s="1"/>
  <c r="AI392" i="1" s="1"/>
  <c r="AI393" i="1" s="1"/>
  <c r="AI394" i="1" s="1"/>
  <c r="AH390" i="1"/>
  <c r="AH389" i="1"/>
  <c r="AH388" i="1"/>
  <c r="AH387" i="1"/>
  <c r="B387" i="1" s="1"/>
  <c r="C387" i="1" s="1"/>
  <c r="AH386" i="1"/>
  <c r="AH385" i="1"/>
  <c r="B385" i="1" s="1"/>
  <c r="C385" i="1" s="1"/>
  <c r="AH384" i="1"/>
  <c r="AH383" i="1"/>
  <c r="AH382" i="1"/>
  <c r="AH381" i="1"/>
  <c r="AH380" i="1"/>
  <c r="AH379" i="1"/>
  <c r="AI378" i="1"/>
  <c r="AI379" i="1" s="1"/>
  <c r="AI380" i="1" s="1"/>
  <c r="AI381" i="1" s="1"/>
  <c r="AI382" i="1" s="1"/>
  <c r="AI383" i="1" s="1"/>
  <c r="AI384" i="1" s="1"/>
  <c r="AI385" i="1" s="1"/>
  <c r="AI386" i="1" s="1"/>
  <c r="AI387" i="1" s="1"/>
  <c r="AH378" i="1"/>
  <c r="AH377" i="1"/>
  <c r="AH376" i="1"/>
  <c r="AH375" i="1"/>
  <c r="AH374" i="1"/>
  <c r="AH373" i="1"/>
  <c r="AI372" i="1"/>
  <c r="AI373" i="1" s="1"/>
  <c r="AI374" i="1" s="1"/>
  <c r="AI375" i="1" s="1"/>
  <c r="AH372" i="1"/>
  <c r="AH371" i="1"/>
  <c r="AH370" i="1"/>
  <c r="AH369" i="1"/>
  <c r="AH368" i="1"/>
  <c r="AH367" i="1"/>
  <c r="AI366" i="1"/>
  <c r="AI367" i="1" s="1"/>
  <c r="AI368" i="1" s="1"/>
  <c r="AI369" i="1" s="1"/>
  <c r="AH366" i="1"/>
  <c r="AH365" i="1"/>
  <c r="AH364" i="1"/>
  <c r="AH363" i="1"/>
  <c r="AH362" i="1"/>
  <c r="AI361" i="1"/>
  <c r="AH361" i="1"/>
  <c r="AH360" i="1"/>
  <c r="AH359" i="1"/>
  <c r="AH358" i="1"/>
  <c r="AH357" i="1"/>
  <c r="AH356" i="1"/>
  <c r="AH355" i="1"/>
  <c r="AH354" i="1"/>
  <c r="AH353" i="1"/>
  <c r="AH352" i="1"/>
  <c r="AH351" i="1"/>
  <c r="AI350" i="1"/>
  <c r="AI351" i="1" s="1"/>
  <c r="AI352" i="1" s="1"/>
  <c r="AI353" i="1" s="1"/>
  <c r="AI354" i="1" s="1"/>
  <c r="AI355" i="1" s="1"/>
  <c r="AI356" i="1" s="1"/>
  <c r="AI357" i="1" s="1"/>
  <c r="AI358" i="1" s="1"/>
  <c r="AH350" i="1"/>
  <c r="AH349" i="1"/>
  <c r="AH348" i="1"/>
  <c r="AH347" i="1"/>
  <c r="AH346" i="1"/>
  <c r="AH345" i="1"/>
  <c r="AH344" i="1"/>
  <c r="AH343" i="1"/>
  <c r="AH342" i="1"/>
  <c r="AI341" i="1"/>
  <c r="AI342" i="1" s="1"/>
  <c r="AI343" i="1" s="1"/>
  <c r="AI344" i="1" s="1"/>
  <c r="AI345" i="1" s="1"/>
  <c r="AI346" i="1" s="1"/>
  <c r="AI347" i="1" s="1"/>
  <c r="AH341" i="1"/>
  <c r="AH340" i="1"/>
  <c r="AH339" i="1"/>
  <c r="AH338" i="1"/>
  <c r="AH337" i="1"/>
  <c r="AH336" i="1"/>
  <c r="AH335" i="1"/>
  <c r="AH334" i="1"/>
  <c r="AH333" i="1"/>
  <c r="AI332" i="1"/>
  <c r="AI333" i="1" s="1"/>
  <c r="AI334" i="1" s="1"/>
  <c r="AI335" i="1" s="1"/>
  <c r="AI336" i="1" s="1"/>
  <c r="AI337" i="1" s="1"/>
  <c r="AI338" i="1" s="1"/>
  <c r="AH332" i="1"/>
  <c r="AH331" i="1"/>
  <c r="AH330" i="1"/>
  <c r="AH329" i="1"/>
  <c r="AH328" i="1"/>
  <c r="AH316" i="1"/>
  <c r="B316" i="1" s="1"/>
  <c r="C316" i="1" s="1"/>
  <c r="AH322" i="1"/>
  <c r="B322" i="1" s="1"/>
  <c r="C322" i="1" s="1"/>
  <c r="AH102" i="1"/>
  <c r="B102" i="1" s="1"/>
  <c r="C102" i="1" s="1"/>
  <c r="AH52" i="1"/>
  <c r="B52" i="1" s="1"/>
  <c r="C52" i="1" s="1"/>
  <c r="AH299" i="1"/>
  <c r="B299" i="1" s="1"/>
  <c r="C299" i="1" s="1"/>
  <c r="AH111" i="1"/>
  <c r="B111" i="1" s="1"/>
  <c r="C111" i="1" s="1"/>
  <c r="AH33" i="1"/>
  <c r="B33" i="1" s="1"/>
  <c r="C33" i="1" s="1"/>
  <c r="AH230" i="1"/>
  <c r="B230" i="1" s="1"/>
  <c r="C230" i="1" s="1"/>
  <c r="AH39" i="1"/>
  <c r="B39" i="1" s="1"/>
  <c r="C39" i="1" s="1"/>
  <c r="AH313" i="1"/>
  <c r="B313" i="1" s="1"/>
  <c r="C313" i="1" s="1"/>
  <c r="AH264" i="1"/>
  <c r="B264" i="1" s="1"/>
  <c r="C264" i="1" s="1"/>
  <c r="AH244" i="1"/>
  <c r="B244" i="1" s="1"/>
  <c r="C244" i="1" s="1"/>
  <c r="AH16" i="1"/>
  <c r="B16" i="1" s="1"/>
  <c r="C16" i="1" s="1"/>
  <c r="AH324" i="1"/>
  <c r="B324" i="1" s="1"/>
  <c r="C324" i="1" s="1"/>
  <c r="AH251" i="1"/>
  <c r="B251" i="1" s="1"/>
  <c r="C251" i="1" s="1"/>
  <c r="AH236" i="1"/>
  <c r="B236" i="1" s="1"/>
  <c r="C236" i="1" s="1"/>
  <c r="AH62" i="1"/>
  <c r="B62" i="1" s="1"/>
  <c r="C62" i="1" s="1"/>
  <c r="AH83" i="1"/>
  <c r="B83" i="1" s="1"/>
  <c r="C83" i="1" s="1"/>
  <c r="AH107" i="1"/>
  <c r="B107" i="1" s="1"/>
  <c r="C107" i="1" s="1"/>
  <c r="AH59" i="1"/>
  <c r="B59" i="1" s="1"/>
  <c r="C59" i="1" s="1"/>
  <c r="AH284" i="1"/>
  <c r="B284" i="1" s="1"/>
  <c r="C284" i="1" s="1"/>
  <c r="AH46" i="1"/>
  <c r="B46" i="1" s="1"/>
  <c r="C46" i="1" s="1"/>
  <c r="E2" i="2"/>
  <c r="AH116" i="1"/>
  <c r="B116" i="1" s="1"/>
  <c r="C116" i="1" s="1"/>
  <c r="AH291" i="1"/>
  <c r="B291" i="1" s="1"/>
  <c r="C291" i="1" s="1"/>
  <c r="AH147" i="1"/>
  <c r="B147" i="1" s="1"/>
  <c r="C147" i="1" s="1"/>
  <c r="AH9" i="1"/>
  <c r="B9" i="1" s="1"/>
  <c r="C9" i="1" s="1"/>
  <c r="AH170" i="1"/>
  <c r="B170" i="1" s="1"/>
  <c r="C170" i="1" s="1"/>
  <c r="AH130" i="1"/>
  <c r="B130" i="1" s="1"/>
  <c r="C130" i="1" s="1"/>
  <c r="AH153" i="1"/>
  <c r="B153" i="1" s="1"/>
  <c r="C153" i="1" s="1"/>
  <c r="AH311" i="1"/>
  <c r="B311" i="1" s="1"/>
  <c r="C311" i="1" s="1"/>
  <c r="AH113" i="1"/>
  <c r="B113" i="1" s="1"/>
  <c r="C113" i="1" s="1"/>
  <c r="AH27" i="1"/>
  <c r="B27" i="1" s="1"/>
  <c r="C27" i="1" s="1"/>
  <c r="AH35" i="1"/>
  <c r="B35" i="1" s="1"/>
  <c r="C35" i="1" s="1"/>
  <c r="AH14" i="1"/>
  <c r="B14" i="1" s="1"/>
  <c r="C14" i="1" s="1"/>
  <c r="AH221" i="1"/>
  <c r="B221" i="1" s="1"/>
  <c r="C221" i="1" s="1"/>
  <c r="AH209" i="1"/>
  <c r="B209" i="1" s="1"/>
  <c r="C209" i="1" s="1"/>
  <c r="AH136" i="1"/>
  <c r="B136" i="1" s="1"/>
  <c r="C136" i="1" s="1"/>
  <c r="AH90" i="1"/>
  <c r="B90" i="1" s="1"/>
  <c r="C90" i="1" s="1"/>
  <c r="AH246" i="1"/>
  <c r="B246" i="1" s="1"/>
  <c r="C246" i="1" s="1"/>
  <c r="AH77" i="1"/>
  <c r="B77" i="1" s="1"/>
  <c r="C77" i="1" s="1"/>
  <c r="AH200" i="1"/>
  <c r="B200" i="1" s="1"/>
  <c r="C200" i="1" s="1"/>
  <c r="L2" i="2"/>
  <c r="AH96" i="1"/>
  <c r="B96" i="1" s="1"/>
  <c r="C96" i="1" s="1"/>
  <c r="AH29" i="1"/>
  <c r="B29" i="1" s="1"/>
  <c r="C29" i="1" s="1"/>
  <c r="AH165" i="1"/>
  <c r="B165" i="1" s="1"/>
  <c r="C165" i="1" s="1"/>
  <c r="AH144" i="1"/>
  <c r="B144" i="1" s="1"/>
  <c r="C144" i="1" s="1"/>
  <c r="AH215" i="1"/>
  <c r="B215" i="1" s="1"/>
  <c r="C215" i="1" s="1"/>
  <c r="AH281" i="1"/>
  <c r="B281" i="1" s="1"/>
  <c r="C281" i="1" s="1"/>
  <c r="AH158" i="1"/>
  <c r="B158" i="1" s="1"/>
  <c r="C158" i="1" s="1"/>
  <c r="AH228" i="1"/>
  <c r="B228" i="1" s="1"/>
  <c r="C228" i="1" s="1"/>
  <c r="AH162" i="1"/>
  <c r="B162" i="1" s="1"/>
  <c r="C162" i="1" s="1"/>
  <c r="AH3" i="1"/>
  <c r="B3" i="1" s="1"/>
  <c r="K2" i="2"/>
  <c r="AH81" i="1"/>
  <c r="B81" i="1" s="1"/>
  <c r="C81" i="1" s="1"/>
  <c r="AH320" i="1"/>
  <c r="B320" i="1" s="1"/>
  <c r="C320" i="1" s="1"/>
  <c r="AH203" i="1"/>
  <c r="B203" i="1" s="1"/>
  <c r="C203" i="1" s="1"/>
  <c r="AH21" i="1"/>
  <c r="B21" i="1" s="1"/>
  <c r="C21" i="1" s="1"/>
  <c r="AH318" i="1"/>
  <c r="B318" i="1" s="1"/>
  <c r="C318" i="1" s="1"/>
  <c r="AH177" i="1"/>
  <c r="B177" i="1" s="1"/>
  <c r="C177" i="1" s="1"/>
  <c r="AH168" i="1"/>
  <c r="B168" i="1" s="1"/>
  <c r="C168" i="1" s="1"/>
  <c r="AH25" i="1"/>
  <c r="B25" i="1" s="1"/>
  <c r="C25" i="1" s="1"/>
  <c r="AH205" i="1"/>
  <c r="B205" i="1" s="1"/>
  <c r="C205" i="1" s="1"/>
  <c r="AH155" i="1"/>
  <c r="B155" i="1" s="1"/>
  <c r="C155" i="1" s="1"/>
  <c r="AH123" i="1"/>
  <c r="B123" i="1" s="1"/>
  <c r="C123" i="1" s="1"/>
  <c r="AH118" i="1"/>
  <c r="B118" i="1" s="1"/>
  <c r="C118" i="1" s="1"/>
  <c r="AH160" i="1"/>
  <c r="B160" i="1" s="1"/>
  <c r="C160" i="1" s="1"/>
  <c r="AH184" i="1"/>
  <c r="B184" i="1" s="1"/>
  <c r="C184" i="1" s="1"/>
  <c r="AH192" i="1"/>
  <c r="B192" i="1" s="1"/>
  <c r="C192" i="1" s="1"/>
  <c r="AH120" i="1"/>
  <c r="B120" i="1" s="1"/>
  <c r="C120" i="1" s="1"/>
  <c r="AH253" i="1"/>
  <c r="B253" i="1" s="1"/>
  <c r="C253" i="1" s="1"/>
  <c r="AH212" i="1"/>
  <c r="B212" i="1" s="1"/>
  <c r="C212" i="1" s="1"/>
  <c r="AH66" i="1"/>
  <c r="B66" i="1" s="1"/>
  <c r="C66" i="1" s="1"/>
  <c r="AH259" i="1"/>
  <c r="B259" i="1" s="1"/>
  <c r="C259" i="1" s="1"/>
  <c r="AH256" i="1"/>
  <c r="B256" i="1" s="1"/>
  <c r="C256" i="1" s="1"/>
  <c r="AH271" i="1"/>
  <c r="B271" i="1" s="1"/>
  <c r="C271" i="1" s="1"/>
  <c r="AH105" i="1"/>
  <c r="B105" i="1" s="1"/>
  <c r="C105" i="1" s="1"/>
  <c r="AH41" i="1"/>
  <c r="B41" i="1" s="1"/>
  <c r="C41" i="1" s="1"/>
  <c r="AH242" i="1"/>
  <c r="B242" i="1" s="1"/>
  <c r="C242" i="1" s="1"/>
  <c r="AI327" i="1"/>
  <c r="AI328" i="1" s="1"/>
  <c r="AI329" i="1" s="1"/>
  <c r="AH327" i="1"/>
  <c r="B1" i="3"/>
  <c r="B2" i="3" s="1"/>
  <c r="AH326" i="1"/>
  <c r="AB662" i="1"/>
  <c r="AB660" i="1"/>
  <c r="AC660" i="1"/>
  <c r="AB659" i="1"/>
  <c r="AC657" i="1"/>
  <c r="AB657" i="1"/>
  <c r="AF655" i="1"/>
  <c r="AF654" i="1"/>
  <c r="AB654" i="1"/>
  <c r="AF652" i="1"/>
  <c r="AB651" i="1"/>
  <c r="AF650" i="1"/>
  <c r="AF649" i="1"/>
  <c r="AF648" i="1"/>
  <c r="AB647" i="1"/>
  <c r="AC646" i="1"/>
  <c r="AB646" i="1"/>
  <c r="AB645" i="1"/>
  <c r="AF645" i="1"/>
  <c r="AB643" i="1"/>
  <c r="AC643" i="1"/>
  <c r="AF642" i="1"/>
  <c r="AC642" i="1"/>
  <c r="AB640" i="1"/>
  <c r="AC640" i="1"/>
  <c r="AC639" i="1"/>
  <c r="AF639" i="1"/>
  <c r="AC637" i="1"/>
  <c r="AF635" i="1"/>
  <c r="AB635" i="1"/>
  <c r="AB633" i="1"/>
  <c r="AB632" i="1"/>
  <c r="AC631" i="1"/>
  <c r="AC630" i="1"/>
  <c r="AC629" i="1"/>
  <c r="AF629" i="1"/>
  <c r="AC628" i="1"/>
  <c r="AF628" i="1"/>
  <c r="AC626" i="1"/>
  <c r="AB625" i="1"/>
  <c r="AF624" i="1"/>
  <c r="AC623" i="1"/>
  <c r="AC622" i="1"/>
  <c r="AC621" i="1"/>
  <c r="AF621" i="1"/>
  <c r="AF620" i="1"/>
  <c r="AC620" i="1"/>
  <c r="AB618" i="1"/>
  <c r="AC618" i="1"/>
  <c r="AB617" i="1"/>
  <c r="AF617" i="1"/>
  <c r="AB615" i="1"/>
  <c r="AB613" i="1"/>
  <c r="AC613" i="1"/>
  <c r="AB612" i="1"/>
  <c r="AF610" i="1"/>
  <c r="AB609" i="1"/>
  <c r="AC607" i="1"/>
  <c r="AF607" i="1"/>
  <c r="AB606" i="1"/>
  <c r="AF606" i="1"/>
  <c r="AB605" i="1"/>
  <c r="AC605" i="1"/>
  <c r="AC604" i="1"/>
  <c r="AB603" i="1"/>
  <c r="AF601" i="1"/>
  <c r="AB601" i="1"/>
  <c r="AF600" i="1"/>
  <c r="AC598" i="1"/>
  <c r="AB598" i="1"/>
  <c r="AF596" i="1"/>
  <c r="AF595" i="1"/>
  <c r="AB594" i="1"/>
  <c r="AC594" i="1"/>
  <c r="AC593" i="1"/>
  <c r="AF593" i="1"/>
  <c r="AB591" i="1"/>
  <c r="AC590" i="1"/>
  <c r="AC589" i="1"/>
  <c r="AF588" i="1"/>
  <c r="AB588" i="1"/>
  <c r="AB587" i="1"/>
  <c r="AF587" i="1"/>
  <c r="AF585" i="1"/>
  <c r="AF584" i="1"/>
  <c r="AF583" i="1"/>
  <c r="AF582" i="1"/>
  <c r="AB581" i="1"/>
  <c r="AB580" i="1"/>
  <c r="AF579" i="1"/>
  <c r="AF578" i="1"/>
  <c r="AC577" i="1"/>
  <c r="AC576" i="1"/>
  <c r="AC575" i="1"/>
  <c r="AF575" i="1"/>
  <c r="AB574" i="1"/>
  <c r="AF574" i="1"/>
  <c r="AC572" i="1"/>
  <c r="AF572" i="1"/>
  <c r="AB571" i="1"/>
  <c r="AF571" i="1"/>
  <c r="AF569" i="1"/>
  <c r="AC568" i="1"/>
  <c r="AF567" i="1"/>
  <c r="AB566" i="1"/>
  <c r="AC566" i="1"/>
  <c r="AF565" i="1"/>
  <c r="AC565" i="1"/>
  <c r="AC563" i="1"/>
  <c r="AF563" i="1"/>
  <c r="AB562" i="1"/>
  <c r="AC562" i="1"/>
  <c r="AC560" i="1"/>
  <c r="AC559" i="1"/>
  <c r="AC558" i="1"/>
  <c r="AB557" i="1"/>
  <c r="AC556" i="1"/>
  <c r="AF555" i="1"/>
  <c r="AB554" i="1"/>
  <c r="AF553" i="1"/>
  <c r="AB552" i="1"/>
  <c r="AF552" i="1"/>
  <c r="AB550" i="1"/>
  <c r="AF549" i="1"/>
  <c r="AF548" i="1"/>
  <c r="AF547" i="1"/>
  <c r="AC546" i="1"/>
  <c r="AC545" i="1"/>
  <c r="AF544" i="1"/>
  <c r="AC544" i="1"/>
  <c r="AB542" i="1"/>
  <c r="AC540" i="1"/>
  <c r="AB539" i="1"/>
  <c r="AC537" i="1"/>
  <c r="AB537" i="1"/>
  <c r="AF536" i="1"/>
  <c r="AC536" i="1"/>
  <c r="AF535" i="1"/>
  <c r="AC535" i="1"/>
  <c r="AC534" i="1"/>
  <c r="AB534" i="1"/>
  <c r="AB533" i="1"/>
  <c r="AC533" i="1"/>
  <c r="AB532" i="1"/>
  <c r="AC532" i="1"/>
  <c r="AB531" i="1"/>
  <c r="AB530" i="1"/>
  <c r="AB528" i="1"/>
  <c r="AB527" i="1"/>
  <c r="AB525" i="1"/>
  <c r="AF525" i="1"/>
  <c r="AF523" i="1"/>
  <c r="AB521" i="1"/>
  <c r="AF521" i="1"/>
  <c r="AC519" i="1"/>
  <c r="AB519" i="1"/>
  <c r="AC518" i="1"/>
  <c r="AB518" i="1"/>
  <c r="AC516" i="1"/>
  <c r="AF514" i="1"/>
  <c r="AB514" i="1"/>
  <c r="AF512" i="1"/>
  <c r="AB511" i="1"/>
  <c r="AC510" i="1"/>
  <c r="AB509" i="1"/>
  <c r="AF508" i="1"/>
  <c r="AF507" i="1"/>
  <c r="AF506" i="1"/>
  <c r="AF505" i="1"/>
  <c r="AC504" i="1"/>
  <c r="AB504" i="1"/>
  <c r="AC503" i="1"/>
  <c r="AB503" i="1"/>
  <c r="AB501" i="1"/>
  <c r="AC499" i="1"/>
  <c r="AF499" i="1"/>
  <c r="AC498" i="1"/>
  <c r="AC496" i="1"/>
  <c r="AB496" i="1"/>
  <c r="AB495" i="1"/>
  <c r="AC495" i="1"/>
  <c r="AF494" i="1"/>
  <c r="AC494" i="1"/>
  <c r="AF493" i="1"/>
  <c r="AC493" i="1"/>
  <c r="AB492" i="1"/>
  <c r="AC492" i="1"/>
  <c r="AF491" i="1"/>
  <c r="AC491" i="1"/>
  <c r="AB490" i="1"/>
  <c r="AF489" i="1"/>
  <c r="AC487" i="1"/>
  <c r="AB487" i="1"/>
  <c r="AF486" i="1"/>
  <c r="AC486" i="1"/>
  <c r="AF485" i="1"/>
  <c r="AC484" i="1"/>
  <c r="AF482" i="1"/>
  <c r="AB482" i="1"/>
  <c r="AF481" i="1"/>
  <c r="AB481" i="1"/>
  <c r="AB480" i="1"/>
  <c r="AF480" i="1"/>
  <c r="AB479" i="1"/>
  <c r="AC479" i="1"/>
  <c r="AF478" i="1"/>
  <c r="AB476" i="1"/>
  <c r="AF475" i="1"/>
  <c r="AC473" i="1"/>
  <c r="AB473" i="1"/>
  <c r="AF471" i="1"/>
  <c r="AB469" i="1"/>
  <c r="AF469" i="1"/>
  <c r="AF467" i="1"/>
  <c r="AC467" i="1"/>
  <c r="AF466" i="1"/>
  <c r="AC466" i="1"/>
  <c r="AB464" i="1"/>
  <c r="AC463" i="1"/>
  <c r="AF462" i="1"/>
  <c r="AB461" i="1"/>
  <c r="AC460" i="1"/>
  <c r="AF460" i="1"/>
  <c r="AB459" i="1"/>
  <c r="AF459" i="1"/>
  <c r="AB457" i="1"/>
  <c r="AB456" i="1"/>
  <c r="AF455" i="1"/>
  <c r="AB454" i="1"/>
  <c r="AC453" i="1"/>
  <c r="AF452" i="1"/>
  <c r="AC451" i="1"/>
  <c r="AF451" i="1"/>
  <c r="AF449" i="1"/>
  <c r="AC449" i="1"/>
  <c r="AC448" i="1"/>
  <c r="AB448" i="1"/>
  <c r="AF446" i="1"/>
  <c r="AB444" i="1"/>
  <c r="AF443" i="1"/>
  <c r="AC441" i="1"/>
  <c r="AB441" i="1"/>
  <c r="AC439" i="1"/>
  <c r="AF437" i="1"/>
  <c r="AB437" i="1"/>
  <c r="AF436" i="1"/>
  <c r="AC436" i="1"/>
  <c r="AC435" i="1"/>
  <c r="AF434" i="1"/>
  <c r="AF432" i="1"/>
  <c r="AB431" i="1"/>
  <c r="AC429" i="1"/>
  <c r="AF428" i="1"/>
  <c r="AC426" i="1"/>
  <c r="AB426" i="1"/>
  <c r="AF425" i="1"/>
  <c r="AF424" i="1"/>
  <c r="AB422" i="1"/>
  <c r="AF422" i="1"/>
  <c r="AC421" i="1"/>
  <c r="AC419" i="1"/>
  <c r="AF419" i="1"/>
  <c r="AF418" i="1"/>
  <c r="AC418" i="1"/>
  <c r="AC417" i="1"/>
  <c r="AB417" i="1"/>
  <c r="AF416" i="1"/>
  <c r="AC416" i="1"/>
  <c r="AF415" i="1"/>
  <c r="AC415" i="1"/>
  <c r="AB414" i="1"/>
  <c r="AF414" i="1"/>
  <c r="AF413" i="1"/>
  <c r="AC413" i="1"/>
  <c r="AF412" i="1"/>
  <c r="AB412" i="1"/>
  <c r="AC411" i="1"/>
  <c r="AB411" i="1"/>
  <c r="AC410" i="1"/>
  <c r="AB410" i="1"/>
  <c r="AF409" i="1"/>
  <c r="AB408" i="1"/>
  <c r="AF406" i="1"/>
  <c r="AB406" i="1"/>
  <c r="AF405" i="1"/>
  <c r="AB405" i="1"/>
  <c r="AB404" i="1"/>
  <c r="AC404" i="1"/>
  <c r="AB403" i="1"/>
  <c r="AF403" i="1"/>
  <c r="AC402" i="1"/>
  <c r="AF402" i="1"/>
  <c r="AB401" i="1"/>
  <c r="AF401" i="1"/>
  <c r="AB400" i="1"/>
  <c r="AC400" i="1"/>
  <c r="AF399" i="1"/>
  <c r="AB399" i="1"/>
  <c r="AC398" i="1"/>
  <c r="AB398" i="1"/>
  <c r="AF397" i="1"/>
  <c r="AC397" i="1"/>
  <c r="AB396" i="1"/>
  <c r="AB394" i="1"/>
  <c r="AC394" i="1"/>
  <c r="AF393" i="1"/>
  <c r="AB393" i="1"/>
  <c r="AB392" i="1"/>
  <c r="AC392" i="1"/>
  <c r="AF391" i="1"/>
  <c r="AC391" i="1"/>
  <c r="AB390" i="1"/>
  <c r="AC390" i="1"/>
  <c r="AF389" i="1"/>
  <c r="AF387" i="1"/>
  <c r="AB387" i="1"/>
  <c r="AC386" i="1"/>
  <c r="AB386" i="1"/>
  <c r="AB385" i="1"/>
  <c r="AF385" i="1"/>
  <c r="AB384" i="1"/>
  <c r="AC384" i="1"/>
  <c r="AF383" i="1"/>
  <c r="AC383" i="1"/>
  <c r="AB382" i="1"/>
  <c r="AC382" i="1"/>
  <c r="AB381" i="1"/>
  <c r="AF381" i="1"/>
  <c r="AC380" i="1"/>
  <c r="AB380" i="1"/>
  <c r="AF379" i="1"/>
  <c r="AC379" i="1"/>
  <c r="AB378" i="1"/>
  <c r="AB377" i="1"/>
  <c r="AF375" i="1"/>
  <c r="AC375" i="1"/>
  <c r="AF374" i="1"/>
  <c r="AC374" i="1"/>
  <c r="AF373" i="1"/>
  <c r="AC373" i="1"/>
  <c r="AC372" i="1"/>
  <c r="AB372" i="1"/>
  <c r="AF371" i="1"/>
  <c r="AB369" i="1"/>
  <c r="AF369" i="1"/>
  <c r="AC368" i="1"/>
  <c r="AF368" i="1"/>
  <c r="AC367" i="1"/>
  <c r="AF367" i="1"/>
  <c r="AC366" i="1"/>
  <c r="AF366" i="1"/>
  <c r="AC365" i="1"/>
  <c r="AF363" i="1"/>
  <c r="AB363" i="1"/>
  <c r="AC361" i="1"/>
  <c r="AB360" i="1"/>
  <c r="AF360" i="1"/>
  <c r="AF358" i="1"/>
  <c r="AF357" i="1"/>
  <c r="AC356" i="1"/>
  <c r="AC355" i="1"/>
  <c r="AF354" i="1"/>
  <c r="AB353" i="1"/>
  <c r="AF352" i="1"/>
  <c r="AB351" i="1"/>
  <c r="AC350" i="1"/>
  <c r="AB350" i="1"/>
  <c r="AF349" i="1"/>
  <c r="AB349" i="1"/>
  <c r="AC347" i="1"/>
  <c r="AF346" i="1"/>
  <c r="AF345" i="1"/>
  <c r="AF344" i="1"/>
  <c r="AF343" i="1"/>
  <c r="AC342" i="1"/>
  <c r="AB341" i="1"/>
  <c r="AC340" i="1"/>
  <c r="AF340" i="1"/>
  <c r="AF338" i="1"/>
  <c r="AF337" i="1"/>
  <c r="AF336" i="1"/>
  <c r="AB335" i="1"/>
  <c r="AF334" i="1"/>
  <c r="AC333" i="1"/>
  <c r="AF332" i="1"/>
  <c r="AF331" i="1"/>
  <c r="AC331" i="1"/>
  <c r="AF329" i="1"/>
  <c r="AF328" i="1"/>
  <c r="I3" i="4"/>
  <c r="AC233" i="1"/>
  <c r="AC22" i="1"/>
  <c r="AB265" i="1"/>
  <c r="AB292" i="1"/>
  <c r="AC108" i="1"/>
  <c r="AC200" i="1"/>
  <c r="AC180" i="1"/>
  <c r="AC292" i="1"/>
  <c r="AB77" i="1"/>
  <c r="AC187" i="1"/>
  <c r="AB236" i="1"/>
  <c r="AB172" i="1"/>
  <c r="AB195" i="1"/>
  <c r="AB79" i="1"/>
  <c r="AC286" i="1"/>
  <c r="AB276" i="1"/>
  <c r="AC311" i="1"/>
  <c r="AC94" i="1"/>
  <c r="AB105" i="1"/>
  <c r="AB221" i="1"/>
  <c r="AB156" i="1"/>
  <c r="AC163" i="1"/>
  <c r="AC192" i="1"/>
  <c r="AB251" i="1"/>
  <c r="AB288" i="1"/>
  <c r="AC291" i="1"/>
  <c r="AB94" i="1"/>
  <c r="AB181" i="1"/>
  <c r="AB230" i="1"/>
  <c r="AB215" i="1"/>
  <c r="AB266" i="1"/>
  <c r="AC282" i="1"/>
  <c r="AB264" i="1"/>
  <c r="AB300" i="1"/>
  <c r="AC140" i="1"/>
  <c r="AB149" i="1"/>
  <c r="AB134" i="1"/>
  <c r="AB118" i="1"/>
  <c r="AC284" i="1"/>
  <c r="AC254" i="1"/>
  <c r="AB201" i="1"/>
  <c r="AB6" i="1"/>
  <c r="AC264" i="1"/>
  <c r="AC126" i="1"/>
  <c r="AC150" i="1"/>
  <c r="AB18" i="1"/>
  <c r="AC305" i="1"/>
  <c r="AB225" i="1"/>
  <c r="AB274" i="1"/>
  <c r="AB116" i="1"/>
  <c r="AB153" i="1"/>
  <c r="AB203" i="1"/>
  <c r="AC228" i="1"/>
  <c r="AC217" i="1"/>
  <c r="AC166" i="1"/>
  <c r="AB294" i="1"/>
  <c r="AB11" i="1"/>
  <c r="AB57" i="1"/>
  <c r="AB171" i="1"/>
  <c r="AB238" i="1"/>
  <c r="AB130" i="1"/>
  <c r="AC70" i="1"/>
  <c r="AC125" i="1"/>
  <c r="AC297" i="1"/>
  <c r="AB320" i="1"/>
  <c r="AB86" i="1"/>
  <c r="AC277" i="1"/>
  <c r="AB12" i="1"/>
  <c r="AB231" i="1"/>
  <c r="AC218" i="1"/>
  <c r="AC179" i="1"/>
  <c r="AC232" i="1"/>
  <c r="AB47" i="1"/>
  <c r="AC205" i="1"/>
  <c r="AB296" i="1"/>
  <c r="AC295" i="1"/>
  <c r="AB166" i="1"/>
  <c r="AC103" i="1"/>
  <c r="AB87" i="1"/>
  <c r="AC288" i="1"/>
  <c r="AC242" i="1"/>
  <c r="AB285" i="1"/>
  <c r="AB29" i="1"/>
  <c r="AC9" i="1"/>
  <c r="AC278" i="1"/>
  <c r="AC260" i="1"/>
  <c r="AB92" i="1"/>
  <c r="AC224" i="1"/>
  <c r="AB278" i="1"/>
  <c r="AB307" i="1"/>
  <c r="AB239" i="1"/>
  <c r="AC52" i="1"/>
  <c r="AB81" i="1"/>
  <c r="AC240" i="1"/>
  <c r="AB16" i="1"/>
  <c r="AC281" i="1"/>
  <c r="AB83" i="1"/>
  <c r="AB302" i="1"/>
  <c r="AC33" i="1"/>
  <c r="AC306" i="1"/>
  <c r="AB257" i="1"/>
  <c r="AB234" i="1"/>
  <c r="AC59" i="1"/>
  <c r="AC123" i="1"/>
  <c r="AB281" i="1"/>
  <c r="AB123" i="1"/>
  <c r="AB22" i="1"/>
  <c r="AC300" i="1"/>
  <c r="AB213" i="1"/>
  <c r="AC116" i="1"/>
  <c r="AC75" i="1"/>
  <c r="AB66" i="1"/>
  <c r="AC296" i="1"/>
  <c r="AC121" i="1"/>
  <c r="AC4" i="1"/>
  <c r="AB182" i="1"/>
  <c r="AC19" i="1"/>
  <c r="AC195" i="1"/>
  <c r="AB60" i="1"/>
  <c r="AB70" i="1"/>
  <c r="AC313" i="1"/>
  <c r="AB184" i="1"/>
  <c r="AB96" i="1"/>
  <c r="AB304" i="1"/>
  <c r="AB284" i="1"/>
  <c r="AC262" i="1"/>
  <c r="AC184" i="1"/>
  <c r="AB98" i="1"/>
  <c r="AC201" i="1"/>
  <c r="AB206" i="1"/>
  <c r="AB21" i="1"/>
  <c r="AC144" i="1"/>
  <c r="AC299" i="1"/>
  <c r="AB244" i="1"/>
  <c r="AC268" i="1"/>
  <c r="AB209" i="1"/>
  <c r="AB269" i="1"/>
  <c r="AC127" i="1"/>
  <c r="AB75" i="1"/>
  <c r="AB121" i="1"/>
  <c r="AB31" i="1"/>
  <c r="AB314" i="1"/>
  <c r="AB326" i="1"/>
  <c r="AB5" i="1"/>
  <c r="AC69" i="1"/>
  <c r="AC14" i="1"/>
  <c r="AC3" i="1"/>
  <c r="AC118" i="1"/>
  <c r="AC181" i="1"/>
  <c r="AC249" i="1"/>
  <c r="AC231" i="1"/>
  <c r="AC73" i="1"/>
  <c r="AB103" i="1"/>
  <c r="AB137" i="1"/>
  <c r="AC178" i="1"/>
  <c r="AB23" i="1"/>
  <c r="AC67" i="1"/>
  <c r="AB197" i="1"/>
  <c r="AC238" i="1"/>
  <c r="AB162" i="1"/>
  <c r="AC259" i="1"/>
  <c r="AB192" i="1"/>
  <c r="AC173" i="1"/>
  <c r="AC324" i="1"/>
  <c r="AB100" i="1"/>
  <c r="AC41" i="1"/>
  <c r="AC84" i="1"/>
  <c r="AB273" i="1"/>
  <c r="AC230" i="1"/>
  <c r="AB3" i="1"/>
  <c r="AC5" i="1"/>
  <c r="AB207" i="1"/>
  <c r="AC12" i="1"/>
  <c r="AB93" i="1"/>
  <c r="AC279" i="1"/>
  <c r="AB324" i="1"/>
  <c r="AB275" i="1"/>
  <c r="AB33" i="1"/>
  <c r="AC198" i="1"/>
  <c r="AB9" i="1"/>
  <c r="AB48" i="1"/>
  <c r="AB27" i="1"/>
  <c r="AC97" i="1"/>
  <c r="AB44" i="1"/>
  <c r="AC137" i="1"/>
  <c r="AC301" i="1"/>
  <c r="AB41" i="1"/>
  <c r="AB108" i="1"/>
  <c r="AC136" i="1"/>
  <c r="AC171" i="1"/>
  <c r="AB97" i="1"/>
  <c r="AB218" i="1"/>
  <c r="AC326" i="1"/>
  <c r="AB168" i="1"/>
  <c r="AC289" i="1"/>
  <c r="AC225" i="1"/>
  <c r="AB173" i="1"/>
  <c r="AB253" i="1"/>
  <c r="AB74" i="1"/>
  <c r="AB299" i="1"/>
  <c r="AB14" i="1"/>
  <c r="AB224" i="1"/>
  <c r="AB7" i="1"/>
  <c r="AC226" i="1"/>
  <c r="AC221" i="1"/>
  <c r="AB30" i="1"/>
  <c r="AC148" i="1"/>
  <c r="AC78" i="1"/>
  <c r="AB222" i="1"/>
  <c r="AC107" i="1"/>
  <c r="AB25" i="1"/>
  <c r="AC320" i="1"/>
  <c r="AC37" i="1"/>
  <c r="AB49" i="1"/>
  <c r="AB125" i="1"/>
  <c r="AB189" i="1"/>
  <c r="AB113" i="1"/>
  <c r="AC265" i="1"/>
  <c r="AC223" i="1"/>
  <c r="AB55" i="1"/>
  <c r="AB289" i="1"/>
  <c r="AC36" i="1"/>
  <c r="AB163" i="1"/>
  <c r="AC209" i="1"/>
  <c r="AC273" i="1"/>
  <c r="AC293" i="1"/>
  <c r="AB174" i="1"/>
  <c r="AB233" i="1"/>
  <c r="AB198" i="1"/>
  <c r="AC42" i="1"/>
  <c r="AC71" i="1"/>
  <c r="AC85" i="1"/>
  <c r="AB240" i="1"/>
  <c r="AC307" i="1"/>
  <c r="AC133" i="1"/>
  <c r="AC251" i="1"/>
  <c r="AC175" i="1"/>
  <c r="AB305" i="1"/>
  <c r="AC308" i="1"/>
  <c r="AB212" i="1"/>
  <c r="AC79" i="1"/>
  <c r="AB53" i="1"/>
  <c r="AB68" i="1"/>
  <c r="AC236" i="1"/>
  <c r="AB262" i="1"/>
  <c r="AB144" i="1"/>
  <c r="AC177" i="1"/>
  <c r="AC124" i="1"/>
  <c r="AC6" i="1"/>
  <c r="AB327" i="1"/>
  <c r="A3" i="2"/>
  <c r="AC138" i="1"/>
  <c r="AC222" i="1"/>
  <c r="AB107" i="1"/>
  <c r="AB308" i="1"/>
  <c r="AC151" i="1"/>
  <c r="AC54" i="1"/>
  <c r="AC139" i="1"/>
  <c r="AB120" i="1"/>
  <c r="AB78" i="1"/>
  <c r="AB232" i="1"/>
  <c r="AC285" i="1"/>
  <c r="AC303" i="1"/>
  <c r="AC74" i="1"/>
  <c r="AB293" i="1"/>
  <c r="AC21" i="1"/>
  <c r="AC23" i="1"/>
  <c r="AC190" i="1"/>
  <c r="AC57" i="1"/>
  <c r="AC162" i="1"/>
  <c r="AC66" i="1"/>
  <c r="AC274" i="1"/>
  <c r="AC98" i="1"/>
  <c r="AB216" i="1"/>
  <c r="AB260" i="1"/>
  <c r="AB126" i="1"/>
  <c r="AB138" i="1"/>
  <c r="AC113" i="1"/>
  <c r="AC142" i="1"/>
  <c r="AC156" i="1"/>
  <c r="AB88" i="1"/>
  <c r="AB147" i="1"/>
  <c r="AB90" i="1"/>
  <c r="AB132" i="1"/>
  <c r="AB142" i="1"/>
  <c r="AB187" i="1"/>
  <c r="AF662" i="1"/>
  <c r="AC662" i="1"/>
  <c r="AF660" i="1"/>
  <c r="AC659" i="1"/>
  <c r="AF659" i="1"/>
  <c r="AF657" i="1"/>
  <c r="AB655" i="1"/>
  <c r="AC655" i="1"/>
  <c r="AC654" i="1"/>
  <c r="AB652" i="1"/>
  <c r="AC652" i="1"/>
  <c r="AC651" i="1"/>
  <c r="AF651" i="1"/>
  <c r="AC650" i="1"/>
  <c r="AB650" i="1"/>
  <c r="AB649" i="1"/>
  <c r="AC649" i="1"/>
  <c r="AB648" i="1"/>
  <c r="AC648" i="1"/>
  <c r="AC647" i="1"/>
  <c r="AF647" i="1"/>
  <c r="AF646" i="1"/>
  <c r="AC645" i="1"/>
  <c r="AF643" i="1"/>
  <c r="AB642" i="1"/>
  <c r="AF640" i="1"/>
  <c r="AB639" i="1"/>
  <c r="AB637" i="1"/>
  <c r="AF637" i="1"/>
  <c r="AC635" i="1"/>
  <c r="AF633" i="1"/>
  <c r="AC633" i="1"/>
  <c r="AF632" i="1"/>
  <c r="AC632" i="1"/>
  <c r="AF631" i="1"/>
  <c r="AB631" i="1"/>
  <c r="AB630" i="1"/>
  <c r="AF630" i="1"/>
  <c r="AB629" i="1"/>
  <c r="AB628" i="1"/>
  <c r="AB626" i="1"/>
  <c r="AF626" i="1"/>
  <c r="AC625" i="1"/>
  <c r="AF625" i="1"/>
  <c r="AC624" i="1"/>
  <c r="AB624" i="1"/>
  <c r="AB623" i="1"/>
  <c r="AF623" i="1"/>
  <c r="AB622" i="1"/>
  <c r="AF622" i="1"/>
  <c r="AB621" i="1"/>
  <c r="AB620" i="1"/>
  <c r="AF618" i="1"/>
  <c r="AC617" i="1"/>
  <c r="AF615" i="1"/>
  <c r="AC615" i="1"/>
  <c r="AF613" i="1"/>
  <c r="AC612" i="1"/>
  <c r="AF612" i="1"/>
  <c r="AB610" i="1"/>
  <c r="AC610" i="1"/>
  <c r="AC609" i="1"/>
  <c r="AF609" i="1"/>
  <c r="AB607" i="1"/>
  <c r="AC606" i="1"/>
  <c r="AF605" i="1"/>
  <c r="AF604" i="1"/>
  <c r="AB604" i="1"/>
  <c r="AC603" i="1"/>
  <c r="AF603" i="1"/>
  <c r="AC601" i="1"/>
  <c r="AB600" i="1"/>
  <c r="AC600" i="1"/>
  <c r="AF598" i="1"/>
  <c r="AB596" i="1"/>
  <c r="AC596" i="1"/>
  <c r="AB595" i="1"/>
  <c r="AC595" i="1"/>
  <c r="AF594" i="1"/>
  <c r="AB593" i="1"/>
  <c r="AC591" i="1"/>
  <c r="AF591" i="1"/>
  <c r="AF590" i="1"/>
  <c r="AB590" i="1"/>
  <c r="AF589" i="1"/>
  <c r="AB589" i="1"/>
  <c r="AC588" i="1"/>
  <c r="AC587" i="1"/>
  <c r="AC585" i="1"/>
  <c r="AB585" i="1"/>
  <c r="AB584" i="1"/>
  <c r="AC584" i="1"/>
  <c r="AC583" i="1"/>
  <c r="AB583" i="1"/>
  <c r="AC582" i="1"/>
  <c r="AB582" i="1"/>
  <c r="AF581" i="1"/>
  <c r="AC581" i="1"/>
  <c r="AF580" i="1"/>
  <c r="AC580" i="1"/>
  <c r="AC579" i="1"/>
  <c r="AB579" i="1"/>
  <c r="AB578" i="1"/>
  <c r="AC578" i="1"/>
  <c r="AF577" i="1"/>
  <c r="AB577" i="1"/>
  <c r="AF576" i="1"/>
  <c r="AB576" i="1"/>
  <c r="AB575" i="1"/>
  <c r="AC574" i="1"/>
  <c r="AB572" i="1"/>
  <c r="AC571" i="1"/>
  <c r="AC569" i="1"/>
  <c r="AB569" i="1"/>
  <c r="AF568" i="1"/>
  <c r="AB568" i="1"/>
  <c r="AC567" i="1"/>
  <c r="AB567" i="1"/>
  <c r="AF566" i="1"/>
  <c r="AB565" i="1"/>
  <c r="AB563" i="1"/>
  <c r="AF562" i="1"/>
  <c r="AB560" i="1"/>
  <c r="AF560" i="1"/>
  <c r="AB559" i="1"/>
  <c r="AF559" i="1"/>
  <c r="AF558" i="1"/>
  <c r="AB558" i="1"/>
  <c r="AF557" i="1"/>
  <c r="AC557" i="1"/>
  <c r="AF556" i="1"/>
  <c r="AB556" i="1"/>
  <c r="AC555" i="1"/>
  <c r="AB555" i="1"/>
  <c r="AF554" i="1"/>
  <c r="AC554" i="1"/>
  <c r="AB553" i="1"/>
  <c r="AC553" i="1"/>
  <c r="AC552" i="1"/>
  <c r="AC550" i="1"/>
  <c r="AF550" i="1"/>
  <c r="AB549" i="1"/>
  <c r="AC549" i="1"/>
  <c r="AB548" i="1"/>
  <c r="AC548" i="1"/>
  <c r="AC547" i="1"/>
  <c r="AB547" i="1"/>
  <c r="AB546" i="1"/>
  <c r="AF546" i="1"/>
  <c r="AB545" i="1"/>
  <c r="AF545" i="1"/>
  <c r="AB544" i="1"/>
  <c r="AF542" i="1"/>
  <c r="AC542" i="1"/>
  <c r="AB540" i="1"/>
  <c r="AF540" i="1"/>
  <c r="AC539" i="1"/>
  <c r="AF539" i="1"/>
  <c r="AF537" i="1"/>
  <c r="AB536" i="1"/>
  <c r="AB535" i="1"/>
  <c r="AF534" i="1"/>
  <c r="AF533" i="1"/>
  <c r="AF532" i="1"/>
  <c r="AC531" i="1"/>
  <c r="AF531" i="1"/>
  <c r="AF530" i="1"/>
  <c r="AC530" i="1"/>
  <c r="AC528" i="1"/>
  <c r="AF528" i="1"/>
  <c r="AC527" i="1"/>
  <c r="AF527" i="1"/>
  <c r="AC525" i="1"/>
  <c r="AC523" i="1"/>
  <c r="AB523" i="1"/>
  <c r="AC521" i="1"/>
  <c r="AF519" i="1"/>
  <c r="AF518" i="1"/>
  <c r="AF516" i="1"/>
  <c r="AB516" i="1"/>
  <c r="AC514" i="1"/>
  <c r="AB512" i="1"/>
  <c r="AC512" i="1"/>
  <c r="AF511" i="1"/>
  <c r="AC511" i="1"/>
  <c r="AB510" i="1"/>
  <c r="AF510" i="1"/>
  <c r="AC509" i="1"/>
  <c r="AF509" i="1"/>
  <c r="AB508" i="1"/>
  <c r="AC508" i="1"/>
  <c r="AB507" i="1"/>
  <c r="AC507" i="1"/>
  <c r="AC506" i="1"/>
  <c r="AB506" i="1"/>
  <c r="AB505" i="1"/>
  <c r="AC505" i="1"/>
  <c r="AF504" i="1"/>
  <c r="AF503" i="1"/>
  <c r="AF501" i="1"/>
  <c r="AC501" i="1"/>
  <c r="AB499" i="1"/>
  <c r="AB498" i="1"/>
  <c r="AF498" i="1"/>
  <c r="AF496" i="1"/>
  <c r="AF495" i="1"/>
  <c r="AB494" i="1"/>
  <c r="AB493" i="1"/>
  <c r="AF492" i="1"/>
  <c r="AB491" i="1"/>
  <c r="AF490" i="1"/>
  <c r="AC490" i="1"/>
  <c r="AB489" i="1"/>
  <c r="AC489" i="1"/>
  <c r="AF487" i="1"/>
  <c r="AB486" i="1"/>
  <c r="AB485" i="1"/>
  <c r="AC485" i="1"/>
  <c r="AB484" i="1"/>
  <c r="AF484" i="1"/>
  <c r="AC482" i="1"/>
  <c r="AC481" i="1"/>
  <c r="AC480" i="1"/>
  <c r="AF479" i="1"/>
  <c r="AB478" i="1"/>
  <c r="AC478" i="1"/>
  <c r="AF476" i="1"/>
  <c r="AC476" i="1"/>
  <c r="AC475" i="1"/>
  <c r="AB475" i="1"/>
  <c r="AF473" i="1"/>
  <c r="AC471" i="1"/>
  <c r="AB471" i="1"/>
  <c r="AC469" i="1"/>
  <c r="AB467" i="1"/>
  <c r="AB466" i="1"/>
  <c r="AC464" i="1"/>
  <c r="AF464" i="1"/>
  <c r="AB463" i="1"/>
  <c r="AF463" i="1"/>
  <c r="AC462" i="1"/>
  <c r="AB462" i="1"/>
  <c r="AC461" i="1"/>
  <c r="AF461" i="1"/>
  <c r="AB460" i="1"/>
  <c r="AC459" i="1"/>
  <c r="AF457" i="1"/>
  <c r="AC457" i="1"/>
  <c r="AF456" i="1"/>
  <c r="AC456" i="1"/>
  <c r="AB455" i="1"/>
  <c r="AC455" i="1"/>
  <c r="AC454" i="1"/>
  <c r="AF454" i="1"/>
  <c r="AF453" i="1"/>
  <c r="AB453" i="1"/>
  <c r="AB452" i="1"/>
  <c r="AC452" i="1"/>
  <c r="AB451" i="1"/>
  <c r="AB449" i="1"/>
  <c r="AF448" i="1"/>
  <c r="AC446" i="1"/>
  <c r="AB446" i="1"/>
  <c r="AC444" i="1"/>
  <c r="AF444" i="1"/>
  <c r="AB443" i="1"/>
  <c r="AC443" i="1"/>
  <c r="AF441" i="1"/>
  <c r="AF439" i="1"/>
  <c r="AB439" i="1"/>
  <c r="AC437" i="1"/>
  <c r="AB436" i="1"/>
  <c r="AB435" i="1"/>
  <c r="AF435" i="1"/>
  <c r="AB434" i="1"/>
  <c r="AC434" i="1"/>
  <c r="AC432" i="1"/>
  <c r="AB432" i="1"/>
  <c r="AF431" i="1"/>
  <c r="AC431" i="1"/>
  <c r="AF429" i="1"/>
  <c r="AB429" i="1"/>
  <c r="AC428" i="1"/>
  <c r="AB428" i="1"/>
  <c r="AF426" i="1"/>
  <c r="AC425" i="1"/>
  <c r="AB425" i="1"/>
  <c r="AC424" i="1"/>
  <c r="AB424" i="1"/>
  <c r="AC422" i="1"/>
  <c r="AF421" i="1"/>
  <c r="AB421" i="1"/>
  <c r="AB419" i="1"/>
  <c r="AB418" i="1"/>
  <c r="AF417" i="1"/>
  <c r="AB416" i="1"/>
  <c r="AB415" i="1"/>
  <c r="AC414" i="1"/>
  <c r="AB413" i="1"/>
  <c r="AC412" i="1"/>
  <c r="AF411" i="1"/>
  <c r="AF410" i="1"/>
  <c r="AC409" i="1"/>
  <c r="AB409" i="1"/>
  <c r="AF408" i="1"/>
  <c r="AC408" i="1"/>
  <c r="AC406" i="1"/>
  <c r="AC405" i="1"/>
  <c r="AF404" i="1"/>
  <c r="AC403" i="1"/>
  <c r="AB402" i="1"/>
  <c r="AC401" i="1"/>
  <c r="AF400" i="1"/>
  <c r="AC399" i="1"/>
  <c r="AF398" i="1"/>
  <c r="AB397" i="1"/>
  <c r="AF396" i="1"/>
  <c r="AC396" i="1"/>
  <c r="AF394" i="1"/>
  <c r="AC393" i="1"/>
  <c r="AF392" i="1"/>
  <c r="AB391" i="1"/>
  <c r="AF390" i="1"/>
  <c r="AC389" i="1"/>
  <c r="AB389" i="1"/>
  <c r="AC387" i="1"/>
  <c r="AF386" i="1"/>
  <c r="AC385" i="1"/>
  <c r="AF384" i="1"/>
  <c r="AB383" i="1"/>
  <c r="AF382" i="1"/>
  <c r="AC381" i="1"/>
  <c r="AF380" i="1"/>
  <c r="AB379" i="1"/>
  <c r="AC378" i="1"/>
  <c r="AF378" i="1"/>
  <c r="AF377" i="1"/>
  <c r="AC377" i="1"/>
  <c r="AB375" i="1"/>
  <c r="AB374" i="1"/>
  <c r="AB373" i="1"/>
  <c r="AF372" i="1"/>
  <c r="AB371" i="1"/>
  <c r="AC371" i="1"/>
  <c r="AC369" i="1"/>
  <c r="AB368" i="1"/>
  <c r="AB367" i="1"/>
  <c r="AB366" i="1"/>
  <c r="AF365" i="1"/>
  <c r="AB365" i="1"/>
  <c r="AC363" i="1"/>
  <c r="AF361" i="1"/>
  <c r="AB361" i="1"/>
  <c r="AC360" i="1"/>
  <c r="AB358" i="1"/>
  <c r="AC358" i="1"/>
  <c r="AB357" i="1"/>
  <c r="AC357" i="1"/>
  <c r="AB356" i="1"/>
  <c r="AF356" i="1"/>
  <c r="AB355" i="1"/>
  <c r="AF355" i="1"/>
  <c r="AC354" i="1"/>
  <c r="AB354" i="1"/>
  <c r="AC353" i="1"/>
  <c r="AF353" i="1"/>
  <c r="AC352" i="1"/>
  <c r="AB352" i="1"/>
  <c r="AF351" i="1"/>
  <c r="AC351" i="1"/>
  <c r="AF350" i="1"/>
  <c r="AC349" i="1"/>
  <c r="AF347" i="1"/>
  <c r="AB347" i="1"/>
  <c r="AC346" i="1"/>
  <c r="AB346" i="1"/>
  <c r="AB345" i="1"/>
  <c r="AC345" i="1"/>
  <c r="AB344" i="1"/>
  <c r="AC344" i="1"/>
  <c r="AB343" i="1"/>
  <c r="AC343" i="1"/>
  <c r="AB342" i="1"/>
  <c r="AF342" i="1"/>
  <c r="AF341" i="1"/>
  <c r="AC341" i="1"/>
  <c r="AB340" i="1"/>
  <c r="AC338" i="1"/>
  <c r="AB338" i="1"/>
  <c r="AB337" i="1"/>
  <c r="AC337" i="1"/>
  <c r="AC336" i="1"/>
  <c r="AB336" i="1"/>
  <c r="AF335" i="1"/>
  <c r="AC335" i="1"/>
  <c r="AC334" i="1"/>
  <c r="AB334" i="1"/>
  <c r="AB333" i="1"/>
  <c r="AF333" i="1"/>
  <c r="AC332" i="1"/>
  <c r="AB332" i="1"/>
  <c r="AB331" i="1"/>
  <c r="AC329" i="1"/>
  <c r="AB329" i="1"/>
  <c r="AB328" i="1"/>
  <c r="AC328" i="1"/>
  <c r="N2" i="2"/>
  <c r="J3" i="4"/>
  <c r="C2" i="2"/>
  <c r="AB223" i="1"/>
  <c r="AC213" i="1"/>
  <c r="AB297" i="1"/>
  <c r="AC46" i="1"/>
  <c r="AB151" i="1"/>
  <c r="AB109" i="1"/>
  <c r="AB160" i="1"/>
  <c r="AB193" i="1"/>
  <c r="AC55" i="1"/>
  <c r="AB46" i="1"/>
  <c r="AC48" i="1"/>
  <c r="AC10" i="1"/>
  <c r="AC88" i="1"/>
  <c r="AC165" i="1"/>
  <c r="AC246" i="1"/>
  <c r="AC189" i="1"/>
  <c r="AC131" i="1"/>
  <c r="AB249" i="1"/>
  <c r="AC261" i="1"/>
  <c r="AB256" i="1"/>
  <c r="AB261" i="1"/>
  <c r="AC49" i="1"/>
  <c r="AC237" i="1"/>
  <c r="AC304" i="1"/>
  <c r="AC172" i="1"/>
  <c r="AB43" i="1"/>
  <c r="AC188" i="1"/>
  <c r="AC196" i="1"/>
  <c r="AC318" i="1"/>
  <c r="AB268" i="1"/>
  <c r="AC100" i="1"/>
  <c r="AB71" i="1"/>
  <c r="AC18" i="1"/>
  <c r="AB311" i="1"/>
  <c r="AC182" i="1"/>
  <c r="AC147" i="1"/>
  <c r="AC53" i="1"/>
  <c r="AB52" i="1"/>
  <c r="AC158" i="1"/>
  <c r="AB170" i="1"/>
  <c r="AB186" i="1"/>
  <c r="AC253" i="1"/>
  <c r="AB128" i="1"/>
  <c r="AC149" i="1"/>
  <c r="AB177" i="1"/>
  <c r="AB84" i="1"/>
  <c r="AB226" i="1"/>
  <c r="AB185" i="1"/>
  <c r="AC81" i="1"/>
  <c r="AB62" i="1"/>
  <c r="AB141" i="1"/>
  <c r="AC257" i="1"/>
  <c r="AC193" i="1"/>
  <c r="AC314" i="1"/>
  <c r="AC91" i="1"/>
  <c r="AC271" i="1"/>
  <c r="AC212" i="1"/>
  <c r="AB194" i="1"/>
  <c r="AB19" i="1"/>
  <c r="AC29" i="1"/>
  <c r="AB217" i="1"/>
  <c r="AB286" i="1"/>
  <c r="AB63" i="1"/>
  <c r="AC92" i="1"/>
  <c r="AC16" i="1"/>
  <c r="AB165" i="1"/>
  <c r="AC39" i="1"/>
  <c r="AC248" i="1"/>
  <c r="AC111" i="1"/>
  <c r="AB102" i="1"/>
  <c r="AB180" i="1"/>
  <c r="AB64" i="1"/>
  <c r="AC44" i="1"/>
  <c r="AC210" i="1"/>
  <c r="AB67" i="1"/>
  <c r="AC31" i="1"/>
  <c r="AB124" i="1"/>
  <c r="AB188" i="1"/>
  <c r="AB111" i="1"/>
  <c r="AB306" i="1"/>
  <c r="AC11" i="1"/>
  <c r="AB247" i="1"/>
  <c r="AC272" i="1"/>
  <c r="AC287" i="1"/>
  <c r="AB259" i="1"/>
  <c r="AC322" i="1"/>
  <c r="AC62" i="1"/>
  <c r="AC132" i="1"/>
  <c r="AC68" i="1"/>
  <c r="AB200" i="1"/>
  <c r="AB237" i="1"/>
  <c r="AC17" i="1"/>
  <c r="AC93" i="1"/>
  <c r="AC105" i="1"/>
  <c r="AB301" i="1"/>
  <c r="AC83" i="1"/>
  <c r="AB140" i="1"/>
  <c r="AC316" i="1"/>
  <c r="AC168" i="1"/>
  <c r="AB303" i="1"/>
  <c r="AB39" i="1"/>
  <c r="AB279" i="1"/>
  <c r="AB175" i="1"/>
  <c r="AC234" i="1"/>
  <c r="AB10" i="1"/>
  <c r="AB56" i="1"/>
  <c r="AB316" i="1"/>
  <c r="AC7" i="1"/>
  <c r="AB309" i="1"/>
  <c r="AC216" i="1"/>
  <c r="AC63" i="1"/>
  <c r="AB133" i="1"/>
  <c r="AB158" i="1"/>
  <c r="AC256" i="1"/>
  <c r="AC114" i="1"/>
  <c r="AB42" i="1"/>
  <c r="AB318" i="1"/>
  <c r="AB99" i="1"/>
  <c r="AC203" i="1"/>
  <c r="AB287" i="1"/>
  <c r="AB313" i="1"/>
  <c r="AC87" i="1"/>
  <c r="AB246" i="1"/>
  <c r="AB291" i="1"/>
  <c r="AC244" i="1"/>
  <c r="AB145" i="1"/>
  <c r="AC86" i="1"/>
  <c r="AB295" i="1"/>
  <c r="AB205" i="1"/>
  <c r="AB69" i="1"/>
  <c r="AC64" i="1"/>
  <c r="AC302" i="1"/>
  <c r="AC130" i="1"/>
  <c r="AC102" i="1"/>
  <c r="AB196" i="1"/>
  <c r="AB50" i="1"/>
  <c r="AB148" i="1"/>
  <c r="AB179" i="1"/>
  <c r="AC30" i="1"/>
  <c r="AC294" i="1"/>
  <c r="AB190" i="1"/>
  <c r="AB4" i="1"/>
  <c r="AB219" i="1"/>
  <c r="AC99" i="1"/>
  <c r="AC267" i="1"/>
  <c r="AC269" i="1"/>
  <c r="AB54" i="1"/>
  <c r="AB131" i="1"/>
  <c r="AC153" i="1"/>
  <c r="AC275" i="1"/>
  <c r="AC185" i="1"/>
  <c r="AB73" i="1"/>
  <c r="AC60" i="1"/>
  <c r="AB277" i="1"/>
  <c r="AB35" i="1"/>
  <c r="AB248" i="1"/>
  <c r="AB322" i="1"/>
  <c r="AC186" i="1"/>
  <c r="AC90" i="1"/>
  <c r="AB228" i="1"/>
  <c r="AC25" i="1"/>
  <c r="AC160" i="1"/>
  <c r="AC145" i="1"/>
  <c r="AC207" i="1"/>
  <c r="AB136" i="1"/>
  <c r="AB17" i="1"/>
  <c r="AC128" i="1"/>
  <c r="AC309" i="1"/>
  <c r="AB72" i="1"/>
  <c r="AC96" i="1"/>
  <c r="AB59" i="1"/>
  <c r="AB271" i="1"/>
  <c r="AC266" i="1"/>
  <c r="AB150" i="1"/>
  <c r="AC27" i="1"/>
  <c r="AB210" i="1"/>
  <c r="AC194" i="1"/>
  <c r="AC50" i="1"/>
  <c r="AB155" i="1"/>
  <c r="AC247" i="1"/>
  <c r="AB282" i="1"/>
  <c r="AC56" i="1"/>
  <c r="AB254" i="1"/>
  <c r="AF326" i="1"/>
  <c r="AC109" i="1"/>
  <c r="AC77" i="1"/>
  <c r="AB85" i="1"/>
  <c r="AB114" i="1"/>
  <c r="AC141" i="1"/>
  <c r="AB91" i="1"/>
  <c r="AC219" i="1"/>
  <c r="AB178" i="1"/>
  <c r="AB272" i="1"/>
  <c r="AB36" i="1"/>
  <c r="AC239" i="1"/>
  <c r="AC120" i="1"/>
  <c r="AC174" i="1"/>
  <c r="AC134" i="1"/>
  <c r="AC197" i="1"/>
  <c r="AC72" i="1"/>
  <c r="AC47" i="1"/>
  <c r="AC206" i="1"/>
  <c r="AC35" i="1"/>
  <c r="AB37" i="1"/>
  <c r="AB139" i="1"/>
  <c r="AC276" i="1"/>
  <c r="AC215" i="1"/>
  <c r="AB127" i="1"/>
  <c r="AC170" i="1"/>
  <c r="AB242" i="1"/>
  <c r="AC155" i="1"/>
  <c r="AC43" i="1"/>
  <c r="AB267" i="1"/>
  <c r="AF327" i="1"/>
  <c r="AC327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G66" i="2" l="1"/>
  <c r="R66" i="2"/>
  <c r="R65" i="2"/>
  <c r="G65" i="2"/>
  <c r="R64" i="2"/>
  <c r="G64" i="2"/>
  <c r="R63" i="2"/>
  <c r="G63" i="2"/>
  <c r="R62" i="2"/>
  <c r="G62" i="2"/>
  <c r="R61" i="2"/>
  <c r="G61" i="2"/>
  <c r="R60" i="2"/>
  <c r="G60" i="2"/>
  <c r="R59" i="2"/>
  <c r="G59" i="2"/>
  <c r="R58" i="2"/>
  <c r="G58" i="2"/>
  <c r="R57" i="2"/>
  <c r="G57" i="2"/>
  <c r="R56" i="2"/>
  <c r="G56" i="2"/>
  <c r="R55" i="2"/>
  <c r="G55" i="2"/>
  <c r="R54" i="2"/>
  <c r="G54" i="2"/>
  <c r="R53" i="2"/>
  <c r="G53" i="2"/>
  <c r="G52" i="2"/>
  <c r="R52" i="2"/>
  <c r="R51" i="2"/>
  <c r="G51" i="2"/>
  <c r="R50" i="2"/>
  <c r="G50" i="2"/>
  <c r="R49" i="2"/>
  <c r="G49" i="2"/>
  <c r="G48" i="2"/>
  <c r="R48" i="2"/>
  <c r="R47" i="2"/>
  <c r="G47" i="2"/>
  <c r="R46" i="2"/>
  <c r="G46" i="2"/>
  <c r="R45" i="2"/>
  <c r="G45" i="2"/>
  <c r="G44" i="2"/>
  <c r="R44" i="2"/>
  <c r="G43" i="2"/>
  <c r="R43" i="2"/>
  <c r="G42" i="2"/>
  <c r="R42" i="2"/>
  <c r="G41" i="2"/>
  <c r="R41" i="2"/>
  <c r="G40" i="2"/>
  <c r="R40" i="2"/>
  <c r="G39" i="2"/>
  <c r="R39" i="2"/>
  <c r="G38" i="2"/>
  <c r="R38" i="2"/>
  <c r="R37" i="2"/>
  <c r="G37" i="2"/>
  <c r="R36" i="2"/>
  <c r="G36" i="2"/>
  <c r="R35" i="2"/>
  <c r="G35" i="2"/>
  <c r="G34" i="2"/>
  <c r="R34" i="2"/>
  <c r="R33" i="2"/>
  <c r="G33" i="2"/>
  <c r="G32" i="2"/>
  <c r="R32" i="2"/>
  <c r="R31" i="2"/>
  <c r="G31" i="2"/>
  <c r="R30" i="2"/>
  <c r="G30" i="2"/>
  <c r="G29" i="2"/>
  <c r="R29" i="2"/>
  <c r="G28" i="2"/>
  <c r="R28" i="2"/>
  <c r="R27" i="2"/>
  <c r="G27" i="2"/>
  <c r="R26" i="2"/>
  <c r="G26" i="2"/>
  <c r="R25" i="2"/>
  <c r="G25" i="2"/>
  <c r="R24" i="2"/>
  <c r="G24" i="2"/>
  <c r="G23" i="2"/>
  <c r="R23" i="2"/>
  <c r="R22" i="2"/>
  <c r="G22" i="2"/>
  <c r="R21" i="2"/>
  <c r="G21" i="2"/>
  <c r="G20" i="2"/>
  <c r="R20" i="2"/>
  <c r="R19" i="2"/>
  <c r="G19" i="2"/>
  <c r="G18" i="2"/>
  <c r="R18" i="2"/>
  <c r="G17" i="2"/>
  <c r="R17" i="2"/>
  <c r="G16" i="2"/>
  <c r="R16" i="2"/>
  <c r="R15" i="2"/>
  <c r="G15" i="2"/>
  <c r="G14" i="2"/>
  <c r="R14" i="2"/>
  <c r="G13" i="2"/>
  <c r="R13" i="2"/>
  <c r="G12" i="2"/>
  <c r="R12" i="2"/>
  <c r="G11" i="2"/>
  <c r="R11" i="2"/>
  <c r="G10" i="2"/>
  <c r="R10" i="2"/>
  <c r="R9" i="2"/>
  <c r="G9" i="2"/>
  <c r="G8" i="2"/>
  <c r="R8" i="2"/>
  <c r="G7" i="2"/>
  <c r="R7" i="2"/>
  <c r="G6" i="2"/>
  <c r="R6" i="2"/>
  <c r="R5" i="2"/>
  <c r="G5" i="2"/>
  <c r="G4" i="2"/>
  <c r="R4" i="2"/>
  <c r="B326" i="1"/>
  <c r="C326" i="1" s="1"/>
  <c r="N3" i="4"/>
  <c r="B365" i="1"/>
  <c r="C365" i="1" s="1"/>
  <c r="B377" i="1"/>
  <c r="C377" i="1" s="1"/>
  <c r="B396" i="1"/>
  <c r="C396" i="1" s="1"/>
  <c r="B408" i="1"/>
  <c r="C408" i="1" s="1"/>
  <c r="B421" i="1"/>
  <c r="C421" i="1" s="1"/>
  <c r="B431" i="1"/>
  <c r="C431" i="1" s="1"/>
  <c r="B439" i="1"/>
  <c r="C439" i="1" s="1"/>
  <c r="B441" i="1"/>
  <c r="C441" i="1" s="1"/>
  <c r="B448" i="1"/>
  <c r="C448" i="1" s="1"/>
  <c r="B473" i="1"/>
  <c r="C473" i="1" s="1"/>
  <c r="B484" i="1"/>
  <c r="C484" i="1" s="1"/>
  <c r="B498" i="1"/>
  <c r="C498" i="1" s="1"/>
  <c r="B501" i="1"/>
  <c r="C501" i="1" s="1"/>
  <c r="B503" i="1"/>
  <c r="C503" i="1" s="1"/>
  <c r="B516" i="1"/>
  <c r="C516" i="1" s="1"/>
  <c r="B518" i="1"/>
  <c r="C518" i="1" s="1"/>
  <c r="B527" i="1"/>
  <c r="C527" i="1" s="1"/>
  <c r="B530" i="1"/>
  <c r="C530" i="1" s="1"/>
  <c r="B539" i="1"/>
  <c r="C539" i="1" s="1"/>
  <c r="B542" i="1"/>
  <c r="C542" i="1" s="1"/>
  <c r="B562" i="1"/>
  <c r="C562" i="1" s="1"/>
  <c r="B598" i="1"/>
  <c r="C598" i="1" s="1"/>
  <c r="B603" i="1"/>
  <c r="C603" i="1" s="1"/>
  <c r="B609" i="1"/>
  <c r="C609" i="1" s="1"/>
  <c r="B612" i="1"/>
  <c r="C612" i="1" s="1"/>
  <c r="B615" i="1"/>
  <c r="C615" i="1" s="1"/>
  <c r="B637" i="1"/>
  <c r="C637" i="1" s="1"/>
  <c r="B657" i="1"/>
  <c r="C657" i="1" s="1"/>
  <c r="B659" i="1"/>
  <c r="C659" i="1" s="1"/>
  <c r="B662" i="1"/>
  <c r="C662" i="1" s="1"/>
  <c r="G3" i="2"/>
  <c r="R3" i="2"/>
  <c r="K3" i="4"/>
  <c r="L3" i="4" s="1"/>
  <c r="M3" i="4" s="1"/>
  <c r="B331" i="1"/>
  <c r="C331" i="1" s="1"/>
  <c r="B340" i="1"/>
  <c r="C340" i="1" s="1"/>
  <c r="B349" i="1"/>
  <c r="C349" i="1" s="1"/>
  <c r="B360" i="1"/>
  <c r="C360" i="1" s="1"/>
  <c r="B363" i="1"/>
  <c r="C363" i="1" s="1"/>
  <c r="B371" i="1"/>
  <c r="C371" i="1" s="1"/>
  <c r="B389" i="1"/>
  <c r="C389" i="1" s="1"/>
  <c r="B424" i="1"/>
  <c r="C424" i="1" s="1"/>
  <c r="B428" i="1"/>
  <c r="C428" i="1" s="1"/>
  <c r="B434" i="1"/>
  <c r="C434" i="1" s="1"/>
  <c r="B443" i="1"/>
  <c r="C443" i="1" s="1"/>
  <c r="B446" i="1"/>
  <c r="C446" i="1" s="1"/>
  <c r="B451" i="1"/>
  <c r="C451" i="1" s="1"/>
  <c r="B459" i="1"/>
  <c r="C459" i="1" s="1"/>
  <c r="B466" i="1"/>
  <c r="C466" i="1" s="1"/>
  <c r="B469" i="1"/>
  <c r="C469" i="1" s="1"/>
  <c r="B471" i="1"/>
  <c r="C471" i="1" s="1"/>
  <c r="B475" i="1"/>
  <c r="C475" i="1" s="1"/>
  <c r="B478" i="1"/>
  <c r="C478" i="1" s="1"/>
  <c r="B489" i="1"/>
  <c r="C489" i="1" s="1"/>
  <c r="B514" i="1"/>
  <c r="C514" i="1" s="1"/>
  <c r="B521" i="1"/>
  <c r="C521" i="1" s="1"/>
  <c r="B523" i="1"/>
  <c r="C523" i="1" s="1"/>
  <c r="B525" i="1"/>
  <c r="C525" i="1" s="1"/>
  <c r="B544" i="1"/>
  <c r="C544" i="1" s="1"/>
  <c r="B552" i="1"/>
  <c r="C552" i="1" s="1"/>
  <c r="B565" i="1"/>
  <c r="C565" i="1" s="1"/>
  <c r="B571" i="1"/>
  <c r="C571" i="1" s="1"/>
  <c r="B574" i="1"/>
  <c r="C574" i="1" s="1"/>
  <c r="B587" i="1"/>
  <c r="C587" i="1" s="1"/>
  <c r="B593" i="1"/>
  <c r="C593" i="1" s="1"/>
  <c r="B600" i="1"/>
  <c r="C600" i="1" s="1"/>
  <c r="B617" i="1"/>
  <c r="C617" i="1" s="1"/>
  <c r="B620" i="1"/>
  <c r="C620" i="1" s="1"/>
  <c r="B628" i="1"/>
  <c r="C628" i="1" s="1"/>
  <c r="B635" i="1"/>
  <c r="C635" i="1" s="1"/>
  <c r="B639" i="1"/>
  <c r="C639" i="1" s="1"/>
  <c r="B642" i="1"/>
  <c r="C642" i="1" s="1"/>
  <c r="B645" i="1"/>
  <c r="C645" i="1" s="1"/>
  <c r="B654" i="1"/>
  <c r="C654" i="1" s="1"/>
  <c r="C3" i="1"/>
  <c r="M2" i="2"/>
  <c r="O2" i="2" s="1"/>
  <c r="P2" i="2" s="1"/>
  <c r="Q2" i="2" s="1"/>
  <c r="C66" i="2"/>
  <c r="J66" i="2"/>
  <c r="B65" i="2"/>
  <c r="I65" i="2"/>
  <c r="F65" i="2"/>
  <c r="I64" i="2"/>
  <c r="B64" i="2"/>
  <c r="J64" i="2"/>
  <c r="H63" i="2"/>
  <c r="J63" i="2"/>
  <c r="I63" i="2"/>
  <c r="I62" i="2"/>
  <c r="F62" i="2"/>
  <c r="H62" i="2"/>
  <c r="C61" i="2"/>
  <c r="B61" i="2"/>
  <c r="J61" i="2"/>
  <c r="F61" i="2"/>
  <c r="F60" i="2"/>
  <c r="B60" i="2"/>
  <c r="F59" i="2"/>
  <c r="J59" i="2"/>
  <c r="I59" i="2"/>
  <c r="H59" i="2"/>
  <c r="H58" i="2"/>
  <c r="I58" i="2"/>
  <c r="B57" i="2"/>
  <c r="J57" i="2"/>
  <c r="H57" i="2"/>
  <c r="F57" i="2"/>
  <c r="J56" i="2"/>
  <c r="C56" i="2"/>
  <c r="J55" i="2"/>
  <c r="F55" i="2"/>
  <c r="C55" i="2"/>
  <c r="B55" i="2"/>
  <c r="J54" i="2"/>
  <c r="F54" i="2"/>
  <c r="J53" i="2"/>
  <c r="F53" i="2"/>
  <c r="B53" i="2"/>
  <c r="H53" i="2"/>
  <c r="J52" i="2"/>
  <c r="H52" i="2"/>
  <c r="C51" i="2"/>
  <c r="H51" i="2"/>
  <c r="B51" i="2"/>
  <c r="F51" i="2"/>
  <c r="C50" i="2"/>
  <c r="H50" i="2"/>
  <c r="J49" i="2"/>
  <c r="H49" i="2"/>
  <c r="I49" i="2"/>
  <c r="C48" i="2"/>
  <c r="I48" i="2"/>
  <c r="B47" i="2"/>
  <c r="J47" i="2"/>
  <c r="C47" i="2"/>
  <c r="H47" i="2"/>
  <c r="B46" i="2"/>
  <c r="I46" i="2"/>
  <c r="F45" i="2"/>
  <c r="B45" i="2"/>
  <c r="I45" i="2"/>
  <c r="H45" i="2"/>
  <c r="B44" i="2"/>
  <c r="I44" i="2"/>
  <c r="C43" i="2"/>
  <c r="H43" i="2"/>
  <c r="B43" i="2"/>
  <c r="F43" i="2"/>
  <c r="I42" i="2"/>
  <c r="J42" i="2"/>
  <c r="B41" i="2"/>
  <c r="H41" i="2"/>
  <c r="I41" i="2"/>
  <c r="H40" i="2"/>
  <c r="C40" i="2"/>
  <c r="B39" i="2"/>
  <c r="F39" i="2"/>
  <c r="C39" i="2"/>
  <c r="H39" i="2"/>
  <c r="I38" i="2"/>
  <c r="B38" i="2"/>
  <c r="B37" i="2"/>
  <c r="C37" i="2"/>
  <c r="H37" i="2"/>
  <c r="I37" i="2"/>
  <c r="B36" i="2"/>
  <c r="I36" i="2"/>
  <c r="B35" i="2"/>
  <c r="H35" i="2"/>
  <c r="J35" i="2"/>
  <c r="F35" i="2"/>
  <c r="H34" i="2"/>
  <c r="J34" i="2"/>
  <c r="B33" i="2"/>
  <c r="H33" i="2"/>
  <c r="C33" i="2"/>
  <c r="F33" i="2"/>
  <c r="B32" i="2"/>
  <c r="F32" i="2"/>
  <c r="B31" i="2"/>
  <c r="F31" i="2"/>
  <c r="C31" i="2"/>
  <c r="H31" i="2"/>
  <c r="C30" i="2"/>
  <c r="H30" i="2"/>
  <c r="J29" i="2"/>
  <c r="I29" i="2"/>
  <c r="C29" i="2"/>
  <c r="F29" i="2"/>
  <c r="I28" i="2"/>
  <c r="J28" i="2"/>
  <c r="J27" i="2"/>
  <c r="C27" i="2"/>
  <c r="H27" i="2"/>
  <c r="F27" i="2"/>
  <c r="J26" i="2"/>
  <c r="C26" i="2"/>
  <c r="I25" i="2"/>
  <c r="J25" i="2"/>
  <c r="B25" i="2"/>
  <c r="C25" i="2"/>
  <c r="H24" i="2"/>
  <c r="J24" i="2"/>
  <c r="C23" i="2"/>
  <c r="I23" i="2"/>
  <c r="H23" i="2"/>
  <c r="F23" i="2"/>
  <c r="F22" i="2"/>
  <c r="J22" i="2"/>
  <c r="B21" i="2"/>
  <c r="I21" i="2"/>
  <c r="H21" i="2"/>
  <c r="C21" i="2"/>
  <c r="H20" i="2"/>
  <c r="F20" i="2"/>
  <c r="J19" i="2"/>
  <c r="B19" i="2"/>
  <c r="C19" i="2"/>
  <c r="I19" i="2"/>
  <c r="H18" i="2"/>
  <c r="B18" i="2"/>
  <c r="I17" i="2"/>
  <c r="C17" i="2"/>
  <c r="B17" i="2"/>
  <c r="H17" i="2"/>
  <c r="H16" i="2"/>
  <c r="J16" i="2"/>
  <c r="C15" i="2"/>
  <c r="H15" i="2"/>
  <c r="B15" i="2"/>
  <c r="I15" i="2"/>
  <c r="F14" i="2"/>
  <c r="C14" i="2"/>
  <c r="H13" i="2"/>
  <c r="F13" i="2"/>
  <c r="J13" i="2"/>
  <c r="C13" i="2"/>
  <c r="F12" i="2"/>
  <c r="B12" i="2"/>
  <c r="C11" i="2"/>
  <c r="J11" i="2"/>
  <c r="I11" i="2"/>
  <c r="B11" i="2"/>
  <c r="H10" i="2"/>
  <c r="F10" i="2"/>
  <c r="I9" i="2"/>
  <c r="C9" i="2"/>
  <c r="F9" i="2"/>
  <c r="J8" i="2"/>
  <c r="H8" i="2"/>
  <c r="C8" i="2"/>
  <c r="J7" i="2"/>
  <c r="H7" i="2"/>
  <c r="B7" i="2"/>
  <c r="B6" i="2"/>
  <c r="I6" i="2"/>
  <c r="J5" i="2"/>
  <c r="C5" i="2"/>
  <c r="H5" i="2"/>
  <c r="J4" i="2"/>
  <c r="H4" i="2"/>
  <c r="C3" i="2"/>
  <c r="J3" i="2"/>
  <c r="I3" i="2"/>
  <c r="B3" i="2"/>
  <c r="H66" i="2"/>
  <c r="F66" i="2"/>
  <c r="I66" i="2"/>
  <c r="B66" i="2"/>
  <c r="C65" i="2"/>
  <c r="J65" i="2"/>
  <c r="H65" i="2"/>
  <c r="H64" i="2"/>
  <c r="F64" i="2"/>
  <c r="C64" i="2"/>
  <c r="C63" i="2"/>
  <c r="F63" i="2"/>
  <c r="B63" i="2"/>
  <c r="C62" i="2"/>
  <c r="J62" i="2"/>
  <c r="B62" i="2"/>
  <c r="H61" i="2"/>
  <c r="I61" i="2"/>
  <c r="J60" i="2"/>
  <c r="H60" i="2"/>
  <c r="C60" i="2"/>
  <c r="I60" i="2"/>
  <c r="C59" i="2"/>
  <c r="B59" i="2"/>
  <c r="F58" i="2"/>
  <c r="C58" i="2"/>
  <c r="J58" i="2"/>
  <c r="B58" i="2"/>
  <c r="C57" i="2"/>
  <c r="I57" i="2"/>
  <c r="I56" i="2"/>
  <c r="F56" i="2"/>
  <c r="B56" i="2"/>
  <c r="H56" i="2"/>
  <c r="I55" i="2"/>
  <c r="H55" i="2"/>
  <c r="C54" i="2"/>
  <c r="B54" i="2"/>
  <c r="H54" i="2"/>
  <c r="I54" i="2"/>
  <c r="C53" i="2"/>
  <c r="I53" i="2"/>
  <c r="F52" i="2"/>
  <c r="I52" i="2"/>
  <c r="C52" i="2"/>
  <c r="B52" i="2"/>
  <c r="J51" i="2"/>
  <c r="I51" i="2"/>
  <c r="B50" i="2"/>
  <c r="I50" i="2"/>
  <c r="J50" i="2"/>
  <c r="F50" i="2"/>
  <c r="F49" i="2"/>
  <c r="B49" i="2"/>
  <c r="C49" i="2"/>
  <c r="F48" i="2"/>
  <c r="B48" i="2"/>
  <c r="H48" i="2"/>
  <c r="J48" i="2"/>
  <c r="F47" i="2"/>
  <c r="I47" i="2"/>
  <c r="C46" i="2"/>
  <c r="F46" i="2"/>
  <c r="J46" i="2"/>
  <c r="H46" i="2"/>
  <c r="J45" i="2"/>
  <c r="C45" i="2"/>
  <c r="J44" i="2"/>
  <c r="F44" i="2"/>
  <c r="C44" i="2"/>
  <c r="H44" i="2"/>
  <c r="I43" i="2"/>
  <c r="J43" i="2"/>
  <c r="C42" i="2"/>
  <c r="F42" i="2"/>
  <c r="B42" i="2"/>
  <c r="H42" i="2"/>
  <c r="F41" i="2"/>
  <c r="C41" i="2"/>
  <c r="J41" i="2"/>
  <c r="I40" i="2"/>
  <c r="J40" i="2"/>
  <c r="F40" i="2"/>
  <c r="B40" i="2"/>
  <c r="J39" i="2"/>
  <c r="I39" i="2"/>
  <c r="H38" i="2"/>
  <c r="F38" i="2"/>
  <c r="J38" i="2"/>
  <c r="C38" i="2"/>
  <c r="F37" i="2"/>
  <c r="J37" i="2"/>
  <c r="C36" i="2"/>
  <c r="J36" i="2"/>
  <c r="F36" i="2"/>
  <c r="H36" i="2"/>
  <c r="C35" i="2"/>
  <c r="I35" i="2"/>
  <c r="B34" i="2"/>
  <c r="C34" i="2"/>
  <c r="I34" i="2"/>
  <c r="F34" i="2"/>
  <c r="I33" i="2"/>
  <c r="J33" i="2"/>
  <c r="H32" i="2"/>
  <c r="J32" i="2"/>
  <c r="I32" i="2"/>
  <c r="C32" i="2"/>
  <c r="J31" i="2"/>
  <c r="I31" i="2"/>
  <c r="J30" i="2"/>
  <c r="I30" i="2"/>
  <c r="B30" i="2"/>
  <c r="F30" i="2"/>
  <c r="B29" i="2"/>
  <c r="H29" i="2"/>
  <c r="H28" i="2"/>
  <c r="C28" i="2"/>
  <c r="F28" i="2"/>
  <c r="B28" i="2"/>
  <c r="I27" i="2"/>
  <c r="B27" i="2"/>
  <c r="F26" i="2"/>
  <c r="B26" i="2"/>
  <c r="H26" i="2"/>
  <c r="I26" i="2"/>
  <c r="H25" i="2"/>
  <c r="F25" i="2"/>
  <c r="F24" i="2"/>
  <c r="C24" i="2"/>
  <c r="I24" i="2"/>
  <c r="B24" i="2"/>
  <c r="B23" i="2"/>
  <c r="J23" i="2"/>
  <c r="H22" i="2"/>
  <c r="I22" i="2"/>
  <c r="C22" i="2"/>
  <c r="B22" i="2"/>
  <c r="J21" i="2"/>
  <c r="F21" i="2"/>
  <c r="C20" i="2"/>
  <c r="B20" i="2"/>
  <c r="I20" i="2"/>
  <c r="J20" i="2"/>
  <c r="F19" i="2"/>
  <c r="H19" i="2"/>
  <c r="C18" i="2"/>
  <c r="J18" i="2"/>
  <c r="F18" i="2"/>
  <c r="I18" i="2"/>
  <c r="J17" i="2"/>
  <c r="F17" i="2"/>
  <c r="C16" i="2"/>
  <c r="I16" i="2"/>
  <c r="F16" i="2"/>
  <c r="B16" i="2"/>
  <c r="F15" i="2"/>
  <c r="J15" i="2"/>
  <c r="B14" i="2"/>
  <c r="H14" i="2"/>
  <c r="J14" i="2"/>
  <c r="I14" i="2"/>
  <c r="B13" i="2"/>
  <c r="I13" i="2"/>
  <c r="C12" i="2"/>
  <c r="H12" i="2"/>
  <c r="I12" i="2"/>
  <c r="J12" i="2"/>
  <c r="H11" i="2"/>
  <c r="F11" i="2"/>
  <c r="I10" i="2"/>
  <c r="B10" i="2"/>
  <c r="C10" i="2"/>
  <c r="J10" i="2"/>
  <c r="B9" i="2"/>
  <c r="J9" i="2"/>
  <c r="H9" i="2"/>
  <c r="B8" i="2"/>
  <c r="F8" i="2"/>
  <c r="I8" i="2"/>
  <c r="I7" i="2"/>
  <c r="F7" i="2"/>
  <c r="C7" i="2"/>
  <c r="H6" i="2"/>
  <c r="C6" i="2"/>
  <c r="F6" i="2"/>
  <c r="J6" i="2"/>
  <c r="B5" i="2"/>
  <c r="I5" i="2"/>
  <c r="F5" i="2"/>
  <c r="C4" i="2"/>
  <c r="I4" i="2"/>
  <c r="B4" i="2"/>
  <c r="F4" i="2"/>
  <c r="H3" i="2"/>
  <c r="F3" i="2"/>
  <c r="B3" i="8"/>
  <c r="B3" i="5"/>
  <c r="B3" i="9"/>
  <c r="B3" i="12"/>
  <c r="B3" i="7"/>
  <c r="B4" i="8"/>
  <c r="B4" i="5"/>
  <c r="B4" i="9"/>
  <c r="B4" i="7"/>
  <c r="B5" i="5"/>
  <c r="B5" i="7"/>
  <c r="B6" i="5"/>
  <c r="B6" i="7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E4" i="2" l="1"/>
  <c r="D4" i="2"/>
  <c r="L4" i="2"/>
  <c r="K4" i="2"/>
  <c r="E5" i="2"/>
  <c r="D5" i="2"/>
  <c r="L5" i="2"/>
  <c r="K5" i="2"/>
  <c r="E8" i="2"/>
  <c r="D8" i="2"/>
  <c r="K8" i="2"/>
  <c r="M8" i="2" s="1"/>
  <c r="L8" i="2"/>
  <c r="E9" i="2"/>
  <c r="D9" i="2"/>
  <c r="L9" i="2"/>
  <c r="K9" i="2"/>
  <c r="E10" i="2"/>
  <c r="D10" i="2"/>
  <c r="L10" i="2"/>
  <c r="K10" i="2"/>
  <c r="E13" i="2"/>
  <c r="D13" i="2"/>
  <c r="L13" i="2"/>
  <c r="K13" i="2"/>
  <c r="E14" i="2"/>
  <c r="D14" i="2"/>
  <c r="K14" i="2"/>
  <c r="M14" i="2" s="1"/>
  <c r="L14" i="2"/>
  <c r="E16" i="2"/>
  <c r="D16" i="2"/>
  <c r="L16" i="2"/>
  <c r="K16" i="2"/>
  <c r="E20" i="2"/>
  <c r="D20" i="2"/>
  <c r="K20" i="2"/>
  <c r="M20" i="2" s="1"/>
  <c r="L20" i="2"/>
  <c r="E22" i="2"/>
  <c r="D22" i="2"/>
  <c r="L22" i="2"/>
  <c r="K22" i="2"/>
  <c r="E23" i="2"/>
  <c r="D23" i="2"/>
  <c r="K23" i="2"/>
  <c r="L23" i="2"/>
  <c r="E24" i="2"/>
  <c r="D24" i="2"/>
  <c r="K24" i="2"/>
  <c r="L24" i="2"/>
  <c r="E26" i="2"/>
  <c r="D26" i="2"/>
  <c r="L26" i="2"/>
  <c r="K26" i="2"/>
  <c r="E27" i="2"/>
  <c r="D27" i="2"/>
  <c r="L27" i="2"/>
  <c r="K27" i="2"/>
  <c r="E28" i="2"/>
  <c r="D28" i="2"/>
  <c r="L28" i="2"/>
  <c r="K28" i="2"/>
  <c r="E29" i="2"/>
  <c r="D29" i="2"/>
  <c r="L29" i="2"/>
  <c r="K29" i="2"/>
  <c r="E30" i="2"/>
  <c r="D30" i="2"/>
  <c r="K30" i="2"/>
  <c r="L30" i="2"/>
  <c r="E34" i="2"/>
  <c r="D34" i="2"/>
  <c r="L34" i="2"/>
  <c r="K34" i="2"/>
  <c r="E40" i="2"/>
  <c r="D40" i="2"/>
  <c r="K40" i="2"/>
  <c r="M40" i="2" s="1"/>
  <c r="L40" i="2"/>
  <c r="E42" i="2"/>
  <c r="D42" i="2"/>
  <c r="K42" i="2"/>
  <c r="M42" i="2" s="1"/>
  <c r="L42" i="2"/>
  <c r="E48" i="2"/>
  <c r="D48" i="2"/>
  <c r="K48" i="2"/>
  <c r="M48" i="2" s="1"/>
  <c r="L48" i="2"/>
  <c r="E49" i="2"/>
  <c r="D49" i="2"/>
  <c r="K49" i="2"/>
  <c r="M49" i="2" s="1"/>
  <c r="I5" i="7" s="1"/>
  <c r="L49" i="2"/>
  <c r="E50" i="2"/>
  <c r="D50" i="2"/>
  <c r="L50" i="2"/>
  <c r="K50" i="2"/>
  <c r="E52" i="2"/>
  <c r="D52" i="2"/>
  <c r="L52" i="2"/>
  <c r="K52" i="2"/>
  <c r="E54" i="2"/>
  <c r="D54" i="2"/>
  <c r="K54" i="2"/>
  <c r="M54" i="2" s="1"/>
  <c r="L54" i="2"/>
  <c r="D56" i="2"/>
  <c r="E56" i="2"/>
  <c r="L56" i="2"/>
  <c r="K56" i="2"/>
  <c r="D58" i="2"/>
  <c r="E58" i="2"/>
  <c r="K58" i="2"/>
  <c r="M58" i="2" s="1"/>
  <c r="L58" i="2"/>
  <c r="D59" i="2"/>
  <c r="E59" i="2"/>
  <c r="L59" i="2"/>
  <c r="K59" i="2"/>
  <c r="D62" i="2"/>
  <c r="E62" i="2"/>
  <c r="L62" i="2"/>
  <c r="K62" i="2"/>
  <c r="D63" i="2"/>
  <c r="E63" i="2"/>
  <c r="K63" i="2"/>
  <c r="M63" i="2" s="1"/>
  <c r="I26" i="5" s="1"/>
  <c r="L63" i="2"/>
  <c r="D66" i="2"/>
  <c r="E66" i="2"/>
  <c r="K66" i="2"/>
  <c r="M66" i="2" s="1"/>
  <c r="I28" i="5" s="1"/>
  <c r="L66" i="2"/>
  <c r="E3" i="2"/>
  <c r="N39" i="4"/>
  <c r="N35" i="4"/>
  <c r="N51" i="4"/>
  <c r="N37" i="4"/>
  <c r="N44" i="4"/>
  <c r="N38" i="4"/>
  <c r="N42" i="4"/>
  <c r="N52" i="4"/>
  <c r="N41" i="4"/>
  <c r="N49" i="4"/>
  <c r="N50" i="4"/>
  <c r="N36" i="4"/>
  <c r="N43" i="4"/>
  <c r="N40" i="4"/>
  <c r="N47" i="4"/>
  <c r="N46" i="4"/>
  <c r="N45" i="4"/>
  <c r="N33" i="4"/>
  <c r="N34" i="4"/>
  <c r="N48" i="4"/>
  <c r="D3" i="2"/>
  <c r="L3" i="2"/>
  <c r="K3" i="2"/>
  <c r="E6" i="2"/>
  <c r="D6" i="2"/>
  <c r="K6" i="2"/>
  <c r="M6" i="2" s="1"/>
  <c r="L6" i="2"/>
  <c r="E7" i="2"/>
  <c r="D7" i="2"/>
  <c r="L7" i="2"/>
  <c r="K7" i="2"/>
  <c r="E11" i="2"/>
  <c r="D11" i="2"/>
  <c r="K11" i="2"/>
  <c r="M11" i="2" s="1"/>
  <c r="L11" i="2"/>
  <c r="E12" i="2"/>
  <c r="D12" i="2"/>
  <c r="L12" i="2"/>
  <c r="K12" i="2"/>
  <c r="E15" i="2"/>
  <c r="D15" i="2"/>
  <c r="K15" i="2"/>
  <c r="M15" i="2" s="1"/>
  <c r="L15" i="2"/>
  <c r="E17" i="2"/>
  <c r="D17" i="2"/>
  <c r="K17" i="2"/>
  <c r="M17" i="2" s="1"/>
  <c r="L17" i="2"/>
  <c r="E18" i="2"/>
  <c r="D18" i="2"/>
  <c r="L18" i="2"/>
  <c r="K18" i="2"/>
  <c r="E19" i="2"/>
  <c r="D19" i="2"/>
  <c r="K19" i="2"/>
  <c r="M19" i="2" s="1"/>
  <c r="L19" i="2"/>
  <c r="E21" i="2"/>
  <c r="D21" i="2"/>
  <c r="K21" i="2"/>
  <c r="M21" i="2" s="1"/>
  <c r="I6" i="5" s="1"/>
  <c r="L21" i="2"/>
  <c r="E25" i="2"/>
  <c r="D25" i="2"/>
  <c r="L25" i="2"/>
  <c r="K25" i="2"/>
  <c r="E31" i="2"/>
  <c r="D31" i="2"/>
  <c r="K31" i="2"/>
  <c r="M31" i="2" s="1"/>
  <c r="I12" i="5" s="1"/>
  <c r="L31" i="2"/>
  <c r="E32" i="2"/>
  <c r="D32" i="2"/>
  <c r="K32" i="2"/>
  <c r="M32" i="2" s="1"/>
  <c r="L32" i="2"/>
  <c r="E33" i="2"/>
  <c r="D33" i="2"/>
  <c r="K33" i="2"/>
  <c r="M33" i="2" s="1"/>
  <c r="I13" i="5" s="1"/>
  <c r="L33" i="2"/>
  <c r="E35" i="2"/>
  <c r="D35" i="2"/>
  <c r="L35" i="2"/>
  <c r="K35" i="2"/>
  <c r="E36" i="2"/>
  <c r="D36" i="2"/>
  <c r="K36" i="2"/>
  <c r="M36" i="2" s="1"/>
  <c r="L36" i="2"/>
  <c r="E37" i="2"/>
  <c r="D37" i="2"/>
  <c r="K37" i="2"/>
  <c r="M37" i="2" s="1"/>
  <c r="L37" i="2"/>
  <c r="E38" i="2"/>
  <c r="D38" i="2"/>
  <c r="L38" i="2"/>
  <c r="K38" i="2"/>
  <c r="E39" i="2"/>
  <c r="D39" i="2"/>
  <c r="L39" i="2"/>
  <c r="K39" i="2"/>
  <c r="E41" i="2"/>
  <c r="D41" i="2"/>
  <c r="K41" i="2"/>
  <c r="M41" i="2" s="1"/>
  <c r="L41" i="2"/>
  <c r="E43" i="2"/>
  <c r="D43" i="2"/>
  <c r="L43" i="2"/>
  <c r="K43" i="2"/>
  <c r="E44" i="2"/>
  <c r="D44" i="2"/>
  <c r="L44" i="2"/>
  <c r="K44" i="2"/>
  <c r="E45" i="2"/>
  <c r="D45" i="2"/>
  <c r="L45" i="2"/>
  <c r="K45" i="2"/>
  <c r="E46" i="2"/>
  <c r="D46" i="2"/>
  <c r="K46" i="2"/>
  <c r="M46" i="2" s="1"/>
  <c r="L46" i="2"/>
  <c r="E47" i="2"/>
  <c r="D47" i="2"/>
  <c r="K47" i="2"/>
  <c r="M47" i="2" s="1"/>
  <c r="L47" i="2"/>
  <c r="E51" i="2"/>
  <c r="D51" i="2"/>
  <c r="L51" i="2"/>
  <c r="K51" i="2"/>
  <c r="D53" i="2"/>
  <c r="E53" i="2"/>
  <c r="L53" i="2"/>
  <c r="K53" i="2"/>
  <c r="D55" i="2"/>
  <c r="E55" i="2"/>
  <c r="L55" i="2"/>
  <c r="K55" i="2"/>
  <c r="D57" i="2"/>
  <c r="E57" i="2"/>
  <c r="K57" i="2"/>
  <c r="M57" i="2" s="1"/>
  <c r="L57" i="2"/>
  <c r="D60" i="2"/>
  <c r="E60" i="2"/>
  <c r="L60" i="2"/>
  <c r="K60" i="2"/>
  <c r="D61" i="2"/>
  <c r="E61" i="2"/>
  <c r="K61" i="2"/>
  <c r="M61" i="2" s="1"/>
  <c r="L61" i="2"/>
  <c r="D64" i="2"/>
  <c r="E64" i="2"/>
  <c r="K64" i="2"/>
  <c r="M64" i="2" s="1"/>
  <c r="L64" i="2"/>
  <c r="D65" i="2"/>
  <c r="E65" i="2"/>
  <c r="K65" i="2"/>
  <c r="M65" i="2" s="1"/>
  <c r="I6" i="7" s="1"/>
  <c r="L65" i="2"/>
  <c r="E28" i="5"/>
  <c r="G28" i="5"/>
  <c r="C28" i="5"/>
  <c r="C27" i="5"/>
  <c r="E27" i="5"/>
  <c r="G27" i="5"/>
  <c r="H26" i="5"/>
  <c r="C26" i="5"/>
  <c r="G26" i="5"/>
  <c r="G25" i="5"/>
  <c r="F25" i="5"/>
  <c r="C25" i="5"/>
  <c r="D24" i="5"/>
  <c r="H24" i="5"/>
  <c r="E24" i="5"/>
  <c r="H23" i="5"/>
  <c r="F23" i="5"/>
  <c r="E23" i="5"/>
  <c r="E22" i="5"/>
  <c r="H22" i="5"/>
  <c r="F22" i="5"/>
  <c r="F21" i="5"/>
  <c r="C21" i="5"/>
  <c r="G21" i="5"/>
  <c r="C20" i="5"/>
  <c r="G20" i="5"/>
  <c r="E20" i="5"/>
  <c r="F19" i="5"/>
  <c r="D19" i="5"/>
  <c r="C19" i="5"/>
  <c r="G18" i="5"/>
  <c r="H18" i="5"/>
  <c r="C18" i="5"/>
  <c r="H17" i="5"/>
  <c r="E17" i="5"/>
  <c r="C17" i="5"/>
  <c r="F16" i="5"/>
  <c r="G16" i="5"/>
  <c r="D16" i="5"/>
  <c r="C15" i="5"/>
  <c r="H15" i="5"/>
  <c r="F15" i="5"/>
  <c r="C14" i="5"/>
  <c r="E14" i="5"/>
  <c r="G14" i="5"/>
  <c r="E13" i="5"/>
  <c r="C13" i="5"/>
  <c r="F13" i="5"/>
  <c r="D12" i="5"/>
  <c r="C12" i="5"/>
  <c r="H12" i="5"/>
  <c r="G11" i="5"/>
  <c r="F11" i="5"/>
  <c r="D11" i="5"/>
  <c r="D10" i="5"/>
  <c r="G10" i="5"/>
  <c r="H10" i="5"/>
  <c r="F9" i="5"/>
  <c r="D9" i="5"/>
  <c r="E9" i="5"/>
  <c r="G8" i="5"/>
  <c r="H8" i="5"/>
  <c r="C8" i="5"/>
  <c r="E7" i="5"/>
  <c r="C7" i="5"/>
  <c r="D7" i="5"/>
  <c r="G6" i="7"/>
  <c r="H6" i="7"/>
  <c r="F6" i="7"/>
  <c r="F6" i="5"/>
  <c r="E6" i="5"/>
  <c r="C6" i="5"/>
  <c r="C5" i="7"/>
  <c r="D5" i="7"/>
  <c r="E5" i="7"/>
  <c r="C5" i="5"/>
  <c r="H5" i="5"/>
  <c r="E5" i="5"/>
  <c r="C4" i="7"/>
  <c r="D4" i="7"/>
  <c r="E4" i="7"/>
  <c r="J4" i="9"/>
  <c r="H4" i="9"/>
  <c r="I4" i="9"/>
  <c r="F4" i="9"/>
  <c r="D4" i="5"/>
  <c r="H4" i="5"/>
  <c r="C4" i="5"/>
  <c r="F4" i="8"/>
  <c r="D4" i="8"/>
  <c r="G4" i="8"/>
  <c r="J4" i="8"/>
  <c r="E3" i="7"/>
  <c r="D3" i="7"/>
  <c r="F3" i="7"/>
  <c r="G3" i="12"/>
  <c r="F3" i="12"/>
  <c r="E3" i="12"/>
  <c r="E3" i="9"/>
  <c r="J3" i="9"/>
  <c r="G3" i="9"/>
  <c r="C3" i="9"/>
  <c r="G3" i="5"/>
  <c r="F3" i="5"/>
  <c r="H3" i="5"/>
  <c r="D3" i="8"/>
  <c r="E3" i="8"/>
  <c r="F3" i="8"/>
  <c r="J3" i="8"/>
  <c r="N4" i="2"/>
  <c r="N5" i="2"/>
  <c r="N8" i="2"/>
  <c r="N9" i="2"/>
  <c r="N10" i="2"/>
  <c r="N13" i="2"/>
  <c r="N14" i="2"/>
  <c r="N16" i="2"/>
  <c r="N20" i="2"/>
  <c r="N22" i="2"/>
  <c r="N23" i="2"/>
  <c r="N24" i="2"/>
  <c r="N26" i="2"/>
  <c r="N27" i="2"/>
  <c r="N28" i="2"/>
  <c r="N29" i="2"/>
  <c r="N30" i="2"/>
  <c r="N34" i="2"/>
  <c r="N40" i="2"/>
  <c r="N42" i="2"/>
  <c r="N48" i="2"/>
  <c r="N49" i="2"/>
  <c r="N50" i="2"/>
  <c r="N52" i="2"/>
  <c r="N54" i="2"/>
  <c r="N3" i="2"/>
  <c r="N6" i="2"/>
  <c r="N7" i="2"/>
  <c r="N11" i="2"/>
  <c r="N12" i="2"/>
  <c r="N15" i="2"/>
  <c r="N17" i="2"/>
  <c r="N18" i="2"/>
  <c r="N19" i="2"/>
  <c r="N21" i="2"/>
  <c r="N25" i="2"/>
  <c r="N31" i="2"/>
  <c r="N32" i="2"/>
  <c r="N33" i="2"/>
  <c r="N35" i="2"/>
  <c r="N36" i="2"/>
  <c r="N37" i="2"/>
  <c r="N38" i="2"/>
  <c r="N39" i="2"/>
  <c r="N41" i="2"/>
  <c r="N43" i="2"/>
  <c r="N44" i="2"/>
  <c r="N45" i="2"/>
  <c r="N46" i="2"/>
  <c r="N47" i="2"/>
  <c r="N51" i="2"/>
  <c r="H28" i="5"/>
  <c r="F28" i="5"/>
  <c r="D28" i="5"/>
  <c r="D27" i="5"/>
  <c r="H27" i="5"/>
  <c r="F27" i="5"/>
  <c r="E26" i="5"/>
  <c r="F26" i="5"/>
  <c r="D26" i="5"/>
  <c r="H25" i="5"/>
  <c r="D25" i="5"/>
  <c r="E25" i="5"/>
  <c r="G24" i="5"/>
  <c r="C24" i="5"/>
  <c r="F24" i="5"/>
  <c r="C23" i="5"/>
  <c r="D23" i="5"/>
  <c r="G23" i="5"/>
  <c r="D22" i="5"/>
  <c r="G22" i="5"/>
  <c r="C22" i="5"/>
  <c r="D21" i="5"/>
  <c r="H21" i="5"/>
  <c r="E21" i="5"/>
  <c r="D20" i="5"/>
  <c r="H20" i="5"/>
  <c r="F20" i="5"/>
  <c r="G19" i="5"/>
  <c r="E19" i="5"/>
  <c r="H19" i="5"/>
  <c r="E18" i="5"/>
  <c r="D18" i="5"/>
  <c r="F18" i="5"/>
  <c r="D17" i="5"/>
  <c r="G17" i="5"/>
  <c r="F17" i="5"/>
  <c r="H16" i="5"/>
  <c r="E16" i="5"/>
  <c r="C16" i="5"/>
  <c r="G15" i="5"/>
  <c r="D15" i="5"/>
  <c r="E15" i="5"/>
  <c r="F14" i="5"/>
  <c r="D14" i="5"/>
  <c r="H14" i="5"/>
  <c r="H13" i="5"/>
  <c r="G13" i="5"/>
  <c r="D13" i="5"/>
  <c r="F12" i="5"/>
  <c r="E12" i="5"/>
  <c r="G12" i="5"/>
  <c r="C11" i="5"/>
  <c r="E11" i="5"/>
  <c r="H11" i="5"/>
  <c r="F10" i="5"/>
  <c r="C10" i="5"/>
  <c r="E10" i="5"/>
  <c r="C9" i="5"/>
  <c r="G9" i="5"/>
  <c r="H9" i="5"/>
  <c r="F8" i="5"/>
  <c r="D8" i="5"/>
  <c r="E8" i="5"/>
  <c r="F7" i="5"/>
  <c r="H7" i="5"/>
  <c r="G7" i="5"/>
  <c r="D6" i="7"/>
  <c r="C6" i="7"/>
  <c r="E6" i="7"/>
  <c r="G6" i="5"/>
  <c r="D6" i="5"/>
  <c r="H6" i="5"/>
  <c r="G5" i="7"/>
  <c r="F5" i="7"/>
  <c r="H5" i="7"/>
  <c r="F5" i="5"/>
  <c r="D5" i="5"/>
  <c r="G5" i="5"/>
  <c r="F4" i="7"/>
  <c r="G4" i="7"/>
  <c r="H4" i="7"/>
  <c r="D4" i="9"/>
  <c r="G4" i="9"/>
  <c r="C4" i="9"/>
  <c r="E4" i="9"/>
  <c r="F4" i="5"/>
  <c r="G4" i="5"/>
  <c r="E4" i="5"/>
  <c r="H4" i="8"/>
  <c r="C4" i="8"/>
  <c r="E4" i="8"/>
  <c r="I4" i="8"/>
  <c r="C3" i="7"/>
  <c r="H3" i="7"/>
  <c r="G3" i="7"/>
  <c r="D3" i="12"/>
  <c r="H3" i="12"/>
  <c r="C3" i="12"/>
  <c r="D3" i="9"/>
  <c r="I3" i="9"/>
  <c r="F3" i="9"/>
  <c r="H3" i="9"/>
  <c r="C3" i="5"/>
  <c r="E3" i="5"/>
  <c r="D3" i="5"/>
  <c r="C3" i="8"/>
  <c r="H3" i="8"/>
  <c r="I3" i="8"/>
  <c r="G3" i="8"/>
  <c r="B4" i="4"/>
  <c r="N56" i="2"/>
  <c r="N58" i="2"/>
  <c r="N59" i="2"/>
  <c r="N62" i="2"/>
  <c r="N63" i="2"/>
  <c r="N66" i="2"/>
  <c r="N53" i="2"/>
  <c r="N55" i="2"/>
  <c r="N57" i="2"/>
  <c r="N60" i="2"/>
  <c r="N61" i="2"/>
  <c r="N64" i="2"/>
  <c r="N65" i="2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M34" i="2" l="1"/>
  <c r="M29" i="2"/>
  <c r="M28" i="2"/>
  <c r="M27" i="2"/>
  <c r="M26" i="2"/>
  <c r="J6" i="7"/>
  <c r="J27" i="5"/>
  <c r="J24" i="5"/>
  <c r="J22" i="5"/>
  <c r="J28" i="5"/>
  <c r="J26" i="5"/>
  <c r="J25" i="5"/>
  <c r="J23" i="5"/>
  <c r="K3" i="8"/>
  <c r="L3" i="8" s="1"/>
  <c r="M3" i="8" s="1"/>
  <c r="A3" i="8"/>
  <c r="A3" i="5"/>
  <c r="K3" i="9"/>
  <c r="L3" i="9" s="1"/>
  <c r="M3" i="9" s="1"/>
  <c r="A3" i="12"/>
  <c r="A3" i="7"/>
  <c r="K4" i="8"/>
  <c r="L4" i="8" s="1"/>
  <c r="M4" i="8" s="1"/>
  <c r="A4" i="8"/>
  <c r="A4" i="9"/>
  <c r="A6" i="7"/>
  <c r="A9" i="5"/>
  <c r="A10" i="5"/>
  <c r="A11" i="5"/>
  <c r="A16" i="5"/>
  <c r="A22" i="5"/>
  <c r="A23" i="5"/>
  <c r="A24" i="5"/>
  <c r="J19" i="5"/>
  <c r="J18" i="5"/>
  <c r="J17" i="5"/>
  <c r="J16" i="5"/>
  <c r="J13" i="5"/>
  <c r="J4" i="7"/>
  <c r="J12" i="5"/>
  <c r="J6" i="5"/>
  <c r="J5" i="5"/>
  <c r="J4" i="5"/>
  <c r="J3" i="12"/>
  <c r="J21" i="5"/>
  <c r="J5" i="7"/>
  <c r="J20" i="5"/>
  <c r="J15" i="5"/>
  <c r="J14" i="5"/>
  <c r="J11" i="5"/>
  <c r="J10" i="5"/>
  <c r="J9" i="5"/>
  <c r="J3" i="7"/>
  <c r="J8" i="5"/>
  <c r="J7" i="5"/>
  <c r="J3" i="5"/>
  <c r="A3" i="9"/>
  <c r="A4" i="5"/>
  <c r="K4" i="9"/>
  <c r="L4" i="9" s="1"/>
  <c r="M4" i="9" s="1"/>
  <c r="A4" i="7"/>
  <c r="A5" i="5"/>
  <c r="A5" i="7"/>
  <c r="A6" i="5"/>
  <c r="A7" i="5"/>
  <c r="A8" i="5"/>
  <c r="A12" i="5"/>
  <c r="A13" i="5"/>
  <c r="A14" i="5"/>
  <c r="A15" i="5"/>
  <c r="A17" i="5"/>
  <c r="A18" i="5"/>
  <c r="A19" i="5"/>
  <c r="A20" i="5"/>
  <c r="A21" i="5"/>
  <c r="A25" i="5"/>
  <c r="A26" i="5"/>
  <c r="A27" i="5"/>
  <c r="A28" i="5"/>
  <c r="K6" i="7"/>
  <c r="L6" i="7" s="1"/>
  <c r="M6" i="7" s="1"/>
  <c r="K12" i="5"/>
  <c r="L12" i="5" s="1"/>
  <c r="M12" i="5" s="1"/>
  <c r="I3" i="12"/>
  <c r="K3" i="12" s="1"/>
  <c r="L3" i="12" s="1"/>
  <c r="M3" i="12" s="1"/>
  <c r="K26" i="5"/>
  <c r="L26" i="5" s="1"/>
  <c r="M26" i="5" s="1"/>
  <c r="K13" i="5"/>
  <c r="L13" i="5" s="1"/>
  <c r="M13" i="5" s="1"/>
  <c r="K6" i="5"/>
  <c r="L6" i="5" s="1"/>
  <c r="M6" i="5" s="1"/>
  <c r="K28" i="5"/>
  <c r="L28" i="5" s="1"/>
  <c r="M28" i="5" s="1"/>
  <c r="K5" i="7"/>
  <c r="L5" i="7" s="1"/>
  <c r="M5" i="7" s="1"/>
  <c r="I27" i="5"/>
  <c r="K27" i="5" s="1"/>
  <c r="L27" i="5" s="1"/>
  <c r="M27" i="5" s="1"/>
  <c r="O64" i="2"/>
  <c r="P64" i="2" s="1"/>
  <c r="Q64" i="2" s="1"/>
  <c r="O47" i="2"/>
  <c r="P47" i="2" s="1"/>
  <c r="Q47" i="2" s="1"/>
  <c r="I18" i="5"/>
  <c r="K18" i="5" s="1"/>
  <c r="L18" i="5" s="1"/>
  <c r="M18" i="5" s="1"/>
  <c r="O46" i="2"/>
  <c r="P46" i="2" s="1"/>
  <c r="Q46" i="2" s="1"/>
  <c r="M60" i="2"/>
  <c r="O60" i="2" s="1"/>
  <c r="P60" i="2" s="1"/>
  <c r="Q60" i="2" s="1"/>
  <c r="M55" i="2"/>
  <c r="M53" i="2"/>
  <c r="O53" i="2" s="1"/>
  <c r="P53" i="2" s="1"/>
  <c r="Q53" i="2" s="1"/>
  <c r="M51" i="2"/>
  <c r="O51" i="2" s="1"/>
  <c r="P51" i="2" s="1"/>
  <c r="Q51" i="2" s="1"/>
  <c r="M45" i="2"/>
  <c r="M44" i="2"/>
  <c r="M43" i="2"/>
  <c r="O43" i="2" s="1"/>
  <c r="P43" i="2" s="1"/>
  <c r="Q43" i="2" s="1"/>
  <c r="M39" i="2"/>
  <c r="O39" i="2" s="1"/>
  <c r="P39" i="2" s="1"/>
  <c r="Q39" i="2" s="1"/>
  <c r="M38" i="2"/>
  <c r="O38" i="2" s="1"/>
  <c r="P38" i="2" s="1"/>
  <c r="Q38" i="2" s="1"/>
  <c r="M35" i="2"/>
  <c r="O35" i="2" s="1"/>
  <c r="P35" i="2" s="1"/>
  <c r="Q35" i="2" s="1"/>
  <c r="M25" i="2"/>
  <c r="O25" i="2" s="1"/>
  <c r="P25" i="2" s="1"/>
  <c r="Q25" i="2" s="1"/>
  <c r="M18" i="2"/>
  <c r="M12" i="2"/>
  <c r="O12" i="2" s="1"/>
  <c r="P12" i="2" s="1"/>
  <c r="Q12" i="2" s="1"/>
  <c r="M7" i="2"/>
  <c r="O7" i="2" s="1"/>
  <c r="P7" i="2" s="1"/>
  <c r="Q7" i="2" s="1"/>
  <c r="M3" i="2"/>
  <c r="O3" i="2" s="1"/>
  <c r="P3" i="2" s="1"/>
  <c r="Q3" i="2" s="1"/>
  <c r="M62" i="2"/>
  <c r="M59" i="2"/>
  <c r="O59" i="2" s="1"/>
  <c r="P59" i="2" s="1"/>
  <c r="Q59" i="2" s="1"/>
  <c r="M56" i="2"/>
  <c r="M52" i="2"/>
  <c r="O52" i="2" s="1"/>
  <c r="P52" i="2" s="1"/>
  <c r="Q52" i="2" s="1"/>
  <c r="M50" i="2"/>
  <c r="O34" i="2"/>
  <c r="P34" i="2" s="1"/>
  <c r="Q34" i="2" s="1"/>
  <c r="I10" i="5"/>
  <c r="K10" i="5" s="1"/>
  <c r="L10" i="5" s="1"/>
  <c r="M10" i="5" s="1"/>
  <c r="O29" i="2"/>
  <c r="P29" i="2" s="1"/>
  <c r="Q29" i="2" s="1"/>
  <c r="O28" i="2"/>
  <c r="P28" i="2" s="1"/>
  <c r="Q28" i="2" s="1"/>
  <c r="I9" i="5"/>
  <c r="K9" i="5" s="1"/>
  <c r="L9" i="5" s="1"/>
  <c r="M9" i="5" s="1"/>
  <c r="O27" i="2"/>
  <c r="P27" i="2" s="1"/>
  <c r="Q27" i="2" s="1"/>
  <c r="I3" i="7"/>
  <c r="K3" i="7" s="1"/>
  <c r="L3" i="7" s="1"/>
  <c r="M3" i="7" s="1"/>
  <c r="O26" i="2"/>
  <c r="P26" i="2" s="1"/>
  <c r="Q26" i="2" s="1"/>
  <c r="M22" i="2"/>
  <c r="M16" i="2"/>
  <c r="M13" i="2"/>
  <c r="O13" i="2" s="1"/>
  <c r="P13" i="2" s="1"/>
  <c r="Q13" i="2" s="1"/>
  <c r="M10" i="2"/>
  <c r="O10" i="2" s="1"/>
  <c r="P10" i="2" s="1"/>
  <c r="Q10" i="2" s="1"/>
  <c r="M9" i="2"/>
  <c r="O9" i="2" s="1"/>
  <c r="P9" i="2" s="1"/>
  <c r="Q9" i="2" s="1"/>
  <c r="M5" i="2"/>
  <c r="O5" i="2" s="1"/>
  <c r="P5" i="2" s="1"/>
  <c r="Q5" i="2" s="1"/>
  <c r="M4" i="2"/>
  <c r="O4" i="2" s="1"/>
  <c r="P4" i="2" s="1"/>
  <c r="Q4" i="2" s="1"/>
  <c r="I14" i="5"/>
  <c r="K14" i="5" s="1"/>
  <c r="L14" i="5" s="1"/>
  <c r="M14" i="5" s="1"/>
  <c r="I19" i="5"/>
  <c r="K19" i="5" s="1"/>
  <c r="L19" i="5" s="1"/>
  <c r="M19" i="5" s="1"/>
  <c r="O65" i="2"/>
  <c r="P65" i="2" s="1"/>
  <c r="Q65" i="2" s="1"/>
  <c r="O61" i="2"/>
  <c r="P61" i="2" s="1"/>
  <c r="Q61" i="2" s="1"/>
  <c r="O57" i="2"/>
  <c r="P57" i="2" s="1"/>
  <c r="Q57" i="2" s="1"/>
  <c r="O41" i="2"/>
  <c r="P41" i="2" s="1"/>
  <c r="Q41" i="2" s="1"/>
  <c r="O37" i="2"/>
  <c r="P37" i="2" s="1"/>
  <c r="Q37" i="2" s="1"/>
  <c r="O36" i="2"/>
  <c r="P36" i="2" s="1"/>
  <c r="Q36" i="2" s="1"/>
  <c r="O33" i="2"/>
  <c r="P33" i="2" s="1"/>
  <c r="Q33" i="2" s="1"/>
  <c r="I4" i="7"/>
  <c r="K4" i="7" s="1"/>
  <c r="L4" i="7" s="1"/>
  <c r="M4" i="7" s="1"/>
  <c r="O32" i="2"/>
  <c r="P32" i="2" s="1"/>
  <c r="Q32" i="2" s="1"/>
  <c r="O31" i="2"/>
  <c r="P31" i="2" s="1"/>
  <c r="Q31" i="2" s="1"/>
  <c r="O21" i="2"/>
  <c r="P21" i="2" s="1"/>
  <c r="Q21" i="2" s="1"/>
  <c r="O19" i="2"/>
  <c r="P19" i="2" s="1"/>
  <c r="Q19" i="2" s="1"/>
  <c r="O17" i="2"/>
  <c r="P17" i="2" s="1"/>
  <c r="Q17" i="2" s="1"/>
  <c r="O15" i="2"/>
  <c r="P15" i="2" s="1"/>
  <c r="Q15" i="2" s="1"/>
  <c r="O11" i="2"/>
  <c r="P11" i="2" s="1"/>
  <c r="Q11" i="2" s="1"/>
  <c r="O6" i="2"/>
  <c r="P6" i="2" s="1"/>
  <c r="Q6" i="2" s="1"/>
  <c r="O66" i="2"/>
  <c r="P66" i="2" s="1"/>
  <c r="Q66" i="2" s="1"/>
  <c r="O63" i="2"/>
  <c r="P63" i="2" s="1"/>
  <c r="Q63" i="2" s="1"/>
  <c r="O58" i="2"/>
  <c r="P58" i="2" s="1"/>
  <c r="Q58" i="2" s="1"/>
  <c r="O54" i="2"/>
  <c r="P54" i="2" s="1"/>
  <c r="Q54" i="2" s="1"/>
  <c r="O49" i="2"/>
  <c r="P49" i="2" s="1"/>
  <c r="Q49" i="2" s="1"/>
  <c r="I20" i="5"/>
  <c r="K20" i="5" s="1"/>
  <c r="L20" i="5" s="1"/>
  <c r="M20" i="5" s="1"/>
  <c r="O48" i="2"/>
  <c r="P48" i="2" s="1"/>
  <c r="Q48" i="2" s="1"/>
  <c r="O42" i="2"/>
  <c r="P42" i="2" s="1"/>
  <c r="Q42" i="2" s="1"/>
  <c r="I15" i="5"/>
  <c r="K15" i="5" s="1"/>
  <c r="L15" i="5" s="1"/>
  <c r="M15" i="5" s="1"/>
  <c r="O40" i="2"/>
  <c r="P40" i="2" s="1"/>
  <c r="Q40" i="2" s="1"/>
  <c r="M30" i="2"/>
  <c r="M24" i="2"/>
  <c r="O24" i="2" s="1"/>
  <c r="P24" i="2" s="1"/>
  <c r="Q24" i="2" s="1"/>
  <c r="M23" i="2"/>
  <c r="O20" i="2"/>
  <c r="P20" i="2" s="1"/>
  <c r="Q20" i="2" s="1"/>
  <c r="O14" i="2"/>
  <c r="P14" i="2" s="1"/>
  <c r="Q14" i="2" s="1"/>
  <c r="O8" i="2"/>
  <c r="P8" i="2" s="1"/>
  <c r="Q8" i="2" s="1"/>
  <c r="I4" i="5"/>
  <c r="K4" i="5" s="1"/>
  <c r="L4" i="5" s="1"/>
  <c r="M4" i="5" s="1"/>
  <c r="I24" i="5"/>
  <c r="K24" i="5" s="1"/>
  <c r="L24" i="5" s="1"/>
  <c r="M24" i="5" s="1"/>
  <c r="E32" i="4"/>
  <c r="G32" i="4"/>
  <c r="H32" i="4"/>
  <c r="J32" i="4"/>
  <c r="D31" i="4"/>
  <c r="C31" i="4"/>
  <c r="E31" i="4"/>
  <c r="F31" i="4"/>
  <c r="H30" i="4"/>
  <c r="G30" i="4"/>
  <c r="J30" i="4"/>
  <c r="E30" i="4"/>
  <c r="J29" i="4"/>
  <c r="I29" i="4"/>
  <c r="E29" i="4"/>
  <c r="H29" i="4"/>
  <c r="D28" i="4"/>
  <c r="C28" i="4"/>
  <c r="F28" i="4"/>
  <c r="I28" i="4"/>
  <c r="H27" i="4"/>
  <c r="C27" i="4"/>
  <c r="F27" i="4"/>
  <c r="J27" i="4"/>
  <c r="C26" i="4"/>
  <c r="E26" i="4"/>
  <c r="I26" i="4"/>
  <c r="H26" i="4"/>
  <c r="G25" i="4"/>
  <c r="J25" i="4"/>
  <c r="E25" i="4"/>
  <c r="C25" i="4"/>
  <c r="D24" i="4"/>
  <c r="J24" i="4"/>
  <c r="F24" i="4"/>
  <c r="G24" i="4"/>
  <c r="I23" i="4"/>
  <c r="H23" i="4"/>
  <c r="F23" i="4"/>
  <c r="J23" i="4"/>
  <c r="E22" i="4"/>
  <c r="F22" i="4"/>
  <c r="J22" i="4"/>
  <c r="H22" i="4"/>
  <c r="F21" i="4"/>
  <c r="D21" i="4"/>
  <c r="G21" i="4"/>
  <c r="I21" i="4"/>
  <c r="J20" i="4"/>
  <c r="E20" i="4"/>
  <c r="G20" i="4"/>
  <c r="D20" i="4"/>
  <c r="H19" i="4"/>
  <c r="E19" i="4"/>
  <c r="D19" i="4"/>
  <c r="C19" i="4"/>
  <c r="D18" i="4"/>
  <c r="C18" i="4"/>
  <c r="E18" i="4"/>
  <c r="I18" i="4"/>
  <c r="E17" i="4"/>
  <c r="H17" i="4"/>
  <c r="F17" i="4"/>
  <c r="C17" i="4"/>
  <c r="C16" i="4"/>
  <c r="D16" i="4"/>
  <c r="G16" i="4"/>
  <c r="E16" i="4"/>
  <c r="H15" i="4"/>
  <c r="J15" i="4"/>
  <c r="D15" i="4"/>
  <c r="C15" i="4"/>
  <c r="J14" i="4"/>
  <c r="G14" i="4"/>
  <c r="C14" i="4"/>
  <c r="H14" i="4"/>
  <c r="G13" i="4"/>
  <c r="C13" i="4"/>
  <c r="E13" i="4"/>
  <c r="H13" i="4"/>
  <c r="I12" i="4"/>
  <c r="C12" i="4"/>
  <c r="G12" i="4"/>
  <c r="F12" i="4"/>
  <c r="J11" i="4"/>
  <c r="E11" i="4"/>
  <c r="H11" i="4"/>
  <c r="C11" i="4"/>
  <c r="I10" i="4"/>
  <c r="J10" i="4"/>
  <c r="G10" i="4"/>
  <c r="H10" i="4"/>
  <c r="F9" i="4"/>
  <c r="G9" i="4"/>
  <c r="H9" i="4"/>
  <c r="C9" i="4"/>
  <c r="H8" i="4"/>
  <c r="F8" i="4"/>
  <c r="E8" i="4"/>
  <c r="J8" i="4"/>
  <c r="G7" i="4"/>
  <c r="D7" i="4"/>
  <c r="C7" i="4"/>
  <c r="J7" i="4"/>
  <c r="G6" i="4"/>
  <c r="D6" i="4"/>
  <c r="J6" i="4"/>
  <c r="H6" i="4"/>
  <c r="F5" i="4"/>
  <c r="J5" i="4"/>
  <c r="C5" i="4"/>
  <c r="D5" i="4"/>
  <c r="G4" i="4"/>
  <c r="H4" i="4"/>
  <c r="I4" i="4"/>
  <c r="E4" i="4"/>
  <c r="C32" i="4"/>
  <c r="I32" i="4"/>
  <c r="D32" i="4"/>
  <c r="F32" i="4"/>
  <c r="I31" i="4"/>
  <c r="J31" i="4"/>
  <c r="H31" i="4"/>
  <c r="G31" i="4"/>
  <c r="I30" i="4"/>
  <c r="C30" i="4"/>
  <c r="F30" i="4"/>
  <c r="D30" i="4"/>
  <c r="G29" i="4"/>
  <c r="D29" i="4"/>
  <c r="F29" i="4"/>
  <c r="C29" i="4"/>
  <c r="J28" i="4"/>
  <c r="E28" i="4"/>
  <c r="G28" i="4"/>
  <c r="H28" i="4"/>
  <c r="E27" i="4"/>
  <c r="G27" i="4"/>
  <c r="I27" i="4"/>
  <c r="D27" i="4"/>
  <c r="G26" i="4"/>
  <c r="D26" i="4"/>
  <c r="J26" i="4"/>
  <c r="F26" i="4"/>
  <c r="D25" i="4"/>
  <c r="I25" i="4"/>
  <c r="H25" i="4"/>
  <c r="F25" i="4"/>
  <c r="I24" i="4"/>
  <c r="C24" i="4"/>
  <c r="E24" i="4"/>
  <c r="H24" i="4"/>
  <c r="D23" i="4"/>
  <c r="E23" i="4"/>
  <c r="C23" i="4"/>
  <c r="G23" i="4"/>
  <c r="I22" i="4"/>
  <c r="C22" i="4"/>
  <c r="D22" i="4"/>
  <c r="G22" i="4"/>
  <c r="J21" i="4"/>
  <c r="C21" i="4"/>
  <c r="E21" i="4"/>
  <c r="H21" i="4"/>
  <c r="H20" i="4"/>
  <c r="F20" i="4"/>
  <c r="C20" i="4"/>
  <c r="I20" i="4"/>
  <c r="G19" i="4"/>
  <c r="F19" i="4"/>
  <c r="J19" i="4"/>
  <c r="I19" i="4"/>
  <c r="H18" i="4"/>
  <c r="G18" i="4"/>
  <c r="F18" i="4"/>
  <c r="J18" i="4"/>
  <c r="J17" i="4"/>
  <c r="D17" i="4"/>
  <c r="G17" i="4"/>
  <c r="I17" i="4"/>
  <c r="H16" i="4"/>
  <c r="I16" i="4"/>
  <c r="J16" i="4"/>
  <c r="F16" i="4"/>
  <c r="G15" i="4"/>
  <c r="E15" i="4"/>
  <c r="F15" i="4"/>
  <c r="I15" i="4"/>
  <c r="I14" i="4"/>
  <c r="F14" i="4"/>
  <c r="D14" i="4"/>
  <c r="E14" i="4"/>
  <c r="D13" i="4"/>
  <c r="F13" i="4"/>
  <c r="I13" i="4"/>
  <c r="J13" i="4"/>
  <c r="J12" i="4"/>
  <c r="H12" i="4"/>
  <c r="D12" i="4"/>
  <c r="E12" i="4"/>
  <c r="G11" i="4"/>
  <c r="F11" i="4"/>
  <c r="D11" i="4"/>
  <c r="I11" i="4"/>
  <c r="D10" i="4"/>
  <c r="C10" i="4"/>
  <c r="F10" i="4"/>
  <c r="E10" i="4"/>
  <c r="E9" i="4"/>
  <c r="I9" i="4"/>
  <c r="J9" i="4"/>
  <c r="D9" i="4"/>
  <c r="G8" i="4"/>
  <c r="I8" i="4"/>
  <c r="D8" i="4"/>
  <c r="C8" i="4"/>
  <c r="E7" i="4"/>
  <c r="H7" i="4"/>
  <c r="F7" i="4"/>
  <c r="I7" i="4"/>
  <c r="F6" i="4"/>
  <c r="E6" i="4"/>
  <c r="C6" i="4"/>
  <c r="I6" i="4"/>
  <c r="H5" i="4"/>
  <c r="I5" i="4"/>
  <c r="E5" i="4"/>
  <c r="G5" i="4"/>
  <c r="J4" i="4"/>
  <c r="F4" i="4"/>
  <c r="D4" i="4"/>
  <c r="C4" i="4"/>
  <c r="N4" i="4" l="1"/>
  <c r="A4" i="4"/>
  <c r="K5" i="4"/>
  <c r="L5" i="4" s="1"/>
  <c r="M5" i="4" s="1"/>
  <c r="K6" i="4"/>
  <c r="L6" i="4" s="1"/>
  <c r="M6" i="4" s="1"/>
  <c r="N6" i="4"/>
  <c r="A6" i="4"/>
  <c r="K7" i="4"/>
  <c r="L7" i="4" s="1"/>
  <c r="M7" i="4" s="1"/>
  <c r="A8" i="4"/>
  <c r="N8" i="4"/>
  <c r="K8" i="4"/>
  <c r="L8" i="4" s="1"/>
  <c r="M8" i="4" s="1"/>
  <c r="K9" i="4"/>
  <c r="L9" i="4" s="1"/>
  <c r="M9" i="4" s="1"/>
  <c r="N10" i="4"/>
  <c r="A10" i="4"/>
  <c r="K11" i="4"/>
  <c r="L11" i="4" s="1"/>
  <c r="M11" i="4" s="1"/>
  <c r="K13" i="4"/>
  <c r="L13" i="4" s="1"/>
  <c r="M13" i="4" s="1"/>
  <c r="K14" i="4"/>
  <c r="L14" i="4" s="1"/>
  <c r="M14" i="4" s="1"/>
  <c r="K15" i="4"/>
  <c r="L15" i="4" s="1"/>
  <c r="M15" i="4" s="1"/>
  <c r="K16" i="4"/>
  <c r="L16" i="4" s="1"/>
  <c r="M16" i="4" s="1"/>
  <c r="K17" i="4"/>
  <c r="L17" i="4" s="1"/>
  <c r="M17" i="4" s="1"/>
  <c r="K19" i="4"/>
  <c r="L19" i="4" s="1"/>
  <c r="M19" i="4" s="1"/>
  <c r="K20" i="4"/>
  <c r="L20" i="4" s="1"/>
  <c r="M20" i="4" s="1"/>
  <c r="A20" i="4"/>
  <c r="N20" i="4"/>
  <c r="N21" i="4"/>
  <c r="A21" i="4"/>
  <c r="N22" i="4"/>
  <c r="A22" i="4"/>
  <c r="K22" i="4"/>
  <c r="L22" i="4" s="1"/>
  <c r="M22" i="4" s="1"/>
  <c r="A23" i="4"/>
  <c r="N23" i="4"/>
  <c r="N24" i="4"/>
  <c r="A24" i="4"/>
  <c r="K24" i="4"/>
  <c r="L24" i="4" s="1"/>
  <c r="M24" i="4" s="1"/>
  <c r="K25" i="4"/>
  <c r="L25" i="4" s="1"/>
  <c r="M25" i="4" s="1"/>
  <c r="K27" i="4"/>
  <c r="L27" i="4" s="1"/>
  <c r="M27" i="4" s="1"/>
  <c r="A29" i="4"/>
  <c r="N29" i="4"/>
  <c r="N30" i="4"/>
  <c r="A30" i="4"/>
  <c r="K30" i="4"/>
  <c r="L30" i="4" s="1"/>
  <c r="M30" i="4" s="1"/>
  <c r="K31" i="4"/>
  <c r="L31" i="4" s="1"/>
  <c r="M31" i="4" s="1"/>
  <c r="K32" i="4"/>
  <c r="L32" i="4" s="1"/>
  <c r="M32" i="4" s="1"/>
  <c r="A32" i="4"/>
  <c r="N32" i="4"/>
  <c r="K4" i="4"/>
  <c r="L4" i="4" s="1"/>
  <c r="M4" i="4" s="1"/>
  <c r="A5" i="4"/>
  <c r="N5" i="4"/>
  <c r="A7" i="4"/>
  <c r="N7" i="4"/>
  <c r="A9" i="4"/>
  <c r="N9" i="4"/>
  <c r="K10" i="4"/>
  <c r="L10" i="4" s="1"/>
  <c r="M10" i="4" s="1"/>
  <c r="A11" i="4"/>
  <c r="N11" i="4"/>
  <c r="N12" i="4"/>
  <c r="A12" i="4"/>
  <c r="K12" i="4"/>
  <c r="L12" i="4" s="1"/>
  <c r="M12" i="4" s="1"/>
  <c r="A13" i="4"/>
  <c r="N13" i="4"/>
  <c r="A14" i="4"/>
  <c r="N14" i="4"/>
  <c r="A15" i="4"/>
  <c r="N15" i="4"/>
  <c r="A16" i="4"/>
  <c r="N16" i="4"/>
  <c r="A17" i="4"/>
  <c r="N17" i="4"/>
  <c r="K18" i="4"/>
  <c r="L18" i="4" s="1"/>
  <c r="M18" i="4" s="1"/>
  <c r="A18" i="4"/>
  <c r="N18" i="4"/>
  <c r="N19" i="4"/>
  <c r="A19" i="4"/>
  <c r="K21" i="4"/>
  <c r="L21" i="4" s="1"/>
  <c r="M21" i="4" s="1"/>
  <c r="K23" i="4"/>
  <c r="L23" i="4" s="1"/>
  <c r="M23" i="4" s="1"/>
  <c r="A25" i="4"/>
  <c r="N25" i="4"/>
  <c r="K26" i="4"/>
  <c r="L26" i="4" s="1"/>
  <c r="M26" i="4" s="1"/>
  <c r="A26" i="4"/>
  <c r="N26" i="4"/>
  <c r="A27" i="4"/>
  <c r="N27" i="4"/>
  <c r="K28" i="4"/>
  <c r="L28" i="4" s="1"/>
  <c r="M28" i="4" s="1"/>
  <c r="A28" i="4"/>
  <c r="N28" i="4"/>
  <c r="K29" i="4"/>
  <c r="L29" i="4" s="1"/>
  <c r="M29" i="4" s="1"/>
  <c r="N31" i="4"/>
  <c r="A31" i="4"/>
  <c r="I7" i="5"/>
  <c r="K7" i="5" s="1"/>
  <c r="L7" i="5" s="1"/>
  <c r="M7" i="5" s="1"/>
  <c r="O22" i="2"/>
  <c r="P22" i="2" s="1"/>
  <c r="Q22" i="2" s="1"/>
  <c r="O45" i="2"/>
  <c r="P45" i="2" s="1"/>
  <c r="Q45" i="2" s="1"/>
  <c r="I17" i="5"/>
  <c r="K17" i="5" s="1"/>
  <c r="L17" i="5" s="1"/>
  <c r="M17" i="5" s="1"/>
  <c r="O23" i="2"/>
  <c r="P23" i="2" s="1"/>
  <c r="Q23" i="2" s="1"/>
  <c r="I8" i="5"/>
  <c r="K8" i="5" s="1"/>
  <c r="L8" i="5" s="1"/>
  <c r="M8" i="5" s="1"/>
  <c r="I11" i="5"/>
  <c r="K11" i="5" s="1"/>
  <c r="L11" i="5" s="1"/>
  <c r="M11" i="5" s="1"/>
  <c r="O30" i="2"/>
  <c r="P30" i="2" s="1"/>
  <c r="Q30" i="2" s="1"/>
  <c r="I3" i="5"/>
  <c r="K3" i="5" s="1"/>
  <c r="L3" i="5" s="1"/>
  <c r="M3" i="5" s="1"/>
  <c r="O16" i="2"/>
  <c r="P16" i="2" s="1"/>
  <c r="Q16" i="2" s="1"/>
  <c r="O50" i="2"/>
  <c r="P50" i="2" s="1"/>
  <c r="Q50" i="2" s="1"/>
  <c r="I21" i="5"/>
  <c r="K21" i="5" s="1"/>
  <c r="L21" i="5" s="1"/>
  <c r="M21" i="5" s="1"/>
  <c r="O56" i="2"/>
  <c r="P56" i="2" s="1"/>
  <c r="Q56" i="2" s="1"/>
  <c r="I23" i="5"/>
  <c r="K23" i="5" s="1"/>
  <c r="L23" i="5" s="1"/>
  <c r="M23" i="5" s="1"/>
  <c r="O62" i="2"/>
  <c r="P62" i="2" s="1"/>
  <c r="Q62" i="2" s="1"/>
  <c r="I25" i="5"/>
  <c r="K25" i="5" s="1"/>
  <c r="L25" i="5" s="1"/>
  <c r="M25" i="5" s="1"/>
  <c r="O18" i="2"/>
  <c r="P18" i="2" s="1"/>
  <c r="Q18" i="2" s="1"/>
  <c r="I5" i="5"/>
  <c r="K5" i="5" s="1"/>
  <c r="L5" i="5" s="1"/>
  <c r="M5" i="5" s="1"/>
  <c r="O44" i="2"/>
  <c r="P44" i="2" s="1"/>
  <c r="Q44" i="2" s="1"/>
  <c r="I16" i="5"/>
  <c r="K16" i="5" s="1"/>
  <c r="L16" i="5" s="1"/>
  <c r="M16" i="5" s="1"/>
  <c r="O55" i="2"/>
  <c r="P55" i="2" s="1"/>
  <c r="Q55" i="2" s="1"/>
  <c r="I22" i="5"/>
  <c r="K22" i="5" s="1"/>
  <c r="L22" i="5" s="1"/>
  <c r="M22" i="5" s="1"/>
</calcChain>
</file>

<file path=xl/sharedStrings.xml><?xml version="1.0" encoding="utf-8"?>
<sst xmlns="http://schemas.openxmlformats.org/spreadsheetml/2006/main" count="2033" uniqueCount="831">
  <si>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</si>
  <si>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</si>
  <si>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</si>
  <si>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</si>
  <si>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</si>
  <si>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</si>
  <si>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</si>
  <si>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</si>
  <si>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</si>
  <si>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</si>
  <si>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</si>
  <si>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</si>
  <si>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</si>
  <si>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</si>
  <si>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</si>
  <si>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</si>
  <si>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</si>
  <si>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</si>
  <si>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</si>
  <si>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</si>
  <si>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</si>
  <si>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</si>
  <si>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</si>
  <si>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</si>
  <si>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</si>
  <si>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</si>
  <si>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</si>
  <si>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</si>
  <si>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</si>
  <si>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</si>
  <si>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</si>
  <si>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</si>
  <si>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</si>
  <si>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</si>
  <si>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</si>
  <si>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</si>
  <si>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</si>
  <si>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</si>
  <si>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</si>
  <si>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</si>
  <si>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</si>
  <si>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</si>
  <si>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</si>
  <si>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</si>
  <si>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</si>
  <si>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</si>
  <si>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</si>
  <si>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</si>
  <si>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</si>
  <si>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</si>
  <si>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</si>
  <si>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</si>
  <si>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</si>
  <si>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</si>
  <si>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</si>
  <si>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</si>
  <si>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</si>
  <si>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</si>
  <si>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</si>
  <si>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</si>
  <si>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</si>
  <si>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</si>
  <si>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</si>
  <si>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</si>
  <si>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</si>
  <si>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</si>
  <si>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</si>
  <si>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</si>
  <si>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</si>
  <si>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</si>
  <si>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</si>
  <si>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</si>
  <si>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</si>
  <si>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</si>
  <si>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</si>
  <si>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</si>
  <si>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</si>
  <si>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</si>
  <si>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</si>
  <si>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</si>
  <si>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</si>
  <si>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</si>
  <si>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</si>
  <si>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</si>
  <si>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</si>
  <si>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</si>
  <si>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</si>
  <si>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</si>
  <si>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</si>
  <si>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</si>
  <si>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</si>
  <si>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</si>
  <si>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</si>
  <si>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</si>
  <si>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</si>
  <si>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</si>
  <si>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</si>
  <si>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</si>
  <si>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</si>
  <si>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</si>
  <si>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</si>
  <si>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</si>
  <si>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</si>
  <si>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</si>
  <si>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</si>
  <si>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</si>
  <si>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</si>
  <si>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</si>
  <si>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</si>
  <si>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</si>
  <si>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</si>
  <si>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</si>
  <si>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</si>
  <si>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</si>
  <si>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</si>
  <si>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</si>
  <si>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</si>
  <si>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</si>
  <si>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</si>
  <si>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</si>
  <si>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</si>
  <si>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</si>
  <si>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</si>
  <si>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</si>
  <si>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</si>
  <si>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</si>
  <si>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</si>
  <si>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</si>
  <si>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</si>
  <si>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</si>
  <si>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</si>
  <si>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</si>
  <si>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</si>
  <si>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</si>
  <si>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</si>
  <si>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</si>
  <si>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</si>
  <si>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</si>
  <si>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</si>
  <si>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</si>
  <si>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</si>
  <si>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</si>
  <si>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</si>
  <si>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</si>
  <si>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</si>
  <si>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</si>
  <si>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</si>
  <si>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</si>
  <si>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</si>
  <si>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</si>
  <si>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</si>
  <si>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</si>
  <si>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</si>
  <si>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</si>
  <si>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</si>
  <si>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</si>
  <si>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</si>
  <si>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</si>
  <si>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</si>
  <si>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</si>
  <si>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</si>
  <si>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</si>
  <si>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</si>
  <si>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</si>
  <si>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</si>
  <si>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</si>
  <si>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</si>
  <si>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</si>
  <si>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</si>
  <si>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</si>
  <si>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</si>
  <si>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</si>
  <si>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</si>
  <si>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</si>
  <si>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</si>
  <si>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</si>
  <si>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</si>
  <si>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</si>
  <si>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</si>
  <si>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</si>
  <si>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</si>
  <si>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</si>
  <si>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</si>
  <si>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</si>
  <si>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</si>
  <si>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</si>
  <si>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</si>
  <si>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</si>
  <si>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</si>
  <si>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</si>
  <si>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</si>
  <si>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</si>
  <si>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</si>
  <si>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</si>
  <si>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</si>
  <si>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</si>
  <si>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</si>
  <si>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</si>
  <si>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</si>
  <si>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</si>
  <si>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</si>
  <si>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</si>
  <si>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</si>
  <si>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</si>
  <si>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</si>
  <si>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</si>
  <si>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</si>
  <si>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</si>
  <si>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</si>
  <si>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</si>
  <si>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</si>
  <si>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</si>
  <si>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</si>
  <si>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</si>
  <si>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</si>
  <si>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</si>
  <si>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</si>
  <si>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</si>
  <si>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</si>
  <si>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</si>
  <si>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</si>
  <si>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</si>
  <si>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</si>
  <si>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</si>
  <si>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</si>
  <si>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</si>
  <si>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</si>
  <si>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</si>
  <si>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</si>
  <si>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</si>
  <si>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</si>
  <si>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</si>
  <si>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</si>
  <si>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</si>
  <si>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</si>
  <si>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</si>
  <si>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</si>
  <si>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</si>
  <si>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</si>
  <si>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</si>
  <si>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</si>
  <si>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</si>
  <si>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</si>
  <si>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</si>
  <si>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</si>
  <si>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</si>
  <si>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</si>
  <si>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</si>
  <si>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</si>
  <si>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</si>
  <si>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</si>
  <si>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</si>
  <si>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</si>
  <si>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</si>
  <si>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</si>
  <si>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</si>
  <si>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</si>
  <si>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</si>
  <si>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</si>
  <si>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</si>
  <si>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</si>
  <si>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</si>
  <si>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</si>
  <si>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</si>
  <si>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</si>
  <si>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</si>
  <si>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</si>
  <si>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</si>
  <si>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</si>
  <si>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</si>
  <si>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</si>
  <si>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</si>
  <si>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</si>
  <si>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</si>
  <si>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</si>
  <si>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</si>
  <si>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</si>
  <si>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</si>
  <si>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</si>
  <si>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</si>
  <si>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</si>
  <si>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</si>
  <si>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</si>
  <si>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</si>
  <si>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</si>
  <si>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</si>
  <si>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</si>
  <si>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</si>
  <si>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</si>
  <si>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</si>
  <si>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</si>
  <si>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</si>
  <si>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</si>
  <si>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</si>
  <si>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</si>
  <si>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</si>
  <si>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</si>
  <si>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</si>
  <si>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</si>
  <si>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</si>
  <si>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</si>
  <si>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</si>
  <si>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</si>
  <si>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</si>
  <si>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</si>
  <si>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</si>
  <si>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</si>
  <si>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</si>
  <si>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</si>
  <si>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</si>
  <si>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</si>
  <si>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</si>
  <si>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</si>
  <si>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</si>
  <si>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</si>
  <si>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</si>
  <si>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</si>
  <si>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</si>
  <si>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</si>
  <si>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</si>
  <si>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</si>
  <si>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</si>
  <si>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</si>
  <si>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</si>
  <si>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</si>
  <si>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</si>
  <si>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</si>
  <si>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</si>
  <si>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</si>
  <si>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</si>
  <si>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</si>
  <si>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</si>
  <si>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</si>
  <si>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</si>
  <si>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</si>
  <si>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</si>
  <si>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</si>
  <si>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</si>
  <si>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</si>
  <si>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</si>
  <si>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</si>
  <si>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</si>
  <si>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</si>
  <si>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</si>
  <si>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</si>
  <si>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</si>
  <si>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</si>
  <si>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</si>
  <si>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</si>
  <si>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</si>
  <si>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</si>
  <si>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</si>
  <si>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</si>
  <si>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</si>
  <si>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</si>
  <si>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</si>
  <si>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</si>
  <si>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</si>
  <si>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</si>
  <si>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</si>
  <si>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</si>
  <si>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</si>
  <si>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</si>
  <si>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</si>
  <si>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</si>
  <si>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</si>
  <si>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</si>
  <si>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</si>
  <si>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</si>
  <si>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</si>
  <si>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</si>
  <si>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</si>
  <si>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</si>
  <si>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</si>
  <si>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</si>
  <si>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</si>
  <si>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</si>
  <si>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</si>
  <si>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</si>
  <si>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</si>
  <si>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</si>
  <si>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</si>
  <si>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</si>
  <si>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</si>
  <si>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</si>
  <si>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</si>
  <si>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</si>
  <si>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</si>
  <si>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</si>
  <si>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</si>
  <si>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</si>
  <si>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</si>
  <si>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</si>
  <si>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</si>
  <si>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</si>
  <si>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</si>
  <si>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</si>
  <si>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</si>
  <si>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</si>
  <si>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</si>
  <si>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</si>
  <si>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</si>
  <si>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</si>
  <si>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</si>
  <si>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</si>
  <si>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</si>
  <si>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</si>
  <si>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</si>
  <si>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</si>
  <si>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</si>
  <si>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</si>
  <si>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</si>
  <si>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</si>
  <si>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</si>
  <si>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</si>
  <si>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</si>
  <si>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</si>
  <si>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</si>
  <si>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</si>
  <si>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</si>
  <si>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</si>
  <si>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</si>
  <si>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</si>
  <si>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</si>
  <si>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</si>
  <si>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</si>
  <si>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</si>
  <si>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</si>
  <si>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</si>
  <si>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</si>
  <si>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</si>
  <si>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</si>
  <si>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</si>
  <si>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</si>
  <si>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</si>
  <si>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</si>
  <si>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</si>
  <si>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</si>
  <si>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</si>
  <si>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</si>
  <si>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</si>
  <si>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</si>
  <si>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</si>
  <si>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</si>
  <si>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</si>
  <si>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</si>
  <si>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</si>
  <si>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</si>
  <si>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</si>
  <si>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</si>
  <si>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</si>
  <si>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</si>
  <si>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</si>
  <si>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</si>
  <si>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</si>
  <si>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</si>
  <si>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</si>
  <si>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</si>
  <si>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</si>
  <si>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</si>
  <si>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</si>
  <si>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</si>
  <si>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</si>
  <si>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</si>
  <si>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</si>
  <si>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</si>
  <si>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</si>
  <si>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</si>
  <si>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</si>
  <si>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</si>
  <si>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</si>
  <si>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</si>
  <si>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</si>
  <si>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</si>
  <si>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</si>
  <si>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</si>
  <si>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</si>
  <si>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</si>
  <si>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</si>
  <si>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</si>
  <si>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</si>
  <si>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</si>
  <si>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</si>
  <si>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</si>
  <si>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</si>
  <si>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</si>
  <si>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</si>
  <si>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</si>
  <si>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</si>
  <si>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</si>
  <si>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</si>
  <si>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</si>
  <si>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</si>
  <si>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</si>
  <si>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</si>
  <si>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</si>
  <si>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</si>
  <si>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</si>
  <si>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</si>
  <si>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</si>
  <si>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</si>
  <si>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</si>
  <si>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</si>
  <si>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</si>
  <si>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</si>
  <si>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</si>
  <si>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</si>
  <si>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</si>
  <si>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</si>
  <si>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</si>
  <si>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</si>
  <si>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</si>
  <si>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</si>
  <si>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</si>
  <si>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</si>
  <si>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</si>
  <si>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</si>
  <si>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</si>
  <si>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</si>
  <si>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</si>
  <si>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</si>
  <si>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</si>
  <si>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</si>
  <si>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</si>
  <si>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</si>
  <si>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</si>
  <si>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</si>
  <si>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</si>
  <si>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</si>
  <si>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</si>
  <si>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</si>
  <si>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</si>
  <si>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</si>
  <si>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</si>
  <si>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</si>
  <si>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</si>
  <si>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</si>
  <si>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</si>
  <si>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</si>
  <si>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</si>
  <si>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</si>
  <si>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</si>
  <si>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</si>
  <si>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</si>
  <si>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</si>
  <si>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</si>
  <si>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</si>
  <si>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</si>
  <si>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</si>
  <si>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</si>
  <si>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</si>
  <si>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</si>
  <si>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</si>
  <si>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</si>
  <si>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</si>
  <si>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</si>
  <si>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</si>
  <si>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</si>
  <si>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</si>
  <si>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</si>
  <si>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</si>
  <si>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</si>
  <si>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</si>
  <si>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</si>
  <si>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</si>
  <si>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</si>
  <si>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</si>
  <si>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</si>
  <si>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</si>
  <si>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</si>
  <si>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</si>
  <si>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</si>
  <si>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</si>
  <si>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</si>
  <si>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</si>
  <si>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</si>
  <si>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</si>
  <si>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</si>
  <si>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</si>
  <si>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</si>
  <si>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</si>
  <si>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</si>
  <si>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</si>
  <si>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</si>
  <si>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</si>
  <si>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</si>
  <si>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</si>
  <si>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</si>
  <si>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</si>
  <si>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</si>
  <si>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</si>
  <si>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</si>
  <si>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</si>
  <si>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</si>
  <si>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</si>
  <si>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</si>
  <si>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</si>
  <si>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</si>
  <si>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</si>
  <si>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</si>
  <si>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</si>
  <si>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</si>
  <si>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</si>
  <si>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</si>
  <si>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</si>
  <si>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</si>
  <si>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</si>
  <si>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</si>
  <si>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</si>
  <si>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</si>
  <si>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</si>
  <si>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</si>
  <si>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</si>
  <si>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</si>
  <si>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</si>
  <si>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</si>
  <si>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</si>
  <si>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</si>
  <si>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</si>
  <si>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</si>
  <si>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</si>
  <si>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</si>
  <si>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</si>
  <si>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</si>
  <si>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</si>
  <si>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</si>
  <si>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</si>
  <si>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</si>
  <si>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</si>
  <si>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</si>
  <si>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</si>
  <si>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</si>
  <si>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</si>
  <si>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</si>
  <si>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</si>
  <si>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</si>
  <si>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</si>
  <si>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</si>
  <si>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</si>
  <si>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</si>
  <si>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</si>
  <si>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</si>
  <si>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</si>
  <si>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</si>
  <si>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</si>
  <si>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</si>
  <si>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</si>
  <si>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</si>
  <si>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</si>
  <si>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</si>
  <si>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</si>
  <si>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</si>
  <si>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</si>
  <si>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</si>
  <si>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</si>
  <si>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</si>
  <si>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</si>
  <si>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</si>
  <si>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</si>
  <si>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</si>
  <si>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</si>
  <si>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</si>
  <si>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</si>
  <si>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</si>
  <si>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</si>
  <si>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</si>
  <si>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</si>
  <si>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</si>
  <si>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</si>
  <si>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</si>
  <si>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</si>
  <si>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</si>
  <si>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</si>
  <si>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</si>
  <si>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</si>
  <si>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</si>
  <si>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</si>
  <si>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</si>
  <si>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</si>
  <si>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</si>
  <si>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</si>
  <si>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</si>
  <si>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</si>
  <si>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</si>
  <si>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</si>
  <si>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</si>
  <si>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</si>
  <si>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</si>
  <si>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</si>
  <si>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</si>
  <si>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</si>
  <si>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</si>
  <si>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</si>
  <si>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</si>
  <si>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</si>
  <si>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</si>
  <si>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</si>
  <si>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</si>
  <si>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</si>
  <si>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</si>
  <si>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</si>
  <si>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</si>
  <si>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</si>
  <si>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</si>
  <si>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</si>
  <si>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</si>
  <si>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</si>
  <si>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</si>
  <si>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</si>
  <si>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</si>
  <si>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</si>
  <si>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</si>
  <si>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</si>
  <si>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</si>
  <si>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</si>
  <si>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</si>
  <si>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</si>
  <si>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</si>
  <si>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</si>
  <si>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</si>
  <si>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</si>
  <si>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</si>
  <si>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</si>
  <si>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</si>
  <si>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</si>
  <si>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</si>
  <si>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</si>
  <si>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</si>
  <si>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</si>
  <si>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</si>
  <si>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</si>
  <si>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</si>
  <si>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</si>
  <si>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</si>
  <si>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</si>
  <si>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</si>
  <si>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</si>
  <si>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</si>
  <si>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</si>
  <si>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</si>
  <si>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</si>
  <si>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</si>
  <si>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</si>
  <si>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</si>
  <si>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</si>
  <si>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</si>
  <si>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</si>
  <si>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</si>
  <si>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</si>
  <si>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</si>
  <si>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</si>
  <si>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</si>
  <si>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</si>
  <si>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</si>
  <si>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</si>
  <si>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</si>
  <si>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</si>
  <si>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</si>
  <si>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60 PCS</t>
  </si>
  <si>
    <t>ENTER BOX FILE BENTUK</t>
  </si>
  <si>
    <t>MIX WARNA BIRU, MERAH, PUTIH, HIJAU, KUNING</t>
  </si>
  <si>
    <t>ENTER SPIRAL 403</t>
  </si>
  <si>
    <t>DUST SAMPUL ROLL 344</t>
  </si>
  <si>
    <t>500 ROL</t>
  </si>
  <si>
    <t>160 DZ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</si>
  <si>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</si>
  <si>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</si>
  <si>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</si>
  <si>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</si>
  <si>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</si>
  <si>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</si>
  <si>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</si>
  <si>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</si>
  <si>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</si>
  <si>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</si>
  <si>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</si>
  <si>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</si>
  <si>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0111/HW/IX/22</t>
  </si>
  <si>
    <t>SA221017097</t>
  </si>
  <si>
    <t>CALCULATOR JOYKO CC-23</t>
  </si>
  <si>
    <t>GA-22-10-0477</t>
  </si>
  <si>
    <t>BUSINESS FILE SIKA AC-106 PUTIH</t>
  </si>
  <si>
    <t xml:space="preserve">NUNGGU BRG </t>
  </si>
  <si>
    <t>GA-22-10-0451</t>
  </si>
  <si>
    <t>TH008/20/2022</t>
  </si>
  <si>
    <t>PERUNCING 038</t>
  </si>
  <si>
    <t>PCM 59696</t>
  </si>
  <si>
    <t>CORR TAPE MT 737 A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</si>
  <si>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</si>
  <si>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</si>
  <si>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</si>
  <si>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</si>
  <si>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</si>
  <si>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</si>
  <si>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</si>
  <si>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CALCULATOR JOYKO CC-868</t>
  </si>
  <si>
    <t>KOJIKO K/ABSEN D/MRH</t>
  </si>
  <si>
    <t>ENTER BOXFILE KCG (BF 567) BIRU</t>
  </si>
  <si>
    <t>ENTER BOXFILE KCG (BF 567) HITAM</t>
  </si>
  <si>
    <t>ENTER BUSUR NO.4 TBL</t>
  </si>
  <si>
    <t>PCK 17-33/ 8.5X20/ MOBIL/ 2SSN</t>
  </si>
  <si>
    <t>PCM A-1190/ 8X23/ PUA/ SENTER/ DNY</t>
  </si>
  <si>
    <t>LETTER TRAY BESI MICROTOP MT118-3/3SSN</t>
  </si>
  <si>
    <t>LETTER TRAY BESI MICROTOP MT118-2/2SSN</t>
  </si>
  <si>
    <t>PCK 19-15/ 8X20.5/ MOBIL/ SET</t>
  </si>
  <si>
    <t>22100904</t>
  </si>
  <si>
    <t>KENKO PENCIL LEAD PL-05 2B 0.5MM HI-POLYMER</t>
  </si>
  <si>
    <t>KENKO PENCIL LEAD PL-212 2B 2.0MM X 12 CM</t>
  </si>
  <si>
    <t>SA 37600</t>
  </si>
  <si>
    <t>SA 37602</t>
  </si>
  <si>
    <t>18 GRS</t>
  </si>
  <si>
    <t>22100921</t>
  </si>
  <si>
    <t>SA 37610</t>
  </si>
  <si>
    <t>KENKO GEL PEN KE-303 T- GEL TRIANGULAR BLACK</t>
  </si>
  <si>
    <t>KENKO 12 COLOR PENCIL CP-12 F CLASSIC</t>
  </si>
  <si>
    <t>SA 37613</t>
  </si>
  <si>
    <t>22101015</t>
  </si>
  <si>
    <t>SA 37616</t>
  </si>
  <si>
    <t>SA 37637</t>
  </si>
  <si>
    <t>2 PAK</t>
  </si>
  <si>
    <t>22101207</t>
  </si>
  <si>
    <t>SA 37660</t>
  </si>
  <si>
    <t>KENKO PUNCH NO.85 N</t>
  </si>
  <si>
    <t>4 PCS</t>
  </si>
  <si>
    <t>SA221016384</t>
  </si>
  <si>
    <t>OIL PASTEL OP-24S PP CASE SEA WORLD JK</t>
  </si>
  <si>
    <t>KENKO STAPLER HD-10D</t>
  </si>
  <si>
    <t>KENKO PAPER TRIMMER 18" X 15" (A3) METAL</t>
  </si>
  <si>
    <t>KENKO PAPER TRIMMER 10" X 15" (FC) METAL</t>
  </si>
  <si>
    <t>JL-24405</t>
  </si>
  <si>
    <t>MEJA LIPAT HANDLE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</si>
</sst>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1" applyFill="1"/>
    <xf numFmtId="0" fontId="0" fillId="0" borderId="0" xfId="0" applyFill="1" applyAlignment="1">
      <alignment horizontal="center"/>
    </xf>
    <xf numFmtId="0" fontId="1" fillId="0" borderId="0" xfId="1" applyNumberFormat="1" applyFill="1"/>
  </cellXfs>
  <cellStyles count="2">
    <cellStyle name="Hyperlink" xfId="1" builtinId="8"/>
    <cellStyle name="Normal" xfId="0" builtinId="0"/>
  </cellStyles>
  <dxfs count="23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943" headerRowDxfId="217" dataDxfId="216">
  <autoFilter ref="A2:AI943"/>
  <tableColumns count="35">
    <tableColumn id="36" name="ID" totalsRowLabel="Total" dataDxfId="215" totalsRowDxfId="21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3" totalsRowDxfId="21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1" totalsRowDxfId="210">
      <calculatedColumnFormula>IF(NOTA[[#This Row],[ID_P]]="","",MATCH(NOTA[[#This Row],[ID_P]],[1]!B_MSK[N_ID],0))</calculatedColumnFormula>
    </tableColumn>
    <tableColumn id="37" name="ID_H" dataDxfId="209" totalsRowDxfId="20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7" totalsRowDxfId="206"/>
    <tableColumn id="3" name="SUPPLIER" dataDxfId="205" totalsRowDxfId="204"/>
    <tableColumn id="4" name="FAKTUR" dataDxfId="203" totalsRowDxfId="202"/>
    <tableColumn id="5" name="NO.NOTA" dataDxfId="201" totalsRowDxfId="200"/>
    <tableColumn id="6" name="NO.SJ" dataDxfId="199" totalsRowDxfId="198"/>
    <tableColumn id="7" name="TGL.NOTA" dataDxfId="197" totalsRowDxfId="196"/>
    <tableColumn id="8" name="SERI" dataDxfId="195" totalsRowDxfId="194"/>
    <tableColumn id="9" name="NAMA BARANG" dataDxfId="193" totalsRowDxfId="192"/>
    <tableColumn id="10" name="C" dataDxfId="191" totalsRowDxfId="190"/>
    <tableColumn id="12" name="QTY" dataDxfId="189" totalsRowDxfId="188"/>
    <tableColumn id="13" name="STN" dataDxfId="187" totalsRowDxfId="186"/>
    <tableColumn id="14" name="HARGA SATUAN" dataDxfId="185" totalsRowDxfId="184"/>
    <tableColumn id="16" name="HARGA/ CTN" dataDxfId="183" totalsRowDxfId="182"/>
    <tableColumn id="17" name="QTY/ CTN" dataDxfId="181" totalsRowDxfId="180"/>
    <tableColumn id="18" name="DISC 1" dataDxfId="179" totalsRowDxfId="178"/>
    <tableColumn id="19" name="DISC 2" dataDxfId="177" totalsRowDxfId="176"/>
    <tableColumn id="11" name="DISC DLL" dataDxfId="175" totalsRowDxfId="174"/>
    <tableColumn id="31" name="KETERANGAN" dataDxfId="173" totalsRowDxfId="172"/>
    <tableColumn id="20" name="JUMLAH" dataDxfId="171" totalsRowDxfId="170">
      <calculatedColumnFormula>IF(NOTA[[#This Row],[HARGA/ CTN]]="",NOTA[[#This Row],[JUMLAH_H]],NOTA[[#This Row],[HARGA/ CTN]]*NOTA[[#This Row],[C]])</calculatedColumnFormula>
    </tableColumn>
    <tableColumn id="21" name="DISC 1-" dataDxfId="169" totalsRowDxfId="168">
      <calculatedColumnFormula>IF(NOTA[[#This Row],[JUMLAH]]="","",NOTA[[#This Row],[JUMLAH]]*NOTA[[#This Row],[DISC 1]])</calculatedColumnFormula>
    </tableColumn>
    <tableColumn id="22" name="DISC 2-" dataDxfId="167" totalsRowDxfId="166">
      <calculatedColumnFormula>IF(NOTA[[#This Row],[JUMLAH]]="","",(NOTA[[#This Row],[JUMLAH]]-NOTA[[#This Row],[DISC 1-]])*NOTA[[#This Row],[DISC 2]])</calculatedColumnFormula>
    </tableColumn>
    <tableColumn id="25" name="DISC" dataDxfId="165" totalsRowDxfId="164">
      <calculatedColumnFormula>IF(NOTA[[#This Row],[JUMLAH]]="","",NOTA[[#This Row],[DISC 1-]]+NOTA[[#This Row],[DISC 2-]])</calculatedColumnFormula>
    </tableColumn>
    <tableColumn id="26" name="TOTAL" dataDxfId="163" totalsRowDxfId="162">
      <calculatedColumnFormula>IF(NOTA[[#This Row],[JUMLAH]]="","",NOTA[[#This Row],[JUMLAH]]-NOTA[[#This Row],[DISC]])</calculatedColumnFormula>
    </tableColumn>
    <tableColumn id="33" name="DISC TOTAL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59" totalsRowDxfId="1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7" totalsRowDxfId="15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5" totalsRowDxfId="154">
      <calculatedColumnFormula>IF(OR(NOTA[[#This Row],[QTY]]="",NOTA[[#This Row],[HARGA SATUAN]]="",),"",NOTA[[#This Row],[QTY]]*NOTA[[#This Row],[HARGA SATUAN]])</calculatedColumnFormula>
    </tableColumn>
    <tableColumn id="27" name="TGL_H" dataDxfId="153" totalsRowDxfId="15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1" totalsRowDxfId="150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49">
      <calculatedColumnFormula>IF(NOTA[[#This Row],[ID]]="","",COUNTIF(NOTA[ID_H],NOTA[[#This Row],[ID_H]]))</calculatedColumnFormula>
    </tableColumn>
    <tableColumn id="29" name="Column1" dataDxfId="148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G2:G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3"/>
  <sheetViews>
    <sheetView tabSelected="1" topLeftCell="A37" zoomScale="70" zoomScaleNormal="70" workbookViewId="0">
      <selection activeCell="Q44" sqref="Q44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70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58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58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4"/>
      <c r="F53" s="127"/>
      <c r="G53" s="127"/>
      <c r="H53" s="126"/>
      <c r="I53" s="127"/>
      <c r="J53" s="128"/>
      <c r="K53" s="127"/>
      <c r="L53" s="127" t="s">
        <v>176</v>
      </c>
      <c r="M53" s="129"/>
      <c r="N53" s="127">
        <v>15</v>
      </c>
      <c r="O53" s="127" t="s">
        <v>174</v>
      </c>
      <c r="P53" s="117">
        <v>32400</v>
      </c>
      <c r="Q53" s="159"/>
      <c r="R53" s="130" t="s">
        <v>175</v>
      </c>
      <c r="S53" s="131">
        <v>0.17</v>
      </c>
      <c r="T53" s="132"/>
      <c r="U53" s="133"/>
      <c r="V53" s="134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682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6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681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510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512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679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680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678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677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676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675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674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496</v>
      </c>
      <c r="G246" s="31" t="s">
        <v>87</v>
      </c>
      <c r="H246" s="33" t="s">
        <v>497</v>
      </c>
      <c r="I246" s="31"/>
      <c r="J246" s="34">
        <v>44852</v>
      </c>
      <c r="K246" s="31"/>
      <c r="L246" s="31" t="s">
        <v>498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502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499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502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500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502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501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502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503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504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505</v>
      </c>
      <c r="I256" s="31"/>
      <c r="J256" s="34">
        <v>44852</v>
      </c>
      <c r="K256" s="31"/>
      <c r="L256" s="31" t="s">
        <v>508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506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507</v>
      </c>
      <c r="M257" s="45">
        <v>10</v>
      </c>
      <c r="N257" s="42">
        <v>120</v>
      </c>
      <c r="O257" s="31" t="s">
        <v>88</v>
      </c>
      <c r="P257" s="40">
        <v>145000</v>
      </c>
      <c r="Q257" s="160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60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509</v>
      </c>
      <c r="I259" s="31"/>
      <c r="J259" s="44">
        <v>44852</v>
      </c>
      <c r="K259" s="42"/>
      <c r="L259" s="31" t="s">
        <v>512</v>
      </c>
      <c r="M259" s="45"/>
      <c r="N259" s="42">
        <v>1</v>
      </c>
      <c r="O259" s="31" t="s">
        <v>210</v>
      </c>
      <c r="P259" s="40">
        <v>180000</v>
      </c>
      <c r="Q259" s="160"/>
      <c r="R259" s="35" t="s">
        <v>511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510</v>
      </c>
      <c r="M260" s="45"/>
      <c r="N260" s="42">
        <v>1</v>
      </c>
      <c r="O260" s="31" t="s">
        <v>210</v>
      </c>
      <c r="P260" s="40">
        <v>195000</v>
      </c>
      <c r="Q260" s="160"/>
      <c r="R260" s="35" t="s">
        <v>511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510</v>
      </c>
      <c r="M261" s="45">
        <v>1</v>
      </c>
      <c r="N261" s="42">
        <v>5</v>
      </c>
      <c r="O261" s="31" t="s">
        <v>210</v>
      </c>
      <c r="P261" s="40">
        <v>195000</v>
      </c>
      <c r="Q261" s="160"/>
      <c r="R261" s="35" t="s">
        <v>511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512</v>
      </c>
      <c r="M262" s="45">
        <v>1</v>
      </c>
      <c r="N262" s="42">
        <v>5</v>
      </c>
      <c r="O262" s="31" t="s">
        <v>210</v>
      </c>
      <c r="P262" s="40">
        <v>180000</v>
      </c>
      <c r="Q262" s="160"/>
      <c r="R262" s="35" t="s">
        <v>511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60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479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559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795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464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463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465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466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467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468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6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469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470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471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472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473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474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475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476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477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478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480</v>
      </c>
      <c r="I311" s="31"/>
      <c r="J311" s="34">
        <v>44849</v>
      </c>
      <c r="K311" s="31"/>
      <c r="L311" s="31" t="s">
        <v>481</v>
      </c>
      <c r="M311" s="35">
        <v>20</v>
      </c>
      <c r="N311" s="31">
        <v>2000</v>
      </c>
      <c r="O311" s="31" t="s">
        <v>482</v>
      </c>
      <c r="P311" s="30">
        <v>14000</v>
      </c>
      <c r="Q311" s="103"/>
      <c r="R311" s="35" t="s">
        <v>483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484</v>
      </c>
      <c r="I313" s="31"/>
      <c r="J313" s="34">
        <v>44847</v>
      </c>
      <c r="K313" s="31"/>
      <c r="L313" s="31" t="s">
        <v>485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486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487</v>
      </c>
      <c r="I316" s="31"/>
      <c r="J316" s="34">
        <v>44848</v>
      </c>
      <c r="K316" s="31"/>
      <c r="L316" s="31" t="s">
        <v>488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489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490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492</v>
      </c>
      <c r="I320" s="31"/>
      <c r="J320" s="34">
        <v>44846</v>
      </c>
      <c r="K320" s="31"/>
      <c r="L320" s="31" t="s">
        <v>491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493</v>
      </c>
      <c r="I322" s="31"/>
      <c r="J322" s="34">
        <v>44830</v>
      </c>
      <c r="K322" s="31"/>
      <c r="L322" s="31" t="s">
        <v>494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495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52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KEN_2010_904-4</v>
      </c>
      <c r="C326" s="53" t="e">
        <f ca="1">IF(NOTA[[#This Row],[ID_P]]="","",MATCH(NOTA[[#This Row],[ID_P]],[1]!B_MSK[N_ID],0))</f>
        <v>#REF!</v>
      </c>
      <c r="D326" s="53">
        <f ca="1">IF(NOTA[[#This Row],[NAMA BARANG]]="","",INDEX(NOTA[ID],MATCH(,INDIRECT(ADDRESS(ROW(NOTA[ID]),COLUMN(NOTA[ID]))&amp;":"&amp;ADDRESS(ROW(),COLUMN(NOTA[ID]))),-1)))</f>
        <v>77</v>
      </c>
      <c r="E326" s="60"/>
      <c r="F326" s="31" t="s">
        <v>23</v>
      </c>
      <c r="G326" s="31" t="s">
        <v>24</v>
      </c>
      <c r="H326" s="33" t="s">
        <v>805</v>
      </c>
      <c r="I326" s="31" t="s">
        <v>808</v>
      </c>
      <c r="J326" s="56">
        <v>44846</v>
      </c>
      <c r="K326" s="54"/>
      <c r="L326" s="31" t="s">
        <v>164</v>
      </c>
      <c r="M326" s="57">
        <v>15</v>
      </c>
      <c r="N326" s="54"/>
      <c r="O326" s="31"/>
      <c r="P326" s="52"/>
      <c r="Q326" s="162">
        <v>1954800</v>
      </c>
      <c r="R326" s="35" t="s">
        <v>94</v>
      </c>
      <c r="S326" s="59">
        <v>0.17</v>
      </c>
      <c r="T326" s="59"/>
      <c r="U326" s="58"/>
      <c r="V326" s="87"/>
      <c r="W326" s="58">
        <f>IF(NOTA[[#This Row],[HARGA/ CTN]]="",NOTA[[#This Row],[JUMLAH_H]],NOTA[[#This Row],[HARGA/ CTN]]*NOTA[[#This Row],[C]])</f>
        <v>29322000</v>
      </c>
      <c r="X326" s="58">
        <f>IF(NOTA[[#This Row],[JUMLAH]]="","",NOTA[[#This Row],[JUMLAH]]*NOTA[[#This Row],[DISC 1]])</f>
        <v>4984740</v>
      </c>
      <c r="Y326" s="58">
        <f>IF(NOTA[[#This Row],[JUMLAH]]="","",(NOTA[[#This Row],[JUMLAH]]-NOTA[[#This Row],[DISC 1-]])*NOTA[[#This Row],[DISC 2]])</f>
        <v>0</v>
      </c>
      <c r="Z326" s="58">
        <f>IF(NOTA[[#This Row],[JUMLAH]]="","",NOTA[[#This Row],[DISC 1-]]+NOTA[[#This Row],[DISC 2-]])</f>
        <v>4984740</v>
      </c>
      <c r="AA326" s="58">
        <f>IF(NOTA[[#This Row],[JUMLAH]]="","",NOTA[[#This Row],[JUMLAH]]-NOTA[[#This Row],[DISC]])</f>
        <v>24337260</v>
      </c>
      <c r="AB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26" s="58" t="str">
        <f>IF(OR(NOTA[[#This Row],[QTY]]="",NOTA[[#This Row],[HARGA SATUAN]]="",),"",NOTA[[#This Row],[QTY]]*NOTA[[#This Row],[HARGA SATUAN]])</f>
        <v/>
      </c>
      <c r="AF326" s="56">
        <f ca="1">IF(NOTA[ID_H]="","",INDEX(NOTA[TANGGAL],MATCH(,INDIRECT(ADDRESS(ROW(NOTA[TANGGAL]),COLUMN(NOTA[TANGGAL]))&amp;":"&amp;ADDRESS(ROW(),COLUMN(NOTA[TANGGAL]))),-1)))</f>
        <v>44854</v>
      </c>
      <c r="AG326" s="52" t="str">
        <f ca="1">IF(NOTA[[#This Row],[NAMA BARANG]]="","",INDEX(NOTA[SUPPLIER],MATCH(,INDIRECT(ADDRESS(ROW(NOTA[ID]),COLUMN(NOTA[ID]))&amp;":"&amp;ADDRESS(ROW(),COLUMN(NOTA[ID]))),-1)))</f>
        <v>KENKO SINAR INDONESIA</v>
      </c>
      <c r="AH326" s="16">
        <f ca="1">IF(NOTA[[#This Row],[ID]]="","",COUNTIF(NOTA[ID_H],NOTA[[#This Row],[ID_H]]))</f>
        <v>4</v>
      </c>
      <c r="AI326" s="16">
        <f>IF(NOTA[[#This Row],[TGL.NOTA]]="",IF(NOTA[[#This Row],[SUPPLIER_H]]="","",#REF!),MONTH(NOTA[[#This Row],[TGL.NOTA]]))</f>
        <v>10</v>
      </c>
      <c r="AJ326" s="16"/>
    </row>
    <row r="327" spans="1:36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>
        <f ca="1">IF(NOTA[[#This Row],[NAMA BARANG]]="","",INDEX(NOTA[ID],MATCH(,INDIRECT(ADDRESS(ROW(NOTA[ID]),COLUMN(NOTA[ID]))&amp;":"&amp;ADDRESS(ROW(),COLUMN(NOTA[ID]))),-1)))</f>
        <v>77</v>
      </c>
      <c r="E327" s="60"/>
      <c r="F327" s="54"/>
      <c r="G327" s="54"/>
      <c r="H327" s="55"/>
      <c r="I327" s="54"/>
      <c r="J327" s="56"/>
      <c r="K327" s="54"/>
      <c r="L327" s="31" t="s">
        <v>95</v>
      </c>
      <c r="M327" s="57">
        <v>3</v>
      </c>
      <c r="N327" s="54"/>
      <c r="O327" s="31"/>
      <c r="P327" s="52"/>
      <c r="Q327" s="162">
        <v>2952000</v>
      </c>
      <c r="R327" s="35" t="s">
        <v>96</v>
      </c>
      <c r="S327" s="59">
        <v>0.17</v>
      </c>
      <c r="T327" s="59"/>
      <c r="U327" s="58"/>
      <c r="V327" s="87"/>
      <c r="W327" s="58">
        <f>IF(NOTA[[#This Row],[HARGA/ CTN]]="",NOTA[[#This Row],[JUMLAH_H]],NOTA[[#This Row],[HARGA/ CTN]]*NOTA[[#This Row],[C]])</f>
        <v>8856000</v>
      </c>
      <c r="X327" s="58">
        <f>IF(NOTA[[#This Row],[JUMLAH]]="","",NOTA[[#This Row],[JUMLAH]]*NOTA[[#This Row],[DISC 1]])</f>
        <v>1505520</v>
      </c>
      <c r="Y327" s="58">
        <f>IF(NOTA[[#This Row],[JUMLAH]]="","",(NOTA[[#This Row],[JUMLAH]]-NOTA[[#This Row],[DISC 1-]])*NOTA[[#This Row],[DISC 2]])</f>
        <v>0</v>
      </c>
      <c r="Z327" s="58">
        <f>IF(NOTA[[#This Row],[JUMLAH]]="","",NOTA[[#This Row],[DISC 1-]]+NOTA[[#This Row],[DISC 2-]])</f>
        <v>1505520</v>
      </c>
      <c r="AA327" s="58">
        <f>IF(NOTA[[#This Row],[JUMLAH]]="","",NOTA[[#This Row],[JUMLAH]]-NOTA[[#This Row],[DISC]])</f>
        <v>7350480</v>
      </c>
      <c r="AB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27" s="58" t="str">
        <f>IF(OR(NOTA[[#This Row],[QTY]]="",NOTA[[#This Row],[HARGA SATUAN]]="",),"",NOTA[[#This Row],[QTY]]*NOTA[[#This Row],[HARGA SATUAN]])</f>
        <v/>
      </c>
      <c r="AF327" s="56">
        <f ca="1">IF(NOTA[ID_H]="","",INDEX(NOTA[TANGGAL],MATCH(,INDIRECT(ADDRESS(ROW(NOTA[TANGGAL]),COLUMN(NOTA[TANGGAL]))&amp;":"&amp;ADDRESS(ROW(),COLUMN(NOTA[TANGGAL]))),-1)))</f>
        <v>44854</v>
      </c>
      <c r="AG327" s="52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3" t="str">
        <f>IF(NOTA[[#This Row],[ID_P]]="","",MATCH(NOTA[[#This Row],[ID_P]],[1]!B_MSK[N_ID],0))</f>
        <v/>
      </c>
      <c r="D328" s="53">
        <f ca="1">IF(NOTA[[#This Row],[NAMA BARANG]]="","",INDEX(NOTA[ID],MATCH(,INDIRECT(ADDRESS(ROW(NOTA[ID]),COLUMN(NOTA[ID]))&amp;":"&amp;ADDRESS(ROW(),COLUMN(NOTA[ID]))),-1)))</f>
        <v>77</v>
      </c>
      <c r="E328" s="60"/>
      <c r="F328" s="31"/>
      <c r="G328" s="31"/>
      <c r="H328" s="33"/>
      <c r="I328" s="31" t="s">
        <v>809</v>
      </c>
      <c r="J328" s="56"/>
      <c r="K328" s="54"/>
      <c r="L328" s="31" t="s">
        <v>806</v>
      </c>
      <c r="M328" s="57">
        <v>2</v>
      </c>
      <c r="N328" s="54"/>
      <c r="O328" s="31"/>
      <c r="P328" s="52"/>
      <c r="Q328" s="162">
        <v>3240000</v>
      </c>
      <c r="R328" s="35" t="s">
        <v>810</v>
      </c>
      <c r="S328" s="59">
        <v>0.17</v>
      </c>
      <c r="T328" s="59"/>
      <c r="U328" s="58"/>
      <c r="V328" s="87"/>
      <c r="W328" s="58">
        <f>IF(NOTA[[#This Row],[HARGA/ CTN]]="",NOTA[[#This Row],[JUMLAH_H]],NOTA[[#This Row],[HARGA/ CTN]]*NOTA[[#This Row],[C]])</f>
        <v>6480000</v>
      </c>
      <c r="X328" s="58">
        <f>IF(NOTA[[#This Row],[JUMLAH]]="","",NOTA[[#This Row],[JUMLAH]]*NOTA[[#This Row],[DISC 1]])</f>
        <v>1101600</v>
      </c>
      <c r="Y328" s="58">
        <f>IF(NOTA[[#This Row],[JUMLAH]]="","",(NOTA[[#This Row],[JUMLAH]]-NOTA[[#This Row],[DISC 1-]])*NOTA[[#This Row],[DISC 2]])</f>
        <v>0</v>
      </c>
      <c r="Z328" s="58">
        <f>IF(NOTA[[#This Row],[JUMLAH]]="","",NOTA[[#This Row],[DISC 1-]]+NOTA[[#This Row],[DISC 2-]])</f>
        <v>1101600</v>
      </c>
      <c r="AA328" s="58">
        <f>IF(NOTA[[#This Row],[JUMLAH]]="","",NOTA[[#This Row],[JUMLAH]]-NOTA[[#This Row],[DISC]])</f>
        <v>5378400</v>
      </c>
      <c r="AB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28" s="58" t="str">
        <f>IF(OR(NOTA[[#This Row],[QTY]]="",NOTA[[#This Row],[HARGA SATUAN]]="",),"",NOTA[[#This Row],[QTY]]*NOTA[[#This Row],[HARGA SATUAN]])</f>
        <v/>
      </c>
      <c r="AF328" s="56">
        <f ca="1">IF(NOTA[ID_H]="","",INDEX(NOTA[TANGGAL],MATCH(,INDIRECT(ADDRESS(ROW(NOTA[TANGGAL]),COLUMN(NOTA[TANGGAL]))&amp;":"&amp;ADDRESS(ROW(),COLUMN(NOTA[TANGGAL]))),-1)))</f>
        <v>44854</v>
      </c>
      <c r="AG328" s="52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77</v>
      </c>
      <c r="E329" s="60"/>
      <c r="F329" s="54"/>
      <c r="G329" s="54"/>
      <c r="H329" s="55"/>
      <c r="I329" s="31"/>
      <c r="J329" s="56"/>
      <c r="K329" s="54"/>
      <c r="L329" s="31" t="s">
        <v>807</v>
      </c>
      <c r="M329" s="57">
        <v>1</v>
      </c>
      <c r="N329" s="54"/>
      <c r="O329" s="54"/>
      <c r="P329" s="52"/>
      <c r="Q329" s="162">
        <v>2937600</v>
      </c>
      <c r="R329" s="35" t="s">
        <v>102</v>
      </c>
      <c r="S329" s="59">
        <v>0.17</v>
      </c>
      <c r="T329" s="59"/>
      <c r="U329" s="58"/>
      <c r="V329" s="87"/>
      <c r="W329" s="58">
        <f>IF(NOTA[[#This Row],[HARGA/ CTN]]="",NOTA[[#This Row],[JUMLAH_H]],NOTA[[#This Row],[HARGA/ CTN]]*NOTA[[#This Row],[C]])</f>
        <v>2937600</v>
      </c>
      <c r="X329" s="58">
        <f>IF(NOTA[[#This Row],[JUMLAH]]="","",NOTA[[#This Row],[JUMLAH]]*NOTA[[#This Row],[DISC 1]])</f>
        <v>499392.00000000006</v>
      </c>
      <c r="Y329" s="58">
        <f>IF(NOTA[[#This Row],[JUMLAH]]="","",(NOTA[[#This Row],[JUMLAH]]-NOTA[[#This Row],[DISC 1-]])*NOTA[[#This Row],[DISC 2]])</f>
        <v>0</v>
      </c>
      <c r="Z329" s="58">
        <f>IF(NOTA[[#This Row],[JUMLAH]]="","",NOTA[[#This Row],[DISC 1-]]+NOTA[[#This Row],[DISC 2-]])</f>
        <v>499392.00000000006</v>
      </c>
      <c r="AA329" s="58">
        <f>IF(NOTA[[#This Row],[JUMLAH]]="","",NOTA[[#This Row],[JUMLAH]]-NOTA[[#This Row],[DISC]])</f>
        <v>2438208</v>
      </c>
      <c r="AB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8091252</v>
      </c>
      <c r="AC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39504348</v>
      </c>
      <c r="AD329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329" s="58" t="str">
        <f>IF(OR(NOTA[[#This Row],[QTY]]="",NOTA[[#This Row],[HARGA SATUAN]]="",),"",NOTA[[#This Row],[QTY]]*NOTA[[#This Row],[HARGA SATUAN]])</f>
        <v/>
      </c>
      <c r="AF329" s="56">
        <f ca="1">IF(NOTA[ID_H]="","",INDEX(NOTA[TANGGAL],MATCH(,INDIRECT(ADDRESS(ROW(NOTA[TANGGAL]),COLUMN(NOTA[TANGGAL]))&amp;":"&amp;ADDRESS(ROW(),COLUMN(NOTA[TANGGAL]))),-1)))</f>
        <v>44854</v>
      </c>
      <c r="AG329" s="52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 t="str">
        <f ca="1">IF(NOTA[[#This Row],[NAMA BARANG]]="","",INDEX(NOTA[ID],MATCH(,INDIRECT(ADDRESS(ROW(NOTA[ID]),COLUMN(NOTA[ID]))&amp;":"&amp;ADDRESS(ROW(),COLUMN(NOTA[ID]))),-1)))</f>
        <v/>
      </c>
      <c r="E330" s="60"/>
      <c r="F330" s="31"/>
      <c r="G330" s="31"/>
      <c r="H330" s="33"/>
      <c r="I330" s="54"/>
      <c r="J330" s="56"/>
      <c r="K330" s="54"/>
      <c r="L330" s="31"/>
      <c r="M330" s="57"/>
      <c r="N330" s="54"/>
      <c r="O330" s="54"/>
      <c r="P330" s="52"/>
      <c r="Q330" s="162"/>
      <c r="R330" s="35"/>
      <c r="S330" s="59"/>
      <c r="T330" s="59"/>
      <c r="U330" s="58"/>
      <c r="V330" s="87"/>
      <c r="W330" s="58" t="str">
        <f>IF(NOTA[[#This Row],[HARGA/ CTN]]="",NOTA[[#This Row],[JUMLAH_H]],NOTA[[#This Row],[HARGA/ CTN]]*NOTA[[#This Row],[C]])</f>
        <v/>
      </c>
      <c r="X330" s="58" t="str">
        <f>IF(NOTA[[#This Row],[JUMLAH]]="","",NOTA[[#This Row],[JUMLAH]]*NOTA[[#This Row],[DISC 1]])</f>
        <v/>
      </c>
      <c r="Y330" s="58" t="str">
        <f>IF(NOTA[[#This Row],[JUMLAH]]="","",(NOTA[[#This Row],[JUMLAH]]-NOTA[[#This Row],[DISC 1-]])*NOTA[[#This Row],[DISC 2]])</f>
        <v/>
      </c>
      <c r="Z330" s="58" t="str">
        <f>IF(NOTA[[#This Row],[JUMLAH]]="","",NOTA[[#This Row],[DISC 1-]]+NOTA[[#This Row],[DISC 2-]])</f>
        <v/>
      </c>
      <c r="AA330" s="58" t="str">
        <f>IF(NOTA[[#This Row],[JUMLAH]]="","",NOTA[[#This Row],[JUMLAH]]-NOTA[[#This Row],[DISC]])</f>
        <v/>
      </c>
      <c r="AB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8" t="str">
        <f>IF(OR(NOTA[[#This Row],[QTY]]="",NOTA[[#This Row],[HARGA SATUAN]]="",),"",NOTA[[#This Row],[QTY]]*NOTA[[#This Row],[HARGA SATUAN]])</f>
        <v/>
      </c>
      <c r="AF330" s="56" t="str">
        <f ca="1">IF(NOTA[ID_H]="","",INDEX(NOTA[TANGGAL],MATCH(,INDIRECT(ADDRESS(ROW(NOTA[TANGGAL]),COLUMN(NOTA[TANGGAL]))&amp;":"&amp;ADDRESS(ROW(),COLUMN(NOTA[TANGGAL]))),-1)))</f>
        <v/>
      </c>
      <c r="AG330" s="52" t="str">
        <f ca="1">IF(NOTA[[#This Row],[NAMA BARANG]]="","",INDEX(NOTA[SUPPLIER],MATCH(,INDIRECT(ADDRESS(ROW(NOTA[ID]),COLUMN(NOTA[ID]))&amp;":"&amp;ADDRESS(ROW(),COLUMN(NOTA[ID]))),-1)))</f>
        <v/>
      </c>
      <c r="AH330" s="16" t="str">
        <f ca="1">IF(NOTA[[#This Row],[ID]]="","",COUNTIF(NOTA[ID_H],NOTA[[#This Row],[ID_H]]))</f>
        <v/>
      </c>
      <c r="AI330" s="16" t="str">
        <f ca="1">IF(NOTA[[#This Row],[TGL.NOTA]]="",IF(NOTA[[#This Row],[SUPPLIER_H]]="","",AI329),MONTH(NOTA[[#This Row],[TGL.NOTA]]))</f>
        <v/>
      </c>
      <c r="AJ330" s="16"/>
    </row>
    <row r="331" spans="1:36" ht="20.100000000000001" customHeight="1" x14ac:dyDescent="0.25">
      <c r="A331" s="52">
        <f ca="1">IF(INDIRECT(ADDRESS(ROW()-1,COLUMN(NOTA[[#Headers],[ID]])))="ID",1,IF(NOTA[[#This Row],[FAKTUR]]="","",COUNT(INDIRECT(ADDRESS(ROW(NOTA[ID]),COLUMN(NOTA[ID]))&amp;":"&amp;ADDRESS(ROW()-1,COLUMN(NOTA[ID]))))+1))</f>
        <v>78</v>
      </c>
      <c r="B33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KEN_2010_921-8</v>
      </c>
      <c r="C331" s="53" t="e">
        <f ca="1">IF(NOTA[[#This Row],[ID_P]]="","",MATCH(NOTA[[#This Row],[ID_P]],[1]!B_MSK[N_ID],0))</f>
        <v>#REF!</v>
      </c>
      <c r="D331" s="53">
        <f ca="1">IF(NOTA[[#This Row],[NAMA BARANG]]="","",INDEX(NOTA[ID],MATCH(,INDIRECT(ADDRESS(ROW(NOTA[ID]),COLUMN(NOTA[ID]))&amp;":"&amp;ADDRESS(ROW(),COLUMN(NOTA[ID]))),-1)))</f>
        <v>78</v>
      </c>
      <c r="E331" s="60"/>
      <c r="F331" s="16" t="s">
        <v>23</v>
      </c>
      <c r="G331" s="16" t="s">
        <v>24</v>
      </c>
      <c r="H331" s="24" t="s">
        <v>811</v>
      </c>
      <c r="I331" s="16" t="s">
        <v>812</v>
      </c>
      <c r="J331" s="136">
        <v>44846</v>
      </c>
      <c r="K331" s="135"/>
      <c r="L331" s="16" t="s">
        <v>196</v>
      </c>
      <c r="M331" s="137">
        <v>1</v>
      </c>
      <c r="N331" s="135"/>
      <c r="O331" s="135"/>
      <c r="P331" s="138"/>
      <c r="Q331" s="165">
        <v>1380000</v>
      </c>
      <c r="R331" s="98" t="s">
        <v>197</v>
      </c>
      <c r="S331" s="139">
        <v>0.17</v>
      </c>
      <c r="T331" s="59"/>
      <c r="U331" s="58"/>
      <c r="V331" s="87"/>
      <c r="W331" s="58">
        <f>IF(NOTA[[#This Row],[HARGA/ CTN]]="",NOTA[[#This Row],[JUMLAH_H]],NOTA[[#This Row],[HARGA/ CTN]]*NOTA[[#This Row],[C]])</f>
        <v>1380000</v>
      </c>
      <c r="X331" s="58">
        <f>IF(NOTA[[#This Row],[JUMLAH]]="","",NOTA[[#This Row],[JUMLAH]]*NOTA[[#This Row],[DISC 1]])</f>
        <v>234600.00000000003</v>
      </c>
      <c r="Y331" s="58">
        <f>IF(NOTA[[#This Row],[JUMLAH]]="","",(NOTA[[#This Row],[JUMLAH]]-NOTA[[#This Row],[DISC 1-]])*NOTA[[#This Row],[DISC 2]])</f>
        <v>0</v>
      </c>
      <c r="Z331" s="58">
        <f>IF(NOTA[[#This Row],[JUMLAH]]="","",NOTA[[#This Row],[DISC 1-]]+NOTA[[#This Row],[DISC 2-]])</f>
        <v>234600.00000000003</v>
      </c>
      <c r="AA331" s="58">
        <f>IF(NOTA[[#This Row],[JUMLAH]]="","",NOTA[[#This Row],[JUMLAH]]-NOTA[[#This Row],[DISC]])</f>
        <v>1145400</v>
      </c>
      <c r="AB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5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1" s="58" t="str">
        <f>IF(OR(NOTA[[#This Row],[QTY]]="",NOTA[[#This Row],[HARGA SATUAN]]="",),"",NOTA[[#This Row],[QTY]]*NOTA[[#This Row],[HARGA SATUAN]])</f>
        <v/>
      </c>
      <c r="AF331" s="56">
        <f ca="1">IF(NOTA[ID_H]="","",INDEX(NOTA[TANGGAL],MATCH(,INDIRECT(ADDRESS(ROW(NOTA[TANGGAL]),COLUMN(NOTA[TANGGAL]))&amp;":"&amp;ADDRESS(ROW(),COLUMN(NOTA[TANGGAL]))),-1)))</f>
        <v>44854</v>
      </c>
      <c r="AG331" s="52" t="str">
        <f ca="1">IF(NOTA[[#This Row],[NAMA BARANG]]="","",INDEX(NOTA[SUPPLIER],MATCH(,INDIRECT(ADDRESS(ROW(NOTA[ID]),COLUMN(NOTA[ID]))&amp;":"&amp;ADDRESS(ROW(),COLUMN(NOTA[ID]))),-1)))</f>
        <v>KENKO SINAR INDONESIA</v>
      </c>
      <c r="AH331" s="16">
        <f ca="1">IF(NOTA[[#This Row],[ID]]="","",COUNTIF(NOTA[ID_H],NOTA[[#This Row],[ID_H]]))</f>
        <v>8</v>
      </c>
      <c r="AI331" s="16">
        <f>IF(NOTA[[#This Row],[TGL.NOTA]]="",IF(NOTA[[#This Row],[SUPPLIER_H]]="","",AI330),MONTH(NOTA[[#This Row],[TGL.NOTA]]))</f>
        <v>10</v>
      </c>
      <c r="AJ331" s="16"/>
    </row>
    <row r="332" spans="1:36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78</v>
      </c>
      <c r="E332" s="60"/>
      <c r="F332" s="31"/>
      <c r="G332" s="31"/>
      <c r="H332" s="33"/>
      <c r="I332" s="31"/>
      <c r="J332" s="56"/>
      <c r="K332" s="54"/>
      <c r="L332" s="31" t="s">
        <v>695</v>
      </c>
      <c r="M332" s="57">
        <v>1</v>
      </c>
      <c r="N332" s="54"/>
      <c r="O332" s="54"/>
      <c r="P332" s="52"/>
      <c r="Q332" s="162">
        <v>1200000</v>
      </c>
      <c r="R332" s="35" t="s">
        <v>222</v>
      </c>
      <c r="S332" s="59">
        <v>0.17</v>
      </c>
      <c r="T332" s="59"/>
      <c r="U332" s="58"/>
      <c r="V332" s="87"/>
      <c r="W332" s="58">
        <f>IF(NOTA[[#This Row],[HARGA/ CTN]]="",NOTA[[#This Row],[JUMLAH_H]],NOTA[[#This Row],[HARGA/ CTN]]*NOTA[[#This Row],[C]])</f>
        <v>1200000</v>
      </c>
      <c r="X332" s="58">
        <f>IF(NOTA[[#This Row],[JUMLAH]]="","",NOTA[[#This Row],[JUMLAH]]*NOTA[[#This Row],[DISC 1]])</f>
        <v>204000.00000000003</v>
      </c>
      <c r="Y332" s="58">
        <f>IF(NOTA[[#This Row],[JUMLAH]]="","",(NOTA[[#This Row],[JUMLAH]]-NOTA[[#This Row],[DISC 1-]])*NOTA[[#This Row],[DISC 2]])</f>
        <v>0</v>
      </c>
      <c r="Z332" s="58">
        <f>IF(NOTA[[#This Row],[JUMLAH]]="","",NOTA[[#This Row],[DISC 1-]]+NOTA[[#This Row],[DISC 2-]])</f>
        <v>204000.00000000003</v>
      </c>
      <c r="AA332" s="58">
        <f>IF(NOTA[[#This Row],[JUMLAH]]="","",NOTA[[#This Row],[JUMLAH]]-NOTA[[#This Row],[DISC]])</f>
        <v>996000</v>
      </c>
      <c r="AB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32" s="58" t="str">
        <f>IF(OR(NOTA[[#This Row],[QTY]]="",NOTA[[#This Row],[HARGA SATUAN]]="",),"",NOTA[[#This Row],[QTY]]*NOTA[[#This Row],[HARGA SATUAN]])</f>
        <v/>
      </c>
      <c r="AF332" s="56">
        <f ca="1">IF(NOTA[ID_H]="","",INDEX(NOTA[TANGGAL],MATCH(,INDIRECT(ADDRESS(ROW(NOTA[TANGGAL]),COLUMN(NOTA[TANGGAL]))&amp;":"&amp;ADDRESS(ROW(),COLUMN(NOTA[TANGGAL]))),-1)))</f>
        <v>44854</v>
      </c>
      <c r="AG332" s="52" t="str">
        <f ca="1">IF(NOTA[[#This Row],[NAMA BARANG]]="","",INDEX(NOTA[SUPPLIER],MATCH(,INDIRECT(ADDRESS(ROW(NOTA[ID]),COLUMN(NOTA[ID]))&amp;":"&amp;ADDRESS(ROW(),COLUMN(NOTA[ID]))),-1)))</f>
        <v>KENKO SINAR INDONESIA</v>
      </c>
      <c r="AH332" s="16" t="str">
        <f ca="1">IF(NOTA[[#This Row],[ID]]="","",COUNTIF(NOTA[ID_H],NOTA[[#This Row],[ID_H]]))</f>
        <v/>
      </c>
      <c r="AI332" s="16">
        <f ca="1"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78</v>
      </c>
      <c r="E333" s="60"/>
      <c r="F333" s="54"/>
      <c r="G333" s="54"/>
      <c r="H333" s="55"/>
      <c r="I333" s="54"/>
      <c r="J333" s="56"/>
      <c r="K333" s="54"/>
      <c r="L333" s="31" t="s">
        <v>108</v>
      </c>
      <c r="M333" s="57">
        <v>1</v>
      </c>
      <c r="N333" s="54"/>
      <c r="O333" s="54"/>
      <c r="P333" s="52"/>
      <c r="Q333" s="162">
        <v>900000</v>
      </c>
      <c r="R333" s="35" t="s">
        <v>109</v>
      </c>
      <c r="S333" s="59">
        <v>0.17</v>
      </c>
      <c r="T333" s="59"/>
      <c r="U333" s="58"/>
      <c r="V333" s="87"/>
      <c r="W333" s="58">
        <f>IF(NOTA[[#This Row],[HARGA/ CTN]]="",NOTA[[#This Row],[JUMLAH_H]],NOTA[[#This Row],[HARGA/ CTN]]*NOTA[[#This Row],[C]])</f>
        <v>900000</v>
      </c>
      <c r="X333" s="58">
        <f>IF(NOTA[[#This Row],[JUMLAH]]="","",NOTA[[#This Row],[JUMLAH]]*NOTA[[#This Row],[DISC 1]])</f>
        <v>153000</v>
      </c>
      <c r="Y333" s="58">
        <f>IF(NOTA[[#This Row],[JUMLAH]]="","",(NOTA[[#This Row],[JUMLAH]]-NOTA[[#This Row],[DISC 1-]])*NOTA[[#This Row],[DISC 2]])</f>
        <v>0</v>
      </c>
      <c r="Z333" s="58">
        <f>IF(NOTA[[#This Row],[JUMLAH]]="","",NOTA[[#This Row],[DISC 1-]]+NOTA[[#This Row],[DISC 2-]])</f>
        <v>153000</v>
      </c>
      <c r="AA333" s="58">
        <f>IF(NOTA[[#This Row],[JUMLAH]]="","",NOTA[[#This Row],[JUMLAH]]-NOTA[[#This Row],[DISC]])</f>
        <v>747000</v>
      </c>
      <c r="AB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3" s="58" t="str">
        <f>IF(OR(NOTA[[#This Row],[QTY]]="",NOTA[[#This Row],[HARGA SATUAN]]="",),"",NOTA[[#This Row],[QTY]]*NOTA[[#This Row],[HARGA SATUAN]])</f>
        <v/>
      </c>
      <c r="AF333" s="56">
        <f ca="1">IF(NOTA[ID_H]="","",INDEX(NOTA[TANGGAL],MATCH(,INDIRECT(ADDRESS(ROW(NOTA[TANGGAL]),COLUMN(NOTA[TANGGAL]))&amp;":"&amp;ADDRESS(ROW(),COLUMN(NOTA[TANGGAL]))),-1)))</f>
        <v>44854</v>
      </c>
      <c r="AG333" s="52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2" t="str">
        <f>IF(NOTA[[#This Row],[ID_P]]="","",MATCH(NOTA[[#This Row],[ID_P]],[1]!B_MSK[N_ID],0))</f>
        <v/>
      </c>
      <c r="D334" s="62">
        <f ca="1">IF(NOTA[[#This Row],[NAMA BARANG]]="","",INDEX(NOTA[ID],MATCH(,INDIRECT(ADDRESS(ROW(NOTA[ID]),COLUMN(NOTA[ID]))&amp;":"&amp;ADDRESS(ROW(),COLUMN(NOTA[ID]))),-1)))</f>
        <v>78</v>
      </c>
      <c r="E334" s="67"/>
      <c r="F334" s="48"/>
      <c r="G334" s="48"/>
      <c r="H334" s="33"/>
      <c r="I334" s="48"/>
      <c r="J334" s="50"/>
      <c r="K334" s="48"/>
      <c r="L334" s="31" t="s">
        <v>272</v>
      </c>
      <c r="M334" s="57">
        <v>3</v>
      </c>
      <c r="N334" s="54"/>
      <c r="O334" s="54"/>
      <c r="P334" s="52"/>
      <c r="Q334" s="162">
        <v>1740000</v>
      </c>
      <c r="R334" s="35" t="s">
        <v>96</v>
      </c>
      <c r="S334" s="59">
        <v>0.17</v>
      </c>
      <c r="T334" s="65"/>
      <c r="U334" s="64"/>
      <c r="V334" s="87"/>
      <c r="W334" s="64">
        <f>IF(NOTA[[#This Row],[HARGA/ CTN]]="",NOTA[[#This Row],[JUMLAH_H]],NOTA[[#This Row],[HARGA/ CTN]]*NOTA[[#This Row],[C]])</f>
        <v>5220000</v>
      </c>
      <c r="X334" s="64">
        <f>IF(NOTA[[#This Row],[JUMLAH]]="","",NOTA[[#This Row],[JUMLAH]]*NOTA[[#This Row],[DISC 1]])</f>
        <v>887400.00000000012</v>
      </c>
      <c r="Y334" s="64">
        <f>IF(NOTA[[#This Row],[JUMLAH]]="","",(NOTA[[#This Row],[JUMLAH]]-NOTA[[#This Row],[DISC 1-]])*NOTA[[#This Row],[DISC 2]])</f>
        <v>0</v>
      </c>
      <c r="Z334" s="64">
        <f>IF(NOTA[[#This Row],[JUMLAH]]="","",NOTA[[#This Row],[DISC 1-]]+NOTA[[#This Row],[DISC 2-]])</f>
        <v>887400.00000000012</v>
      </c>
      <c r="AA334" s="64">
        <f>IF(NOTA[[#This Row],[JUMLAH]]="","",NOTA[[#This Row],[JUMLAH]]-NOTA[[#This Row],[DISC]])</f>
        <v>4332600</v>
      </c>
      <c r="AB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6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34" s="64" t="str">
        <f>IF(OR(NOTA[[#This Row],[QTY]]="",NOTA[[#This Row],[HARGA SATUAN]]="",),"",NOTA[[#This Row],[QTY]]*NOTA[[#This Row],[HARGA SATUAN]])</f>
        <v/>
      </c>
      <c r="AF334" s="50">
        <f ca="1">IF(NOTA[ID_H]="","",INDEX(NOTA[TANGGAL],MATCH(,INDIRECT(ADDRESS(ROW(NOTA[TANGGAL]),COLUMN(NOTA[TANGGAL]))&amp;":"&amp;ADDRESS(ROW(),COLUMN(NOTA[TANGGAL]))),-1)))</f>
        <v>44854</v>
      </c>
      <c r="AG334" s="61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2" t="str">
        <f>IF(NOTA[[#This Row],[ID_P]]="","",MATCH(NOTA[[#This Row],[ID_P]],[1]!B_MSK[N_ID],0))</f>
        <v/>
      </c>
      <c r="D335" s="62">
        <f ca="1">IF(NOTA[[#This Row],[NAMA BARANG]]="","",INDEX(NOTA[ID],MATCH(,INDIRECT(ADDRESS(ROW(NOTA[ID]),COLUMN(NOTA[ID]))&amp;":"&amp;ADDRESS(ROW(),COLUMN(NOTA[ID]))),-1)))</f>
        <v>78</v>
      </c>
      <c r="E335" s="67"/>
      <c r="F335" s="48"/>
      <c r="G335" s="48"/>
      <c r="H335" s="49"/>
      <c r="I335" s="48"/>
      <c r="J335" s="50"/>
      <c r="K335" s="48"/>
      <c r="L335" s="31" t="s">
        <v>165</v>
      </c>
      <c r="M335" s="63">
        <v>1</v>
      </c>
      <c r="N335" s="48"/>
      <c r="O335" s="48"/>
      <c r="P335" s="61"/>
      <c r="Q335" s="164">
        <v>1987200</v>
      </c>
      <c r="R335" s="35" t="s">
        <v>166</v>
      </c>
      <c r="S335" s="65">
        <v>0.17</v>
      </c>
      <c r="T335" s="65"/>
      <c r="U335" s="64"/>
      <c r="V335" s="87"/>
      <c r="W335" s="64">
        <f>IF(NOTA[[#This Row],[HARGA/ CTN]]="",NOTA[[#This Row],[JUMLAH_H]],NOTA[[#This Row],[HARGA/ CTN]]*NOTA[[#This Row],[C]])</f>
        <v>1987200</v>
      </c>
      <c r="X335" s="64">
        <f>IF(NOTA[[#This Row],[JUMLAH]]="","",NOTA[[#This Row],[JUMLAH]]*NOTA[[#This Row],[DISC 1]])</f>
        <v>337824</v>
      </c>
      <c r="Y335" s="64">
        <f>IF(NOTA[[#This Row],[JUMLAH]]="","",(NOTA[[#This Row],[JUMLAH]]-NOTA[[#This Row],[DISC 1-]])*NOTA[[#This Row],[DISC 2]])</f>
        <v>0</v>
      </c>
      <c r="Z335" s="64">
        <f>IF(NOTA[[#This Row],[JUMLAH]]="","",NOTA[[#This Row],[DISC 1-]]+NOTA[[#This Row],[DISC 2-]])</f>
        <v>337824</v>
      </c>
      <c r="AA335" s="64">
        <f>IF(NOTA[[#This Row],[JUMLAH]]="","",NOTA[[#This Row],[JUMLAH]]-NOTA[[#This Row],[DISC]])</f>
        <v>1649376</v>
      </c>
      <c r="AB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6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335" s="64" t="str">
        <f>IF(OR(NOTA[[#This Row],[QTY]]="",NOTA[[#This Row],[HARGA SATUAN]]="",),"",NOTA[[#This Row],[QTY]]*NOTA[[#This Row],[HARGA SATUAN]])</f>
        <v/>
      </c>
      <c r="AF335" s="50">
        <f ca="1">IF(NOTA[ID_H]="","",INDEX(NOTA[TANGGAL],MATCH(,INDIRECT(ADDRESS(ROW(NOTA[TANGGAL]),COLUMN(NOTA[TANGGAL]))&amp;":"&amp;ADDRESS(ROW(),COLUMN(NOTA[TANGGAL]))),-1)))</f>
        <v>44854</v>
      </c>
      <c r="AG335" s="61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2" t="str">
        <f>IF(NOTA[[#This Row],[ID_P]]="","",MATCH(NOTA[[#This Row],[ID_P]],[1]!B_MSK[N_ID],0))</f>
        <v/>
      </c>
      <c r="D336" s="62">
        <f ca="1">IF(NOTA[[#This Row],[NAMA BARANG]]="","",INDEX(NOTA[ID],MATCH(,INDIRECT(ADDRESS(ROW(NOTA[ID]),COLUMN(NOTA[ID]))&amp;":"&amp;ADDRESS(ROW(),COLUMN(NOTA[ID]))),-1)))</f>
        <v>78</v>
      </c>
      <c r="E336" s="67"/>
      <c r="F336" s="48"/>
      <c r="G336" s="48"/>
      <c r="H336" s="49"/>
      <c r="I336" s="48"/>
      <c r="J336" s="50"/>
      <c r="K336" s="48"/>
      <c r="L336" s="31" t="s">
        <v>813</v>
      </c>
      <c r="M336" s="63">
        <v>3</v>
      </c>
      <c r="N336" s="48"/>
      <c r="O336" s="48"/>
      <c r="P336" s="61"/>
      <c r="Q336" s="164">
        <v>3110400</v>
      </c>
      <c r="R336" s="35" t="s">
        <v>102</v>
      </c>
      <c r="S336" s="65">
        <v>0.17</v>
      </c>
      <c r="T336" s="65"/>
      <c r="U336" s="64"/>
      <c r="V336" s="87"/>
      <c r="W336" s="64">
        <f>IF(NOTA[[#This Row],[HARGA/ CTN]]="",NOTA[[#This Row],[JUMLAH_H]],NOTA[[#This Row],[HARGA/ CTN]]*NOTA[[#This Row],[C]])</f>
        <v>9331200</v>
      </c>
      <c r="X336" s="64">
        <f>IF(NOTA[[#This Row],[JUMLAH]]="","",NOTA[[#This Row],[JUMLAH]]*NOTA[[#This Row],[DISC 1]])</f>
        <v>1586304</v>
      </c>
      <c r="Y336" s="64">
        <f>IF(NOTA[[#This Row],[JUMLAH]]="","",(NOTA[[#This Row],[JUMLAH]]-NOTA[[#This Row],[DISC 1-]])*NOTA[[#This Row],[DISC 2]])</f>
        <v>0</v>
      </c>
      <c r="Z336" s="64">
        <f>IF(NOTA[[#This Row],[JUMLAH]]="","",NOTA[[#This Row],[DISC 1-]]+NOTA[[#This Row],[DISC 2-]])</f>
        <v>1586304</v>
      </c>
      <c r="AA336" s="64">
        <f>IF(NOTA[[#This Row],[JUMLAH]]="","",NOTA[[#This Row],[JUMLAH]]-NOTA[[#This Row],[DISC]])</f>
        <v>7744896</v>
      </c>
      <c r="AB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6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36" s="64" t="str">
        <f>IF(OR(NOTA[[#This Row],[QTY]]="",NOTA[[#This Row],[HARGA SATUAN]]="",),"",NOTA[[#This Row],[QTY]]*NOTA[[#This Row],[HARGA SATUAN]])</f>
        <v/>
      </c>
      <c r="AF336" s="50">
        <f ca="1">IF(NOTA[ID_H]="","",INDEX(NOTA[TANGGAL],MATCH(,INDIRECT(ADDRESS(ROW(NOTA[TANGGAL]),COLUMN(NOTA[TANGGAL]))&amp;":"&amp;ADDRESS(ROW(),COLUMN(NOTA[TANGGAL]))),-1)))</f>
        <v>44854</v>
      </c>
      <c r="AG336" s="61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2" t="str">
        <f>IF(NOTA[[#This Row],[ID_P]]="","",MATCH(NOTA[[#This Row],[ID_P]],[1]!B_MSK[N_ID],0))</f>
        <v/>
      </c>
      <c r="D337" s="62">
        <f ca="1">IF(NOTA[[#This Row],[NAMA BARANG]]="","",INDEX(NOTA[ID],MATCH(,INDIRECT(ADDRESS(ROW(NOTA[ID]),COLUMN(NOTA[ID]))&amp;":"&amp;ADDRESS(ROW(),COLUMN(NOTA[ID]))),-1)))</f>
        <v>78</v>
      </c>
      <c r="E337" s="67"/>
      <c r="F337" s="48"/>
      <c r="G337" s="48"/>
      <c r="H337" s="49"/>
      <c r="I337" s="48"/>
      <c r="J337" s="50"/>
      <c r="K337" s="48"/>
      <c r="L337" s="31" t="s">
        <v>814</v>
      </c>
      <c r="M337" s="63">
        <v>2</v>
      </c>
      <c r="N337" s="48"/>
      <c r="O337" s="48"/>
      <c r="P337" s="61"/>
      <c r="Q337" s="164">
        <v>2980800</v>
      </c>
      <c r="R337" s="35" t="s">
        <v>115</v>
      </c>
      <c r="S337" s="65">
        <v>0.17</v>
      </c>
      <c r="T337" s="65"/>
      <c r="U337" s="64"/>
      <c r="V337" s="87"/>
      <c r="W337" s="64">
        <f>IF(NOTA[[#This Row],[HARGA/ CTN]]="",NOTA[[#This Row],[JUMLAH_H]],NOTA[[#This Row],[HARGA/ CTN]]*NOTA[[#This Row],[C]])</f>
        <v>5961600</v>
      </c>
      <c r="X337" s="64">
        <f>IF(NOTA[[#This Row],[JUMLAH]]="","",NOTA[[#This Row],[JUMLAH]]*NOTA[[#This Row],[DISC 1]])</f>
        <v>1013472.0000000001</v>
      </c>
      <c r="Y337" s="64">
        <f>IF(NOTA[[#This Row],[JUMLAH]]="","",(NOTA[[#This Row],[JUMLAH]]-NOTA[[#This Row],[DISC 1-]])*NOTA[[#This Row],[DISC 2]])</f>
        <v>0</v>
      </c>
      <c r="Z337" s="64">
        <f>IF(NOTA[[#This Row],[JUMLAH]]="","",NOTA[[#This Row],[DISC 1-]]+NOTA[[#This Row],[DISC 2-]])</f>
        <v>1013472.0000000001</v>
      </c>
      <c r="AA337" s="64">
        <f>IF(NOTA[[#This Row],[JUMLAH]]="","",NOTA[[#This Row],[JUMLAH]]-NOTA[[#This Row],[DISC]])</f>
        <v>4948128</v>
      </c>
      <c r="AB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7" s="64" t="str">
        <f>IF(OR(NOTA[[#This Row],[QTY]]="",NOTA[[#This Row],[HARGA SATUAN]]="",),"",NOTA[[#This Row],[QTY]]*NOTA[[#This Row],[HARGA SATUAN]])</f>
        <v/>
      </c>
      <c r="AF337" s="50">
        <f ca="1">IF(NOTA[ID_H]="","",INDEX(NOTA[TANGGAL],MATCH(,INDIRECT(ADDRESS(ROW(NOTA[TANGGAL]),COLUMN(NOTA[TANGGAL]))&amp;":"&amp;ADDRESS(ROW(),COLUMN(NOTA[TANGGAL]))),-1)))</f>
        <v>44854</v>
      </c>
      <c r="AG337" s="61" t="str">
        <f ca="1">IF(NOTA[[#This Row],[NAMA BARANG]]="","",INDEX(NOTA[SUPPLIER],MATCH(,INDIRECT(ADDRESS(ROW(NOTA[ID]),COLUMN(NOTA[ID]))&amp;":"&amp;ADDRESS(ROW(),COLUMN(NOTA[ID]))),-1)))</f>
        <v>KENKO SINAR INDONESIA</v>
      </c>
      <c r="AH337" s="16" t="str">
        <f ca="1">IF(NOTA[[#This Row],[ID]]="","",COUNTIF(NOTA[ID_H],NOTA[[#This Row],[ID_H]]))</f>
        <v/>
      </c>
      <c r="AI337" s="16">
        <f ca="1">IF(NOTA[[#This Row],[TGL.NOTA]]="",IF(NOTA[[#This Row],[SUPPLIER_H]]="","",AI336),MONTH(NOTA[[#This Row],[TGL.NOTA]]))</f>
        <v>10</v>
      </c>
      <c r="AJ337" s="16"/>
    </row>
    <row r="338" spans="1:36" ht="20.100000000000001" customHeight="1" x14ac:dyDescent="0.25">
      <c r="A33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2" t="str">
        <f>IF(NOTA[[#This Row],[ID_P]]="","",MATCH(NOTA[[#This Row],[ID_P]],[1]!B_MSK[N_ID],0))</f>
        <v/>
      </c>
      <c r="D338" s="62">
        <f ca="1">IF(NOTA[[#This Row],[NAMA BARANG]]="","",INDEX(NOTA[ID],MATCH(,INDIRECT(ADDRESS(ROW(NOTA[ID]),COLUMN(NOTA[ID]))&amp;":"&amp;ADDRESS(ROW(),COLUMN(NOTA[ID]))),-1)))</f>
        <v>78</v>
      </c>
      <c r="E338" s="67"/>
      <c r="F338" s="48"/>
      <c r="G338" s="48"/>
      <c r="H338" s="49"/>
      <c r="I338" s="31" t="s">
        <v>815</v>
      </c>
      <c r="J338" s="50"/>
      <c r="K338" s="48"/>
      <c r="L338" s="31" t="s">
        <v>85</v>
      </c>
      <c r="M338" s="63">
        <v>3</v>
      </c>
      <c r="N338" s="48"/>
      <c r="O338" s="48"/>
      <c r="P338" s="61"/>
      <c r="Q338" s="164">
        <v>2980800</v>
      </c>
      <c r="R338" s="35" t="s">
        <v>115</v>
      </c>
      <c r="S338" s="65">
        <v>0.17</v>
      </c>
      <c r="T338" s="65"/>
      <c r="U338" s="64"/>
      <c r="V338" s="87"/>
      <c r="W338" s="64">
        <f>IF(NOTA[[#This Row],[HARGA/ CTN]]="",NOTA[[#This Row],[JUMLAH_H]],NOTA[[#This Row],[HARGA/ CTN]]*NOTA[[#This Row],[C]])</f>
        <v>8942400</v>
      </c>
      <c r="X338" s="64">
        <f>IF(NOTA[[#This Row],[JUMLAH]]="","",NOTA[[#This Row],[JUMLAH]]*NOTA[[#This Row],[DISC 1]])</f>
        <v>1520208</v>
      </c>
      <c r="Y338" s="64">
        <f>IF(NOTA[[#This Row],[JUMLAH]]="","",(NOTA[[#This Row],[JUMLAH]]-NOTA[[#This Row],[DISC 1-]])*NOTA[[#This Row],[DISC 2]])</f>
        <v>0</v>
      </c>
      <c r="Z338" s="64">
        <f>IF(NOTA[[#This Row],[JUMLAH]]="","",NOTA[[#This Row],[DISC 1-]]+NOTA[[#This Row],[DISC 2-]])</f>
        <v>1520208</v>
      </c>
      <c r="AA338" s="64">
        <f>IF(NOTA[[#This Row],[JUMLAH]]="","",NOTA[[#This Row],[JUMLAH]]-NOTA[[#This Row],[DISC]])</f>
        <v>7422192</v>
      </c>
      <c r="AB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5936808</v>
      </c>
      <c r="AC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28985592</v>
      </c>
      <c r="AD338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8" s="64" t="str">
        <f>IF(OR(NOTA[[#This Row],[QTY]]="",NOTA[[#This Row],[HARGA SATUAN]]="",),"",NOTA[[#This Row],[QTY]]*NOTA[[#This Row],[HARGA SATUAN]])</f>
        <v/>
      </c>
      <c r="AF338" s="50">
        <f ca="1">IF(NOTA[ID_H]="","",INDEX(NOTA[TANGGAL],MATCH(,INDIRECT(ADDRESS(ROW(NOTA[TANGGAL]),COLUMN(NOTA[TANGGAL]))&amp;":"&amp;ADDRESS(ROW(),COLUMN(NOTA[TANGGAL]))),-1)))</f>
        <v>44854</v>
      </c>
      <c r="AG338" s="61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>
        <f ca="1"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2" t="str">
        <f>IF(NOTA[[#This Row],[ID_P]]="","",MATCH(NOTA[[#This Row],[ID_P]],[1]!B_MSK[N_ID],0))</f>
        <v/>
      </c>
      <c r="D339" s="62" t="str">
        <f ca="1">IF(NOTA[[#This Row],[NAMA BARANG]]="","",INDEX(NOTA[ID],MATCH(,INDIRECT(ADDRESS(ROW(NOTA[ID]),COLUMN(NOTA[ID]))&amp;":"&amp;ADDRESS(ROW(),COLUMN(NOTA[ID]))),-1)))</f>
        <v/>
      </c>
      <c r="E339" s="67"/>
      <c r="F339" s="48"/>
      <c r="G339" s="48"/>
      <c r="H339" s="49"/>
      <c r="I339" s="48"/>
      <c r="J339" s="50"/>
      <c r="K339" s="48"/>
      <c r="L339" s="31"/>
      <c r="M339" s="63"/>
      <c r="N339" s="48"/>
      <c r="O339" s="48"/>
      <c r="P339" s="61"/>
      <c r="Q339" s="164"/>
      <c r="R339" s="35"/>
      <c r="S339" s="65"/>
      <c r="T339" s="65"/>
      <c r="U339" s="64"/>
      <c r="V339" s="87"/>
      <c r="W339" s="64" t="str">
        <f>IF(NOTA[[#This Row],[HARGA/ CTN]]="",NOTA[[#This Row],[JUMLAH_H]],NOTA[[#This Row],[HARGA/ CTN]]*NOTA[[#This Row],[C]])</f>
        <v/>
      </c>
      <c r="X339" s="64" t="str">
        <f>IF(NOTA[[#This Row],[JUMLAH]]="","",NOTA[[#This Row],[JUMLAH]]*NOTA[[#This Row],[DISC 1]])</f>
        <v/>
      </c>
      <c r="Y339" s="64" t="str">
        <f>IF(NOTA[[#This Row],[JUMLAH]]="","",(NOTA[[#This Row],[JUMLAH]]-NOTA[[#This Row],[DISC 1-]])*NOTA[[#This Row],[DISC 2]])</f>
        <v/>
      </c>
      <c r="Z339" s="64" t="str">
        <f>IF(NOTA[[#This Row],[JUMLAH]]="","",NOTA[[#This Row],[DISC 1-]]+NOTA[[#This Row],[DISC 2-]])</f>
        <v/>
      </c>
      <c r="AA339" s="64" t="str">
        <f>IF(NOTA[[#This Row],[JUMLAH]]="","",NOTA[[#This Row],[JUMLAH]]-NOTA[[#This Row],[DISC]])</f>
        <v/>
      </c>
      <c r="AB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64" t="str">
        <f>IF(OR(NOTA[[#This Row],[QTY]]="",NOTA[[#This Row],[HARGA SATUAN]]="",),"",NOTA[[#This Row],[QTY]]*NOTA[[#This Row],[HARGA SATUAN]])</f>
        <v/>
      </c>
      <c r="AF339" s="50" t="str">
        <f ca="1">IF(NOTA[ID_H]="","",INDEX(NOTA[TANGGAL],MATCH(,INDIRECT(ADDRESS(ROW(NOTA[TANGGAL]),COLUMN(NOTA[TANGGAL]))&amp;":"&amp;ADDRESS(ROW(),COLUMN(NOTA[TANGGAL]))),-1)))</f>
        <v/>
      </c>
      <c r="AG339" s="61" t="str">
        <f ca="1">IF(NOTA[[#This Row],[NAMA BARANG]]="","",INDEX(NOTA[SUPPLIER],MATCH(,INDIRECT(ADDRESS(ROW(NOTA[ID]),COLUMN(NOTA[ID]))&amp;":"&amp;ADDRESS(ROW(),COLUMN(NOTA[ID]))),-1)))</f>
        <v/>
      </c>
      <c r="AH339" s="16" t="str">
        <f ca="1">IF(NOTA[[#This Row],[ID]]="","",COUNTIF(NOTA[ID_H],NOTA[[#This Row],[ID_H]]))</f>
        <v/>
      </c>
      <c r="AI339" s="16" t="str">
        <f ca="1">IF(NOTA[[#This Row],[TGL.NOTA]]="",IF(NOTA[[#This Row],[SUPPLIER_H]]="","",AI338),MONTH(NOTA[[#This Row],[TGL.NOTA]]))</f>
        <v/>
      </c>
      <c r="AJ339" s="16"/>
    </row>
    <row r="340" spans="1:36" ht="20.100000000000001" customHeight="1" x14ac:dyDescent="0.25">
      <c r="A340" s="61">
        <f ca="1">IF(INDIRECT(ADDRESS(ROW()-1,COLUMN(NOTA[[#Headers],[ID]])))="ID",1,IF(NOTA[[#This Row],[FAKTUR]]="","",COUNT(INDIRECT(ADDRESS(ROW(NOTA[ID]),COLUMN(NOTA[ID]))&amp;":"&amp;ADDRESS(ROW()-1,COLUMN(NOTA[ID]))))+1))</f>
        <v>79</v>
      </c>
      <c r="B34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KEN_2010_015-8</v>
      </c>
      <c r="C340" s="62" t="e">
        <f ca="1">IF(NOTA[[#This Row],[ID_P]]="","",MATCH(NOTA[[#This Row],[ID_P]],[1]!B_MSK[N_ID],0))</f>
        <v>#REF!</v>
      </c>
      <c r="D340" s="62">
        <f ca="1">IF(NOTA[[#This Row],[NAMA BARANG]]="","",INDEX(NOTA[ID],MATCH(,INDIRECT(ADDRESS(ROW(NOTA[ID]),COLUMN(NOTA[ID]))&amp;":"&amp;ADDRESS(ROW(),COLUMN(NOTA[ID]))),-1)))</f>
        <v>79</v>
      </c>
      <c r="E340" s="67"/>
      <c r="F340" s="31" t="s">
        <v>23</v>
      </c>
      <c r="G340" s="31" t="s">
        <v>24</v>
      </c>
      <c r="H340" s="33" t="s">
        <v>816</v>
      </c>
      <c r="I340" s="31" t="s">
        <v>817</v>
      </c>
      <c r="J340" s="50">
        <v>44847</v>
      </c>
      <c r="K340" s="48"/>
      <c r="L340" s="31" t="s">
        <v>347</v>
      </c>
      <c r="M340" s="63">
        <v>1</v>
      </c>
      <c r="N340" s="48"/>
      <c r="O340" s="48"/>
      <c r="P340" s="61"/>
      <c r="Q340" s="164">
        <v>2088000</v>
      </c>
      <c r="R340" s="35" t="s">
        <v>685</v>
      </c>
      <c r="S340" s="65">
        <v>0.17</v>
      </c>
      <c r="T340" s="65"/>
      <c r="U340" s="64"/>
      <c r="V340" s="87"/>
      <c r="W340" s="64">
        <f>IF(NOTA[[#This Row],[HARGA/ CTN]]="",NOTA[[#This Row],[JUMLAH_H]],NOTA[[#This Row],[HARGA/ CTN]]*NOTA[[#This Row],[C]])</f>
        <v>2088000</v>
      </c>
      <c r="X340" s="64">
        <f>IF(NOTA[[#This Row],[JUMLAH]]="","",NOTA[[#This Row],[JUMLAH]]*NOTA[[#This Row],[DISC 1]])</f>
        <v>354960</v>
      </c>
      <c r="Y340" s="64">
        <f>IF(NOTA[[#This Row],[JUMLAH]]="","",(NOTA[[#This Row],[JUMLAH]]-NOTA[[#This Row],[DISC 1-]])*NOTA[[#This Row],[DISC 2]])</f>
        <v>0</v>
      </c>
      <c r="Z340" s="64">
        <f>IF(NOTA[[#This Row],[JUMLAH]]="","",NOTA[[#This Row],[DISC 1-]]+NOTA[[#This Row],[DISC 2-]])</f>
        <v>354960</v>
      </c>
      <c r="AA340" s="64">
        <f>IF(NOTA[[#This Row],[JUMLAH]]="","",NOTA[[#This Row],[JUMLAH]]-NOTA[[#This Row],[DISC]])</f>
        <v>1733040</v>
      </c>
      <c r="AB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6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40" s="64" t="str">
        <f>IF(OR(NOTA[[#This Row],[QTY]]="",NOTA[[#This Row],[HARGA SATUAN]]="",),"",NOTA[[#This Row],[QTY]]*NOTA[[#This Row],[HARGA SATUAN]])</f>
        <v/>
      </c>
      <c r="AF340" s="50">
        <f ca="1">IF(NOTA[ID_H]="","",INDEX(NOTA[TANGGAL],MATCH(,INDIRECT(ADDRESS(ROW(NOTA[TANGGAL]),COLUMN(NOTA[TANGGAL]))&amp;":"&amp;ADDRESS(ROW(),COLUMN(NOTA[TANGGAL]))),-1)))</f>
        <v>44854</v>
      </c>
      <c r="AG340" s="61" t="str">
        <f ca="1">IF(NOTA[[#This Row],[NAMA BARANG]]="","",INDEX(NOTA[SUPPLIER],MATCH(,INDIRECT(ADDRESS(ROW(NOTA[ID]),COLUMN(NOTA[ID]))&amp;":"&amp;ADDRESS(ROW(),COLUMN(NOTA[ID]))),-1)))</f>
        <v>KENKO SINAR INDONESIA</v>
      </c>
      <c r="AH340" s="16">
        <f ca="1">IF(NOTA[[#This Row],[ID]]="","",COUNTIF(NOTA[ID_H],NOTA[[#This Row],[ID_H]]))</f>
        <v>8</v>
      </c>
      <c r="AI340" s="16">
        <f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2" t="str">
        <f>IF(NOTA[[#This Row],[ID_P]]="","",MATCH(NOTA[[#This Row],[ID_P]],[1]!B_MSK[N_ID],0))</f>
        <v/>
      </c>
      <c r="D341" s="62">
        <f ca="1">IF(NOTA[[#This Row],[NAMA BARANG]]="","",INDEX(NOTA[ID],MATCH(,INDIRECT(ADDRESS(ROW(NOTA[ID]),COLUMN(NOTA[ID]))&amp;":"&amp;ADDRESS(ROW(),COLUMN(NOTA[ID]))),-1)))</f>
        <v>79</v>
      </c>
      <c r="E341" s="67"/>
      <c r="F341" s="48"/>
      <c r="G341" s="48"/>
      <c r="H341" s="49"/>
      <c r="I341" s="48"/>
      <c r="J341" s="50"/>
      <c r="K341" s="48"/>
      <c r="L341" s="31" t="s">
        <v>324</v>
      </c>
      <c r="M341" s="63">
        <v>2</v>
      </c>
      <c r="N341" s="48"/>
      <c r="O341" s="48"/>
      <c r="P341" s="61"/>
      <c r="Q341" s="164">
        <v>396000</v>
      </c>
      <c r="R341" s="35" t="s">
        <v>96</v>
      </c>
      <c r="S341" s="65">
        <v>0.17</v>
      </c>
      <c r="T341" s="65"/>
      <c r="U341" s="64"/>
      <c r="V341" s="87"/>
      <c r="W341" s="64">
        <f>IF(NOTA[[#This Row],[HARGA/ CTN]]="",NOTA[[#This Row],[JUMLAH_H]],NOTA[[#This Row],[HARGA/ CTN]]*NOTA[[#This Row],[C]])</f>
        <v>792000</v>
      </c>
      <c r="X341" s="64">
        <f>IF(NOTA[[#This Row],[JUMLAH]]="","",NOTA[[#This Row],[JUMLAH]]*NOTA[[#This Row],[DISC 1]])</f>
        <v>134640</v>
      </c>
      <c r="Y341" s="64">
        <f>IF(NOTA[[#This Row],[JUMLAH]]="","",(NOTA[[#This Row],[JUMLAH]]-NOTA[[#This Row],[DISC 1-]])*NOTA[[#This Row],[DISC 2]])</f>
        <v>0</v>
      </c>
      <c r="Z341" s="64">
        <f>IF(NOTA[[#This Row],[JUMLAH]]="","",NOTA[[#This Row],[DISC 1-]]+NOTA[[#This Row],[DISC 2-]])</f>
        <v>134640</v>
      </c>
      <c r="AA341" s="64">
        <f>IF(NOTA[[#This Row],[JUMLAH]]="","",NOTA[[#This Row],[JUMLAH]]-NOTA[[#This Row],[DISC]])</f>
        <v>657360</v>
      </c>
      <c r="AB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6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1" s="64" t="str">
        <f>IF(OR(NOTA[[#This Row],[QTY]]="",NOTA[[#This Row],[HARGA SATUAN]]="",),"",NOTA[[#This Row],[QTY]]*NOTA[[#This Row],[HARGA SATUAN]])</f>
        <v/>
      </c>
      <c r="AF341" s="50">
        <f ca="1">IF(NOTA[ID_H]="","",INDEX(NOTA[TANGGAL],MATCH(,INDIRECT(ADDRESS(ROW(NOTA[TANGGAL]),COLUMN(NOTA[TANGGAL]))&amp;":"&amp;ADDRESS(ROW(),COLUMN(NOTA[TANGGAL]))),-1)))</f>
        <v>44854</v>
      </c>
      <c r="AG341" s="61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2" t="str">
        <f>IF(NOTA[[#This Row],[ID_P]]="","",MATCH(NOTA[[#This Row],[ID_P]],[1]!B_MSK[N_ID],0))</f>
        <v/>
      </c>
      <c r="D342" s="62">
        <f ca="1">IF(NOTA[[#This Row],[NAMA BARANG]]="","",INDEX(NOTA[ID],MATCH(,INDIRECT(ADDRESS(ROW(NOTA[ID]),COLUMN(NOTA[ID]))&amp;":"&amp;ADDRESS(ROW(),COLUMN(NOTA[ID]))),-1)))</f>
        <v>79</v>
      </c>
      <c r="E342" s="67"/>
      <c r="F342" s="48"/>
      <c r="G342" s="48"/>
      <c r="H342" s="49"/>
      <c r="I342" s="48"/>
      <c r="J342" s="50"/>
      <c r="K342" s="48"/>
      <c r="L342" s="31" t="s">
        <v>362</v>
      </c>
      <c r="M342" s="63">
        <v>1</v>
      </c>
      <c r="N342" s="48"/>
      <c r="O342" s="48"/>
      <c r="P342" s="61"/>
      <c r="Q342" s="164">
        <v>860000</v>
      </c>
      <c r="R342" s="35" t="s">
        <v>819</v>
      </c>
      <c r="S342" s="65">
        <v>0.17</v>
      </c>
      <c r="T342" s="65"/>
      <c r="U342" s="64"/>
      <c r="V342" s="87"/>
      <c r="W342" s="64">
        <f>IF(NOTA[[#This Row],[HARGA/ CTN]]="",NOTA[[#This Row],[JUMLAH_H]],NOTA[[#This Row],[HARGA/ CTN]]*NOTA[[#This Row],[C]])</f>
        <v>860000</v>
      </c>
      <c r="X342" s="64">
        <f>IF(NOTA[[#This Row],[JUMLAH]]="","",NOTA[[#This Row],[JUMLAH]]*NOTA[[#This Row],[DISC 1]])</f>
        <v>146200</v>
      </c>
      <c r="Y342" s="64">
        <f>IF(NOTA[[#This Row],[JUMLAH]]="","",(NOTA[[#This Row],[JUMLAH]]-NOTA[[#This Row],[DISC 1-]])*NOTA[[#This Row],[DISC 2]])</f>
        <v>0</v>
      </c>
      <c r="Z342" s="64">
        <f>IF(NOTA[[#This Row],[JUMLAH]]="","",NOTA[[#This Row],[DISC 1-]]+NOTA[[#This Row],[DISC 2-]])</f>
        <v>146200</v>
      </c>
      <c r="AA342" s="64">
        <f>IF(NOTA[[#This Row],[JUMLAH]]="","",NOTA[[#This Row],[JUMLAH]]-NOTA[[#This Row],[DISC]])</f>
        <v>713800</v>
      </c>
      <c r="AB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6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342" s="64" t="str">
        <f>IF(OR(NOTA[[#This Row],[QTY]]="",NOTA[[#This Row],[HARGA SATUAN]]="",),"",NOTA[[#This Row],[QTY]]*NOTA[[#This Row],[HARGA SATUAN]])</f>
        <v/>
      </c>
      <c r="AF342" s="50">
        <f ca="1">IF(NOTA[ID_H]="","",INDEX(NOTA[TANGGAL],MATCH(,INDIRECT(ADDRESS(ROW(NOTA[TANGGAL]),COLUMN(NOTA[TANGGAL]))&amp;":"&amp;ADDRESS(ROW(),COLUMN(NOTA[TANGGAL]))),-1)))</f>
        <v>44854</v>
      </c>
      <c r="AG342" s="61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2" t="str">
        <f>IF(NOTA[[#This Row],[ID_P]]="","",MATCH(NOTA[[#This Row],[ID_P]],[1]!B_MSK[N_ID],0))</f>
        <v/>
      </c>
      <c r="D343" s="62">
        <f ca="1">IF(NOTA[[#This Row],[NAMA BARANG]]="","",INDEX(NOTA[ID],MATCH(,INDIRECT(ADDRESS(ROW(NOTA[ID]),COLUMN(NOTA[ID]))&amp;":"&amp;ADDRESS(ROW(),COLUMN(NOTA[ID]))),-1)))</f>
        <v>79</v>
      </c>
      <c r="E343" s="67"/>
      <c r="F343" s="31"/>
      <c r="G343" s="31"/>
      <c r="H343" s="33"/>
      <c r="I343" s="31"/>
      <c r="J343" s="50"/>
      <c r="K343" s="48"/>
      <c r="L343" s="31" t="s">
        <v>523</v>
      </c>
      <c r="M343" s="63">
        <v>1</v>
      </c>
      <c r="N343" s="48"/>
      <c r="O343" s="48"/>
      <c r="P343" s="61"/>
      <c r="Q343" s="164">
        <v>2280000</v>
      </c>
      <c r="R343" s="35" t="s">
        <v>161</v>
      </c>
      <c r="S343" s="65">
        <v>0.17</v>
      </c>
      <c r="T343" s="65"/>
      <c r="U343" s="64"/>
      <c r="V343" s="87"/>
      <c r="W343" s="64">
        <f>IF(NOTA[[#This Row],[HARGA/ CTN]]="",NOTA[[#This Row],[JUMLAH_H]],NOTA[[#This Row],[HARGA/ CTN]]*NOTA[[#This Row],[C]])</f>
        <v>2280000</v>
      </c>
      <c r="X343" s="64">
        <f>IF(NOTA[[#This Row],[JUMLAH]]="","",NOTA[[#This Row],[JUMLAH]]*NOTA[[#This Row],[DISC 1]])</f>
        <v>387600</v>
      </c>
      <c r="Y343" s="64">
        <f>IF(NOTA[[#This Row],[JUMLAH]]="","",(NOTA[[#This Row],[JUMLAH]]-NOTA[[#This Row],[DISC 1-]])*NOTA[[#This Row],[DISC 2]])</f>
        <v>0</v>
      </c>
      <c r="Z343" s="64">
        <f>IF(NOTA[[#This Row],[JUMLAH]]="","",NOTA[[#This Row],[DISC 1-]]+NOTA[[#This Row],[DISC 2-]])</f>
        <v>387600</v>
      </c>
      <c r="AA343" s="64">
        <f>IF(NOTA[[#This Row],[JUMLAH]]="","",NOTA[[#This Row],[JUMLAH]]-NOTA[[#This Row],[DISC]])</f>
        <v>1892400</v>
      </c>
      <c r="AB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6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43" s="64" t="str">
        <f>IF(OR(NOTA[[#This Row],[QTY]]="",NOTA[[#This Row],[HARGA SATUAN]]="",),"",NOTA[[#This Row],[QTY]]*NOTA[[#This Row],[HARGA SATUAN]])</f>
        <v/>
      </c>
      <c r="AF343" s="50">
        <f ca="1">IF(NOTA[ID_H]="","",INDEX(NOTA[TANGGAL],MATCH(,INDIRECT(ADDRESS(ROW(NOTA[TANGGAL]),COLUMN(NOTA[TANGGAL]))&amp;":"&amp;ADDRESS(ROW(),COLUMN(NOTA[TANGGAL]))),-1)))</f>
        <v>44854</v>
      </c>
      <c r="AG343" s="61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32"/>
      <c r="F344" s="31"/>
      <c r="G344" s="31"/>
      <c r="H344" s="33"/>
      <c r="I344" s="31"/>
      <c r="J344" s="34"/>
      <c r="K344" s="31"/>
      <c r="L344" s="31" t="s">
        <v>392</v>
      </c>
      <c r="M344" s="35">
        <v>1</v>
      </c>
      <c r="N344" s="31"/>
      <c r="O344" s="31"/>
      <c r="P344" s="30"/>
      <c r="Q344" s="103">
        <v>6739200</v>
      </c>
      <c r="R344" s="35" t="s">
        <v>102</v>
      </c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6739200</v>
      </c>
      <c r="X344" s="36">
        <f>IF(NOTA[[#This Row],[JUMLAH]]="","",NOTA[[#This Row],[JUMLAH]]*NOTA[[#This Row],[DISC 1]])</f>
        <v>1145664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1145664</v>
      </c>
      <c r="AA344" s="36">
        <f>IF(NOTA[[#This Row],[JUMLAH]]="","",NOTA[[#This Row],[JUMLAH]]-NOTA[[#This Row],[DISC]])</f>
        <v>5593536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44854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32"/>
      <c r="F345" s="31"/>
      <c r="G345" s="31"/>
      <c r="H345" s="33"/>
      <c r="I345" s="31"/>
      <c r="J345" s="34"/>
      <c r="K345" s="31"/>
      <c r="L345" s="31" t="s">
        <v>95</v>
      </c>
      <c r="M345" s="35">
        <v>1</v>
      </c>
      <c r="N345" s="31"/>
      <c r="O345" s="31"/>
      <c r="P345" s="30"/>
      <c r="Q345" s="103">
        <v>2952000</v>
      </c>
      <c r="R345" s="35" t="s">
        <v>96</v>
      </c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2952000</v>
      </c>
      <c r="X345" s="36">
        <f>IF(NOTA[[#This Row],[JUMLAH]]="","",NOTA[[#This Row],[JUMLAH]]*NOTA[[#This Row],[DISC 1]])</f>
        <v>501840.00000000006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501840.00000000006</v>
      </c>
      <c r="AA345" s="36">
        <f>IF(NOTA[[#This Row],[JUMLAH]]="","",NOTA[[#This Row],[JUMLAH]]-NOTA[[#This Row],[DISC]])</f>
        <v>2450160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44854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32"/>
      <c r="F346" s="31"/>
      <c r="G346" s="31"/>
      <c r="H346" s="33"/>
      <c r="I346" s="31"/>
      <c r="J346" s="34"/>
      <c r="K346" s="31"/>
      <c r="L346" s="31" t="s">
        <v>164</v>
      </c>
      <c r="M346" s="35">
        <v>15</v>
      </c>
      <c r="N346" s="31"/>
      <c r="O346" s="31"/>
      <c r="P346" s="30"/>
      <c r="Q346" s="103">
        <v>1954800</v>
      </c>
      <c r="R346" s="35" t="s">
        <v>94</v>
      </c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29322000</v>
      </c>
      <c r="X346" s="36">
        <f>IF(NOTA[[#This Row],[JUMLAH]]="","",NOTA[[#This Row],[JUMLAH]]*NOTA[[#This Row],[DISC 1]])</f>
        <v>4984740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4984740</v>
      </c>
      <c r="AA346" s="36">
        <f>IF(NOTA[[#This Row],[JUMLAH]]="","",NOTA[[#This Row],[JUMLAH]]-NOTA[[#This Row],[DISC]])</f>
        <v>24337260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44854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32"/>
      <c r="F347" s="31"/>
      <c r="G347" s="31"/>
      <c r="H347" s="33"/>
      <c r="I347" s="31" t="s">
        <v>818</v>
      </c>
      <c r="J347" s="34"/>
      <c r="K347" s="31"/>
      <c r="L347" s="31" t="s">
        <v>806</v>
      </c>
      <c r="M347" s="35">
        <v>2</v>
      </c>
      <c r="N347" s="31"/>
      <c r="O347" s="31"/>
      <c r="P347" s="30"/>
      <c r="Q347" s="103">
        <v>3240000</v>
      </c>
      <c r="R347" s="35" t="s">
        <v>810</v>
      </c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6480000</v>
      </c>
      <c r="X347" s="36">
        <f>IF(NOTA[[#This Row],[JUMLAH]]="","",NOTA[[#This Row],[JUMLAH]]*NOTA[[#This Row],[DISC 1]])</f>
        <v>1101600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1101600</v>
      </c>
      <c r="AA347" s="36">
        <f>IF(NOTA[[#This Row],[JUMLAH]]="","",NOTA[[#This Row],[JUMLAH]]-NOTA[[#This Row],[DISC]])</f>
        <v>5378400</v>
      </c>
      <c r="AB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8757244</v>
      </c>
      <c r="AC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42755956</v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44854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 t="str">
        <f ca="1">IF(NOTA[[#This Row],[NAMA BARANG]]="","",INDEX(NOTA[ID],MATCH(,INDIRECT(ADDRESS(ROW(NOTA[ID]),COLUMN(NOTA[ID]))&amp;":"&amp;ADDRESS(ROW(),COLUMN(NOTA[ID]))),-1)))</f>
        <v/>
      </c>
      <c r="E348" s="32"/>
      <c r="F348" s="31"/>
      <c r="G348" s="31"/>
      <c r="H348" s="33"/>
      <c r="I348" s="31"/>
      <c r="J348" s="34"/>
      <c r="K348" s="31"/>
      <c r="L348" s="31"/>
      <c r="M348" s="35"/>
      <c r="N348" s="31"/>
      <c r="O348" s="31"/>
      <c r="P348" s="30"/>
      <c r="Q348" s="103"/>
      <c r="R348" s="35"/>
      <c r="S348" s="37"/>
      <c r="T348" s="37"/>
      <c r="U348" s="36"/>
      <c r="V348" s="87"/>
      <c r="W348" s="36" t="str">
        <f>IF(NOTA[[#This Row],[HARGA/ CTN]]="",NOTA[[#This Row],[JUMLAH_H]],NOTA[[#This Row],[HARGA/ CTN]]*NOTA[[#This Row],[C]])</f>
        <v/>
      </c>
      <c r="X348" s="36" t="str">
        <f>IF(NOTA[[#This Row],[JUMLAH]]="","",NOTA[[#This Row],[JUMLAH]]*NOTA[[#This Row],[DISC 1]])</f>
        <v/>
      </c>
      <c r="Y348" s="36" t="str">
        <f>IF(NOTA[[#This Row],[JUMLAH]]="","",(NOTA[[#This Row],[JUMLAH]]-NOTA[[#This Row],[DISC 1-]])*NOTA[[#This Row],[DISC 2]])</f>
        <v/>
      </c>
      <c r="Z348" s="36" t="str">
        <f>IF(NOTA[[#This Row],[JUMLAH]]="","",NOTA[[#This Row],[DISC 1-]]+NOTA[[#This Row],[DISC 2-]])</f>
        <v/>
      </c>
      <c r="AA348" s="36" t="str">
        <f>IF(NOTA[[#This Row],[JUMLAH]]="","",NOTA[[#This Row],[JUMLAH]]-NOTA[[#This Row],[DISC]])</f>
        <v/>
      </c>
      <c r="AB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36" t="str">
        <f>IF(OR(NOTA[[#This Row],[QTY]]="",NOTA[[#This Row],[HARGA SATUAN]]="",),"",NOTA[[#This Row],[QTY]]*NOTA[[#This Row],[HARGA SATUAN]])</f>
        <v/>
      </c>
      <c r="AF348" s="34" t="str">
        <f ca="1">IF(NOTA[ID_H]="","",INDEX(NOTA[TANGGAL],MATCH(,INDIRECT(ADDRESS(ROW(NOTA[TANGGAL]),COLUMN(NOTA[TANGGAL]))&amp;":"&amp;ADDRESS(ROW(),COLUMN(NOTA[TANGGAL]))),-1)))</f>
        <v/>
      </c>
      <c r="AG348" s="30" t="str">
        <f ca="1">IF(NOTA[[#This Row],[NAMA BARANG]]="","",INDEX(NOTA[SUPPLIER],MATCH(,INDIRECT(ADDRESS(ROW(NOTA[ID]),COLUMN(NOTA[ID]))&amp;":"&amp;ADDRESS(ROW(),COLUMN(NOTA[ID]))),-1)))</f>
        <v/>
      </c>
      <c r="AH348" s="16" t="str">
        <f ca="1">IF(NOTA[[#This Row],[ID]]="","",COUNTIF(NOTA[ID_H],NOTA[[#This Row],[ID_H]]))</f>
        <v/>
      </c>
      <c r="AI348" s="16" t="str">
        <f ca="1">IF(NOTA[[#This Row],[TGL.NOTA]]="",IF(NOTA[[#This Row],[SUPPLIER_H]]="","",AI347),MONTH(NOTA[[#This Row],[TGL.NOTA]]))</f>
        <v/>
      </c>
      <c r="AJ348" s="16"/>
    </row>
    <row r="349" spans="1:36" ht="20.100000000000001" customHeight="1" x14ac:dyDescent="0.25">
      <c r="A349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4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KEN_2110_207-10</v>
      </c>
      <c r="C349" s="39" t="e">
        <f ca="1">IF(NOTA[[#This Row],[ID_P]]="","",MATCH(NOTA[[#This Row],[ID_P]],[1]!B_MSK[N_ID],0))</f>
        <v>#REF!</v>
      </c>
      <c r="D349" s="39">
        <f ca="1">IF(NOTA[[#This Row],[NAMA BARANG]]="","",INDEX(NOTA[ID],MATCH(,INDIRECT(ADDRESS(ROW(NOTA[ID]),COLUMN(NOTA[ID]))&amp;":"&amp;ADDRESS(ROW(),COLUMN(NOTA[ID]))),-1)))</f>
        <v>80</v>
      </c>
      <c r="E349" s="32">
        <v>44855</v>
      </c>
      <c r="F349" s="31" t="s">
        <v>23</v>
      </c>
      <c r="G349" s="31" t="s">
        <v>24</v>
      </c>
      <c r="H349" s="33" t="s">
        <v>820</v>
      </c>
      <c r="I349" s="31" t="s">
        <v>821</v>
      </c>
      <c r="J349" s="34">
        <v>44849</v>
      </c>
      <c r="K349" s="31"/>
      <c r="L349" s="31" t="s">
        <v>573</v>
      </c>
      <c r="M349" s="35">
        <v>4</v>
      </c>
      <c r="N349" s="31"/>
      <c r="O349" s="31"/>
      <c r="P349" s="30"/>
      <c r="Q349" s="103">
        <v>810000</v>
      </c>
      <c r="R349" s="35" t="s">
        <v>276</v>
      </c>
      <c r="S349" s="37">
        <v>0.17</v>
      </c>
      <c r="T349" s="37"/>
      <c r="U349" s="36"/>
      <c r="V349" s="87"/>
      <c r="W349" s="36">
        <f>IF(NOTA[[#This Row],[HARGA/ CTN]]="",NOTA[[#This Row],[JUMLAH_H]],NOTA[[#This Row],[HARGA/ CTN]]*NOTA[[#This Row],[C]])</f>
        <v>3240000</v>
      </c>
      <c r="X349" s="36">
        <f>IF(NOTA[[#This Row],[JUMLAH]]="","",NOTA[[#This Row],[JUMLAH]]*NOTA[[#This Row],[DISC 1]])</f>
        <v>550800</v>
      </c>
      <c r="Y349" s="36">
        <f>IF(NOTA[[#This Row],[JUMLAH]]="","",(NOTA[[#This Row],[JUMLAH]]-NOTA[[#This Row],[DISC 1-]])*NOTA[[#This Row],[DISC 2]])</f>
        <v>0</v>
      </c>
      <c r="Z349" s="36">
        <f>IF(NOTA[[#This Row],[JUMLAH]]="","",NOTA[[#This Row],[DISC 1-]]+NOTA[[#This Row],[DISC 2-]])</f>
        <v>550800</v>
      </c>
      <c r="AA349" s="36">
        <f>IF(NOTA[[#This Row],[JUMLAH]]="","",NOTA[[#This Row],[JUMLAH]]-NOTA[[#This Row],[DISC]])</f>
        <v>2689200</v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9" s="36" t="str">
        <f>IF(OR(NOTA[[#This Row],[QTY]]="",NOTA[[#This Row],[HARGA SATUAN]]="",),"",NOTA[[#This Row],[QTY]]*NOTA[[#This Row],[HARGA SATUAN]])</f>
        <v/>
      </c>
      <c r="AF349" s="34">
        <f ca="1">IF(NOTA[ID_H]="","",INDEX(NOTA[TANGGAL],MATCH(,INDIRECT(ADDRESS(ROW(NOTA[TANGGAL]),COLUMN(NOTA[TANGGAL]))&amp;":"&amp;ADDRESS(ROW(),COLUMN(NOTA[TANGGAL]))),-1)))</f>
        <v>44855</v>
      </c>
      <c r="AG349" s="30" t="str">
        <f ca="1">IF(NOTA[[#This Row],[NAMA BARANG]]="","",INDEX(NOTA[SUPPLIER],MATCH(,INDIRECT(ADDRESS(ROW(NOTA[ID]),COLUMN(NOTA[ID]))&amp;":"&amp;ADDRESS(ROW(),COLUMN(NOTA[ID]))),-1)))</f>
        <v>KENKO SINAR INDONESIA</v>
      </c>
      <c r="AH349" s="16">
        <f ca="1">IF(NOTA[[#This Row],[ID]]="","",COUNTIF(NOTA[ID_H],NOTA[[#This Row],[ID_H]]))</f>
        <v>10</v>
      </c>
      <c r="AI349" s="16">
        <f>IF(NOTA[[#This Row],[TGL.NOTA]]="",IF(NOTA[[#This Row],[SUPPLIER_H]]="","",AI348),MONTH(NOTA[[#This Row],[TGL.NOTA]]))</f>
        <v>10</v>
      </c>
      <c r="AJ349" s="16"/>
    </row>
    <row r="350" spans="1:36" ht="20.100000000000001" customHeight="1" x14ac:dyDescent="0.25">
      <c r="A3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80</v>
      </c>
      <c r="E350" s="32"/>
      <c r="F350" s="31"/>
      <c r="G350" s="31"/>
      <c r="H350" s="33"/>
      <c r="I350" s="31"/>
      <c r="J350" s="34"/>
      <c r="K350" s="31"/>
      <c r="L350" s="31" t="s">
        <v>157</v>
      </c>
      <c r="M350" s="35">
        <v>3</v>
      </c>
      <c r="N350" s="31"/>
      <c r="O350" s="31"/>
      <c r="P350" s="116"/>
      <c r="Q350" s="103">
        <v>1245000</v>
      </c>
      <c r="R350" s="35" t="s">
        <v>158</v>
      </c>
      <c r="S350" s="37">
        <v>0.17</v>
      </c>
      <c r="T350" s="37"/>
      <c r="U350" s="36"/>
      <c r="V350" s="87"/>
      <c r="W350" s="36">
        <f>IF(NOTA[[#This Row],[HARGA/ CTN]]="",NOTA[[#This Row],[JUMLAH_H]],NOTA[[#This Row],[HARGA/ CTN]]*NOTA[[#This Row],[C]])</f>
        <v>3735000</v>
      </c>
      <c r="X350" s="36">
        <f>IF(NOTA[[#This Row],[JUMLAH]]="","",NOTA[[#This Row],[JUMLAH]]*NOTA[[#This Row],[DISC 1]])</f>
        <v>634950</v>
      </c>
      <c r="Y350" s="36">
        <f>IF(NOTA[[#This Row],[JUMLAH]]="","",(NOTA[[#This Row],[JUMLAH]]-NOTA[[#This Row],[DISC 1-]])*NOTA[[#This Row],[DISC 2]])</f>
        <v>0</v>
      </c>
      <c r="Z350" s="36">
        <f>IF(NOTA[[#This Row],[JUMLAH]]="","",NOTA[[#This Row],[DISC 1-]]+NOTA[[#This Row],[DISC 2-]])</f>
        <v>634950</v>
      </c>
      <c r="AA350" s="36">
        <f>IF(NOTA[[#This Row],[JUMLAH]]="","",NOTA[[#This Row],[JUMLAH]]-NOTA[[#This Row],[DISC]])</f>
        <v>3100050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50" s="36" t="str">
        <f>IF(OR(NOTA[[#This Row],[QTY]]="",NOTA[[#This Row],[HARGA SATUAN]]="",),"",NOTA[[#This Row],[QTY]]*NOTA[[#This Row],[HARGA SATUAN]])</f>
        <v/>
      </c>
      <c r="AF350" s="34">
        <f ca="1">IF(NOTA[ID_H]="","",INDEX(NOTA[TANGGAL],MATCH(,INDIRECT(ADDRESS(ROW(NOTA[TANGGAL]),COLUMN(NOTA[TANGGAL]))&amp;":"&amp;ADDRESS(ROW(),COLUMN(NOTA[TANGGAL]))),-1)))</f>
        <v>44855</v>
      </c>
      <c r="AG350" s="30" t="str">
        <f ca="1">IF(NOTA[[#This Row],[NAMA BARANG]]="","",INDEX(NOTA[SUPPLIER],MATCH(,INDIRECT(ADDRESS(ROW(NOTA[ID]),COLUMN(NOTA[ID]))&amp;":"&amp;ADDRESS(ROW(),COLUMN(NOTA[ID]))),-1)))</f>
        <v>KENKO SINAR INDONESIA</v>
      </c>
      <c r="AH350" s="16" t="str">
        <f ca="1">IF(NOTA[[#This Row],[ID]]="","",COUNTIF(NOTA[ID_H],NOTA[[#This Row],[ID_H]]))</f>
        <v/>
      </c>
      <c r="AI350" s="16">
        <f ca="1"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32"/>
      <c r="F351" s="31"/>
      <c r="G351" s="31"/>
      <c r="H351" s="33"/>
      <c r="I351" s="31"/>
      <c r="J351" s="34"/>
      <c r="K351" s="31"/>
      <c r="L351" s="31" t="s">
        <v>687</v>
      </c>
      <c r="M351" s="35">
        <v>1</v>
      </c>
      <c r="N351" s="31"/>
      <c r="O351" s="31"/>
      <c r="P351" s="30"/>
      <c r="Q351" s="103">
        <v>1890000</v>
      </c>
      <c r="R351" s="35" t="s">
        <v>158</v>
      </c>
      <c r="S351" s="37">
        <v>0.17</v>
      </c>
      <c r="T351" s="37"/>
      <c r="U351" s="36"/>
      <c r="V351" s="87"/>
      <c r="W351" s="36">
        <f>IF(NOTA[[#This Row],[HARGA/ CTN]]="",NOTA[[#This Row],[JUMLAH_H]],NOTA[[#This Row],[HARGA/ CTN]]*NOTA[[#This Row],[C]])</f>
        <v>1890000</v>
      </c>
      <c r="X351" s="36">
        <f>IF(NOTA[[#This Row],[JUMLAH]]="","",NOTA[[#This Row],[JUMLAH]]*NOTA[[#This Row],[DISC 1]])</f>
        <v>321300</v>
      </c>
      <c r="Y351" s="36">
        <f>IF(NOTA[[#This Row],[JUMLAH]]="","",(NOTA[[#This Row],[JUMLAH]]-NOTA[[#This Row],[DISC 1-]])*NOTA[[#This Row],[DISC 2]])</f>
        <v>0</v>
      </c>
      <c r="Z351" s="36">
        <f>IF(NOTA[[#This Row],[JUMLAH]]="","",NOTA[[#This Row],[DISC 1-]]+NOTA[[#This Row],[DISC 2-]])</f>
        <v>321300</v>
      </c>
      <c r="AA351" s="36">
        <f>IF(NOTA[[#This Row],[JUMLAH]]="","",NOTA[[#This Row],[JUMLAH]]-NOTA[[#This Row],[DISC]])</f>
        <v>1568700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51" s="36" t="str">
        <f>IF(OR(NOTA[[#This Row],[QTY]]="",NOTA[[#This Row],[HARGA SATUAN]]="",),"",NOTA[[#This Row],[QTY]]*NOTA[[#This Row],[HARGA SATUAN]])</f>
        <v/>
      </c>
      <c r="AF351" s="34">
        <f ca="1">IF(NOTA[ID_H]="","",INDEX(NOTA[TANGGAL],MATCH(,INDIRECT(ADDRESS(ROW(NOTA[TANGGAL]),COLUMN(NOTA[TANGGAL]))&amp;":"&amp;ADDRESS(ROW(),COLUMN(NOTA[TANGGAL]))),-1)))</f>
        <v>44855</v>
      </c>
      <c r="AG351" s="30" t="str">
        <f ca="1">IF(NOTA[[#This Row],[NAMA BARANG]]="","",INDEX(NOTA[SUPPLIER],MATCH(,INDIRECT(ADDRESS(ROW(NOTA[ID]),COLUMN(NOTA[ID]))&amp;":"&amp;ADDRESS(ROW(),COLUMN(NOTA[ID]))),-1)))</f>
        <v>KENKO SINAR INDONESIA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32"/>
      <c r="F352" s="31"/>
      <c r="G352" s="31"/>
      <c r="H352" s="33"/>
      <c r="I352" s="31"/>
      <c r="J352" s="34"/>
      <c r="K352" s="31"/>
      <c r="L352" s="31" t="s">
        <v>689</v>
      </c>
      <c r="M352" s="35">
        <v>2</v>
      </c>
      <c r="N352" s="31"/>
      <c r="O352" s="31"/>
      <c r="P352" s="30"/>
      <c r="Q352" s="103">
        <v>1122000</v>
      </c>
      <c r="R352" s="35" t="s">
        <v>161</v>
      </c>
      <c r="S352" s="37">
        <v>0.17</v>
      </c>
      <c r="T352" s="37"/>
      <c r="U352" s="36"/>
      <c r="V352" s="87"/>
      <c r="W352" s="36">
        <f>IF(NOTA[[#This Row],[HARGA/ CTN]]="",NOTA[[#This Row],[JUMLAH_H]],NOTA[[#This Row],[HARGA/ CTN]]*NOTA[[#This Row],[C]])</f>
        <v>2244000</v>
      </c>
      <c r="X352" s="36">
        <f>IF(NOTA[[#This Row],[JUMLAH]]="","",NOTA[[#This Row],[JUMLAH]]*NOTA[[#This Row],[DISC 1]])</f>
        <v>381480</v>
      </c>
      <c r="Y352" s="36">
        <f>IF(NOTA[[#This Row],[JUMLAH]]="","",(NOTA[[#This Row],[JUMLAH]]-NOTA[[#This Row],[DISC 1-]])*NOTA[[#This Row],[DISC 2]])</f>
        <v>0</v>
      </c>
      <c r="Z352" s="36">
        <f>IF(NOTA[[#This Row],[JUMLAH]]="","",NOTA[[#This Row],[DISC 1-]]+NOTA[[#This Row],[DISC 2-]])</f>
        <v>381480</v>
      </c>
      <c r="AA352" s="36">
        <f>IF(NOTA[[#This Row],[JUMLAH]]="","",NOTA[[#This Row],[JUMLAH]]-NOTA[[#This Row],[DISC]])</f>
        <v>1862520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52" s="36" t="str">
        <f>IF(OR(NOTA[[#This Row],[QTY]]="",NOTA[[#This Row],[HARGA SATUAN]]="",),"",NOTA[[#This Row],[QTY]]*NOTA[[#This Row],[HARGA SATUAN]])</f>
        <v/>
      </c>
      <c r="AF352" s="34">
        <f ca="1">IF(NOTA[ID_H]="","",INDEX(NOTA[TANGGAL],MATCH(,INDIRECT(ADDRESS(ROW(NOTA[TANGGAL]),COLUMN(NOTA[TANGGAL]))&amp;":"&amp;ADDRESS(ROW(),COLUMN(NOTA[TANGGAL]))),-1)))</f>
        <v>44855</v>
      </c>
      <c r="AG352" s="30" t="str">
        <f ca="1">IF(NOTA[[#This Row],[NAMA BARANG]]="","",INDEX(NOTA[SUPPLIER],MATCH(,INDIRECT(ADDRESS(ROW(NOTA[ID]),COLUMN(NOTA[ID]))&amp;":"&amp;ADDRESS(ROW(),COLUMN(NOTA[ID]))),-1)))</f>
        <v>KENKO SINAR INDONESIA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806</v>
      </c>
      <c r="M353" s="35">
        <v>2</v>
      </c>
      <c r="N353" s="31"/>
      <c r="O353" s="31"/>
      <c r="P353" s="30"/>
      <c r="Q353" s="103">
        <v>3240000</v>
      </c>
      <c r="R353" s="35" t="s">
        <v>810</v>
      </c>
      <c r="S353" s="37">
        <v>0.17</v>
      </c>
      <c r="T353" s="37"/>
      <c r="U353" s="36"/>
      <c r="V353" s="87"/>
      <c r="W353" s="36">
        <f>IF(NOTA[[#This Row],[HARGA/ CTN]]="",NOTA[[#This Row],[JUMLAH_H]],NOTA[[#This Row],[HARGA/ CTN]]*NOTA[[#This Row],[C]])</f>
        <v>6480000</v>
      </c>
      <c r="X353" s="36">
        <f>IF(NOTA[[#This Row],[JUMLAH]]="","",NOTA[[#This Row],[JUMLAH]]*NOTA[[#This Row],[DISC 1]])</f>
        <v>1101600</v>
      </c>
      <c r="Y353" s="36">
        <f>IF(NOTA[[#This Row],[JUMLAH]]="","",(NOTA[[#This Row],[JUMLAH]]-NOTA[[#This Row],[DISC 1-]])*NOTA[[#This Row],[DISC 2]])</f>
        <v>0</v>
      </c>
      <c r="Z353" s="36">
        <f>IF(NOTA[[#This Row],[JUMLAH]]="","",NOTA[[#This Row],[DISC 1-]]+NOTA[[#This Row],[DISC 2-]])</f>
        <v>1101600</v>
      </c>
      <c r="AA353" s="36">
        <f>IF(NOTA[[#This Row],[JUMLAH]]="","",NOTA[[#This Row],[JUMLAH]]-NOTA[[#This Row],[DISC]])</f>
        <v>5378400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53" s="36" t="str">
        <f>IF(OR(NOTA[[#This Row],[QTY]]="",NOTA[[#This Row],[HARGA SATUAN]]="",),"",NOTA[[#This Row],[QTY]]*NOTA[[#This Row],[HARGA SATUAN]])</f>
        <v/>
      </c>
      <c r="AF353" s="34">
        <f ca="1">IF(NOTA[ID_H]="","",INDEX(NOTA[TANGGAL],MATCH(,INDIRECT(ADDRESS(ROW(NOTA[TANGGAL]),COLUMN(NOTA[TANGGAL]))&amp;":"&amp;ADDRESS(ROW(),COLUMN(NOTA[TANGGAL]))),-1)))</f>
        <v>44855</v>
      </c>
      <c r="AG353" s="30" t="str">
        <f ca="1">IF(NOTA[[#This Row],[NAMA BARANG]]="","",INDEX(NOTA[SUPPLIER],MATCH(,INDIRECT(ADDRESS(ROW(NOTA[ID]),COLUMN(NOTA[ID]))&amp;":"&amp;ADDRESS(ROW(),COLUMN(NOTA[ID]))),-1)))</f>
        <v>KENKO SINAR INDONESIA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822</v>
      </c>
      <c r="M354" s="35">
        <v>2</v>
      </c>
      <c r="N354" s="31"/>
      <c r="O354" s="31"/>
      <c r="P354" s="30"/>
      <c r="Q354" s="103">
        <v>1020000</v>
      </c>
      <c r="R354" s="35" t="s">
        <v>168</v>
      </c>
      <c r="S354" s="37">
        <v>0.17</v>
      </c>
      <c r="T354" s="37"/>
      <c r="U354" s="36"/>
      <c r="V354" s="87"/>
      <c r="W354" s="36">
        <f>IF(NOTA[[#This Row],[HARGA/ CTN]]="",NOTA[[#This Row],[JUMLAH_H]],NOTA[[#This Row],[HARGA/ CTN]]*NOTA[[#This Row],[C]])</f>
        <v>2040000</v>
      </c>
      <c r="X354" s="36">
        <f>IF(NOTA[[#This Row],[JUMLAH]]="","",NOTA[[#This Row],[JUMLAH]]*NOTA[[#This Row],[DISC 1]])</f>
        <v>346800</v>
      </c>
      <c r="Y354" s="36">
        <f>IF(NOTA[[#This Row],[JUMLAH]]="","",(NOTA[[#This Row],[JUMLAH]]-NOTA[[#This Row],[DISC 1-]])*NOTA[[#This Row],[DISC 2]])</f>
        <v>0</v>
      </c>
      <c r="Z354" s="36">
        <f>IF(NOTA[[#This Row],[JUMLAH]]="","",NOTA[[#This Row],[DISC 1-]]+NOTA[[#This Row],[DISC 2-]])</f>
        <v>346800</v>
      </c>
      <c r="AA354" s="36">
        <f>IF(NOTA[[#This Row],[JUMLAH]]="","",NOTA[[#This Row],[JUMLAH]]-NOTA[[#This Row],[DISC]])</f>
        <v>1693200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54" s="36" t="str">
        <f>IF(OR(NOTA[[#This Row],[QTY]]="",NOTA[[#This Row],[HARGA SATUAN]]="",),"",NOTA[[#This Row],[QTY]]*NOTA[[#This Row],[HARGA SATUAN]])</f>
        <v/>
      </c>
      <c r="AF354" s="34">
        <f ca="1">IF(NOTA[ID_H]="","",INDEX(NOTA[TANGGAL],MATCH(,INDIRECT(ADDRESS(ROW(NOTA[TANGGAL]),COLUMN(NOTA[TANGGAL]))&amp;":"&amp;ADDRESS(ROW(),COLUMN(NOTA[TANGGAL]))),-1)))</f>
        <v>44855</v>
      </c>
      <c r="AG354" s="30" t="str">
        <f ca="1">IF(NOTA[[#This Row],[NAMA BARANG]]="","",INDEX(NOTA[SUPPLIER],MATCH(,INDIRECT(ADDRESS(ROW(NOTA[ID]),COLUMN(NOTA[ID]))&amp;":"&amp;ADDRESS(ROW(),COLUMN(NOTA[ID]))),-1)))</f>
        <v>KENKO SINAR INDONESIA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101</v>
      </c>
      <c r="M355" s="35">
        <v>1</v>
      </c>
      <c r="N355" s="31"/>
      <c r="O355" s="31"/>
      <c r="P355" s="30"/>
      <c r="Q355" s="103">
        <v>5702400</v>
      </c>
      <c r="R355" s="35" t="s">
        <v>102</v>
      </c>
      <c r="S355" s="37">
        <v>0.17</v>
      </c>
      <c r="T355" s="37"/>
      <c r="U355" s="36"/>
      <c r="V355" s="87"/>
      <c r="W355" s="36">
        <f>IF(NOTA[[#This Row],[HARGA/ CTN]]="",NOTA[[#This Row],[JUMLAH_H]],NOTA[[#This Row],[HARGA/ CTN]]*NOTA[[#This Row],[C]])</f>
        <v>5702400</v>
      </c>
      <c r="X355" s="36">
        <f>IF(NOTA[[#This Row],[JUMLAH]]="","",NOTA[[#This Row],[JUMLAH]]*NOTA[[#This Row],[DISC 1]])</f>
        <v>969408.00000000012</v>
      </c>
      <c r="Y355" s="36">
        <f>IF(NOTA[[#This Row],[JUMLAH]]="","",(NOTA[[#This Row],[JUMLAH]]-NOTA[[#This Row],[DISC 1-]])*NOTA[[#This Row],[DISC 2]])</f>
        <v>0</v>
      </c>
      <c r="Z355" s="36">
        <f>IF(NOTA[[#This Row],[JUMLAH]]="","",NOTA[[#This Row],[DISC 1-]]+NOTA[[#This Row],[DISC 2-]])</f>
        <v>969408.00000000012</v>
      </c>
      <c r="AA355" s="36">
        <f>IF(NOTA[[#This Row],[JUMLAH]]="","",NOTA[[#This Row],[JUMLAH]]-NOTA[[#This Row],[DISC]])</f>
        <v>4732992</v>
      </c>
      <c r="AB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55" s="36" t="str">
        <f>IF(OR(NOTA[[#This Row],[QTY]]="",NOTA[[#This Row],[HARGA SATUAN]]="",),"",NOTA[[#This Row],[QTY]]*NOTA[[#This Row],[HARGA SATUAN]])</f>
        <v/>
      </c>
      <c r="AF355" s="34">
        <f ca="1">IF(NOTA[ID_H]="","",INDEX(NOTA[TANGGAL],MATCH(,INDIRECT(ADDRESS(ROW(NOTA[TANGGAL]),COLUMN(NOTA[TANGGAL]))&amp;":"&amp;ADDRESS(ROW(),COLUMN(NOTA[TANGGAL]))),-1)))</f>
        <v>44855</v>
      </c>
      <c r="AG355" s="30" t="str">
        <f ca="1">IF(NOTA[[#This Row],[NAMA BARANG]]="","",INDEX(NOTA[SUPPLIER],MATCH(,INDIRECT(ADDRESS(ROW(NOTA[ID]),COLUMN(NOTA[ID]))&amp;":"&amp;ADDRESS(ROW(),COLUMN(NOTA[ID]))),-1)))</f>
        <v>KENKO SINAR INDONESIA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2" t="str">
        <f>IF(NOTA[[#This Row],[ID_P]]="","",MATCH(NOTA[[#This Row],[ID_P]],[1]!B_MSK[N_ID],0))</f>
        <v/>
      </c>
      <c r="D356" s="62">
        <f ca="1">IF(NOTA[[#This Row],[NAMA BARANG]]="","",INDEX(NOTA[ID],MATCH(,INDIRECT(ADDRESS(ROW(NOTA[ID]),COLUMN(NOTA[ID]))&amp;":"&amp;ADDRESS(ROW(),COLUMN(NOTA[ID]))),-1)))</f>
        <v>80</v>
      </c>
      <c r="E356" s="67"/>
      <c r="F356" s="48"/>
      <c r="G356" s="48"/>
      <c r="H356" s="49"/>
      <c r="I356" s="48"/>
      <c r="J356" s="50"/>
      <c r="K356" s="48"/>
      <c r="L356" s="31" t="s">
        <v>828</v>
      </c>
      <c r="M356" s="63">
        <v>1</v>
      </c>
      <c r="N356" s="48"/>
      <c r="O356" s="48"/>
      <c r="P356" s="61"/>
      <c r="Q356" s="164">
        <v>1125000</v>
      </c>
      <c r="R356" s="35" t="s">
        <v>331</v>
      </c>
      <c r="S356" s="65">
        <v>0.17</v>
      </c>
      <c r="T356" s="65"/>
      <c r="U356" s="64"/>
      <c r="V356" s="87"/>
      <c r="W356" s="64">
        <f>IF(NOTA[[#This Row],[HARGA/ CTN]]="",NOTA[[#This Row],[JUMLAH_H]],NOTA[[#This Row],[HARGA/ CTN]]*NOTA[[#This Row],[C]])</f>
        <v>1125000</v>
      </c>
      <c r="X356" s="64">
        <f>IF(NOTA[[#This Row],[JUMLAH]]="","",NOTA[[#This Row],[JUMLAH]]*NOTA[[#This Row],[DISC 1]])</f>
        <v>191250</v>
      </c>
      <c r="Y356" s="64">
        <f>IF(NOTA[[#This Row],[JUMLAH]]="","",(NOTA[[#This Row],[JUMLAH]]-NOTA[[#This Row],[DISC 1-]])*NOTA[[#This Row],[DISC 2]])</f>
        <v>0</v>
      </c>
      <c r="Z356" s="64">
        <f>IF(NOTA[[#This Row],[JUMLAH]]="","",NOTA[[#This Row],[DISC 1-]]+NOTA[[#This Row],[DISC 2-]])</f>
        <v>191250</v>
      </c>
      <c r="AA356" s="64">
        <f>IF(NOTA[[#This Row],[JUMLAH]]="","",NOTA[[#This Row],[JUMLAH]]-NOTA[[#This Row],[DISC]])</f>
        <v>933750</v>
      </c>
      <c r="AB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6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356" s="64" t="str">
        <f>IF(OR(NOTA[[#This Row],[QTY]]="",NOTA[[#This Row],[HARGA SATUAN]]="",),"",NOTA[[#This Row],[QTY]]*NOTA[[#This Row],[HARGA SATUAN]])</f>
        <v/>
      </c>
      <c r="AF356" s="50">
        <f ca="1">IF(NOTA[ID_H]="","",INDEX(NOTA[TANGGAL],MATCH(,INDIRECT(ADDRESS(ROW(NOTA[TANGGAL]),COLUMN(NOTA[TANGGAL]))&amp;":"&amp;ADDRESS(ROW(),COLUMN(NOTA[TANGGAL]))),-1)))</f>
        <v>44855</v>
      </c>
      <c r="AG356" s="61" t="str">
        <f ca="1">IF(NOTA[[#This Row],[NAMA BARANG]]="","",INDEX(NOTA[SUPPLIER],MATCH(,INDIRECT(ADDRESS(ROW(NOTA[ID]),COLUMN(NOTA[ID]))&amp;":"&amp;ADDRESS(ROW(),COLUMN(NOTA[ID]))),-1)))</f>
        <v>KENKO SINAR INDONESIA</v>
      </c>
      <c r="AH356" s="16" t="str">
        <f ca="1">IF(NOTA[[#This Row],[ID]]="","",COUNTIF(NOTA[ID_H],NOTA[[#This Row],[ID_H]]))</f>
        <v/>
      </c>
      <c r="AI356" s="16">
        <f ca="1">IF(NOTA[[#This Row],[TGL.NOTA]]="",IF(NOTA[[#This Row],[SUPPLIER_H]]="","",AI355),MONTH(NOTA[[#This Row],[TGL.NOTA]]))</f>
        <v>10</v>
      </c>
      <c r="AJ356" s="16"/>
    </row>
    <row r="357" spans="1:36" ht="20.100000000000001" customHeight="1" x14ac:dyDescent="0.25">
      <c r="A3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2" t="str">
        <f>IF(NOTA[[#This Row],[ID_P]]="","",MATCH(NOTA[[#This Row],[ID_P]],[1]!B_MSK[N_ID],0))</f>
        <v/>
      </c>
      <c r="D357" s="62">
        <f ca="1">IF(NOTA[[#This Row],[NAMA BARANG]]="","",INDEX(NOTA[ID],MATCH(,INDIRECT(ADDRESS(ROW(NOTA[ID]),COLUMN(NOTA[ID]))&amp;":"&amp;ADDRESS(ROW(),COLUMN(NOTA[ID]))),-1)))</f>
        <v>80</v>
      </c>
      <c r="E357" s="67"/>
      <c r="F357" s="31"/>
      <c r="G357" s="31"/>
      <c r="H357" s="33"/>
      <c r="I357" s="48"/>
      <c r="J357" s="50"/>
      <c r="K357" s="48"/>
      <c r="L357" s="31" t="s">
        <v>827</v>
      </c>
      <c r="M357" s="63">
        <v>1</v>
      </c>
      <c r="N357" s="48"/>
      <c r="O357" s="31"/>
      <c r="P357" s="61"/>
      <c r="Q357" s="164">
        <v>1180000</v>
      </c>
      <c r="R357" s="35" t="s">
        <v>823</v>
      </c>
      <c r="S357" s="65">
        <v>0.17</v>
      </c>
      <c r="T357" s="65"/>
      <c r="U357" s="64"/>
      <c r="V357" s="87"/>
      <c r="W357" s="64">
        <f>IF(NOTA[[#This Row],[HARGA/ CTN]]="",NOTA[[#This Row],[JUMLAH_H]],NOTA[[#This Row],[HARGA/ CTN]]*NOTA[[#This Row],[C]])</f>
        <v>1180000</v>
      </c>
      <c r="X357" s="64">
        <f>IF(NOTA[[#This Row],[JUMLAH]]="","",NOTA[[#This Row],[JUMLAH]]*NOTA[[#This Row],[DISC 1]])</f>
        <v>200600</v>
      </c>
      <c r="Y357" s="64">
        <f>IF(NOTA[[#This Row],[JUMLAH]]="","",(NOTA[[#This Row],[JUMLAH]]-NOTA[[#This Row],[DISC 1-]])*NOTA[[#This Row],[DISC 2]])</f>
        <v>0</v>
      </c>
      <c r="Z357" s="64">
        <f>IF(NOTA[[#This Row],[JUMLAH]]="","",NOTA[[#This Row],[DISC 1-]]+NOTA[[#This Row],[DISC 2-]])</f>
        <v>200600</v>
      </c>
      <c r="AA357" s="64">
        <f>IF(NOTA[[#This Row],[JUMLAH]]="","",NOTA[[#This Row],[JUMLAH]]-NOTA[[#This Row],[DISC]])</f>
        <v>979400</v>
      </c>
      <c r="AB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6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E357" s="64" t="str">
        <f>IF(OR(NOTA[[#This Row],[QTY]]="",NOTA[[#This Row],[HARGA SATUAN]]="",),"",NOTA[[#This Row],[QTY]]*NOTA[[#This Row],[HARGA SATUAN]])</f>
        <v/>
      </c>
      <c r="AF357" s="50">
        <f ca="1">IF(NOTA[ID_H]="","",INDEX(NOTA[TANGGAL],MATCH(,INDIRECT(ADDRESS(ROW(NOTA[TANGGAL]),COLUMN(NOTA[TANGGAL]))&amp;":"&amp;ADDRESS(ROW(),COLUMN(NOTA[TANGGAL]))),-1)))</f>
        <v>44855</v>
      </c>
      <c r="AG357" s="61" t="str">
        <f ca="1">IF(NOTA[[#This Row],[NAMA BARANG]]="","",INDEX(NOTA[SUPPLIER],MATCH(,INDIRECT(ADDRESS(ROW(NOTA[ID]),COLUMN(NOTA[ID]))&amp;":"&amp;ADDRESS(ROW(),COLUMN(NOTA[ID]))),-1)))</f>
        <v>KENKO SINAR INDONESIA</v>
      </c>
      <c r="AH357" s="16" t="str">
        <f ca="1">IF(NOTA[[#This Row],[ID]]="","",COUNTIF(NOTA[ID_H],NOTA[[#This Row],[ID_H]]))</f>
        <v/>
      </c>
      <c r="AI357" s="16">
        <f ca="1"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2" t="str">
        <f>IF(NOTA[[#This Row],[ID_P]]="","",MATCH(NOTA[[#This Row],[ID_P]],[1]!B_MSK[N_ID],0))</f>
        <v/>
      </c>
      <c r="D358" s="62">
        <f ca="1">IF(NOTA[[#This Row],[NAMA BARANG]]="","",INDEX(NOTA[ID],MATCH(,INDIRECT(ADDRESS(ROW(NOTA[ID]),COLUMN(NOTA[ID]))&amp;":"&amp;ADDRESS(ROW(),COLUMN(NOTA[ID]))),-1)))</f>
        <v>80</v>
      </c>
      <c r="E358" s="67"/>
      <c r="F358" s="48"/>
      <c r="G358" s="48"/>
      <c r="H358" s="49"/>
      <c r="I358" s="48"/>
      <c r="J358" s="50"/>
      <c r="K358" s="48"/>
      <c r="L358" s="31" t="s">
        <v>574</v>
      </c>
      <c r="M358" s="63">
        <v>3</v>
      </c>
      <c r="N358" s="48"/>
      <c r="O358" s="31"/>
      <c r="P358" s="61"/>
      <c r="Q358" s="164">
        <v>1164000</v>
      </c>
      <c r="R358" s="35" t="s">
        <v>168</v>
      </c>
      <c r="S358" s="65">
        <v>0.17</v>
      </c>
      <c r="T358" s="65"/>
      <c r="U358" s="64"/>
      <c r="V358" s="87"/>
      <c r="W358" s="64">
        <f>IF(NOTA[[#This Row],[HARGA/ CTN]]="",NOTA[[#This Row],[JUMLAH_H]],NOTA[[#This Row],[HARGA/ CTN]]*NOTA[[#This Row],[C]])</f>
        <v>3492000</v>
      </c>
      <c r="X358" s="64">
        <f>IF(NOTA[[#This Row],[JUMLAH]]="","",NOTA[[#This Row],[JUMLAH]]*NOTA[[#This Row],[DISC 1]])</f>
        <v>593640</v>
      </c>
      <c r="Y358" s="64">
        <f>IF(NOTA[[#This Row],[JUMLAH]]="","",(NOTA[[#This Row],[JUMLAH]]-NOTA[[#This Row],[DISC 1-]])*NOTA[[#This Row],[DISC 2]])</f>
        <v>0</v>
      </c>
      <c r="Z358" s="64">
        <f>IF(NOTA[[#This Row],[JUMLAH]]="","",NOTA[[#This Row],[DISC 1-]]+NOTA[[#This Row],[DISC 2-]])</f>
        <v>593640</v>
      </c>
      <c r="AA358" s="64">
        <f>IF(NOTA[[#This Row],[JUMLAH]]="","",NOTA[[#This Row],[JUMLAH]]-NOTA[[#This Row],[DISC]])</f>
        <v>2898360</v>
      </c>
      <c r="AB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5291828</v>
      </c>
      <c r="AC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25836572</v>
      </c>
      <c r="AD358" s="6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58" s="64" t="str">
        <f>IF(OR(NOTA[[#This Row],[QTY]]="",NOTA[[#This Row],[HARGA SATUAN]]="",),"",NOTA[[#This Row],[QTY]]*NOTA[[#This Row],[HARGA SATUAN]])</f>
        <v/>
      </c>
      <c r="AF358" s="50">
        <f ca="1">IF(NOTA[ID_H]="","",INDEX(NOTA[TANGGAL],MATCH(,INDIRECT(ADDRESS(ROW(NOTA[TANGGAL]),COLUMN(NOTA[TANGGAL]))&amp;":"&amp;ADDRESS(ROW(),COLUMN(NOTA[TANGGAL]))),-1)))</f>
        <v>44855</v>
      </c>
      <c r="AG358" s="61" t="str">
        <f ca="1">IF(NOTA[[#This Row],[NAMA BARANG]]="","",INDEX(NOTA[SUPPLIER],MATCH(,INDIRECT(ADDRESS(ROW(NOTA[ID]),COLUMN(NOTA[ID]))&amp;":"&amp;ADDRESS(ROW(),COLUMN(NOTA[ID]))),-1)))</f>
        <v>KENKO SINAR INDONESIA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2" t="str">
        <f>IF(NOTA[[#This Row],[ID_P]]="","",MATCH(NOTA[[#This Row],[ID_P]],[1]!B_MSK[N_ID],0))</f>
        <v/>
      </c>
      <c r="D359" s="62" t="str">
        <f ca="1">IF(NOTA[[#This Row],[NAMA BARANG]]="","",INDEX(NOTA[ID],MATCH(,INDIRECT(ADDRESS(ROW(NOTA[ID]),COLUMN(NOTA[ID]))&amp;":"&amp;ADDRESS(ROW(),COLUMN(NOTA[ID]))),-1)))</f>
        <v/>
      </c>
      <c r="E359" s="67"/>
      <c r="F359" s="31"/>
      <c r="G359" s="31"/>
      <c r="H359" s="33"/>
      <c r="I359" s="48"/>
      <c r="J359" s="50"/>
      <c r="K359" s="48"/>
      <c r="L359" s="31"/>
      <c r="M359" s="63"/>
      <c r="N359" s="48"/>
      <c r="O359" s="31"/>
      <c r="P359" s="61"/>
      <c r="Q359" s="164"/>
      <c r="R359" s="35"/>
      <c r="S359" s="65"/>
      <c r="T359" s="65"/>
      <c r="U359" s="64"/>
      <c r="V359" s="87"/>
      <c r="W359" s="64" t="str">
        <f>IF(NOTA[[#This Row],[HARGA/ CTN]]="",NOTA[[#This Row],[JUMLAH_H]],NOTA[[#This Row],[HARGA/ CTN]]*NOTA[[#This Row],[C]])</f>
        <v/>
      </c>
      <c r="X359" s="64" t="str">
        <f>IF(NOTA[[#This Row],[JUMLAH]]="","",NOTA[[#This Row],[JUMLAH]]*NOTA[[#This Row],[DISC 1]])</f>
        <v/>
      </c>
      <c r="Y359" s="64" t="str">
        <f>IF(NOTA[[#This Row],[JUMLAH]]="","",(NOTA[[#This Row],[JUMLAH]]-NOTA[[#This Row],[DISC 1-]])*NOTA[[#This Row],[DISC 2]])</f>
        <v/>
      </c>
      <c r="Z359" s="64" t="str">
        <f>IF(NOTA[[#This Row],[JUMLAH]]="","",NOTA[[#This Row],[DISC 1-]]+NOTA[[#This Row],[DISC 2-]])</f>
        <v/>
      </c>
      <c r="AA359" s="64" t="str">
        <f>IF(NOTA[[#This Row],[JUMLAH]]="","",NOTA[[#This Row],[JUMLAH]]-NOTA[[#This Row],[DISC]])</f>
        <v/>
      </c>
      <c r="AB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64" t="str">
        <f>IF(OR(NOTA[[#This Row],[QTY]]="",NOTA[[#This Row],[HARGA SATUAN]]="",),"",NOTA[[#This Row],[QTY]]*NOTA[[#This Row],[HARGA SATUAN]])</f>
        <v/>
      </c>
      <c r="AF359" s="50" t="str">
        <f ca="1">IF(NOTA[ID_H]="","",INDEX(NOTA[TANGGAL],MATCH(,INDIRECT(ADDRESS(ROW(NOTA[TANGGAL]),COLUMN(NOTA[TANGGAL]))&amp;":"&amp;ADDRESS(ROW(),COLUMN(NOTA[TANGGAL]))),-1)))</f>
        <v/>
      </c>
      <c r="AG359" s="61" t="str">
        <f ca="1">IF(NOTA[[#This Row],[NAMA BARANG]]="","",INDEX(NOTA[SUPPLIER],MATCH(,INDIRECT(ADDRESS(ROW(NOTA[ID]),COLUMN(NOTA[ID]))&amp;":"&amp;ADDRESS(ROW(),COLUMN(NOTA[ID]))),-1)))</f>
        <v/>
      </c>
      <c r="AH359" s="16" t="str">
        <f ca="1">IF(NOTA[[#This Row],[ID]]="","",COUNTIF(NOTA[ID_H],NOTA[[#This Row],[ID_H]]))</f>
        <v/>
      </c>
      <c r="AI359" s="16" t="str">
        <f ca="1">IF(NOTA[[#This Row],[TGL.NOTA]]="",IF(NOTA[[#This Row],[SUPPLIER_H]]="","",AI358),MONTH(NOTA[[#This Row],[TGL.NOTA]]))</f>
        <v/>
      </c>
      <c r="AJ359" s="16"/>
    </row>
    <row r="360" spans="1:36" ht="20.100000000000001" customHeight="1" x14ac:dyDescent="0.25">
      <c r="A360" s="61">
        <f ca="1">IF(INDIRECT(ADDRESS(ROW()-1,COLUMN(NOTA[[#Headers],[ID]])))="ID",1,IF(NOTA[[#This Row],[FAKTUR]]="","",COUNT(INDIRECT(ADDRESS(ROW(NOTA[ID]),COLUMN(NOTA[ID]))&amp;":"&amp;ADDRESS(ROW()-1,COLUMN(NOTA[ID]))))+1))</f>
        <v>81</v>
      </c>
      <c r="B36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ATA_2110_384-2</v>
      </c>
      <c r="C360" s="62" t="e">
        <f ca="1">IF(NOTA[[#This Row],[ID_P]]="","",MATCH(NOTA[[#This Row],[ID_P]],[1]!B_MSK[N_ID],0))</f>
        <v>#REF!</v>
      </c>
      <c r="D360" s="62">
        <f ca="1">IF(NOTA[[#This Row],[NAMA BARANG]]="","",INDEX(NOTA[ID],MATCH(,INDIRECT(ADDRESS(ROW(NOTA[ID]),COLUMN(NOTA[ID]))&amp;":"&amp;ADDRESS(ROW(),COLUMN(NOTA[ID]))),-1)))</f>
        <v>81</v>
      </c>
      <c r="E360" s="67"/>
      <c r="F360" s="31" t="s">
        <v>25</v>
      </c>
      <c r="G360" s="31" t="s">
        <v>24</v>
      </c>
      <c r="H360" s="33" t="s">
        <v>824</v>
      </c>
      <c r="I360" s="48"/>
      <c r="J360" s="34">
        <v>44849</v>
      </c>
      <c r="K360" s="48"/>
      <c r="L360" s="31" t="s">
        <v>336</v>
      </c>
      <c r="M360" s="63">
        <v>1</v>
      </c>
      <c r="N360" s="48">
        <v>144</v>
      </c>
      <c r="O360" s="31" t="s">
        <v>204</v>
      </c>
      <c r="P360" s="61">
        <v>11900</v>
      </c>
      <c r="Q360" s="164"/>
      <c r="R360" s="35" t="s">
        <v>284</v>
      </c>
      <c r="S360" s="65">
        <v>0.125</v>
      </c>
      <c r="T360" s="65">
        <v>0.05</v>
      </c>
      <c r="U360" s="64"/>
      <c r="V360" s="87"/>
      <c r="W360" s="64">
        <f>IF(NOTA[[#This Row],[HARGA/ CTN]]="",NOTA[[#This Row],[JUMLAH_H]],NOTA[[#This Row],[HARGA/ CTN]]*NOTA[[#This Row],[C]])</f>
        <v>1713600</v>
      </c>
      <c r="X360" s="64">
        <f>IF(NOTA[[#This Row],[JUMLAH]]="","",NOTA[[#This Row],[JUMLAH]]*NOTA[[#This Row],[DISC 1]])</f>
        <v>214200</v>
      </c>
      <c r="Y360" s="64">
        <f>IF(NOTA[[#This Row],[JUMLAH]]="","",(NOTA[[#This Row],[JUMLAH]]-NOTA[[#This Row],[DISC 1-]])*NOTA[[#This Row],[DISC 2]])</f>
        <v>74970</v>
      </c>
      <c r="Z360" s="64">
        <f>IF(NOTA[[#This Row],[JUMLAH]]="","",NOTA[[#This Row],[DISC 1-]]+NOTA[[#This Row],[DISC 2-]])</f>
        <v>289170</v>
      </c>
      <c r="AA360" s="64">
        <f>IF(NOTA[[#This Row],[JUMLAH]]="","",NOTA[[#This Row],[JUMLAH]]-NOTA[[#This Row],[DISC]])</f>
        <v>1424430</v>
      </c>
      <c r="AB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6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0" s="64">
        <f>IF(OR(NOTA[[#This Row],[QTY]]="",NOTA[[#This Row],[HARGA SATUAN]]="",),"",NOTA[[#This Row],[QTY]]*NOTA[[#This Row],[HARGA SATUAN]])</f>
        <v>1713600</v>
      </c>
      <c r="AF360" s="50">
        <f ca="1">IF(NOTA[ID_H]="","",INDEX(NOTA[TANGGAL],MATCH(,INDIRECT(ADDRESS(ROW(NOTA[TANGGAL]),COLUMN(NOTA[TANGGAL]))&amp;":"&amp;ADDRESS(ROW(),COLUMN(NOTA[TANGGAL]))),-1)))</f>
        <v>44855</v>
      </c>
      <c r="AG360" s="61" t="str">
        <f ca="1">IF(NOTA[[#This Row],[NAMA BARANG]]="","",INDEX(NOTA[SUPPLIER],MATCH(,INDIRECT(ADDRESS(ROW(NOTA[ID]),COLUMN(NOTA[ID]))&amp;":"&amp;ADDRESS(ROW(),COLUMN(NOTA[ID]))),-1)))</f>
        <v>ATALI MAKMUR</v>
      </c>
      <c r="AH360" s="16">
        <f ca="1">IF(NOTA[[#This Row],[ID]]="","",COUNTIF(NOTA[ID_H],NOTA[[#This Row],[ID_H]]))</f>
        <v>2</v>
      </c>
      <c r="AI360" s="16">
        <f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2" t="str">
        <f>IF(NOTA[[#This Row],[ID_P]]="","",MATCH(NOTA[[#This Row],[ID_P]],[1]!B_MSK[N_ID],0))</f>
        <v/>
      </c>
      <c r="D361" s="62">
        <f ca="1">IF(NOTA[[#This Row],[NAMA BARANG]]="","",INDEX(NOTA[ID],MATCH(,INDIRECT(ADDRESS(ROW(NOTA[ID]),COLUMN(NOTA[ID]))&amp;":"&amp;ADDRESS(ROW(),COLUMN(NOTA[ID]))),-1)))</f>
        <v>81</v>
      </c>
      <c r="E361" s="67"/>
      <c r="F361" s="48"/>
      <c r="G361" s="48"/>
      <c r="H361" s="49"/>
      <c r="I361" s="48"/>
      <c r="J361" s="50"/>
      <c r="K361" s="48"/>
      <c r="L361" s="31" t="s">
        <v>825</v>
      </c>
      <c r="M361" s="63">
        <v>1</v>
      </c>
      <c r="N361" s="48">
        <v>48</v>
      </c>
      <c r="O361" s="31" t="s">
        <v>204</v>
      </c>
      <c r="P361" s="61">
        <v>28700</v>
      </c>
      <c r="Q361" s="164"/>
      <c r="R361" s="35" t="s">
        <v>355</v>
      </c>
      <c r="S361" s="65">
        <v>0.125</v>
      </c>
      <c r="T361" s="65">
        <v>0.05</v>
      </c>
      <c r="U361" s="64"/>
      <c r="V361" s="87"/>
      <c r="W361" s="64">
        <f>IF(NOTA[[#This Row],[HARGA/ CTN]]="",NOTA[[#This Row],[JUMLAH_H]],NOTA[[#This Row],[HARGA/ CTN]]*NOTA[[#This Row],[C]])</f>
        <v>1377600</v>
      </c>
      <c r="X361" s="64">
        <f>IF(NOTA[[#This Row],[JUMLAH]]="","",NOTA[[#This Row],[JUMLAH]]*NOTA[[#This Row],[DISC 1]])</f>
        <v>172200</v>
      </c>
      <c r="Y361" s="64">
        <f>IF(NOTA[[#This Row],[JUMLAH]]="","",(NOTA[[#This Row],[JUMLAH]]-NOTA[[#This Row],[DISC 1-]])*NOTA[[#This Row],[DISC 2]])</f>
        <v>60270</v>
      </c>
      <c r="Z361" s="64">
        <f>IF(NOTA[[#This Row],[JUMLAH]]="","",NOTA[[#This Row],[DISC 1-]]+NOTA[[#This Row],[DISC 2-]])</f>
        <v>232470</v>
      </c>
      <c r="AA361" s="64">
        <f>IF(NOTA[[#This Row],[JUMLAH]]="","",NOTA[[#This Row],[JUMLAH]]-NOTA[[#This Row],[DISC]])</f>
        <v>1145130</v>
      </c>
      <c r="AB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521640</v>
      </c>
      <c r="AC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2569560</v>
      </c>
      <c r="AD361" s="6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61" s="64">
        <f>IF(OR(NOTA[[#This Row],[QTY]]="",NOTA[[#This Row],[HARGA SATUAN]]="",),"",NOTA[[#This Row],[QTY]]*NOTA[[#This Row],[HARGA SATUAN]])</f>
        <v>1377600</v>
      </c>
      <c r="AF361" s="50">
        <f ca="1">IF(NOTA[ID_H]="","",INDEX(NOTA[TANGGAL],MATCH(,INDIRECT(ADDRESS(ROW(NOTA[TANGGAL]),COLUMN(NOTA[TANGGAL]))&amp;":"&amp;ADDRESS(ROW(),COLUMN(NOTA[TANGGAL]))),-1)))</f>
        <v>44855</v>
      </c>
      <c r="AG361" s="61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2" t="str">
        <f>IF(NOTA[[#This Row],[ID_P]]="","",MATCH(NOTA[[#This Row],[ID_P]],[1]!B_MSK[N_ID],0))</f>
        <v/>
      </c>
      <c r="D362" s="62" t="str">
        <f ca="1">IF(NOTA[[#This Row],[NAMA BARANG]]="","",INDEX(NOTA[ID],MATCH(,INDIRECT(ADDRESS(ROW(NOTA[ID]),COLUMN(NOTA[ID]))&amp;":"&amp;ADDRESS(ROW(),COLUMN(NOTA[ID]))),-1)))</f>
        <v/>
      </c>
      <c r="E362" s="67"/>
      <c r="F362" s="48"/>
      <c r="G362" s="48"/>
      <c r="H362" s="49"/>
      <c r="I362" s="48"/>
      <c r="J362" s="50"/>
      <c r="K362" s="48"/>
      <c r="L362" s="31"/>
      <c r="M362" s="63"/>
      <c r="N362" s="48"/>
      <c r="O362" s="31"/>
      <c r="P362" s="61"/>
      <c r="Q362" s="164"/>
      <c r="R362" s="35"/>
      <c r="S362" s="65"/>
      <c r="T362" s="65"/>
      <c r="U362" s="64"/>
      <c r="V362" s="87"/>
      <c r="W362" s="64" t="str">
        <f>IF(NOTA[[#This Row],[HARGA/ CTN]]="",NOTA[[#This Row],[JUMLAH_H]],NOTA[[#This Row],[HARGA/ CTN]]*NOTA[[#This Row],[C]])</f>
        <v/>
      </c>
      <c r="X362" s="64" t="str">
        <f>IF(NOTA[[#This Row],[JUMLAH]]="","",NOTA[[#This Row],[JUMLAH]]*NOTA[[#This Row],[DISC 1]])</f>
        <v/>
      </c>
      <c r="Y362" s="64" t="str">
        <f>IF(NOTA[[#This Row],[JUMLAH]]="","",(NOTA[[#This Row],[JUMLAH]]-NOTA[[#This Row],[DISC 1-]])*NOTA[[#This Row],[DISC 2]])</f>
        <v/>
      </c>
      <c r="Z362" s="64" t="str">
        <f>IF(NOTA[[#This Row],[JUMLAH]]="","",NOTA[[#This Row],[DISC 1-]]+NOTA[[#This Row],[DISC 2-]])</f>
        <v/>
      </c>
      <c r="AA362" s="64" t="str">
        <f>IF(NOTA[[#This Row],[JUMLAH]]="","",NOTA[[#This Row],[JUMLAH]]-NOTA[[#This Row],[DISC]])</f>
        <v/>
      </c>
      <c r="AB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64" t="str">
        <f>IF(OR(NOTA[[#This Row],[QTY]]="",NOTA[[#This Row],[HARGA SATUAN]]="",),"",NOTA[[#This Row],[QTY]]*NOTA[[#This Row],[HARGA SATUAN]])</f>
        <v/>
      </c>
      <c r="AF362" s="50" t="str">
        <f ca="1">IF(NOTA[ID_H]="","",INDEX(NOTA[TANGGAL],MATCH(,INDIRECT(ADDRESS(ROW(NOTA[TANGGAL]),COLUMN(NOTA[TANGGAL]))&amp;":"&amp;ADDRESS(ROW(),COLUMN(NOTA[TANGGAL]))),-1)))</f>
        <v/>
      </c>
      <c r="AG362" s="61" t="str">
        <f ca="1">IF(NOTA[[#This Row],[NAMA BARANG]]="","",INDEX(NOTA[SUPPLIER],MATCH(,INDIRECT(ADDRESS(ROW(NOTA[ID]),COLUMN(NOTA[ID]))&amp;":"&amp;ADDRESS(ROW(),COLUMN(NOTA[ID]))),-1)))</f>
        <v/>
      </c>
      <c r="AH362" s="16" t="str">
        <f ca="1">IF(NOTA[[#This Row],[ID]]="","",COUNTIF(NOTA[ID_H],NOTA[[#This Row],[ID_H]]))</f>
        <v/>
      </c>
      <c r="AI362" s="16" t="str">
        <f ca="1">IF(NOTA[[#This Row],[TGL.NOTA]]="",IF(NOTA[[#This Row],[SUPPLIER_H]]="","",AI361),MONTH(NOTA[[#This Row],[TGL.NOTA]]))</f>
        <v/>
      </c>
      <c r="AJ362" s="16"/>
    </row>
    <row r="363" spans="1:36" ht="20.100000000000001" customHeight="1" x14ac:dyDescent="0.25">
      <c r="A363" s="61">
        <f ca="1">IF(INDIRECT(ADDRESS(ROW()-1,COLUMN(NOTA[[#Headers],[ID]])))="ID",1,IF(NOTA[[#This Row],[FAKTUR]]="","",COUNT(INDIRECT(ADDRESS(ROW(NOTA[ID]),COLUMN(NOTA[ID]))&amp;":"&amp;ADDRESS(ROW()-1,COLUMN(NOTA[ID]))))+1))</f>
        <v>82</v>
      </c>
      <c r="B363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SAM_2110_405-1</v>
      </c>
      <c r="C363" s="62" t="e">
        <f ca="1">IF(NOTA[[#This Row],[ID_P]]="","",MATCH(NOTA[[#This Row],[ID_P]],[1]!B_MSK[N_ID],0))</f>
        <v>#REF!</v>
      </c>
      <c r="D363" s="62">
        <f ca="1">IF(NOTA[[#This Row],[NAMA BARANG]]="","",INDEX(NOTA[ID],MATCH(,INDIRECT(ADDRESS(ROW(NOTA[ID]),COLUMN(NOTA[ID]))&amp;":"&amp;ADDRESS(ROW(),COLUMN(NOTA[ID]))),-1)))</f>
        <v>82</v>
      </c>
      <c r="E363" s="67"/>
      <c r="F363" s="31" t="s">
        <v>58</v>
      </c>
      <c r="G363" s="31" t="s">
        <v>24</v>
      </c>
      <c r="H363" s="33" t="s">
        <v>829</v>
      </c>
      <c r="I363" s="48"/>
      <c r="J363" s="50">
        <v>44853</v>
      </c>
      <c r="K363" s="48"/>
      <c r="L363" s="31" t="s">
        <v>830</v>
      </c>
      <c r="M363" s="63">
        <v>17</v>
      </c>
      <c r="N363" s="48">
        <v>170</v>
      </c>
      <c r="O363" s="31" t="s">
        <v>88</v>
      </c>
      <c r="P363" s="61">
        <v>55000</v>
      </c>
      <c r="Q363" s="164"/>
      <c r="R363" s="35" t="s">
        <v>313</v>
      </c>
      <c r="S363" s="65">
        <v>0.05</v>
      </c>
      <c r="T363" s="65"/>
      <c r="U363" s="64"/>
      <c r="V363" s="87"/>
      <c r="W363" s="64">
        <f>IF(NOTA[[#This Row],[HARGA/ CTN]]="",NOTA[[#This Row],[JUMLAH_H]],NOTA[[#This Row],[HARGA/ CTN]]*NOTA[[#This Row],[C]])</f>
        <v>9350000</v>
      </c>
      <c r="X363" s="64">
        <f>IF(NOTA[[#This Row],[JUMLAH]]="","",NOTA[[#This Row],[JUMLAH]]*NOTA[[#This Row],[DISC 1]])</f>
        <v>467500</v>
      </c>
      <c r="Y363" s="64">
        <f>IF(NOTA[[#This Row],[JUMLAH]]="","",(NOTA[[#This Row],[JUMLAH]]-NOTA[[#This Row],[DISC 1-]])*NOTA[[#This Row],[DISC 2]])</f>
        <v>0</v>
      </c>
      <c r="Z363" s="64">
        <f>IF(NOTA[[#This Row],[JUMLAH]]="","",NOTA[[#This Row],[DISC 1-]]+NOTA[[#This Row],[DISC 2-]])</f>
        <v>467500</v>
      </c>
      <c r="AA363" s="64">
        <f>IF(NOTA[[#This Row],[JUMLAH]]="","",NOTA[[#This Row],[JUMLAH]]-NOTA[[#This Row],[DISC]])</f>
        <v>8882500</v>
      </c>
      <c r="AB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467500</v>
      </c>
      <c r="AC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8882500</v>
      </c>
      <c r="AD363" s="6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363" s="64">
        <f>IF(OR(NOTA[[#This Row],[QTY]]="",NOTA[[#This Row],[HARGA SATUAN]]="",),"",NOTA[[#This Row],[QTY]]*NOTA[[#This Row],[HARGA SATUAN]])</f>
        <v>9350000</v>
      </c>
      <c r="AF363" s="50">
        <f ca="1">IF(NOTA[ID_H]="","",INDEX(NOTA[TANGGAL],MATCH(,INDIRECT(ADDRESS(ROW(NOTA[TANGGAL]),COLUMN(NOTA[TANGGAL]))&amp;":"&amp;ADDRESS(ROW(),COLUMN(NOTA[TANGGAL]))),-1)))</f>
        <v>44855</v>
      </c>
      <c r="AG363" s="61" t="str">
        <f ca="1">IF(NOTA[[#This Row],[NAMA BARANG]]="","",INDEX(NOTA[SUPPLIER],MATCH(,INDIRECT(ADDRESS(ROW(NOTA[ID]),COLUMN(NOTA[ID]))&amp;":"&amp;ADDRESS(ROW(),COLUMN(NOTA[ID]))),-1)))</f>
        <v>SAMUDERA ANGKASA JAYA</v>
      </c>
      <c r="AH363" s="16">
        <f ca="1">IF(NOTA[[#This Row],[ID]]="","",COUNTIF(NOTA[ID_H],NOTA[[#This Row],[ID_H]]))</f>
        <v>1</v>
      </c>
      <c r="AI363" s="16">
        <f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2" t="str">
        <f>IF(NOTA[[#This Row],[ID_P]]="","",MATCH(NOTA[[#This Row],[ID_P]],[1]!B_MSK[N_ID],0))</f>
        <v/>
      </c>
      <c r="D364" s="62" t="str">
        <f ca="1">IF(NOTA[[#This Row],[NAMA BARANG]]="","",INDEX(NOTA[ID],MATCH(,INDIRECT(ADDRESS(ROW(NOTA[ID]),COLUMN(NOTA[ID]))&amp;":"&amp;ADDRESS(ROW(),COLUMN(NOTA[ID]))),-1)))</f>
        <v/>
      </c>
      <c r="E364" s="67"/>
      <c r="F364" s="48"/>
      <c r="G364" s="48"/>
      <c r="H364" s="49"/>
      <c r="I364" s="48"/>
      <c r="J364" s="50"/>
      <c r="K364" s="48"/>
      <c r="L364" s="31"/>
      <c r="M364" s="63"/>
      <c r="N364" s="48"/>
      <c r="O364" s="31"/>
      <c r="P364" s="61"/>
      <c r="Q364" s="164"/>
      <c r="R364" s="35"/>
      <c r="S364" s="65"/>
      <c r="T364" s="65"/>
      <c r="U364" s="64"/>
      <c r="V364" s="87"/>
      <c r="W364" s="64" t="str">
        <f>IF(NOTA[[#This Row],[HARGA/ CTN]]="",NOTA[[#This Row],[JUMLAH_H]],NOTA[[#This Row],[HARGA/ CTN]]*NOTA[[#This Row],[C]])</f>
        <v/>
      </c>
      <c r="X364" s="64" t="str">
        <f>IF(NOTA[[#This Row],[JUMLAH]]="","",NOTA[[#This Row],[JUMLAH]]*NOTA[[#This Row],[DISC 1]])</f>
        <v/>
      </c>
      <c r="Y364" s="64" t="str">
        <f>IF(NOTA[[#This Row],[JUMLAH]]="","",(NOTA[[#This Row],[JUMLAH]]-NOTA[[#This Row],[DISC 1-]])*NOTA[[#This Row],[DISC 2]])</f>
        <v/>
      </c>
      <c r="Z364" s="64" t="str">
        <f>IF(NOTA[[#This Row],[JUMLAH]]="","",NOTA[[#This Row],[DISC 1-]]+NOTA[[#This Row],[DISC 2-]])</f>
        <v/>
      </c>
      <c r="AA364" s="64" t="str">
        <f>IF(NOTA[[#This Row],[JUMLAH]]="","",NOTA[[#This Row],[JUMLAH]]-NOTA[[#This Row],[DISC]])</f>
        <v/>
      </c>
      <c r="AB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64" t="str">
        <f>IF(OR(NOTA[[#This Row],[QTY]]="",NOTA[[#This Row],[HARGA SATUAN]]="",),"",NOTA[[#This Row],[QTY]]*NOTA[[#This Row],[HARGA SATUAN]])</f>
        <v/>
      </c>
      <c r="AF364" s="50" t="str">
        <f ca="1">IF(NOTA[ID_H]="","",INDEX(NOTA[TANGGAL],MATCH(,INDIRECT(ADDRESS(ROW(NOTA[TANGGAL]),COLUMN(NOTA[TANGGAL]))&amp;":"&amp;ADDRESS(ROW(),COLUMN(NOTA[TANGGAL]))),-1)))</f>
        <v/>
      </c>
      <c r="AG364" s="61" t="str">
        <f ca="1">IF(NOTA[[#This Row],[NAMA BARANG]]="","",INDEX(NOTA[SUPPLIER],MATCH(,INDIRECT(ADDRESS(ROW(NOTA[ID]),COLUMN(NOTA[ID]))&amp;":"&amp;ADDRESS(ROW(),COLUMN(NOTA[ID]))),-1)))</f>
        <v/>
      </c>
      <c r="AH364" s="16" t="str">
        <f ca="1">IF(NOTA[[#This Row],[ID]]="","",COUNTIF(NOTA[ID_H],NOTA[[#This Row],[ID_H]]))</f>
        <v/>
      </c>
      <c r="AI364" s="16" t="str">
        <f ca="1">IF(NOTA[[#This Row],[TGL.NOTA]]="",IF(NOTA[[#This Row],[SUPPLIER_H]]="","",AI363),MONTH(NOTA[[#This Row],[TGL.NOTA]]))</f>
        <v/>
      </c>
      <c r="AJ364" s="16"/>
    </row>
    <row r="365" spans="1:36" ht="20.100000000000001" customHeight="1" x14ac:dyDescent="0.25">
      <c r="A365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65" s="39" t="e">
        <f ca="1">IF(NOTA[[#This Row],[ID_P]]="","",MATCH(NOTA[[#This Row],[ID_P]],[1]!B_MSK[N_ID],0))</f>
        <v>#REF!</v>
      </c>
      <c r="D365" s="39">
        <f ca="1">IF(NOTA[[#This Row],[NAMA BARANG]]="","",INDEX(NOTA[ID],MATCH(,INDIRECT(ADDRESS(ROW(NOTA[ID]),COLUMN(NOTA[ID]))&amp;":"&amp;ADDRESS(ROW(),COLUMN(NOTA[ID]))),-1)))</f>
        <v>83</v>
      </c>
      <c r="E365" s="32">
        <v>44856</v>
      </c>
      <c r="F365" s="31" t="s">
        <v>297</v>
      </c>
      <c r="G365" s="31" t="s">
        <v>87</v>
      </c>
      <c r="H365" s="33" t="s">
        <v>541</v>
      </c>
      <c r="I365" s="31"/>
      <c r="J365" s="34">
        <v>44852</v>
      </c>
      <c r="K365" s="31"/>
      <c r="L365" s="31" t="s">
        <v>542</v>
      </c>
      <c r="M365" s="35">
        <v>2</v>
      </c>
      <c r="N365" s="31">
        <v>20</v>
      </c>
      <c r="O365" s="31" t="s">
        <v>210</v>
      </c>
      <c r="P365" s="30">
        <v>130500</v>
      </c>
      <c r="Q365" s="103"/>
      <c r="R365" s="35" t="s">
        <v>300</v>
      </c>
      <c r="S365" s="37"/>
      <c r="T365" s="37"/>
      <c r="U365" s="36"/>
      <c r="V365" s="87"/>
      <c r="W365" s="36">
        <f>IF(NOTA[[#This Row],[HARGA/ CTN]]="",NOTA[[#This Row],[JUMLAH_H]],NOTA[[#This Row],[HARGA/ CTN]]*NOTA[[#This Row],[C]])</f>
        <v>2610000</v>
      </c>
      <c r="X365" s="36">
        <f>IF(NOTA[[#This Row],[JUMLAH]]="","",NOTA[[#This Row],[JUMLAH]]*NOTA[[#This Row],[DISC 1]])</f>
        <v>0</v>
      </c>
      <c r="Y365" s="36">
        <f>IF(NOTA[[#This Row],[JUMLAH]]="","",(NOTA[[#This Row],[JUMLAH]]-NOTA[[#This Row],[DISC 1-]])*NOTA[[#This Row],[DISC 2]])</f>
        <v>0</v>
      </c>
      <c r="Z365" s="36">
        <f>IF(NOTA[[#This Row],[JUMLAH]]="","",NOTA[[#This Row],[DISC 1-]]+NOTA[[#This Row],[DISC 2-]])</f>
        <v>0</v>
      </c>
      <c r="AA365" s="36">
        <f>IF(NOTA[[#This Row],[JUMLAH]]="","",NOTA[[#This Row],[JUMLAH]]-NOTA[[#This Row],[DISC]])</f>
        <v>2610000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65" s="36">
        <f>IF(OR(NOTA[[#This Row],[QTY]]="",NOTA[[#This Row],[HARGA SATUAN]]="",),"",NOTA[[#This Row],[QTY]]*NOTA[[#This Row],[HARGA SATUAN]])</f>
        <v>2610000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8" t="str">
        <f ca="1">IF(NOTA[[#This Row],[NAMA BARANG]]="","",INDEX(NOTA[SUPPLIER],MATCH(,INDIRECT(ADDRESS(ROW(NOTA[ID]),COLUMN(NOTA[ID]))&amp;":"&amp;ADDRESS(ROW(),COLUMN(NOTA[ID]))),-1)))</f>
        <v>LESTARI STATIONERY</v>
      </c>
      <c r="AH365" s="16">
        <f ca="1">IF(NOTA[[#This Row],[ID]]="","",COUNTIF(NOTA[ID_H],NOTA[[#This Row],[ID_H]]))</f>
        <v>5</v>
      </c>
      <c r="AI365" s="16">
        <f>IF(NOTA[[#This Row],[TGL.NOTA]]="",IF(NOTA[[#This Row],[SUPPLIER_H]]="","",AI325),MONTH(NOTA[[#This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83</v>
      </c>
      <c r="E366" s="32"/>
      <c r="F366" s="31"/>
      <c r="G366" s="31"/>
      <c r="H366" s="33"/>
      <c r="I366" s="31"/>
      <c r="J366" s="34"/>
      <c r="K366" s="31"/>
      <c r="L366" s="31" t="s">
        <v>543</v>
      </c>
      <c r="M366" s="35">
        <v>2</v>
      </c>
      <c r="N366" s="31">
        <v>20</v>
      </c>
      <c r="O366" s="31" t="s">
        <v>210</v>
      </c>
      <c r="P366" s="30">
        <v>147500</v>
      </c>
      <c r="Q366" s="103"/>
      <c r="R366" s="35" t="s">
        <v>300</v>
      </c>
      <c r="S366" s="37"/>
      <c r="T366" s="37"/>
      <c r="U366" s="36"/>
      <c r="V366" s="87"/>
      <c r="W366" s="36">
        <f>IF(NOTA[[#This Row],[HARGA/ CTN]]="",NOTA[[#This Row],[JUMLAH_H]],NOTA[[#This Row],[HARGA/ CTN]]*NOTA[[#This Row],[C]])</f>
        <v>2950000</v>
      </c>
      <c r="X366" s="36">
        <f>IF(NOTA[[#This Row],[JUMLAH]]="","",NOTA[[#This Row],[JUMLAH]]*NOTA[[#This Row],[DISC 1]])</f>
        <v>0</v>
      </c>
      <c r="Y366" s="36">
        <f>IF(NOTA[[#This Row],[JUMLAH]]="","",(NOTA[[#This Row],[JUMLAH]]-NOTA[[#This Row],[DISC 1-]])*NOTA[[#This Row],[DISC 2]])</f>
        <v>0</v>
      </c>
      <c r="Z366" s="36">
        <f>IF(NOTA[[#This Row],[JUMLAH]]="","",NOTA[[#This Row],[DISC 1-]]+NOTA[[#This Row],[DISC 2-]])</f>
        <v>0</v>
      </c>
      <c r="AA366" s="36">
        <f>IF(NOTA[[#This Row],[JUMLAH]]="","",NOTA[[#This Row],[JUMLAH]]-NOTA[[#This Row],[DISC]])</f>
        <v>2950000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66" s="36">
        <f>IF(OR(NOTA[[#This Row],[QTY]]="",NOTA[[#This Row],[HARGA SATUAN]]="",),"",NOTA[[#This Row],[QTY]]*NOTA[[#This Row],[HARGA SATUAN]])</f>
        <v>2950000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8" t="str">
        <f ca="1">IF(NOTA[[#This Row],[NAMA BARANG]]="","",INDEX(NOTA[SUPPLIER],MATCH(,INDIRECT(ADDRESS(ROW(NOTA[ID]),COLUMN(NOTA[ID]))&amp;":"&amp;ADDRESS(ROW(),COLUMN(NOTA[ID]))),-1)))</f>
        <v>LESTARI STATIONERY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83</v>
      </c>
      <c r="E367" s="32"/>
      <c r="F367" s="31"/>
      <c r="G367" s="31"/>
      <c r="H367" s="33"/>
      <c r="I367" s="31"/>
      <c r="J367" s="34"/>
      <c r="K367" s="31"/>
      <c r="L367" s="31" t="s">
        <v>544</v>
      </c>
      <c r="M367" s="35">
        <v>2</v>
      </c>
      <c r="N367" s="31">
        <v>20</v>
      </c>
      <c r="O367" s="31" t="s">
        <v>210</v>
      </c>
      <c r="P367" s="30">
        <v>173500</v>
      </c>
      <c r="Q367" s="103"/>
      <c r="R367" s="35" t="s">
        <v>300</v>
      </c>
      <c r="S367" s="37"/>
      <c r="T367" s="37"/>
      <c r="U367" s="36"/>
      <c r="V367" s="87"/>
      <c r="W367" s="36">
        <f>IF(NOTA[[#This Row],[HARGA/ CTN]]="",NOTA[[#This Row],[JUMLAH_H]],NOTA[[#This Row],[HARGA/ CTN]]*NOTA[[#This Row],[C]])</f>
        <v>3470000</v>
      </c>
      <c r="X367" s="36">
        <f>IF(NOTA[[#This Row],[JUMLAH]]="","",NOTA[[#This Row],[JUMLAH]]*NOTA[[#This Row],[DISC 1]])</f>
        <v>0</v>
      </c>
      <c r="Y367" s="36">
        <f>IF(NOTA[[#This Row],[JUMLAH]]="","",(NOTA[[#This Row],[JUMLAH]]-NOTA[[#This Row],[DISC 1-]])*NOTA[[#This Row],[DISC 2]])</f>
        <v>0</v>
      </c>
      <c r="Z367" s="36">
        <f>IF(NOTA[[#This Row],[JUMLAH]]="","",NOTA[[#This Row],[DISC 1-]]+NOTA[[#This Row],[DISC 2-]])</f>
        <v>0</v>
      </c>
      <c r="AA367" s="36">
        <f>IF(NOTA[[#This Row],[JUMLAH]]="","",NOTA[[#This Row],[JUMLAH]]-NOTA[[#This Row],[DISC]])</f>
        <v>3470000</v>
      </c>
      <c r="AB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67" s="36">
        <f>IF(OR(NOTA[[#This Row],[QTY]]="",NOTA[[#This Row],[HARGA SATUAN]]="",),"",NOTA[[#This Row],[QTY]]*NOTA[[#This Row],[HARGA SATUAN]])</f>
        <v>3470000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8" t="str">
        <f ca="1">IF(NOTA[[#This Row],[NAMA BARANG]]="","",INDEX(NOTA[SUPPLIER],MATCH(,INDIRECT(ADDRESS(ROW(NOTA[ID]),COLUMN(NOTA[ID]))&amp;":"&amp;ADDRESS(ROW(),COLUMN(NOTA[ID]))),-1)))</f>
        <v>LESTARI STATIONERY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83</v>
      </c>
      <c r="E368" s="32"/>
      <c r="F368" s="31"/>
      <c r="G368" s="31"/>
      <c r="H368" s="33"/>
      <c r="I368" s="31"/>
      <c r="J368" s="34"/>
      <c r="K368" s="31"/>
      <c r="L368" s="31" t="s">
        <v>545</v>
      </c>
      <c r="M368" s="35">
        <v>2</v>
      </c>
      <c r="N368" s="31">
        <v>20</v>
      </c>
      <c r="O368" s="31" t="s">
        <v>210</v>
      </c>
      <c r="P368" s="30">
        <v>242000</v>
      </c>
      <c r="Q368" s="103"/>
      <c r="R368" s="35" t="s">
        <v>300</v>
      </c>
      <c r="S368" s="37"/>
      <c r="T368" s="37"/>
      <c r="U368" s="36"/>
      <c r="V368" s="87"/>
      <c r="W368" s="36">
        <f>IF(NOTA[[#This Row],[HARGA/ CTN]]="",NOTA[[#This Row],[JUMLAH_H]],NOTA[[#This Row],[HARGA/ CTN]]*NOTA[[#This Row],[C]])</f>
        <v>4840000</v>
      </c>
      <c r="X368" s="36">
        <f>IF(NOTA[[#This Row],[JUMLAH]]="","",NOTA[[#This Row],[JUMLAH]]*NOTA[[#This Row],[DISC 1]])</f>
        <v>0</v>
      </c>
      <c r="Y368" s="36">
        <f>IF(NOTA[[#This Row],[JUMLAH]]="","",(NOTA[[#This Row],[JUMLAH]]-NOTA[[#This Row],[DISC 1-]])*NOTA[[#This Row],[DISC 2]])</f>
        <v>0</v>
      </c>
      <c r="Z368" s="36">
        <f>IF(NOTA[[#This Row],[JUMLAH]]="","",NOTA[[#This Row],[DISC 1-]]+NOTA[[#This Row],[DISC 2-]])</f>
        <v>0</v>
      </c>
      <c r="AA368" s="36">
        <f>IF(NOTA[[#This Row],[JUMLAH]]="","",NOTA[[#This Row],[JUMLAH]]-NOTA[[#This Row],[DISC]])</f>
        <v>4840000</v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68" s="36">
        <f>IF(OR(NOTA[[#This Row],[QTY]]="",NOTA[[#This Row],[HARGA SATUAN]]="",),"",NOTA[[#This Row],[QTY]]*NOTA[[#This Row],[HARGA SATUAN]])</f>
        <v>4840000</v>
      </c>
      <c r="AF368" s="34">
        <f ca="1">IF(NOTA[ID_H]="","",INDEX(NOTA[TANGGAL],MATCH(,INDIRECT(ADDRESS(ROW(NOTA[TANGGAL]),COLUMN(NOTA[TANGGAL]))&amp;":"&amp;ADDRESS(ROW(),COLUMN(NOTA[TANGGAL]))),-1)))</f>
        <v>44856</v>
      </c>
      <c r="AG368" s="38" t="str">
        <f ca="1">IF(NOTA[[#This Row],[NAMA BARANG]]="","",INDEX(NOTA[SUPPLIER],MATCH(,INDIRECT(ADDRESS(ROW(NOTA[ID]),COLUMN(NOTA[ID]))&amp;":"&amp;ADDRESS(ROW(),COLUMN(NOTA[ID]))),-1)))</f>
        <v>LESTARI STATIONERY</v>
      </c>
      <c r="AH368" s="16" t="str">
        <f ca="1">IF(NOTA[[#This Row],[ID]]="","",COUNTIF(NOTA[ID_H],NOTA[[#This Row],[ID_H]]))</f>
        <v/>
      </c>
      <c r="AI368" s="16">
        <f ca="1">IF(NOTA[[#This Row],[TGL.NOTA]]="",IF(NOTA[[#This Row],[SUPPLIER_H]]="","",AI367),MONTH(NOTA[[#This Row],[TGL.NOTA]]))</f>
        <v>10</v>
      </c>
      <c r="AJ368" s="16"/>
    </row>
    <row r="369" spans="1:36" ht="20.100000000000001" customHeight="1" x14ac:dyDescent="0.25">
      <c r="A3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83</v>
      </c>
      <c r="E369" s="32"/>
      <c r="F369" s="31"/>
      <c r="G369" s="31"/>
      <c r="H369" s="33"/>
      <c r="I369" s="31"/>
      <c r="J369" s="34"/>
      <c r="K369" s="31"/>
      <c r="L369" s="31" t="s">
        <v>546</v>
      </c>
      <c r="M369" s="35">
        <v>2</v>
      </c>
      <c r="N369" s="31">
        <v>20</v>
      </c>
      <c r="O369" s="31" t="s">
        <v>210</v>
      </c>
      <c r="P369" s="30">
        <v>261000</v>
      </c>
      <c r="Q369" s="103"/>
      <c r="R369" s="35" t="s">
        <v>300</v>
      </c>
      <c r="S369" s="37"/>
      <c r="T369" s="37"/>
      <c r="U369" s="36"/>
      <c r="V369" s="87"/>
      <c r="W369" s="36">
        <f>IF(NOTA[[#This Row],[HARGA/ CTN]]="",NOTA[[#This Row],[JUMLAH_H]],NOTA[[#This Row],[HARGA/ CTN]]*NOTA[[#This Row],[C]])</f>
        <v>5220000</v>
      </c>
      <c r="X369" s="36">
        <f>IF(NOTA[[#This Row],[JUMLAH]]="","",NOTA[[#This Row],[JUMLAH]]*NOTA[[#This Row],[DISC 1]])</f>
        <v>0</v>
      </c>
      <c r="Y369" s="36">
        <f>IF(NOTA[[#This Row],[JUMLAH]]="","",(NOTA[[#This Row],[JUMLAH]]-NOTA[[#This Row],[DISC 1-]])*NOTA[[#This Row],[DISC 2]])</f>
        <v>0</v>
      </c>
      <c r="Z369" s="36">
        <f>IF(NOTA[[#This Row],[JUMLAH]]="","",NOTA[[#This Row],[DISC 1-]]+NOTA[[#This Row],[DISC 2-]])</f>
        <v>0</v>
      </c>
      <c r="AA369" s="36">
        <f>IF(NOTA[[#This Row],[JUMLAH]]="","",NOTA[[#This Row],[JUMLAH]]-NOTA[[#This Row],[DISC]])</f>
        <v>5220000</v>
      </c>
      <c r="AB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69" s="36">
        <f>IF(OR(NOTA[[#This Row],[QTY]]="",NOTA[[#This Row],[HARGA SATUAN]]="",),"",NOTA[[#This Row],[QTY]]*NOTA[[#This Row],[HARGA SATUAN]])</f>
        <v>5220000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8" t="str">
        <f ca="1">IF(NOTA[[#This Row],[NAMA BARANG]]="","",INDEX(NOTA[SUPPLIER],MATCH(,INDIRECT(ADDRESS(ROW(NOTA[ID]),COLUMN(NOTA[ID]))&amp;":"&amp;ADDRESS(ROW(),COLUMN(NOTA[ID]))),-1)))</f>
        <v>LESTARI STATIONERY</v>
      </c>
      <c r="AH369" s="16" t="str">
        <f ca="1">IF(NOTA[[#This Row],[ID]]="","",COUNTIF(NOTA[ID_H],NOTA[[#This Row],[ID_H]]))</f>
        <v/>
      </c>
      <c r="AI369" s="16">
        <f ca="1"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 t="str">
        <f ca="1">IF(NOTA[[#This Row],[NAMA BARANG]]="","",INDEX(NOTA[ID],MATCH(,INDIRECT(ADDRESS(ROW(NOTA[ID]),COLUMN(NOTA[ID]))&amp;":"&amp;ADDRESS(ROW(),COLUMN(NOTA[ID]))),-1)))</f>
        <v/>
      </c>
      <c r="E370" s="32"/>
      <c r="F370" s="31"/>
      <c r="G370" s="31"/>
      <c r="H370" s="33"/>
      <c r="I370" s="31"/>
      <c r="J370" s="34"/>
      <c r="K370" s="31"/>
      <c r="L370" s="31"/>
      <c r="M370" s="35"/>
      <c r="N370" s="31"/>
      <c r="O370" s="31"/>
      <c r="P370" s="30"/>
      <c r="Q370" s="103"/>
      <c r="R370" s="35"/>
      <c r="S370" s="37"/>
      <c r="T370" s="37"/>
      <c r="U370" s="36"/>
      <c r="V370" s="87"/>
      <c r="W370" s="36" t="str">
        <f>IF(NOTA[[#This Row],[HARGA/ CTN]]="",NOTA[[#This Row],[JUMLAH_H]],NOTA[[#This Row],[HARGA/ CTN]]*NOTA[[#This Row],[C]])</f>
        <v/>
      </c>
      <c r="X370" s="36" t="str">
        <f>IF(NOTA[[#This Row],[JUMLAH]]="","",NOTA[[#This Row],[JUMLAH]]*NOTA[[#This Row],[DISC 1]])</f>
        <v/>
      </c>
      <c r="Y370" s="36" t="str">
        <f>IF(NOTA[[#This Row],[JUMLAH]]="","",(NOTA[[#This Row],[JUMLAH]]-NOTA[[#This Row],[DISC 1-]])*NOTA[[#This Row],[DISC 2]])</f>
        <v/>
      </c>
      <c r="Z370" s="36" t="str">
        <f>IF(NOTA[[#This Row],[JUMLAH]]="","",NOTA[[#This Row],[DISC 1-]]+NOTA[[#This Row],[DISC 2-]])</f>
        <v/>
      </c>
      <c r="AA370" s="36" t="str">
        <f>IF(NOTA[[#This Row],[JUMLAH]]="","",NOTA[[#This Row],[JUMLAH]]-NOTA[[#This Row],[DISC]])</f>
        <v/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36" t="str">
        <f>IF(OR(NOTA[[#This Row],[QTY]]="",NOTA[[#This Row],[HARGA SATUAN]]="",),"",NOTA[[#This Row],[QTY]]*NOTA[[#This Row],[HARGA SATUAN]])</f>
        <v/>
      </c>
      <c r="AF370" s="34" t="str">
        <f ca="1">IF(NOTA[ID_H]="","",INDEX(NOTA[TANGGAL],MATCH(,INDIRECT(ADDRESS(ROW(NOTA[TANGGAL]),COLUMN(NOTA[TANGGAL]))&amp;":"&amp;ADDRESS(ROW(),COLUMN(NOTA[TANGGAL]))),-1)))</f>
        <v/>
      </c>
      <c r="AG370" s="38" t="str">
        <f ca="1">IF(NOTA[[#This Row],[NAMA BARANG]]="","",INDEX(NOTA[SUPPLIER],MATCH(,INDIRECT(ADDRESS(ROW(NOTA[ID]),COLUMN(NOTA[ID]))&amp;":"&amp;ADDRESS(ROW(),COLUMN(NOTA[ID]))),-1)))</f>
        <v/>
      </c>
      <c r="AH370" s="16" t="str">
        <f ca="1">IF(NOTA[[#This Row],[ID]]="","",COUNTIF(NOTA[ID_H],NOTA[[#This Row],[ID_H]]))</f>
        <v/>
      </c>
      <c r="AI370" s="16" t="str">
        <f ca="1">IF(NOTA[[#This Row],[TGL.NOTA]]="",IF(NOTA[[#This Row],[SUPPLIER_H]]="","",AI369),MONTH(NOTA[[#This Row],[TGL.NOTA]]))</f>
        <v/>
      </c>
      <c r="AJ370" s="16"/>
    </row>
    <row r="371" spans="1:36" ht="20.100000000000001" customHeight="1" x14ac:dyDescent="0.25">
      <c r="A371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71" s="39" t="e">
        <f ca="1">IF(NOTA[[#This Row],[ID_P]]="","",MATCH(NOTA[[#This Row],[ID_P]],[1]!B_MSK[N_ID],0))</f>
        <v>#REF!</v>
      </c>
      <c r="D371" s="39">
        <f ca="1">IF(NOTA[[#This Row],[NAMA BARANG]]="","",INDEX(NOTA[ID],MATCH(,INDIRECT(ADDRESS(ROW(NOTA[ID]),COLUMN(NOTA[ID]))&amp;":"&amp;ADDRESS(ROW(),COLUMN(NOTA[ID]))),-1)))</f>
        <v>84</v>
      </c>
      <c r="E371" s="26"/>
      <c r="F371" s="31" t="s">
        <v>23</v>
      </c>
      <c r="G371" s="31" t="s">
        <v>24</v>
      </c>
      <c r="H371" s="33" t="s">
        <v>576</v>
      </c>
      <c r="I371" s="31"/>
      <c r="J371" s="34">
        <v>44851</v>
      </c>
      <c r="K371" s="31"/>
      <c r="L371" s="31" t="s">
        <v>167</v>
      </c>
      <c r="M371" s="35">
        <v>2</v>
      </c>
      <c r="N371" s="31"/>
      <c r="O371" s="31"/>
      <c r="Q371" s="103">
        <v>462000</v>
      </c>
      <c r="R371" s="35"/>
      <c r="S371" s="37">
        <v>0.17</v>
      </c>
      <c r="T371" s="37"/>
      <c r="U371" s="36"/>
      <c r="V371" s="87"/>
      <c r="W371" s="36">
        <f>IF(NOTA[[#This Row],[HARGA/ CTN]]="",NOTA[[#This Row],[JUMLAH_H]],NOTA[[#This Row],[HARGA/ CTN]]*NOTA[[#This Row],[C]])</f>
        <v>924000</v>
      </c>
      <c r="X371" s="36">
        <f>IF(NOTA[[#This Row],[JUMLAH]]="","",NOTA[[#This Row],[JUMLAH]]*NOTA[[#This Row],[DISC 1]])</f>
        <v>157080</v>
      </c>
      <c r="Y371" s="36">
        <f>IF(NOTA[[#This Row],[JUMLAH]]="","",(NOTA[[#This Row],[JUMLAH]]-NOTA[[#This Row],[DISC 1-]])*NOTA[[#This Row],[DISC 2]])</f>
        <v>0</v>
      </c>
      <c r="Z371" s="36">
        <f>IF(NOTA[[#This Row],[JUMLAH]]="","",NOTA[[#This Row],[DISC 1-]]+NOTA[[#This Row],[DISC 2-]])</f>
        <v>157080</v>
      </c>
      <c r="AA371" s="36">
        <f>IF(NOTA[[#This Row],[JUMLAH]]="","",NOTA[[#This Row],[JUMLAH]]-NOTA[[#This Row],[DISC]])</f>
        <v>766920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71" s="36" t="str">
        <f>IF(OR(NOTA[[#This Row],[QTY]]="",NOTA[[#This Row],[HARGA SATUAN]]="",),"",NOTA[[#This Row],[QTY]]*NOTA[[#This Row],[HARGA SATUAN]])</f>
        <v/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KENKO SINAR INDONESIA</v>
      </c>
      <c r="AH371" s="16">
        <f ca="1">IF(NOTA[[#This Row],[ID]]="","",COUNTIF(NOTA[ID_H],NOTA[[#This Row],[ID_H]]))</f>
        <v>5</v>
      </c>
      <c r="AI371" s="16">
        <f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84</v>
      </c>
      <c r="E372" s="26"/>
      <c r="F372" s="31"/>
      <c r="G372" s="31"/>
      <c r="H372" s="33"/>
      <c r="I372" s="31"/>
      <c r="J372" s="34"/>
      <c r="K372" s="31"/>
      <c r="L372" s="31" t="s">
        <v>571</v>
      </c>
      <c r="M372" s="35">
        <v>1</v>
      </c>
      <c r="N372" s="31"/>
      <c r="O372" s="31"/>
      <c r="Q372" s="103">
        <v>3888000</v>
      </c>
      <c r="R372" s="35"/>
      <c r="S372" s="37">
        <v>0.17</v>
      </c>
      <c r="T372" s="37"/>
      <c r="U372" s="36"/>
      <c r="V372" s="87"/>
      <c r="W372" s="36">
        <f>IF(NOTA[[#This Row],[HARGA/ CTN]]="",NOTA[[#This Row],[JUMLAH_H]],NOTA[[#This Row],[HARGA/ CTN]]*NOTA[[#This Row],[C]])</f>
        <v>3888000</v>
      </c>
      <c r="X372" s="36">
        <f>IF(NOTA[[#This Row],[JUMLAH]]="","",NOTA[[#This Row],[JUMLAH]]*NOTA[[#This Row],[DISC 1]])</f>
        <v>660960</v>
      </c>
      <c r="Y372" s="36">
        <f>IF(NOTA[[#This Row],[JUMLAH]]="","",(NOTA[[#This Row],[JUMLAH]]-NOTA[[#This Row],[DISC 1-]])*NOTA[[#This Row],[DISC 2]])</f>
        <v>0</v>
      </c>
      <c r="Z372" s="36">
        <f>IF(NOTA[[#This Row],[JUMLAH]]="","",NOTA[[#This Row],[DISC 1-]]+NOTA[[#This Row],[DISC 2-]])</f>
        <v>660960</v>
      </c>
      <c r="AA372" s="36">
        <f>IF(NOTA[[#This Row],[JUMLAH]]="","",NOTA[[#This Row],[JUMLAH]]-NOTA[[#This Row],[DISC]])</f>
        <v>3227040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72" s="36" t="str">
        <f>IF(OR(NOTA[[#This Row],[QTY]]="",NOTA[[#This Row],[HARGA SATUAN]]="",),"",NOTA[[#This Row],[QTY]]*NOTA[[#This Row],[HARGA SATUAN]])</f>
        <v/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KENKO SINAR INDONESIA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84</v>
      </c>
      <c r="E373" s="26"/>
      <c r="F373" s="31"/>
      <c r="G373" s="31"/>
      <c r="H373" s="33"/>
      <c r="I373" s="31"/>
      <c r="J373" s="34"/>
      <c r="K373" s="31"/>
      <c r="L373" s="31" t="s">
        <v>826</v>
      </c>
      <c r="M373" s="35">
        <v>2</v>
      </c>
      <c r="N373" s="31"/>
      <c r="O373" s="31"/>
      <c r="Q373" s="103">
        <v>2352000</v>
      </c>
      <c r="R373" s="35"/>
      <c r="S373" s="37">
        <v>0.17</v>
      </c>
      <c r="T373" s="37"/>
      <c r="U373" s="36"/>
      <c r="V373" s="87"/>
      <c r="W373" s="36">
        <f>IF(NOTA[[#This Row],[HARGA/ CTN]]="",NOTA[[#This Row],[JUMLAH_H]],NOTA[[#This Row],[HARGA/ CTN]]*NOTA[[#This Row],[C]])</f>
        <v>4704000</v>
      </c>
      <c r="X373" s="36">
        <f>IF(NOTA[[#This Row],[JUMLAH]]="","",NOTA[[#This Row],[JUMLAH]]*NOTA[[#This Row],[DISC 1]])</f>
        <v>799680</v>
      </c>
      <c r="Y373" s="36">
        <f>IF(NOTA[[#This Row],[JUMLAH]]="","",(NOTA[[#This Row],[JUMLAH]]-NOTA[[#This Row],[DISC 1-]])*NOTA[[#This Row],[DISC 2]])</f>
        <v>0</v>
      </c>
      <c r="Z373" s="36">
        <f>IF(NOTA[[#This Row],[JUMLAH]]="","",NOTA[[#This Row],[DISC 1-]]+NOTA[[#This Row],[DISC 2-]])</f>
        <v>799680</v>
      </c>
      <c r="AA373" s="36">
        <f>IF(NOTA[[#This Row],[JUMLAH]]="","",NOTA[[#This Row],[JUMLAH]]-NOTA[[#This Row],[DISC]])</f>
        <v>3904320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73" s="36" t="str">
        <f>IF(OR(NOTA[[#This Row],[QTY]]="",NOTA[[#This Row],[HARGA SATUAN]]="",),"",NOTA[[#This Row],[QTY]]*NOTA[[#This Row],[HARGA SATUAN]])</f>
        <v/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KENKO SINAR INDONESIA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84</v>
      </c>
      <c r="E374" s="26"/>
      <c r="F374" s="31"/>
      <c r="G374" s="31"/>
      <c r="H374" s="33"/>
      <c r="I374" s="31"/>
      <c r="J374" s="34"/>
      <c r="K374" s="31"/>
      <c r="L374" s="31" t="s">
        <v>517</v>
      </c>
      <c r="M374" s="35">
        <v>2</v>
      </c>
      <c r="N374" s="31"/>
      <c r="O374" s="31"/>
      <c r="Q374" s="103">
        <v>930000</v>
      </c>
      <c r="R374" s="35"/>
      <c r="S374" s="37">
        <v>0.17</v>
      </c>
      <c r="T374" s="37"/>
      <c r="U374" s="36"/>
      <c r="V374" s="87"/>
      <c r="W374" s="36">
        <f>IF(NOTA[[#This Row],[HARGA/ CTN]]="",NOTA[[#This Row],[JUMLAH_H]],NOTA[[#This Row],[HARGA/ CTN]]*NOTA[[#This Row],[C]])</f>
        <v>1860000</v>
      </c>
      <c r="X374" s="36">
        <f>IF(NOTA[[#This Row],[JUMLAH]]="","",NOTA[[#This Row],[JUMLAH]]*NOTA[[#This Row],[DISC 1]])</f>
        <v>316200</v>
      </c>
      <c r="Y374" s="36">
        <f>IF(NOTA[[#This Row],[JUMLAH]]="","",(NOTA[[#This Row],[JUMLAH]]-NOTA[[#This Row],[DISC 1-]])*NOTA[[#This Row],[DISC 2]])</f>
        <v>0</v>
      </c>
      <c r="Z374" s="36">
        <f>IF(NOTA[[#This Row],[JUMLAH]]="","",NOTA[[#This Row],[DISC 1-]]+NOTA[[#This Row],[DISC 2-]])</f>
        <v>316200</v>
      </c>
      <c r="AA374" s="36">
        <f>IF(NOTA[[#This Row],[JUMLAH]]="","",NOTA[[#This Row],[JUMLAH]]-NOTA[[#This Row],[DISC]])</f>
        <v>1543800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74" s="36" t="str">
        <f>IF(OR(NOTA[[#This Row],[QTY]]="",NOTA[[#This Row],[HARGA SATUAN]]="",),"",NOTA[[#This Row],[QTY]]*NOTA[[#This Row],[HARGA SATUAN]])</f>
        <v/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KENKO SINAR INDONESIA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84</v>
      </c>
      <c r="E375" s="26"/>
      <c r="F375" s="31"/>
      <c r="G375" s="31"/>
      <c r="H375" s="33"/>
      <c r="I375" s="31"/>
      <c r="J375" s="34"/>
      <c r="K375" s="31"/>
      <c r="L375" s="31" t="s">
        <v>572</v>
      </c>
      <c r="M375" s="35">
        <v>5</v>
      </c>
      <c r="N375" s="31"/>
      <c r="O375" s="31"/>
      <c r="Q375" s="103">
        <v>1050000</v>
      </c>
      <c r="R375" s="35"/>
      <c r="S375" s="37">
        <v>0.17</v>
      </c>
      <c r="T375" s="37"/>
      <c r="U375" s="36"/>
      <c r="V375" s="87"/>
      <c r="W375" s="36">
        <f>IF(NOTA[[#This Row],[HARGA/ CTN]]="",NOTA[[#This Row],[JUMLAH_H]],NOTA[[#This Row],[HARGA/ CTN]]*NOTA[[#This Row],[C]])</f>
        <v>5250000</v>
      </c>
      <c r="X375" s="36">
        <f>IF(NOTA[[#This Row],[JUMLAH]]="","",NOTA[[#This Row],[JUMLAH]]*NOTA[[#This Row],[DISC 1]])</f>
        <v>892500.00000000012</v>
      </c>
      <c r="Y375" s="36">
        <f>IF(NOTA[[#This Row],[JUMLAH]]="","",(NOTA[[#This Row],[JUMLAH]]-NOTA[[#This Row],[DISC 1-]])*NOTA[[#This Row],[DISC 2]])</f>
        <v>0</v>
      </c>
      <c r="Z375" s="36">
        <f>IF(NOTA[[#This Row],[JUMLAH]]="","",NOTA[[#This Row],[DISC 1-]]+NOTA[[#This Row],[DISC 2-]])</f>
        <v>892500.00000000012</v>
      </c>
      <c r="AA375" s="36">
        <f>IF(NOTA[[#This Row],[JUMLAH]]="","",NOTA[[#This Row],[JUMLAH]]-NOTA[[#This Row],[DISC]])</f>
        <v>4357500</v>
      </c>
      <c r="AB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75" s="36" t="str">
        <f>IF(OR(NOTA[[#This Row],[QTY]]="",NOTA[[#This Row],[HARGA SATUAN]]="",),"",NOTA[[#This Row],[QTY]]*NOTA[[#This Row],[HARGA SATUAN]])</f>
        <v/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KENKO SINAR INDONESIA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 t="str">
        <f ca="1">IF(NOTA[[#This Row],[NAMA BARANG]]="","",INDEX(NOTA[ID],MATCH(,INDIRECT(ADDRESS(ROW(NOTA[ID]),COLUMN(NOTA[ID]))&amp;":"&amp;ADDRESS(ROW(),COLUMN(NOTA[ID]))),-1)))</f>
        <v/>
      </c>
      <c r="E376" s="26"/>
      <c r="F376" s="31"/>
      <c r="G376" s="31"/>
      <c r="H376" s="33"/>
      <c r="I376" s="31"/>
      <c r="J376" s="34"/>
      <c r="K376" s="31"/>
      <c r="L376" s="31"/>
      <c r="M376" s="35"/>
      <c r="N376" s="31"/>
      <c r="O376" s="31"/>
      <c r="P376" s="30"/>
      <c r="Q376" s="103"/>
      <c r="R376" s="35"/>
      <c r="S376" s="37"/>
      <c r="T376" s="37"/>
      <c r="U376" s="36"/>
      <c r="V376" s="87"/>
      <c r="W376" s="36" t="str">
        <f>IF(NOTA[[#This Row],[HARGA/ CTN]]="",NOTA[[#This Row],[JUMLAH_H]],NOTA[[#This Row],[HARGA/ CTN]]*NOTA[[#This Row],[C]])</f>
        <v/>
      </c>
      <c r="X376" s="36" t="str">
        <f>IF(NOTA[[#This Row],[JUMLAH]]="","",NOTA[[#This Row],[JUMLAH]]*NOTA[[#This Row],[DISC 1]])</f>
        <v/>
      </c>
      <c r="Y376" s="36" t="str">
        <f>IF(NOTA[[#This Row],[JUMLAH]]="","",(NOTA[[#This Row],[JUMLAH]]-NOTA[[#This Row],[DISC 1-]])*NOTA[[#This Row],[DISC 2]])</f>
        <v/>
      </c>
      <c r="Z376" s="36" t="str">
        <f>IF(NOTA[[#This Row],[JUMLAH]]="","",NOTA[[#This Row],[DISC 1-]]+NOTA[[#This Row],[DISC 2-]])</f>
        <v/>
      </c>
      <c r="AA376" s="36" t="str">
        <f>IF(NOTA[[#This Row],[JUMLAH]]="","",NOTA[[#This Row],[JUMLAH]]-NOTA[[#This Row],[DISC]])</f>
        <v/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36" t="str">
        <f>IF(OR(NOTA[[#This Row],[QTY]]="",NOTA[[#This Row],[HARGA SATUAN]]="",),"",NOTA[[#This Row],[QTY]]*NOTA[[#This Row],[HARGA SATUAN]])</f>
        <v/>
      </c>
      <c r="AF376" s="34" t="str">
        <f ca="1">IF(NOTA[ID_H]="","",INDEX(NOTA[TANGGAL],MATCH(,INDIRECT(ADDRESS(ROW(NOTA[TANGGAL]),COLUMN(NOTA[TANGGAL]))&amp;":"&amp;ADDRESS(ROW(),COLUMN(NOTA[TANGGAL]))),-1)))</f>
        <v/>
      </c>
      <c r="AG376" s="30" t="str">
        <f ca="1">IF(NOTA[[#This Row],[NAMA BARANG]]="","",INDEX(NOTA[SUPPLIER],MATCH(,INDIRECT(ADDRESS(ROW(NOTA[ID]),COLUMN(NOTA[ID]))&amp;":"&amp;ADDRESS(ROW(),COLUMN(NOTA[ID]))),-1)))</f>
        <v/>
      </c>
      <c r="AH376" s="16" t="str">
        <f ca="1">IF(NOTA[[#This Row],[ID]]="","",COUNTIF(NOTA[ID_H],NOTA[[#This Row],[ID_H]]))</f>
        <v/>
      </c>
      <c r="AI376" s="16" t="str">
        <f ca="1">IF(NOTA[[#This Row],[TGL.NOTA]]="",IF(NOTA[[#This Row],[SUPPLIER_H]]="","",AI375),MONTH(NOTA[[#This Row],[TGL.NOTA]]))</f>
        <v/>
      </c>
      <c r="AJ376" s="16"/>
    </row>
    <row r="377" spans="1:36" ht="20.100000000000001" customHeight="1" x14ac:dyDescent="0.25">
      <c r="A377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77" s="39" t="e">
        <f ca="1">IF(NOTA[[#This Row],[ID_P]]="","",MATCH(NOTA[[#This Row],[ID_P]],[1]!B_MSK[N_ID],0))</f>
        <v>#REF!</v>
      </c>
      <c r="D377" s="39">
        <f ca="1">IF(NOTA[[#This Row],[NAMA BARANG]]="","",INDEX(NOTA[ID],MATCH(,INDIRECT(ADDRESS(ROW(NOTA[ID]),COLUMN(NOTA[ID]))&amp;":"&amp;ADDRESS(ROW(),COLUMN(NOTA[ID]))),-1)))</f>
        <v>85</v>
      </c>
      <c r="E377" s="26"/>
      <c r="F377" s="31" t="s">
        <v>23</v>
      </c>
      <c r="G377" s="31" t="s">
        <v>24</v>
      </c>
      <c r="H377" s="33" t="s">
        <v>577</v>
      </c>
      <c r="I377" s="31"/>
      <c r="J377" s="34">
        <v>44853</v>
      </c>
      <c r="K377" s="31"/>
      <c r="L377" s="31" t="s">
        <v>573</v>
      </c>
      <c r="M377" s="35">
        <v>2</v>
      </c>
      <c r="N377" s="31"/>
      <c r="O377" s="31"/>
      <c r="P377" s="30"/>
      <c r="Q377" s="103">
        <v>810000</v>
      </c>
      <c r="R377" s="35"/>
      <c r="S377" s="37">
        <v>0.17</v>
      </c>
      <c r="T377" s="37"/>
      <c r="U377" s="36"/>
      <c r="V377" s="87"/>
      <c r="W377" s="36">
        <f>IF(NOTA[[#This Row],[HARGA/ CTN]]="",NOTA[[#This Row],[JUMLAH_H]],NOTA[[#This Row],[HARGA/ CTN]]*NOTA[[#This Row],[C]])</f>
        <v>1620000</v>
      </c>
      <c r="X377" s="36">
        <f>IF(NOTA[[#This Row],[JUMLAH]]="","",NOTA[[#This Row],[JUMLAH]]*NOTA[[#This Row],[DISC 1]])</f>
        <v>275400</v>
      </c>
      <c r="Y377" s="36">
        <f>IF(NOTA[[#This Row],[JUMLAH]]="","",(NOTA[[#This Row],[JUMLAH]]-NOTA[[#This Row],[DISC 1-]])*NOTA[[#This Row],[DISC 2]])</f>
        <v>0</v>
      </c>
      <c r="Z377" s="36">
        <f>IF(NOTA[[#This Row],[JUMLAH]]="","",NOTA[[#This Row],[DISC 1-]]+NOTA[[#This Row],[DISC 2-]])</f>
        <v>275400</v>
      </c>
      <c r="AA377" s="36">
        <f>IF(NOTA[[#This Row],[JUMLAH]]="","",NOTA[[#This Row],[JUMLAH]]-NOTA[[#This Row],[DISC]])</f>
        <v>1344600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77" s="36" t="str">
        <f>IF(OR(NOTA[[#This Row],[QTY]]="",NOTA[[#This Row],[HARGA SATUAN]]="",),"",NOTA[[#This Row],[QTY]]*NOTA[[#This Row],[HARGA SATUAN]])</f>
        <v/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KENKO SINAR INDONESIA</v>
      </c>
      <c r="AH377" s="16">
        <f ca="1">IF(NOTA[[#This Row],[ID]]="","",COUNTIF(NOTA[ID_H],NOTA[[#This Row],[ID_H]]))</f>
        <v>11</v>
      </c>
      <c r="AI377" s="16">
        <f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85</v>
      </c>
      <c r="E378" s="26"/>
      <c r="F378" s="31"/>
      <c r="G378" s="31"/>
      <c r="H378" s="33"/>
      <c r="I378" s="31"/>
      <c r="J378" s="34"/>
      <c r="K378" s="31"/>
      <c r="L378" s="31" t="s">
        <v>363</v>
      </c>
      <c r="M378" s="35">
        <v>1</v>
      </c>
      <c r="N378" s="31"/>
      <c r="O378" s="31"/>
      <c r="P378" s="30"/>
      <c r="Q378" s="103">
        <v>1069200</v>
      </c>
      <c r="R378" s="35"/>
      <c r="S378" s="37">
        <v>0.17</v>
      </c>
      <c r="T378" s="37"/>
      <c r="U378" s="36"/>
      <c r="V378" s="87"/>
      <c r="W378" s="36">
        <f>IF(NOTA[[#This Row],[HARGA/ CTN]]="",NOTA[[#This Row],[JUMLAH_H]],NOTA[[#This Row],[HARGA/ CTN]]*NOTA[[#This Row],[C]])</f>
        <v>1069200</v>
      </c>
      <c r="X378" s="36">
        <f>IF(NOTA[[#This Row],[JUMLAH]]="","",NOTA[[#This Row],[JUMLAH]]*NOTA[[#This Row],[DISC 1]])</f>
        <v>181764</v>
      </c>
      <c r="Y378" s="36">
        <f>IF(NOTA[[#This Row],[JUMLAH]]="","",(NOTA[[#This Row],[JUMLAH]]-NOTA[[#This Row],[DISC 1-]])*NOTA[[#This Row],[DISC 2]])</f>
        <v>0</v>
      </c>
      <c r="Z378" s="36">
        <f>IF(NOTA[[#This Row],[JUMLAH]]="","",NOTA[[#This Row],[DISC 1-]]+NOTA[[#This Row],[DISC 2-]])</f>
        <v>181764</v>
      </c>
      <c r="AA378" s="36">
        <f>IF(NOTA[[#This Row],[JUMLAH]]="","",NOTA[[#This Row],[JUMLAH]]-NOTA[[#This Row],[DISC]])</f>
        <v>887436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78" s="36" t="str">
        <f>IF(OR(NOTA[[#This Row],[QTY]]="",NOTA[[#This Row],[HARGA SATUAN]]="",),"",NOTA[[#This Row],[QTY]]*NOTA[[#This Row],[HARGA SATUAN]])</f>
        <v/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KENKO SINAR INDONESIA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85</v>
      </c>
      <c r="E379" s="26"/>
      <c r="F379" s="31"/>
      <c r="G379" s="31"/>
      <c r="H379" s="33"/>
      <c r="I379" s="31"/>
      <c r="J379" s="34"/>
      <c r="K379" s="31"/>
      <c r="L379" s="31" t="s">
        <v>574</v>
      </c>
      <c r="M379" s="35">
        <v>1</v>
      </c>
      <c r="N379" s="31"/>
      <c r="O379" s="31"/>
      <c r="P379" s="30"/>
      <c r="Q379" s="103">
        <v>1164000</v>
      </c>
      <c r="R379" s="35"/>
      <c r="S379" s="37">
        <v>0.17</v>
      </c>
      <c r="T379" s="37"/>
      <c r="U379" s="36"/>
      <c r="V379" s="87"/>
      <c r="W379" s="36">
        <f>IF(NOTA[[#This Row],[HARGA/ CTN]]="",NOTA[[#This Row],[JUMLAH_H]],NOTA[[#This Row],[HARGA/ CTN]]*NOTA[[#This Row],[C]])</f>
        <v>1164000</v>
      </c>
      <c r="X379" s="36">
        <f>IF(NOTA[[#This Row],[JUMLAH]]="","",NOTA[[#This Row],[JUMLAH]]*NOTA[[#This Row],[DISC 1]])</f>
        <v>197880</v>
      </c>
      <c r="Y379" s="36">
        <f>IF(NOTA[[#This Row],[JUMLAH]]="","",(NOTA[[#This Row],[JUMLAH]]-NOTA[[#This Row],[DISC 1-]])*NOTA[[#This Row],[DISC 2]])</f>
        <v>0</v>
      </c>
      <c r="Z379" s="36">
        <f>IF(NOTA[[#This Row],[JUMLAH]]="","",NOTA[[#This Row],[DISC 1-]]+NOTA[[#This Row],[DISC 2-]])</f>
        <v>197880</v>
      </c>
      <c r="AA379" s="36">
        <f>IF(NOTA[[#This Row],[JUMLAH]]="","",NOTA[[#This Row],[JUMLAH]]-NOTA[[#This Row],[DISC]])</f>
        <v>966120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79" s="36" t="str">
        <f>IF(OR(NOTA[[#This Row],[QTY]]="",NOTA[[#This Row],[HARGA SATUAN]]="",),"",NOTA[[#This Row],[QTY]]*NOTA[[#This Row],[HARGA SATUAN]])</f>
        <v/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KENKO SINAR INDONESIA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85</v>
      </c>
      <c r="E380" s="26"/>
      <c r="F380" s="31"/>
      <c r="G380" s="31"/>
      <c r="H380" s="33"/>
      <c r="I380" s="31"/>
      <c r="J380" s="34"/>
      <c r="K380" s="31"/>
      <c r="L380" s="31" t="s">
        <v>575</v>
      </c>
      <c r="M380" s="35">
        <v>1</v>
      </c>
      <c r="N380" s="31"/>
      <c r="O380" s="31"/>
      <c r="P380" s="30"/>
      <c r="Q380" s="103">
        <v>1020000</v>
      </c>
      <c r="R380" s="35"/>
      <c r="S380" s="37">
        <v>0.17</v>
      </c>
      <c r="T380" s="37"/>
      <c r="U380" s="36"/>
      <c r="V380" s="87"/>
      <c r="W380" s="36">
        <f>IF(NOTA[[#This Row],[HARGA/ CTN]]="",NOTA[[#This Row],[JUMLAH_H]],NOTA[[#This Row],[HARGA/ CTN]]*NOTA[[#This Row],[C]])</f>
        <v>1020000</v>
      </c>
      <c r="X380" s="36">
        <f>IF(NOTA[[#This Row],[JUMLAH]]="","",NOTA[[#This Row],[JUMLAH]]*NOTA[[#This Row],[DISC 1]])</f>
        <v>173400</v>
      </c>
      <c r="Y380" s="36">
        <f>IF(NOTA[[#This Row],[JUMLAH]]="","",(NOTA[[#This Row],[JUMLAH]]-NOTA[[#This Row],[DISC 1-]])*NOTA[[#This Row],[DISC 2]])</f>
        <v>0</v>
      </c>
      <c r="Z380" s="36">
        <f>IF(NOTA[[#This Row],[JUMLAH]]="","",NOTA[[#This Row],[DISC 1-]]+NOTA[[#This Row],[DISC 2-]])</f>
        <v>173400</v>
      </c>
      <c r="AA380" s="36">
        <f>IF(NOTA[[#This Row],[JUMLAH]]="","",NOTA[[#This Row],[JUMLAH]]-NOTA[[#This Row],[DISC]])</f>
        <v>846600</v>
      </c>
      <c r="AB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80" s="36" t="str">
        <f>IF(OR(NOTA[[#This Row],[QTY]]="",NOTA[[#This Row],[HARGA SATUAN]]="",),"",NOTA[[#This Row],[QTY]]*NOTA[[#This Row],[HARGA SATUAN]])</f>
        <v/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KENKO SINAR INDONESIA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85</v>
      </c>
      <c r="E381" s="26"/>
      <c r="F381" s="31"/>
      <c r="G381" s="31"/>
      <c r="H381" s="33"/>
      <c r="I381" s="31"/>
      <c r="J381" s="34"/>
      <c r="K381" s="31"/>
      <c r="L381" s="31" t="s">
        <v>84</v>
      </c>
      <c r="M381" s="35">
        <v>5</v>
      </c>
      <c r="N381" s="31"/>
      <c r="O381" s="31"/>
      <c r="P381" s="30"/>
      <c r="Q381" s="103">
        <v>5616000</v>
      </c>
      <c r="R381" s="35"/>
      <c r="S381" s="37">
        <v>0.17</v>
      </c>
      <c r="T381" s="37"/>
      <c r="U381" s="36"/>
      <c r="V381" s="87"/>
      <c r="W381" s="36">
        <f>IF(NOTA[[#This Row],[HARGA/ CTN]]="",NOTA[[#This Row],[JUMLAH_H]],NOTA[[#This Row],[HARGA/ CTN]]*NOTA[[#This Row],[C]])</f>
        <v>28080000</v>
      </c>
      <c r="X381" s="36">
        <f>IF(NOTA[[#This Row],[JUMLAH]]="","",NOTA[[#This Row],[JUMLAH]]*NOTA[[#This Row],[DISC 1]])</f>
        <v>4773600</v>
      </c>
      <c r="Y381" s="36">
        <f>IF(NOTA[[#This Row],[JUMLAH]]="","",(NOTA[[#This Row],[JUMLAH]]-NOTA[[#This Row],[DISC 1-]])*NOTA[[#This Row],[DISC 2]])</f>
        <v>0</v>
      </c>
      <c r="Z381" s="36">
        <f>IF(NOTA[[#This Row],[JUMLAH]]="","",NOTA[[#This Row],[DISC 1-]]+NOTA[[#This Row],[DISC 2-]])</f>
        <v>4773600</v>
      </c>
      <c r="AA381" s="36">
        <f>IF(NOTA[[#This Row],[JUMLAH]]="","",NOTA[[#This Row],[JUMLAH]]-NOTA[[#This Row],[DISC]])</f>
        <v>23306400</v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81" s="36" t="str">
        <f>IF(OR(NOTA[[#This Row],[QTY]]="",NOTA[[#This Row],[HARGA SATUAN]]="",),"",NOTA[[#This Row],[QTY]]*NOTA[[#This Row],[HARGA SATUAN]])</f>
        <v/>
      </c>
      <c r="AF381" s="34">
        <f ca="1">IF(NOTA[ID_H]="","",INDEX(NOTA[TANGGAL],MATCH(,INDIRECT(ADDRESS(ROW(NOTA[TANGGAL]),COLUMN(NOTA[TANGGAL]))&amp;":"&amp;ADDRESS(ROW(),COLUMN(NOTA[TANGGAL]))),-1)))</f>
        <v>44856</v>
      </c>
      <c r="AG381" s="30" t="str">
        <f ca="1">IF(NOTA[[#This Row],[NAMA BARANG]]="","",INDEX(NOTA[SUPPLIER],MATCH(,INDIRECT(ADDRESS(ROW(NOTA[ID]),COLUMN(NOTA[ID]))&amp;":"&amp;ADDRESS(ROW(),COLUMN(NOTA[ID]))),-1)))</f>
        <v>KENKO SINAR INDONESIA</v>
      </c>
      <c r="AH381" s="16" t="str">
        <f ca="1">IF(NOTA[[#This Row],[ID]]="","",COUNTIF(NOTA[ID_H],NOTA[[#This Row],[ID_H]]))</f>
        <v/>
      </c>
      <c r="AI381" s="16">
        <f ca="1">IF(NOTA[[#This Row],[TGL.NOTA]]="",IF(NOTA[[#This Row],[SUPPLIER_H]]="","",AI380),MONTH(NOTA[[#This Row],[TGL.NOTA]]))</f>
        <v>10</v>
      </c>
      <c r="AJ381" s="16"/>
    </row>
    <row r="382" spans="1:36" ht="20.100000000000001" customHeight="1" x14ac:dyDescent="0.25">
      <c r="A3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>
        <f ca="1">IF(NOTA[[#This Row],[NAMA BARANG]]="","",INDEX(NOTA[ID],MATCH(,INDIRECT(ADDRESS(ROW(NOTA[ID]),COLUMN(NOTA[ID]))&amp;":"&amp;ADDRESS(ROW(),COLUMN(NOTA[ID]))),-1)))</f>
        <v>85</v>
      </c>
      <c r="E382" s="26"/>
      <c r="F382" s="31"/>
      <c r="G382" s="31"/>
      <c r="H382" s="33"/>
      <c r="I382" s="31"/>
      <c r="J382" s="34"/>
      <c r="K382" s="31"/>
      <c r="L382" s="31" t="s">
        <v>157</v>
      </c>
      <c r="M382" s="35">
        <v>1</v>
      </c>
      <c r="N382" s="31"/>
      <c r="O382" s="31"/>
      <c r="P382" s="30"/>
      <c r="Q382" s="103">
        <v>1245000</v>
      </c>
      <c r="R382" s="35"/>
      <c r="S382" s="37">
        <v>0.17</v>
      </c>
      <c r="T382" s="37"/>
      <c r="U382" s="36"/>
      <c r="V382" s="87"/>
      <c r="W382" s="36">
        <f>IF(NOTA[[#This Row],[HARGA/ CTN]]="",NOTA[[#This Row],[JUMLAH_H]],NOTA[[#This Row],[HARGA/ CTN]]*NOTA[[#This Row],[C]])</f>
        <v>1245000</v>
      </c>
      <c r="X382" s="36">
        <f>IF(NOTA[[#This Row],[JUMLAH]]="","",NOTA[[#This Row],[JUMLAH]]*NOTA[[#This Row],[DISC 1]])</f>
        <v>211650.00000000003</v>
      </c>
      <c r="Y382" s="36">
        <f>IF(NOTA[[#This Row],[JUMLAH]]="","",(NOTA[[#This Row],[JUMLAH]]-NOTA[[#This Row],[DISC 1-]])*NOTA[[#This Row],[DISC 2]])</f>
        <v>0</v>
      </c>
      <c r="Z382" s="36">
        <f>IF(NOTA[[#This Row],[JUMLAH]]="","",NOTA[[#This Row],[DISC 1-]]+NOTA[[#This Row],[DISC 2-]])</f>
        <v>211650.00000000003</v>
      </c>
      <c r="AA382" s="36">
        <f>IF(NOTA[[#This Row],[JUMLAH]]="","",NOTA[[#This Row],[JUMLAH]]-NOTA[[#This Row],[DISC]])</f>
        <v>1033350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2" s="36" t="str">
        <f>IF(OR(NOTA[[#This Row],[QTY]]="",NOTA[[#This Row],[HARGA SATUAN]]="",),"",NOTA[[#This Row],[QTY]]*NOTA[[#This Row],[HARGA SATUAN]])</f>
        <v/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KENKO SINAR INDONESIA</v>
      </c>
      <c r="AH382" s="16" t="str">
        <f ca="1">IF(NOTA[[#This Row],[ID]]="","",COUNTIF(NOTA[ID_H],NOTA[[#This Row],[ID_H]]))</f>
        <v/>
      </c>
      <c r="AI382" s="16">
        <f ca="1"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85</v>
      </c>
      <c r="E383" s="26"/>
      <c r="F383" s="31"/>
      <c r="G383" s="31"/>
      <c r="H383" s="33"/>
      <c r="I383" s="31"/>
      <c r="J383" s="34"/>
      <c r="K383" s="31"/>
      <c r="L383" s="31" t="s">
        <v>160</v>
      </c>
      <c r="M383" s="35">
        <v>1</v>
      </c>
      <c r="N383" s="31"/>
      <c r="O383" s="31"/>
      <c r="P383" s="30"/>
      <c r="Q383" s="103">
        <v>1122000</v>
      </c>
      <c r="R383" s="35"/>
      <c r="S383" s="37">
        <v>0.17</v>
      </c>
      <c r="T383" s="37"/>
      <c r="U383" s="36"/>
      <c r="V383" s="87"/>
      <c r="W383" s="36">
        <f>IF(NOTA[[#This Row],[HARGA/ CTN]]="",NOTA[[#This Row],[JUMLAH_H]],NOTA[[#This Row],[HARGA/ CTN]]*NOTA[[#This Row],[C]])</f>
        <v>1122000</v>
      </c>
      <c r="X383" s="36">
        <f>IF(NOTA[[#This Row],[JUMLAH]]="","",NOTA[[#This Row],[JUMLAH]]*NOTA[[#This Row],[DISC 1]])</f>
        <v>190740</v>
      </c>
      <c r="Y383" s="36">
        <f>IF(NOTA[[#This Row],[JUMLAH]]="","",(NOTA[[#This Row],[JUMLAH]]-NOTA[[#This Row],[DISC 1-]])*NOTA[[#This Row],[DISC 2]])</f>
        <v>0</v>
      </c>
      <c r="Z383" s="36">
        <f>IF(NOTA[[#This Row],[JUMLAH]]="","",NOTA[[#This Row],[DISC 1-]]+NOTA[[#This Row],[DISC 2-]])</f>
        <v>190740</v>
      </c>
      <c r="AA383" s="36">
        <f>IF(NOTA[[#This Row],[JUMLAH]]="","",NOTA[[#This Row],[JUMLAH]]-NOTA[[#This Row],[DISC]])</f>
        <v>931260</v>
      </c>
      <c r="AB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3" s="36" t="str">
        <f>IF(OR(NOTA[[#This Row],[QTY]]="",NOTA[[#This Row],[HARGA SATUAN]]="",),"",NOTA[[#This Row],[QTY]]*NOTA[[#This Row],[HARGA SATUAN]])</f>
        <v/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KENKO SINAR INDONESIA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85</v>
      </c>
      <c r="E384" s="26"/>
      <c r="F384" s="31"/>
      <c r="G384" s="31"/>
      <c r="H384" s="33"/>
      <c r="I384" s="31"/>
      <c r="J384" s="34"/>
      <c r="K384" s="31"/>
      <c r="L384" s="31" t="s">
        <v>570</v>
      </c>
      <c r="M384" s="35">
        <v>1</v>
      </c>
      <c r="N384" s="31"/>
      <c r="O384" s="31"/>
      <c r="P384" s="30"/>
      <c r="Q384" s="103">
        <v>1800000</v>
      </c>
      <c r="R384" s="35"/>
      <c r="S384" s="37">
        <v>0.17</v>
      </c>
      <c r="T384" s="37"/>
      <c r="U384" s="36"/>
      <c r="V384" s="87"/>
      <c r="W384" s="36">
        <f>IF(NOTA[[#This Row],[HARGA/ CTN]]="",NOTA[[#This Row],[JUMLAH_H]],NOTA[[#This Row],[HARGA/ CTN]]*NOTA[[#This Row],[C]])</f>
        <v>1800000</v>
      </c>
      <c r="X384" s="36">
        <f>IF(NOTA[[#This Row],[JUMLAH]]="","",NOTA[[#This Row],[JUMLAH]]*NOTA[[#This Row],[DISC 1]])</f>
        <v>306000</v>
      </c>
      <c r="Y384" s="36">
        <f>IF(NOTA[[#This Row],[JUMLAH]]="","",(NOTA[[#This Row],[JUMLAH]]-NOTA[[#This Row],[DISC 1-]])*NOTA[[#This Row],[DISC 2]])</f>
        <v>0</v>
      </c>
      <c r="Z384" s="36">
        <f>IF(NOTA[[#This Row],[JUMLAH]]="","",NOTA[[#This Row],[DISC 1-]]+NOTA[[#This Row],[DISC 2-]])</f>
        <v>306000</v>
      </c>
      <c r="AA384" s="36">
        <f>IF(NOTA[[#This Row],[JUMLAH]]="","",NOTA[[#This Row],[JUMLAH]]-NOTA[[#This Row],[DISC]])</f>
        <v>1494000</v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84" s="36" t="str">
        <f>IF(OR(NOTA[[#This Row],[QTY]]="",NOTA[[#This Row],[HARGA SATUAN]]="",),"",NOTA[[#This Row],[QTY]]*NOTA[[#This Row],[HARGA SATUAN]])</f>
        <v/>
      </c>
      <c r="AF384" s="34">
        <f ca="1">IF(NOTA[ID_H]="","",INDEX(NOTA[TANGGAL],MATCH(,INDIRECT(ADDRESS(ROW(NOTA[TANGGAL]),COLUMN(NOTA[TANGGAL]))&amp;":"&amp;ADDRESS(ROW(),COLUMN(NOTA[TANGGAL]))),-1)))</f>
        <v>44856</v>
      </c>
      <c r="AG384" s="30" t="str">
        <f ca="1">IF(NOTA[[#This Row],[NAMA BARANG]]="","",INDEX(NOTA[SUPPLIER],MATCH(,INDIRECT(ADDRESS(ROW(NOTA[ID]),COLUMN(NOTA[ID]))&amp;":"&amp;ADDRESS(ROW(),COLUMN(NOTA[ID]))),-1)))</f>
        <v>KENKO SINAR INDONESIA</v>
      </c>
      <c r="AH384" s="16" t="str">
        <f ca="1">IF(NOTA[[#This Row],[ID]]="","",COUNTIF(NOTA[ID_H],NOTA[[#This Row],[ID_H]]))</f>
        <v/>
      </c>
      <c r="AI384" s="16">
        <f ca="1">IF(NOTA[[#This Row],[TGL.NOTA]]="",IF(NOTA[[#This Row],[SUPPLIER_H]]="","",AI383),MONTH(NOTA[[#This Row],[TGL.NOTA]]))</f>
        <v>10</v>
      </c>
      <c r="AJ384" s="16"/>
    </row>
    <row r="385" spans="1:36" ht="20.100000000000001" customHeight="1" x14ac:dyDescent="0.25">
      <c r="A3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85</v>
      </c>
      <c r="E385" s="26"/>
      <c r="F385" s="31"/>
      <c r="G385" s="31"/>
      <c r="H385" s="33"/>
      <c r="I385" s="31"/>
      <c r="J385" s="34"/>
      <c r="K385" s="31"/>
      <c r="L385" s="31" t="s">
        <v>524</v>
      </c>
      <c r="M385" s="35">
        <v>2</v>
      </c>
      <c r="N385" s="31"/>
      <c r="O385" s="31"/>
      <c r="P385" s="30"/>
      <c r="Q385" s="103">
        <v>2764800</v>
      </c>
      <c r="R385" s="35"/>
      <c r="S385" s="37">
        <v>0.17</v>
      </c>
      <c r="T385" s="37"/>
      <c r="U385" s="36"/>
      <c r="V385" s="87"/>
      <c r="W385" s="36">
        <f>IF(NOTA[[#This Row],[HARGA/ CTN]]="",NOTA[[#This Row],[JUMLAH_H]],NOTA[[#This Row],[HARGA/ CTN]]*NOTA[[#This Row],[C]])</f>
        <v>5529600</v>
      </c>
      <c r="X385" s="36">
        <f>IF(NOTA[[#This Row],[JUMLAH]]="","",NOTA[[#This Row],[JUMLAH]]*NOTA[[#This Row],[DISC 1]])</f>
        <v>940032.00000000012</v>
      </c>
      <c r="Y385" s="36">
        <f>IF(NOTA[[#This Row],[JUMLAH]]="","",(NOTA[[#This Row],[JUMLAH]]-NOTA[[#This Row],[DISC 1-]])*NOTA[[#This Row],[DISC 2]])</f>
        <v>0</v>
      </c>
      <c r="Z385" s="36">
        <f>IF(NOTA[[#This Row],[JUMLAH]]="","",NOTA[[#This Row],[DISC 1-]]+NOTA[[#This Row],[DISC 2-]])</f>
        <v>940032.00000000012</v>
      </c>
      <c r="AA385" s="36">
        <f>IF(NOTA[[#This Row],[JUMLAH]]="","",NOTA[[#This Row],[JUMLAH]]-NOTA[[#This Row],[DISC]])</f>
        <v>4589568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85" s="36" t="str">
        <f>IF(OR(NOTA[[#This Row],[QTY]]="",NOTA[[#This Row],[HARGA SATUAN]]="",),"",NOTA[[#This Row],[QTY]]*NOTA[[#This Row],[HARGA SATUAN]])</f>
        <v/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KENKO SINAR INDONESIA</v>
      </c>
      <c r="AH385" s="16" t="str">
        <f ca="1">IF(NOTA[[#This Row],[ID]]="","",COUNTIF(NOTA[ID_H],NOTA[[#This Row],[ID_H]]))</f>
        <v/>
      </c>
      <c r="AI385" s="16">
        <f ca="1"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85</v>
      </c>
      <c r="E386" s="26"/>
      <c r="F386" s="31"/>
      <c r="G386" s="31"/>
      <c r="H386" s="33"/>
      <c r="I386" s="31"/>
      <c r="J386" s="34"/>
      <c r="K386" s="31"/>
      <c r="L386" s="31" t="s">
        <v>157</v>
      </c>
      <c r="M386" s="35">
        <v>1</v>
      </c>
      <c r="N386" s="31"/>
      <c r="O386" s="31"/>
      <c r="P386" s="30"/>
      <c r="Q386" s="103">
        <v>1245000</v>
      </c>
      <c r="R386" s="35"/>
      <c r="S386" s="37">
        <v>0.17</v>
      </c>
      <c r="T386" s="37"/>
      <c r="U386" s="36"/>
      <c r="V386" s="87"/>
      <c r="W386" s="36">
        <f>IF(NOTA[[#This Row],[HARGA/ CTN]]="",NOTA[[#This Row],[JUMLAH_H]],NOTA[[#This Row],[HARGA/ CTN]]*NOTA[[#This Row],[C]])</f>
        <v>1245000</v>
      </c>
      <c r="X386" s="36">
        <f>IF(NOTA[[#This Row],[JUMLAH]]="","",NOTA[[#This Row],[JUMLAH]]*NOTA[[#This Row],[DISC 1]])</f>
        <v>211650.00000000003</v>
      </c>
      <c r="Y386" s="36">
        <f>IF(NOTA[[#This Row],[JUMLAH]]="","",(NOTA[[#This Row],[JUMLAH]]-NOTA[[#This Row],[DISC 1-]])*NOTA[[#This Row],[DISC 2]])</f>
        <v>0</v>
      </c>
      <c r="Z386" s="36">
        <f>IF(NOTA[[#This Row],[JUMLAH]]="","",NOTA[[#This Row],[DISC 1-]]+NOTA[[#This Row],[DISC 2-]])</f>
        <v>211650.00000000003</v>
      </c>
      <c r="AA386" s="36">
        <f>IF(NOTA[[#This Row],[JUMLAH]]="","",NOTA[[#This Row],[JUMLAH]]-NOTA[[#This Row],[DISC]])</f>
        <v>1033350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6" s="36" t="str">
        <f>IF(OR(NOTA[[#This Row],[QTY]]="",NOTA[[#This Row],[HARGA SATUAN]]="",),"",NOTA[[#This Row],[QTY]]*NOTA[[#This Row],[HARGA SATUAN]])</f>
        <v/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KENKO SINAR INDONESIA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85</v>
      </c>
      <c r="E387" s="26"/>
      <c r="F387" s="31"/>
      <c r="G387" s="31"/>
      <c r="H387" s="33"/>
      <c r="I387" s="31"/>
      <c r="J387" s="34"/>
      <c r="K387" s="31"/>
      <c r="L387" s="31" t="s">
        <v>160</v>
      </c>
      <c r="M387" s="35">
        <v>1</v>
      </c>
      <c r="N387" s="31"/>
      <c r="O387" s="31"/>
      <c r="P387" s="30"/>
      <c r="Q387" s="103">
        <v>1122000</v>
      </c>
      <c r="R387" s="35"/>
      <c r="S387" s="37">
        <v>0.17</v>
      </c>
      <c r="T387" s="37"/>
      <c r="U387" s="36"/>
      <c r="V387" s="87"/>
      <c r="W387" s="36">
        <f>IF(NOTA[[#This Row],[HARGA/ CTN]]="",NOTA[[#This Row],[JUMLAH_H]],NOTA[[#This Row],[HARGA/ CTN]]*NOTA[[#This Row],[C]])</f>
        <v>1122000</v>
      </c>
      <c r="X387" s="36">
        <f>IF(NOTA[[#This Row],[JUMLAH]]="","",NOTA[[#This Row],[JUMLAH]]*NOTA[[#This Row],[DISC 1]])</f>
        <v>190740</v>
      </c>
      <c r="Y387" s="36">
        <f>IF(NOTA[[#This Row],[JUMLAH]]="","",(NOTA[[#This Row],[JUMLAH]]-NOTA[[#This Row],[DISC 1-]])*NOTA[[#This Row],[DISC 2]])</f>
        <v>0</v>
      </c>
      <c r="Z387" s="36">
        <f>IF(NOTA[[#This Row],[JUMLAH]]="","",NOTA[[#This Row],[DISC 1-]]+NOTA[[#This Row],[DISC 2-]])</f>
        <v>190740</v>
      </c>
      <c r="AA387" s="36">
        <f>IF(NOTA[[#This Row],[JUMLAH]]="","",NOTA[[#This Row],[JUMLAH]]-NOTA[[#This Row],[DISC]])</f>
        <v>931260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7" s="36" t="str">
        <f>IF(OR(NOTA[[#This Row],[QTY]]="",NOTA[[#This Row],[HARGA SATUAN]]="",),"",NOTA[[#This Row],[QTY]]*NOTA[[#This Row],[HARGA SATUAN]])</f>
        <v/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KENKO SINAR INDONESIA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26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86</v>
      </c>
      <c r="E389" s="26"/>
      <c r="F389" s="31" t="s">
        <v>25</v>
      </c>
      <c r="G389" s="31" t="s">
        <v>24</v>
      </c>
      <c r="H389" s="33" t="s">
        <v>581</v>
      </c>
      <c r="I389" s="31"/>
      <c r="J389" s="34">
        <v>44852</v>
      </c>
      <c r="K389" s="31"/>
      <c r="L389" s="31" t="s">
        <v>475</v>
      </c>
      <c r="M389" s="35">
        <v>2</v>
      </c>
      <c r="N389" s="31">
        <v>60</v>
      </c>
      <c r="O389" s="31" t="s">
        <v>220</v>
      </c>
      <c r="P389" s="30">
        <v>104400</v>
      </c>
      <c r="Q389" s="103"/>
      <c r="R389" s="35"/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6264000</v>
      </c>
      <c r="X389" s="36">
        <f>IF(NOTA[[#This Row],[JUMLAH]]="","",NOTA[[#This Row],[JUMLAH]]*NOTA[[#This Row],[DISC 1]])</f>
        <v>783000</v>
      </c>
      <c r="Y389" s="36">
        <f>IF(NOTA[[#This Row],[JUMLAH]]="","",(NOTA[[#This Row],[JUMLAH]]-NOTA[[#This Row],[DISC 1-]])*NOTA[[#This Row],[DISC 2]])</f>
        <v>274050</v>
      </c>
      <c r="Z389" s="36">
        <f>IF(NOTA[[#This Row],[JUMLAH]]="","",NOTA[[#This Row],[DISC 1-]]+NOTA[[#This Row],[DISC 2-]])</f>
        <v>1057050</v>
      </c>
      <c r="AA389" s="36">
        <f>IF(NOTA[[#This Row],[JUMLAH]]="","",NOTA[[#This Row],[JUMLAH]]-NOTA[[#This Row],[DISC]])</f>
        <v>5206950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9" s="36">
        <f>IF(OR(NOTA[[#This Row],[QTY]]="",NOTA[[#This Row],[HARGA SATUAN]]="",),"",NOTA[[#This Row],[QTY]]*NOTA[[#This Row],[HARGA SATUAN]])</f>
        <v>6264000</v>
      </c>
      <c r="AF389" s="34">
        <f ca="1">IF(NOTA[ID_H]="","",INDEX(NOTA[TANGGAL],MATCH(,INDIRECT(ADDRESS(ROW(NOTA[TANGGAL]),COLUMN(NOTA[TANGGAL]))&amp;":"&amp;ADDRESS(ROW(),COLUMN(NOTA[TANGGAL]))),-1)))</f>
        <v>44856</v>
      </c>
      <c r="AG389" s="30" t="str">
        <f ca="1">IF(NOTA[[#This Row],[NAMA BARANG]]="","",INDEX(NOTA[SUPPLIER],MATCH(,INDIRECT(ADDRESS(ROW(NOTA[ID]),COLUMN(NOTA[ID]))&amp;":"&amp;ADDRESS(ROW(),COLUMN(NOTA[ID]))),-1)))</f>
        <v>ATALI MAKMUR</v>
      </c>
      <c r="AH389" s="16">
        <f ca="1">IF(NOTA[[#This Row],[ID]]="","",COUNTIF(NOTA[ID_H],NOTA[[#This Row],[ID_H]]))</f>
        <v>6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86</v>
      </c>
      <c r="E390" s="26"/>
      <c r="F390" s="31"/>
      <c r="G390" s="31"/>
      <c r="H390" s="33"/>
      <c r="I390" s="31"/>
      <c r="J390" s="34"/>
      <c r="K390" s="31"/>
      <c r="L390" s="31" t="s">
        <v>588</v>
      </c>
      <c r="M390" s="35">
        <v>1</v>
      </c>
      <c r="N390" s="31">
        <v>60</v>
      </c>
      <c r="O390" s="31" t="s">
        <v>220</v>
      </c>
      <c r="P390" s="30">
        <v>27600</v>
      </c>
      <c r="Q390" s="103"/>
      <c r="R390" s="35"/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1656000</v>
      </c>
      <c r="X390" s="36">
        <f>IF(NOTA[[#This Row],[JUMLAH]]="","",NOTA[[#This Row],[JUMLAH]]*NOTA[[#This Row],[DISC 1]])</f>
        <v>207000</v>
      </c>
      <c r="Y390" s="36">
        <f>IF(NOTA[[#This Row],[JUMLAH]]="","",(NOTA[[#This Row],[JUMLAH]]-NOTA[[#This Row],[DISC 1-]])*NOTA[[#This Row],[DISC 2]])</f>
        <v>72450</v>
      </c>
      <c r="Z390" s="36">
        <f>IF(NOTA[[#This Row],[JUMLAH]]="","",NOTA[[#This Row],[DISC 1-]]+NOTA[[#This Row],[DISC 2-]])</f>
        <v>279450</v>
      </c>
      <c r="AA390" s="36">
        <f>IF(NOTA[[#This Row],[JUMLAH]]="","",NOTA[[#This Row],[JUMLAH]]-NOTA[[#This Row],[DISC]])</f>
        <v>1376550</v>
      </c>
      <c r="AB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0" s="36">
        <f>IF(OR(NOTA[[#This Row],[QTY]]="",NOTA[[#This Row],[HARGA SATUAN]]="",),"",NOTA[[#This Row],[QTY]]*NOTA[[#This Row],[HARGA SATUAN]])</f>
        <v>1656000</v>
      </c>
      <c r="AF390" s="34">
        <f ca="1">IF(NOTA[ID_H]="","",INDEX(NOTA[TANGGAL],MATCH(,INDIRECT(ADDRESS(ROW(NOTA[TANGGAL]),COLUMN(NOTA[TANGGAL]))&amp;":"&amp;ADDRESS(ROW(),COLUMN(NOTA[TANGGAL]))),-1)))</f>
        <v>44856</v>
      </c>
      <c r="AG390" s="30" t="str">
        <f ca="1">IF(NOTA[[#This Row],[NAMA BARANG]]="","",INDEX(NOTA[SUPPLIER],MATCH(,INDIRECT(ADDRESS(ROW(NOTA[ID]),COLUMN(NOTA[ID]))&amp;":"&amp;ADDRESS(ROW(),COLUMN(NOTA[ID]))),-1)))</f>
        <v>ATALI MAKMUR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86</v>
      </c>
      <c r="E391" s="26"/>
      <c r="F391" s="31"/>
      <c r="G391" s="31"/>
      <c r="H391" s="33"/>
      <c r="I391" s="31"/>
      <c r="J391" s="34"/>
      <c r="K391" s="31"/>
      <c r="L391" s="31" t="s">
        <v>589</v>
      </c>
      <c r="M391" s="35">
        <v>1</v>
      </c>
      <c r="N391" s="31">
        <v>30</v>
      </c>
      <c r="O391" s="31" t="s">
        <v>220</v>
      </c>
      <c r="P391" s="30">
        <v>48600</v>
      </c>
      <c r="Q391" s="103"/>
      <c r="R391" s="35"/>
      <c r="S391" s="37">
        <v>0.125</v>
      </c>
      <c r="T391" s="37">
        <v>0.05</v>
      </c>
      <c r="U391" s="36"/>
      <c r="V391" s="87"/>
      <c r="W391" s="36">
        <f>IF(NOTA[[#This Row],[HARGA/ CTN]]="",NOTA[[#This Row],[JUMLAH_H]],NOTA[[#This Row],[HARGA/ CTN]]*NOTA[[#This Row],[C]])</f>
        <v>1458000</v>
      </c>
      <c r="X391" s="36">
        <f>IF(NOTA[[#This Row],[JUMLAH]]="","",NOTA[[#This Row],[JUMLAH]]*NOTA[[#This Row],[DISC 1]])</f>
        <v>182250</v>
      </c>
      <c r="Y391" s="36">
        <f>IF(NOTA[[#This Row],[JUMLAH]]="","",(NOTA[[#This Row],[JUMLAH]]-NOTA[[#This Row],[DISC 1-]])*NOTA[[#This Row],[DISC 2]])</f>
        <v>63787.5</v>
      </c>
      <c r="Z391" s="36">
        <f>IF(NOTA[[#This Row],[JUMLAH]]="","",NOTA[[#This Row],[DISC 1-]]+NOTA[[#This Row],[DISC 2-]])</f>
        <v>246037.5</v>
      </c>
      <c r="AA391" s="36">
        <f>IF(NOTA[[#This Row],[JUMLAH]]="","",NOTA[[#This Row],[JUMLAH]]-NOTA[[#This Row],[DISC]])</f>
        <v>1211962.5</v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91" s="36">
        <f>IF(OR(NOTA[[#This Row],[QTY]]="",NOTA[[#This Row],[HARGA SATUAN]]="",),"",NOTA[[#This Row],[QTY]]*NOTA[[#This Row],[HARGA SATUAN]])</f>
        <v>1458000</v>
      </c>
      <c r="AF391" s="34">
        <f ca="1">IF(NOTA[ID_H]="","",INDEX(NOTA[TANGGAL],MATCH(,INDIRECT(ADDRESS(ROW(NOTA[TANGGAL]),COLUMN(NOTA[TANGGAL]))&amp;":"&amp;ADDRESS(ROW(),COLUMN(NOTA[TANGGAL]))),-1)))</f>
        <v>44856</v>
      </c>
      <c r="AG391" s="30" t="str">
        <f ca="1">IF(NOTA[[#This Row],[NAMA BARANG]]="","",INDEX(NOTA[SUPPLIER],MATCH(,INDIRECT(ADDRESS(ROW(NOTA[ID]),COLUMN(NOTA[ID]))&amp;":"&amp;ADDRESS(ROW(),COLUMN(NOTA[ID]))),-1)))</f>
        <v>ATALI MAKMUR</v>
      </c>
      <c r="AH391" s="16" t="str">
        <f ca="1">IF(NOTA[[#This Row],[ID]]="","",COUNTIF(NOTA[ID_H],NOTA[[#This Row],[ID_H]]))</f>
        <v/>
      </c>
      <c r="AI391" s="16">
        <f ca="1">IF(NOTA[[#This Row],[TGL.NOTA]]="",IF(NOTA[[#This Row],[SUPPLIER_H]]="","",AI390),MONTH(NOTA[[#This Row],[TGL.NOTA]]))</f>
        <v>10</v>
      </c>
      <c r="AJ391" s="16"/>
    </row>
    <row r="392" spans="1:36" ht="20.100000000000001" customHeight="1" x14ac:dyDescent="0.25">
      <c r="A3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/>
      <c r="G392" s="31"/>
      <c r="H392" s="33"/>
      <c r="I392" s="31"/>
      <c r="J392" s="34"/>
      <c r="K392" s="31"/>
      <c r="L392" s="31" t="s">
        <v>219</v>
      </c>
      <c r="M392" s="35">
        <v>1</v>
      </c>
      <c r="N392" s="31">
        <v>20</v>
      </c>
      <c r="O392" s="31" t="s">
        <v>220</v>
      </c>
      <c r="P392" s="30">
        <v>67800</v>
      </c>
      <c r="Q392" s="103"/>
      <c r="R392" s="35"/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1356000</v>
      </c>
      <c r="X392" s="36">
        <f>IF(NOTA[[#This Row],[JUMLAH]]="","",NOTA[[#This Row],[JUMLAH]]*NOTA[[#This Row],[DISC 1]])</f>
        <v>169500</v>
      </c>
      <c r="Y392" s="36">
        <f>IF(NOTA[[#This Row],[JUMLAH]]="","",(NOTA[[#This Row],[JUMLAH]]-NOTA[[#This Row],[DISC 1-]])*NOTA[[#This Row],[DISC 2]])</f>
        <v>59325</v>
      </c>
      <c r="Z392" s="36">
        <f>IF(NOTA[[#This Row],[JUMLAH]]="","",NOTA[[#This Row],[DISC 1-]]+NOTA[[#This Row],[DISC 2-]])</f>
        <v>228825</v>
      </c>
      <c r="AA392" s="36">
        <f>IF(NOTA[[#This Row],[JUMLAH]]="","",NOTA[[#This Row],[JUMLAH]]-NOTA[[#This Row],[DISC]])</f>
        <v>1127175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92" s="36">
        <f>IF(OR(NOTA[[#This Row],[QTY]]="",NOTA[[#This Row],[HARGA SATUAN]]="",),"",NOTA[[#This Row],[QTY]]*NOTA[[#This Row],[HARGA SATUAN]])</f>
        <v>1356000</v>
      </c>
      <c r="AF392" s="34">
        <f ca="1">IF(NOTA[ID_H]="","",INDEX(NOTA[TANGGAL],MATCH(,INDIRECT(ADDRESS(ROW(NOTA[TANGGAL]),COLUMN(NOTA[TANGGAL]))&amp;":"&amp;ADDRESS(ROW(),COLUMN(NOTA[TANGGAL]))),-1)))</f>
        <v>44856</v>
      </c>
      <c r="AG392" s="30" t="str">
        <f ca="1">IF(NOTA[[#This Row],[NAMA BARANG]]="","",INDEX(NOTA[SUPPLIER],MATCH(,INDIRECT(ADDRESS(ROW(NOTA[ID]),COLUMN(NOTA[ID]))&amp;":"&amp;ADDRESS(ROW(),COLUMN(NOTA[ID]))),-1)))</f>
        <v>ATALI MAKMUR</v>
      </c>
      <c r="AH392" s="16" t="str">
        <f ca="1">IF(NOTA[[#This Row],[ID]]="","",COUNTIF(NOTA[ID_H],NOTA[[#This Row],[ID_H]]))</f>
        <v/>
      </c>
      <c r="AI392" s="16">
        <f ca="1"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221</v>
      </c>
      <c r="M393" s="35">
        <v>2</v>
      </c>
      <c r="N393" s="31">
        <v>20</v>
      </c>
      <c r="O393" s="31" t="s">
        <v>220</v>
      </c>
      <c r="P393" s="30">
        <v>115800</v>
      </c>
      <c r="Q393" s="103"/>
      <c r="R393" s="35"/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2316000</v>
      </c>
      <c r="X393" s="36">
        <f>IF(NOTA[[#This Row],[JUMLAH]]="","",NOTA[[#This Row],[JUMLAH]]*NOTA[[#This Row],[DISC 1]])</f>
        <v>289500</v>
      </c>
      <c r="Y393" s="36">
        <f>IF(NOTA[[#This Row],[JUMLAH]]="","",(NOTA[[#This Row],[JUMLAH]]-NOTA[[#This Row],[DISC 1-]])*NOTA[[#This Row],[DISC 2]])</f>
        <v>101325</v>
      </c>
      <c r="Z393" s="36">
        <f>IF(NOTA[[#This Row],[JUMLAH]]="","",NOTA[[#This Row],[DISC 1-]]+NOTA[[#This Row],[DISC 2-]])</f>
        <v>390825</v>
      </c>
      <c r="AA393" s="36">
        <f>IF(NOTA[[#This Row],[JUMLAH]]="","",NOTA[[#This Row],[JUMLAH]]-NOTA[[#This Row],[DISC]])</f>
        <v>1925175</v>
      </c>
      <c r="AB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93" s="36">
        <f>IF(OR(NOTA[[#This Row],[QTY]]="",NOTA[[#This Row],[HARGA SATUAN]]="",),"",NOTA[[#This Row],[QTY]]*NOTA[[#This Row],[HARGA SATUAN]])</f>
        <v>2316000</v>
      </c>
      <c r="AF393" s="34">
        <f ca="1">IF(NOTA[ID_H]="","",INDEX(NOTA[TANGGAL],MATCH(,INDIRECT(ADDRESS(ROW(NOTA[TANGGAL]),COLUMN(NOTA[TANGGAL]))&amp;":"&amp;ADDRESS(ROW(),COLUMN(NOTA[TANGGAL]))),-1)))</f>
        <v>44856</v>
      </c>
      <c r="AG393" s="30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>
        <f ca="1">IF(NOTA[[#This Row],[NAMA BARANG]]="","",INDEX(NOTA[ID],MATCH(,INDIRECT(ADDRESS(ROW(NOTA[ID]),COLUMN(NOTA[ID]))&amp;":"&amp;ADDRESS(ROW(),COLUMN(NOTA[ID]))),-1)))</f>
        <v>86</v>
      </c>
      <c r="E394" s="32"/>
      <c r="F394" s="31"/>
      <c r="G394" s="31"/>
      <c r="H394" s="33"/>
      <c r="I394" s="31"/>
      <c r="J394" s="34"/>
      <c r="K394" s="31"/>
      <c r="L394" s="31" t="s">
        <v>578</v>
      </c>
      <c r="M394" s="35" t="s">
        <v>586</v>
      </c>
      <c r="N394" s="31">
        <v>120</v>
      </c>
      <c r="O394" s="31" t="s">
        <v>88</v>
      </c>
      <c r="P394" s="30">
        <v>2350</v>
      </c>
      <c r="Q394" s="103"/>
      <c r="R394" s="35"/>
      <c r="S394" s="37">
        <v>0.1</v>
      </c>
      <c r="T394" s="37">
        <v>0.05</v>
      </c>
      <c r="U394" s="36">
        <v>241600</v>
      </c>
      <c r="V394" s="87" t="s">
        <v>579</v>
      </c>
      <c r="W394" s="36">
        <f>IF(NOTA[[#This Row],[HARGA/ CTN]]="",NOTA[[#This Row],[JUMLAH_H]],NOTA[[#This Row],[HARGA/ CTN]]*NOTA[[#This Row],[C]])</f>
        <v>282000</v>
      </c>
      <c r="X394" s="36">
        <f>IF(NOTA[[#This Row],[JUMLAH]]="","",NOTA[[#This Row],[JUMLAH]]*NOTA[[#This Row],[DISC 1]])</f>
        <v>28200</v>
      </c>
      <c r="Y394" s="36">
        <f>IF(NOTA[[#This Row],[JUMLAH]]="","",(NOTA[[#This Row],[JUMLAH]]-NOTA[[#This Row],[DISC 1-]])*NOTA[[#This Row],[DISC 2]])</f>
        <v>12690</v>
      </c>
      <c r="Z394" s="36">
        <f>IF(NOTA[[#This Row],[JUMLAH]]="","",NOTA[[#This Row],[DISC 1-]]+NOTA[[#This Row],[DISC 2-]])</f>
        <v>40890</v>
      </c>
      <c r="AA394" s="36">
        <f>IF(NOTA[[#This Row],[JUMLAH]]="","",NOTA[[#This Row],[JUMLAH]]-NOTA[[#This Row],[DISC]])</f>
        <v>241110</v>
      </c>
      <c r="AB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94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94" s="36">
        <f>IF(OR(NOTA[[#This Row],[QTY]]="",NOTA[[#This Row],[HARGA SATUAN]]="",),"",NOTA[[#This Row],[QTY]]*NOTA[[#This Row],[HARGA SATUAN]])</f>
        <v>282000</v>
      </c>
      <c r="AF394" s="34">
        <f ca="1">IF(NOTA[ID_H]="","",INDEX(NOTA[TANGGAL],MATCH(,INDIRECT(ADDRESS(ROW(NOTA[TANGGAL]),COLUMN(NOTA[TANGGAL]))&amp;":"&amp;ADDRESS(ROW(),COLUMN(NOTA[TANGGAL]))),-1)))</f>
        <v>44856</v>
      </c>
      <c r="AG394" s="30" t="str">
        <f ca="1">IF(NOTA[[#This Row],[NAMA BARANG]]="","",INDEX(NOTA[SUPPLIER],MATCH(,INDIRECT(ADDRESS(ROW(NOTA[ID]),COLUMN(NOTA[ID]))&amp;":"&amp;ADDRESS(ROW(),COLUMN(NOTA[ID]))),-1)))</f>
        <v>ATALI MAKMUR</v>
      </c>
      <c r="AH394" s="16" t="str">
        <f ca="1">IF(NOTA[[#This Row],[ID]]="","",COUNTIF(NOTA[ID_H],NOTA[[#This Row],[ID_H]]))</f>
        <v/>
      </c>
      <c r="AI394" s="16">
        <f ca="1">IF(NOTA[[#This Row],[TGL.NOTA]]="",IF(NOTA[[#This Row],[SUPPLIER_H]]="","",AI393),MONTH(NOTA[[#This Row],[TGL.NOTA]]))</f>
        <v>10</v>
      </c>
      <c r="AJ394" s="16"/>
    </row>
    <row r="395" spans="1:36" ht="20.100000000000001" customHeight="1" x14ac:dyDescent="0.25">
      <c r="A3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32"/>
      <c r="F395" s="31"/>
      <c r="G395" s="31"/>
      <c r="H395" s="33"/>
      <c r="I395" s="31"/>
      <c r="J395" s="34"/>
      <c r="K395" s="31"/>
      <c r="L395" s="31"/>
      <c r="M395" s="35"/>
      <c r="N395" s="31"/>
      <c r="O395" s="31"/>
      <c r="P395" s="30"/>
      <c r="Q395" s="103"/>
      <c r="R395" s="35"/>
      <c r="S395" s="37"/>
      <c r="T395" s="37"/>
      <c r="U395" s="36"/>
      <c r="V395" s="87"/>
      <c r="W395" s="36" t="str">
        <f>IF(NOTA[[#This Row],[HARGA/ CTN]]="",NOTA[[#This Row],[JUMLAH_H]],NOTA[[#This Row],[HARGA/ CTN]]*NOTA[[#This Row],[C]])</f>
        <v/>
      </c>
      <c r="X395" s="36" t="str">
        <f>IF(NOTA[[#This Row],[JUMLAH]]="","",NOTA[[#This Row],[JUMLAH]]*NOTA[[#This Row],[DISC 1]])</f>
        <v/>
      </c>
      <c r="Y395" s="36" t="str">
        <f>IF(NOTA[[#This Row],[JUMLAH]]="","",(NOTA[[#This Row],[JUMLAH]]-NOTA[[#This Row],[DISC 1-]])*NOTA[[#This Row],[DISC 2]])</f>
        <v/>
      </c>
      <c r="Z395" s="36" t="str">
        <f>IF(NOTA[[#This Row],[JUMLAH]]="","",NOTA[[#This Row],[DISC 1-]]+NOTA[[#This Row],[DISC 2-]])</f>
        <v/>
      </c>
      <c r="AA395" s="36" t="str">
        <f>IF(NOTA[[#This Row],[JUMLAH]]="","",NOTA[[#This Row],[JUMLAH]]-NOTA[[#This Row],[DISC]])</f>
        <v/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36" t="str">
        <f>IF(OR(NOTA[[#This Row],[QTY]]="",NOTA[[#This Row],[HARGA SATUAN]]="",),"",NOTA[[#This Row],[QTY]]*NOTA[[#This Row],[HARGA SATUAN]])</f>
        <v/>
      </c>
      <c r="AF395" s="34" t="str">
        <f ca="1">IF(NOTA[ID_H]="","",INDEX(NOTA[TANGGAL],MATCH(,INDIRECT(ADDRESS(ROW(NOTA[TANGGAL]),COLUMN(NOTA[TANGGAL]))&amp;":"&amp;ADDRESS(ROW(),COLUMN(NOTA[TANGGAL]))),-1)))</f>
        <v/>
      </c>
      <c r="AG395" s="30" t="str">
        <f ca="1">IF(NOTA[[#This Row],[NAMA BARANG]]="","",INDEX(NOTA[SUPPLIER],MATCH(,INDIRECT(ADDRESS(ROW(NOTA[ID]),COLUMN(NOTA[ID]))&amp;":"&amp;ADDRESS(ROW(),COLUMN(NOTA[ID]))),-1)))</f>
        <v/>
      </c>
      <c r="AH395" s="16" t="str">
        <f ca="1">IF(NOTA[[#This Row],[ID]]="","",COUNTIF(NOTA[ID_H],NOTA[[#This Row],[ID_H]]))</f>
        <v/>
      </c>
      <c r="AI395" s="16" t="str">
        <f ca="1">IF(NOTA[[#This Row],[TGL.NOTA]]="",IF(NOTA[[#This Row],[SUPPLIER_H]]="","",AI394),MONTH(NOTA[[#This Row],[TGL.NOTA]]))</f>
        <v/>
      </c>
      <c r="AJ395" s="16"/>
    </row>
    <row r="396" spans="1:36" ht="20.100000000000001" customHeight="1" x14ac:dyDescent="0.25">
      <c r="A396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 t="s">
        <v>25</v>
      </c>
      <c r="G396" s="31" t="s">
        <v>24</v>
      </c>
      <c r="H396" s="33" t="s">
        <v>582</v>
      </c>
      <c r="I396" s="31"/>
      <c r="J396" s="34">
        <v>44853</v>
      </c>
      <c r="K396" s="31"/>
      <c r="L396" s="31" t="s">
        <v>590</v>
      </c>
      <c r="M396" s="35">
        <v>1</v>
      </c>
      <c r="N396" s="31">
        <v>24</v>
      </c>
      <c r="O396" s="31" t="s">
        <v>88</v>
      </c>
      <c r="P396" s="30">
        <v>18800</v>
      </c>
      <c r="Q396" s="103"/>
      <c r="R396" s="35"/>
      <c r="S396" s="37">
        <v>0.125</v>
      </c>
      <c r="T396" s="37">
        <v>0.05</v>
      </c>
      <c r="U396" s="36"/>
      <c r="V396" s="87"/>
      <c r="W396" s="36">
        <f>IF(NOTA[[#This Row],[HARGA/ CTN]]="",NOTA[[#This Row],[JUMLAH_H]],NOTA[[#This Row],[HARGA/ CTN]]*NOTA[[#This Row],[C]])</f>
        <v>451200</v>
      </c>
      <c r="X396" s="36">
        <f>IF(NOTA[[#This Row],[JUMLAH]]="","",NOTA[[#This Row],[JUMLAH]]*NOTA[[#This Row],[DISC 1]])</f>
        <v>56400</v>
      </c>
      <c r="Y396" s="36">
        <f>IF(NOTA[[#This Row],[JUMLAH]]="","",(NOTA[[#This Row],[JUMLAH]]-NOTA[[#This Row],[DISC 1-]])*NOTA[[#This Row],[DISC 2]])</f>
        <v>19740</v>
      </c>
      <c r="Z396" s="36">
        <f>IF(NOTA[[#This Row],[JUMLAH]]="","",NOTA[[#This Row],[DISC 1-]]+NOTA[[#This Row],[DISC 2-]])</f>
        <v>76140</v>
      </c>
      <c r="AA396" s="36">
        <f>IF(NOTA[[#This Row],[JUMLAH]]="","",NOTA[[#This Row],[JUMLAH]]-NOTA[[#This Row],[DISC]])</f>
        <v>375060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96" s="36">
        <f>IF(OR(NOTA[[#This Row],[QTY]]="",NOTA[[#This Row],[HARGA SATUAN]]="",),"",NOTA[[#This Row],[QTY]]*NOTA[[#This Row],[HARGA SATUAN]])</f>
        <v>451200</v>
      </c>
      <c r="AF396" s="34">
        <f ca="1">IF(NOTA[ID_H]="","",INDEX(NOTA[TANGGAL],MATCH(,INDIRECT(ADDRESS(ROW(NOTA[TANGGAL]),COLUMN(NOTA[TANGGAL]))&amp;":"&amp;ADDRESS(ROW(),COLUMN(NOTA[TANGGAL]))),-1)))</f>
        <v>44856</v>
      </c>
      <c r="AG396" s="30" t="str">
        <f ca="1">IF(NOTA[[#This Row],[NAMA BARANG]]="","",INDEX(NOTA[SUPPLIER],MATCH(,INDIRECT(ADDRESS(ROW(NOTA[ID]),COLUMN(NOTA[ID]))&amp;":"&amp;ADDRESS(ROW(),COLUMN(NOTA[ID]))),-1)))</f>
        <v>ATALI MAKMUR</v>
      </c>
      <c r="AH396" s="16">
        <f ca="1">IF(NOTA[[#This Row],[ID]]="","",COUNTIF(NOTA[ID_H],NOTA[[#This Row],[ID_H]]))</f>
        <v>11</v>
      </c>
      <c r="AI396" s="16">
        <f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591</v>
      </c>
      <c r="M397" s="35">
        <v>1</v>
      </c>
      <c r="N397" s="31">
        <v>768</v>
      </c>
      <c r="O397" s="31" t="s">
        <v>88</v>
      </c>
      <c r="P397" s="30">
        <v>2100</v>
      </c>
      <c r="Q397" s="103"/>
      <c r="R397" s="35"/>
      <c r="S397" s="37">
        <v>0.125</v>
      </c>
      <c r="T397" s="37">
        <v>0.05</v>
      </c>
      <c r="U397" s="36"/>
      <c r="V397" s="87"/>
      <c r="W397" s="36">
        <f>IF(NOTA[[#This Row],[HARGA/ CTN]]="",NOTA[[#This Row],[JUMLAH_H]],NOTA[[#This Row],[HARGA/ CTN]]*NOTA[[#This Row],[C]])</f>
        <v>1612800</v>
      </c>
      <c r="X397" s="36">
        <f>IF(NOTA[[#This Row],[JUMLAH]]="","",NOTA[[#This Row],[JUMLAH]]*NOTA[[#This Row],[DISC 1]])</f>
        <v>201600</v>
      </c>
      <c r="Y397" s="36">
        <f>IF(NOTA[[#This Row],[JUMLAH]]="","",(NOTA[[#This Row],[JUMLAH]]-NOTA[[#This Row],[DISC 1-]])*NOTA[[#This Row],[DISC 2]])</f>
        <v>70560</v>
      </c>
      <c r="Z397" s="36">
        <f>IF(NOTA[[#This Row],[JUMLAH]]="","",NOTA[[#This Row],[DISC 1-]]+NOTA[[#This Row],[DISC 2-]])</f>
        <v>272160</v>
      </c>
      <c r="AA397" s="36">
        <f>IF(NOTA[[#This Row],[JUMLAH]]="","",NOTA[[#This Row],[JUMLAH]]-NOTA[[#This Row],[DISC]])</f>
        <v>1340640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97" s="36">
        <f>IF(OR(NOTA[[#This Row],[QTY]]="",NOTA[[#This Row],[HARGA SATUAN]]="",),"",NOTA[[#This Row],[QTY]]*NOTA[[#This Row],[HARGA SATUAN]])</f>
        <v>1612800</v>
      </c>
      <c r="AF397" s="34">
        <f ca="1">IF(NOTA[ID_H]="","",INDEX(NOTA[TANGGAL],MATCH(,INDIRECT(ADDRESS(ROW(NOTA[TANGGAL]),COLUMN(NOTA[TANGGAL]))&amp;":"&amp;ADDRESS(ROW(),COLUMN(NOTA[TANGGAL]))),-1)))</f>
        <v>44856</v>
      </c>
      <c r="AG397" s="30" t="str">
        <f ca="1">IF(NOTA[[#This Row],[NAMA BARANG]]="","",INDEX(NOTA[SUPPLIER],MATCH(,INDIRECT(ADDRESS(ROW(NOTA[ID]),COLUMN(NOTA[ID]))&amp;":"&amp;ADDRESS(ROW(),COLUMN(NOTA[ID]))),-1)))</f>
        <v>ATALI MAKMUR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592</v>
      </c>
      <c r="M398" s="35">
        <v>1</v>
      </c>
      <c r="N398" s="31">
        <v>576</v>
      </c>
      <c r="O398" s="31" t="s">
        <v>88</v>
      </c>
      <c r="P398" s="30">
        <v>1550</v>
      </c>
      <c r="Q398" s="103"/>
      <c r="R398" s="35"/>
      <c r="S398" s="37">
        <v>0.125</v>
      </c>
      <c r="T398" s="37">
        <v>0.05</v>
      </c>
      <c r="U398" s="36"/>
      <c r="V398" s="87"/>
      <c r="W398" s="36">
        <f>IF(NOTA[[#This Row],[HARGA/ CTN]]="",NOTA[[#This Row],[JUMLAH_H]],NOTA[[#This Row],[HARGA/ CTN]]*NOTA[[#This Row],[C]])</f>
        <v>892800</v>
      </c>
      <c r="X398" s="36">
        <f>IF(NOTA[[#This Row],[JUMLAH]]="","",NOTA[[#This Row],[JUMLAH]]*NOTA[[#This Row],[DISC 1]])</f>
        <v>111600</v>
      </c>
      <c r="Y398" s="36">
        <f>IF(NOTA[[#This Row],[JUMLAH]]="","",(NOTA[[#This Row],[JUMLAH]]-NOTA[[#This Row],[DISC 1-]])*NOTA[[#This Row],[DISC 2]])</f>
        <v>39060</v>
      </c>
      <c r="Z398" s="36">
        <f>IF(NOTA[[#This Row],[JUMLAH]]="","",NOTA[[#This Row],[DISC 1-]]+NOTA[[#This Row],[DISC 2-]])</f>
        <v>150660</v>
      </c>
      <c r="AA398" s="36">
        <f>IF(NOTA[[#This Row],[JUMLAH]]="","",NOTA[[#This Row],[JUMLAH]]-NOTA[[#This Row],[DISC]])</f>
        <v>742140</v>
      </c>
      <c r="AB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98" s="36">
        <f>IF(OR(NOTA[[#This Row],[QTY]]="",NOTA[[#This Row],[HARGA SATUAN]]="",),"",NOTA[[#This Row],[QTY]]*NOTA[[#This Row],[HARGA SATUAN]])</f>
        <v>892800</v>
      </c>
      <c r="AF398" s="34">
        <f ca="1">IF(NOTA[ID_H]="","",INDEX(NOTA[TANGGAL],MATCH(,INDIRECT(ADDRESS(ROW(NOTA[TANGGAL]),COLUMN(NOTA[TANGGAL]))&amp;":"&amp;ADDRESS(ROW(),COLUMN(NOTA[TANGGAL]))),-1)))</f>
        <v>44856</v>
      </c>
      <c r="AG398" s="30" t="str">
        <f ca="1">IF(NOTA[[#This Row],[NAMA BARANG]]="","",INDEX(NOTA[SUPPLIER],MATCH(,INDIRECT(ADDRESS(ROW(NOTA[ID]),COLUMN(NOTA[ID]))&amp;":"&amp;ADDRESS(ROW(),COLUMN(NOTA[ID]))),-1)))</f>
        <v>ATALI MAKMUR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>
        <f ca="1">IF(NOTA[[#This Row],[NAMA BARANG]]="","",INDEX(NOTA[ID],MATCH(,INDIRECT(ADDRESS(ROW(NOTA[ID]),COLUMN(NOTA[ID]))&amp;":"&amp;ADDRESS(ROW(),COLUMN(NOTA[ID]))),-1)))</f>
        <v>87</v>
      </c>
      <c r="E399" s="32"/>
      <c r="F399" s="31"/>
      <c r="G399" s="31"/>
      <c r="H399" s="33"/>
      <c r="I399" s="31"/>
      <c r="J399" s="34"/>
      <c r="K399" s="31"/>
      <c r="L399" s="31" t="s">
        <v>593</v>
      </c>
      <c r="M399" s="35">
        <v>2</v>
      </c>
      <c r="N399" s="31">
        <v>100</v>
      </c>
      <c r="O399" s="31" t="s">
        <v>287</v>
      </c>
      <c r="P399" s="30">
        <v>34100</v>
      </c>
      <c r="Q399" s="103"/>
      <c r="R399" s="35"/>
      <c r="S399" s="37">
        <v>0.125</v>
      </c>
      <c r="T399" s="37">
        <v>0.05</v>
      </c>
      <c r="U399" s="36"/>
      <c r="V399" s="87"/>
      <c r="W399" s="36">
        <f>IF(NOTA[[#This Row],[HARGA/ CTN]]="",NOTA[[#This Row],[JUMLAH_H]],NOTA[[#This Row],[HARGA/ CTN]]*NOTA[[#This Row],[C]])</f>
        <v>3410000</v>
      </c>
      <c r="X399" s="36">
        <f>IF(NOTA[[#This Row],[JUMLAH]]="","",NOTA[[#This Row],[JUMLAH]]*NOTA[[#This Row],[DISC 1]])</f>
        <v>426250</v>
      </c>
      <c r="Y399" s="36">
        <f>IF(NOTA[[#This Row],[JUMLAH]]="","",(NOTA[[#This Row],[JUMLAH]]-NOTA[[#This Row],[DISC 1-]])*NOTA[[#This Row],[DISC 2]])</f>
        <v>149187.5</v>
      </c>
      <c r="Z399" s="36">
        <f>IF(NOTA[[#This Row],[JUMLAH]]="","",NOTA[[#This Row],[DISC 1-]]+NOTA[[#This Row],[DISC 2-]])</f>
        <v>575437.5</v>
      </c>
      <c r="AA399" s="36">
        <f>IF(NOTA[[#This Row],[JUMLAH]]="","",NOTA[[#This Row],[JUMLAH]]-NOTA[[#This Row],[DISC]])</f>
        <v>2834562.5</v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9" s="36">
        <f>IF(OR(NOTA[[#This Row],[QTY]]="",NOTA[[#This Row],[HARGA SATUAN]]="",),"",NOTA[[#This Row],[QTY]]*NOTA[[#This Row],[HARGA SATUAN]])</f>
        <v>3410000</v>
      </c>
      <c r="AF399" s="34">
        <f ca="1">IF(NOTA[ID_H]="","",INDEX(NOTA[TANGGAL],MATCH(,INDIRECT(ADDRESS(ROW(NOTA[TANGGAL]),COLUMN(NOTA[TANGGAL]))&amp;":"&amp;ADDRESS(ROW(),COLUMN(NOTA[TANGGAL]))),-1)))</f>
        <v>44856</v>
      </c>
      <c r="AG399" s="30" t="str">
        <f ca="1">IF(NOTA[[#This Row],[NAMA BARANG]]="","",INDEX(NOTA[SUPPLIER],MATCH(,INDIRECT(ADDRESS(ROW(NOTA[ID]),COLUMN(NOTA[ID]))&amp;":"&amp;ADDRESS(ROW(),COLUMN(NOTA[ID]))),-1)))</f>
        <v>ATALI MAKMUR</v>
      </c>
      <c r="AH399" s="16" t="str">
        <f ca="1">IF(NOTA[[#This Row],[ID]]="","",COUNTIF(NOTA[ID_H],NOTA[[#This Row],[ID_H]]))</f>
        <v/>
      </c>
      <c r="AI399" s="16">
        <f ca="1">IF(NOTA[[#This Row],[TGL.NOTA]]="",IF(NOTA[[#This Row],[SUPPLIER_H]]="","",AI398),MONTH(NOTA[[#This Row],[TGL.NOTA]]))</f>
        <v>10</v>
      </c>
      <c r="AJ399" s="16"/>
    </row>
    <row r="400" spans="1:36" ht="20.100000000000001" customHeight="1" x14ac:dyDescent="0.25">
      <c r="A4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>
        <f ca="1">IF(NOTA[[#This Row],[NAMA BARANG]]="","",INDEX(NOTA[ID],MATCH(,INDIRECT(ADDRESS(ROW(NOTA[ID]),COLUMN(NOTA[ID]))&amp;":"&amp;ADDRESS(ROW(),COLUMN(NOTA[ID]))),-1)))</f>
        <v>87</v>
      </c>
      <c r="E400" s="32"/>
      <c r="F400" s="31"/>
      <c r="G400" s="31"/>
      <c r="H400" s="33"/>
      <c r="I400" s="31"/>
      <c r="J400" s="34"/>
      <c r="K400" s="31"/>
      <c r="L400" s="31" t="s">
        <v>594</v>
      </c>
      <c r="M400" s="35">
        <v>2</v>
      </c>
      <c r="N400" s="31">
        <v>72</v>
      </c>
      <c r="O400" s="31" t="s">
        <v>210</v>
      </c>
      <c r="P400" s="30">
        <v>34200</v>
      </c>
      <c r="Q400" s="103"/>
      <c r="R400" s="35"/>
      <c r="S400" s="37">
        <v>0.125</v>
      </c>
      <c r="T400" s="37">
        <v>0.05</v>
      </c>
      <c r="U400" s="36"/>
      <c r="V400" s="87"/>
      <c r="W400" s="36">
        <f>IF(NOTA[[#This Row],[HARGA/ CTN]]="",NOTA[[#This Row],[JUMLAH_H]],NOTA[[#This Row],[HARGA/ CTN]]*NOTA[[#This Row],[C]])</f>
        <v>2462400</v>
      </c>
      <c r="X400" s="36">
        <f>IF(NOTA[[#This Row],[JUMLAH]]="","",NOTA[[#This Row],[JUMLAH]]*NOTA[[#This Row],[DISC 1]])</f>
        <v>307800</v>
      </c>
      <c r="Y400" s="36">
        <f>IF(NOTA[[#This Row],[JUMLAH]]="","",(NOTA[[#This Row],[JUMLAH]]-NOTA[[#This Row],[DISC 1-]])*NOTA[[#This Row],[DISC 2]])</f>
        <v>107730</v>
      </c>
      <c r="Z400" s="36">
        <f>IF(NOTA[[#This Row],[JUMLAH]]="","",NOTA[[#This Row],[DISC 1-]]+NOTA[[#This Row],[DISC 2-]])</f>
        <v>415530</v>
      </c>
      <c r="AA400" s="36">
        <f>IF(NOTA[[#This Row],[JUMLAH]]="","",NOTA[[#This Row],[JUMLAH]]-NOTA[[#This Row],[DISC]])</f>
        <v>2046870</v>
      </c>
      <c r="AB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400" s="36">
        <f>IF(OR(NOTA[[#This Row],[QTY]]="",NOTA[[#This Row],[HARGA SATUAN]]="",),"",NOTA[[#This Row],[QTY]]*NOTA[[#This Row],[HARGA SATUAN]])</f>
        <v>2462400</v>
      </c>
      <c r="AF400" s="34">
        <f ca="1">IF(NOTA[ID_H]="","",INDEX(NOTA[TANGGAL],MATCH(,INDIRECT(ADDRESS(ROW(NOTA[TANGGAL]),COLUMN(NOTA[TANGGAL]))&amp;":"&amp;ADDRESS(ROW(),COLUMN(NOTA[TANGGAL]))),-1)))</f>
        <v>44856</v>
      </c>
      <c r="AG400" s="30" t="str">
        <f ca="1">IF(NOTA[[#This Row],[NAMA BARANG]]="","",INDEX(NOTA[SUPPLIER],MATCH(,INDIRECT(ADDRESS(ROW(NOTA[ID]),COLUMN(NOTA[ID]))&amp;":"&amp;ADDRESS(ROW(),COLUMN(NOTA[ID]))),-1)))</f>
        <v>ATALI MAKMUR</v>
      </c>
      <c r="AH400" s="16" t="str">
        <f ca="1">IF(NOTA[[#This Row],[ID]]="","",COUNTIF(NOTA[ID_H],NOTA[[#This Row],[ID_H]]))</f>
        <v/>
      </c>
      <c r="AI400" s="16">
        <f ca="1"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>
        <f ca="1">IF(NOTA[[#This Row],[NAMA BARANG]]="","",INDEX(NOTA[ID],MATCH(,INDIRECT(ADDRESS(ROW(NOTA[ID]),COLUMN(NOTA[ID]))&amp;":"&amp;ADDRESS(ROW(),COLUMN(NOTA[ID]))),-1)))</f>
        <v>87</v>
      </c>
      <c r="E401" s="32"/>
      <c r="F401" s="31"/>
      <c r="G401" s="31"/>
      <c r="H401" s="33"/>
      <c r="I401" s="31"/>
      <c r="J401" s="34"/>
      <c r="K401" s="31"/>
      <c r="L401" s="31" t="s">
        <v>595</v>
      </c>
      <c r="M401" s="35">
        <v>4</v>
      </c>
      <c r="N401" s="31">
        <v>3456</v>
      </c>
      <c r="O401" s="31" t="s">
        <v>88</v>
      </c>
      <c r="P401" s="30">
        <v>2450</v>
      </c>
      <c r="Q401" s="103"/>
      <c r="R401" s="35"/>
      <c r="S401" s="37">
        <v>0.125</v>
      </c>
      <c r="T401" s="37">
        <v>0.05</v>
      </c>
      <c r="U401" s="36"/>
      <c r="V401" s="87"/>
      <c r="W401" s="36">
        <f>IF(NOTA[[#This Row],[HARGA/ CTN]]="",NOTA[[#This Row],[JUMLAH_H]],NOTA[[#This Row],[HARGA/ CTN]]*NOTA[[#This Row],[C]])</f>
        <v>8467200</v>
      </c>
      <c r="X401" s="36">
        <f>IF(NOTA[[#This Row],[JUMLAH]]="","",NOTA[[#This Row],[JUMLAH]]*NOTA[[#This Row],[DISC 1]])</f>
        <v>1058400</v>
      </c>
      <c r="Y401" s="36">
        <f>IF(NOTA[[#This Row],[JUMLAH]]="","",(NOTA[[#This Row],[JUMLAH]]-NOTA[[#This Row],[DISC 1-]])*NOTA[[#This Row],[DISC 2]])</f>
        <v>370440</v>
      </c>
      <c r="Z401" s="36">
        <f>IF(NOTA[[#This Row],[JUMLAH]]="","",NOTA[[#This Row],[DISC 1-]]+NOTA[[#This Row],[DISC 2-]])</f>
        <v>1428840</v>
      </c>
      <c r="AA401" s="36">
        <f>IF(NOTA[[#This Row],[JUMLAH]]="","",NOTA[[#This Row],[JUMLAH]]-NOTA[[#This Row],[DISC]])</f>
        <v>7038360</v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1" s="36">
        <f>IF(OR(NOTA[[#This Row],[QTY]]="",NOTA[[#This Row],[HARGA SATUAN]]="",),"",NOTA[[#This Row],[QTY]]*NOTA[[#This Row],[HARGA SATUAN]])</f>
        <v>8467200</v>
      </c>
      <c r="AF401" s="34">
        <f ca="1">IF(NOTA[ID_H]="","",INDEX(NOTA[TANGGAL],MATCH(,INDIRECT(ADDRESS(ROW(NOTA[TANGGAL]),COLUMN(NOTA[TANGGAL]))&amp;":"&amp;ADDRESS(ROW(),COLUMN(NOTA[TANGGAL]))),-1)))</f>
        <v>44856</v>
      </c>
      <c r="AG401" s="30" t="str">
        <f ca="1">IF(NOTA[[#This Row],[NAMA BARANG]]="","",INDEX(NOTA[SUPPLIER],MATCH(,INDIRECT(ADDRESS(ROW(NOTA[ID]),COLUMN(NOTA[ID]))&amp;":"&amp;ADDRESS(ROW(),COLUMN(NOTA[ID]))),-1)))</f>
        <v>ATALI MAKMUR</v>
      </c>
      <c r="AH401" s="16" t="str">
        <f ca="1">IF(NOTA[[#This Row],[ID]]="","",COUNTIF(NOTA[ID_H],NOTA[[#This Row],[ID_H]]))</f>
        <v/>
      </c>
      <c r="AI401" s="16">
        <f ca="1">IF(NOTA[[#This Row],[TGL.NOTA]]="",IF(NOTA[[#This Row],[SUPPLIER_H]]="","",AI400),MONTH(NOTA[[#This Row],[TGL.NOTA]]))</f>
        <v>10</v>
      </c>
      <c r="AJ401" s="16"/>
    </row>
    <row r="402" spans="1:36" ht="20.100000000000001" customHeight="1" x14ac:dyDescent="0.25">
      <c r="A4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87</v>
      </c>
      <c r="E402" s="32"/>
      <c r="F402" s="31"/>
      <c r="G402" s="31"/>
      <c r="H402" s="33"/>
      <c r="I402" s="31"/>
      <c r="J402" s="34"/>
      <c r="K402" s="31"/>
      <c r="L402" s="31" t="s">
        <v>217</v>
      </c>
      <c r="M402" s="35">
        <v>2</v>
      </c>
      <c r="N402" s="31">
        <v>480</v>
      </c>
      <c r="O402" s="31" t="s">
        <v>204</v>
      </c>
      <c r="P402" s="30">
        <v>8800</v>
      </c>
      <c r="Q402" s="103"/>
      <c r="R402" s="35"/>
      <c r="S402" s="37">
        <v>0.125</v>
      </c>
      <c r="T402" s="37">
        <v>0.05</v>
      </c>
      <c r="U402" s="36"/>
      <c r="V402" s="87"/>
      <c r="W402" s="36">
        <f>IF(NOTA[[#This Row],[HARGA/ CTN]]="",NOTA[[#This Row],[JUMLAH_H]],NOTA[[#This Row],[HARGA/ CTN]]*NOTA[[#This Row],[C]])</f>
        <v>4224000</v>
      </c>
      <c r="X402" s="36">
        <f>IF(NOTA[[#This Row],[JUMLAH]]="","",NOTA[[#This Row],[JUMLAH]]*NOTA[[#This Row],[DISC 1]])</f>
        <v>528000</v>
      </c>
      <c r="Y402" s="36">
        <f>IF(NOTA[[#This Row],[JUMLAH]]="","",(NOTA[[#This Row],[JUMLAH]]-NOTA[[#This Row],[DISC 1-]])*NOTA[[#This Row],[DISC 2]])</f>
        <v>184800</v>
      </c>
      <c r="Z402" s="36">
        <f>IF(NOTA[[#This Row],[JUMLAH]]="","",NOTA[[#This Row],[DISC 1-]]+NOTA[[#This Row],[DISC 2-]])</f>
        <v>712800</v>
      </c>
      <c r="AA402" s="36">
        <f>IF(NOTA[[#This Row],[JUMLAH]]="","",NOTA[[#This Row],[JUMLAH]]-NOTA[[#This Row],[DISC]])</f>
        <v>3511200</v>
      </c>
      <c r="AB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02" s="36">
        <f>IF(OR(NOTA[[#This Row],[QTY]]="",NOTA[[#This Row],[HARGA SATUAN]]="",),"",NOTA[[#This Row],[QTY]]*NOTA[[#This Row],[HARGA SATUAN]])</f>
        <v>4224000</v>
      </c>
      <c r="AF402" s="34">
        <f ca="1">IF(NOTA[ID_H]="","",INDEX(NOTA[TANGGAL],MATCH(,INDIRECT(ADDRESS(ROW(NOTA[TANGGAL]),COLUMN(NOTA[TANGGAL]))&amp;":"&amp;ADDRESS(ROW(),COLUMN(NOTA[TANGGAL]))),-1)))</f>
        <v>44856</v>
      </c>
      <c r="AG402" s="30" t="str">
        <f ca="1">IF(NOTA[[#This Row],[NAMA BARANG]]="","",INDEX(NOTA[SUPPLIER],MATCH(,INDIRECT(ADDRESS(ROW(NOTA[ID]),COLUMN(NOTA[ID]))&amp;":"&amp;ADDRESS(ROW(),COLUMN(NOTA[ID]))),-1)))</f>
        <v>ATALI MAKMUR</v>
      </c>
      <c r="AH402" s="16" t="str">
        <f ca="1">IF(NOTA[[#This Row],[ID]]="","",COUNTIF(NOTA[ID_H],NOTA[[#This Row],[ID_H]]))</f>
        <v/>
      </c>
      <c r="AI402" s="16">
        <f ca="1"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>
        <f ca="1">IF(NOTA[[#This Row],[NAMA BARANG]]="","",INDEX(NOTA[ID],MATCH(,INDIRECT(ADDRESS(ROW(NOTA[ID]),COLUMN(NOTA[ID]))&amp;":"&amp;ADDRESS(ROW(),COLUMN(NOTA[ID]))),-1)))</f>
        <v>87</v>
      </c>
      <c r="E403" s="32"/>
      <c r="F403" s="31"/>
      <c r="G403" s="31"/>
      <c r="H403" s="33"/>
      <c r="I403" s="31"/>
      <c r="J403" s="34"/>
      <c r="K403" s="31"/>
      <c r="L403" s="31" t="s">
        <v>596</v>
      </c>
      <c r="M403" s="35">
        <v>2</v>
      </c>
      <c r="N403" s="31">
        <v>576</v>
      </c>
      <c r="O403" s="31" t="s">
        <v>587</v>
      </c>
      <c r="P403" s="30">
        <v>3100</v>
      </c>
      <c r="Q403" s="103"/>
      <c r="R403" s="35"/>
      <c r="S403" s="37">
        <v>0.125</v>
      </c>
      <c r="T403" s="37">
        <v>0.05</v>
      </c>
      <c r="U403" s="36"/>
      <c r="V403" s="87"/>
      <c r="W403" s="36">
        <f>IF(NOTA[[#This Row],[HARGA/ CTN]]="",NOTA[[#This Row],[JUMLAH_H]],NOTA[[#This Row],[HARGA/ CTN]]*NOTA[[#This Row],[C]])</f>
        <v>1785600</v>
      </c>
      <c r="X403" s="36">
        <f>IF(NOTA[[#This Row],[JUMLAH]]="","",NOTA[[#This Row],[JUMLAH]]*NOTA[[#This Row],[DISC 1]])</f>
        <v>223200</v>
      </c>
      <c r="Y403" s="36">
        <f>IF(NOTA[[#This Row],[JUMLAH]]="","",(NOTA[[#This Row],[JUMLAH]]-NOTA[[#This Row],[DISC 1-]])*NOTA[[#This Row],[DISC 2]])</f>
        <v>78120</v>
      </c>
      <c r="Z403" s="36">
        <f>IF(NOTA[[#This Row],[JUMLAH]]="","",NOTA[[#This Row],[DISC 1-]]+NOTA[[#This Row],[DISC 2-]])</f>
        <v>301320</v>
      </c>
      <c r="AA403" s="36">
        <f>IF(NOTA[[#This Row],[JUMLAH]]="","",NOTA[[#This Row],[JUMLAH]]-NOTA[[#This Row],[DISC]])</f>
        <v>1484280</v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403" s="36">
        <f>IF(OR(NOTA[[#This Row],[QTY]]="",NOTA[[#This Row],[HARGA SATUAN]]="",),"",NOTA[[#This Row],[QTY]]*NOTA[[#This Row],[HARGA SATUAN]])</f>
        <v>1785600</v>
      </c>
      <c r="AF403" s="34">
        <f ca="1">IF(NOTA[ID_H]="","",INDEX(NOTA[TANGGAL],MATCH(,INDIRECT(ADDRESS(ROW(NOTA[TANGGAL]),COLUMN(NOTA[TANGGAL]))&amp;":"&amp;ADDRESS(ROW(),COLUMN(NOTA[TANGGAL]))),-1)))</f>
        <v>44856</v>
      </c>
      <c r="AG403" s="30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>
        <f ca="1">IF(NOTA[[#This Row],[TGL.NOTA]]="",IF(NOTA[[#This Row],[SUPPLIER_H]]="","",AI402),MONTH(NOTA[[#This Row],[TGL.NOTA]]))</f>
        <v>10</v>
      </c>
      <c r="AJ403" s="16"/>
    </row>
    <row r="404" spans="1:36" ht="20.100000000000001" customHeight="1" x14ac:dyDescent="0.25">
      <c r="A4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9" t="str">
        <f>IF(NOTA[[#This Row],[ID_P]]="","",MATCH(NOTA[[#This Row],[ID_P]],[1]!B_MSK[N_ID],0))</f>
        <v/>
      </c>
      <c r="D404" s="39">
        <f ca="1">IF(NOTA[[#This Row],[NAMA BARANG]]="","",INDEX(NOTA[ID],MATCH(,INDIRECT(ADDRESS(ROW(NOTA[ID]),COLUMN(NOTA[ID]))&amp;":"&amp;ADDRESS(ROW(),COLUMN(NOTA[ID]))),-1)))</f>
        <v>87</v>
      </c>
      <c r="E404" s="32"/>
      <c r="F404" s="31"/>
      <c r="G404" s="31"/>
      <c r="H404" s="33"/>
      <c r="I404" s="31"/>
      <c r="J404" s="34"/>
      <c r="K404" s="31"/>
      <c r="L404" s="31" t="s">
        <v>333</v>
      </c>
      <c r="M404" s="35">
        <v>5</v>
      </c>
      <c r="N404" s="31">
        <v>720</v>
      </c>
      <c r="O404" s="31" t="s">
        <v>204</v>
      </c>
      <c r="P404" s="30">
        <v>10600</v>
      </c>
      <c r="Q404" s="103"/>
      <c r="R404" s="35"/>
      <c r="S404" s="37">
        <v>0.125</v>
      </c>
      <c r="T404" s="37">
        <v>0.05</v>
      </c>
      <c r="U404" s="36"/>
      <c r="V404" s="87"/>
      <c r="W404" s="36">
        <f>IF(NOTA[[#This Row],[HARGA/ CTN]]="",NOTA[[#This Row],[JUMLAH_H]],NOTA[[#This Row],[HARGA/ CTN]]*NOTA[[#This Row],[C]])</f>
        <v>7632000</v>
      </c>
      <c r="X404" s="36">
        <f>IF(NOTA[[#This Row],[JUMLAH]]="","",NOTA[[#This Row],[JUMLAH]]*NOTA[[#This Row],[DISC 1]])</f>
        <v>954000</v>
      </c>
      <c r="Y404" s="36">
        <f>IF(NOTA[[#This Row],[JUMLAH]]="","",(NOTA[[#This Row],[JUMLAH]]-NOTA[[#This Row],[DISC 1-]])*NOTA[[#This Row],[DISC 2]])</f>
        <v>333900</v>
      </c>
      <c r="Z404" s="36">
        <f>IF(NOTA[[#This Row],[JUMLAH]]="","",NOTA[[#This Row],[DISC 1-]]+NOTA[[#This Row],[DISC 2-]])</f>
        <v>1287900</v>
      </c>
      <c r="AA404" s="36">
        <f>IF(NOTA[[#This Row],[JUMLAH]]="","",NOTA[[#This Row],[JUMLAH]]-NOTA[[#This Row],[DISC]])</f>
        <v>6344100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4" s="36">
        <f>IF(OR(NOTA[[#This Row],[QTY]]="",NOTA[[#This Row],[HARGA SATUAN]]="",),"",NOTA[[#This Row],[QTY]]*NOTA[[#This Row],[HARGA SATUAN]])</f>
        <v>7632000</v>
      </c>
      <c r="AF404" s="34">
        <f ca="1">IF(NOTA[ID_H]="","",INDEX(NOTA[TANGGAL],MATCH(,INDIRECT(ADDRESS(ROW(NOTA[TANGGAL]),COLUMN(NOTA[TANGGAL]))&amp;":"&amp;ADDRESS(ROW(),COLUMN(NOTA[TANGGAL]))),-1)))</f>
        <v>44856</v>
      </c>
      <c r="AG404" s="30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>
        <f ca="1"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87</v>
      </c>
      <c r="E405" s="32"/>
      <c r="F405" s="31"/>
      <c r="G405" s="31"/>
      <c r="H405" s="33"/>
      <c r="I405" s="31"/>
      <c r="J405" s="34"/>
      <c r="K405" s="31"/>
      <c r="L405" s="31" t="s">
        <v>449</v>
      </c>
      <c r="M405" s="35">
        <v>5</v>
      </c>
      <c r="N405" s="31">
        <v>360</v>
      </c>
      <c r="O405" s="31" t="s">
        <v>204</v>
      </c>
      <c r="P405" s="30">
        <v>21200</v>
      </c>
      <c r="Q405" s="103"/>
      <c r="R405" s="35"/>
      <c r="S405" s="37">
        <v>0.125</v>
      </c>
      <c r="T405" s="37">
        <v>0.05</v>
      </c>
      <c r="U405" s="36"/>
      <c r="V405" s="87"/>
      <c r="W405" s="36">
        <f>IF(NOTA[[#This Row],[HARGA/ CTN]]="",NOTA[[#This Row],[JUMLAH_H]],NOTA[[#This Row],[HARGA/ CTN]]*NOTA[[#This Row],[C]])</f>
        <v>7632000</v>
      </c>
      <c r="X405" s="36">
        <f>IF(NOTA[[#This Row],[JUMLAH]]="","",NOTA[[#This Row],[JUMLAH]]*NOTA[[#This Row],[DISC 1]])</f>
        <v>954000</v>
      </c>
      <c r="Y405" s="36">
        <f>IF(NOTA[[#This Row],[JUMLAH]]="","",(NOTA[[#This Row],[JUMLAH]]-NOTA[[#This Row],[DISC 1-]])*NOTA[[#This Row],[DISC 2]])</f>
        <v>333900</v>
      </c>
      <c r="Z405" s="36">
        <f>IF(NOTA[[#This Row],[JUMLAH]]="","",NOTA[[#This Row],[DISC 1-]]+NOTA[[#This Row],[DISC 2-]])</f>
        <v>1287900</v>
      </c>
      <c r="AA405" s="36">
        <f>IF(NOTA[[#This Row],[JUMLAH]]="","",NOTA[[#This Row],[JUMLAH]]-NOTA[[#This Row],[DISC]])</f>
        <v>6344100</v>
      </c>
      <c r="AB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5" s="36">
        <f>IF(OR(NOTA[[#This Row],[QTY]]="",NOTA[[#This Row],[HARGA SATUAN]]="",),"",NOTA[[#This Row],[QTY]]*NOTA[[#This Row],[HARGA SATUAN]])</f>
        <v>7632000</v>
      </c>
      <c r="AF405" s="34">
        <f ca="1">IF(NOTA[ID_H]="","",INDEX(NOTA[TANGGAL],MATCH(,INDIRECT(ADDRESS(ROW(NOTA[TANGGAL]),COLUMN(NOTA[TANGGAL]))&amp;":"&amp;ADDRESS(ROW(),COLUMN(NOTA[TANGGAL]))),-1)))</f>
        <v>44856</v>
      </c>
      <c r="AG405" s="30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87</v>
      </c>
      <c r="E406" s="32"/>
      <c r="F406" s="31"/>
      <c r="G406" s="31"/>
      <c r="H406" s="33"/>
      <c r="I406" s="31"/>
      <c r="J406" s="34"/>
      <c r="K406" s="31"/>
      <c r="L406" s="31" t="s">
        <v>471</v>
      </c>
      <c r="M406" s="35">
        <v>5</v>
      </c>
      <c r="N406" s="31">
        <v>720</v>
      </c>
      <c r="O406" s="31" t="s">
        <v>88</v>
      </c>
      <c r="P406" s="30">
        <v>6300</v>
      </c>
      <c r="Q406" s="103"/>
      <c r="R406" s="35"/>
      <c r="S406" s="37">
        <v>0.125</v>
      </c>
      <c r="T406" s="37">
        <v>0.05</v>
      </c>
      <c r="U406" s="36"/>
      <c r="V406" s="87"/>
      <c r="W406" s="36">
        <f>IF(NOTA[[#This Row],[HARGA/ CTN]]="",NOTA[[#This Row],[JUMLAH_H]],NOTA[[#This Row],[HARGA/ CTN]]*NOTA[[#This Row],[C]])</f>
        <v>4536000</v>
      </c>
      <c r="X406" s="36">
        <f>IF(NOTA[[#This Row],[JUMLAH]]="","",NOTA[[#This Row],[JUMLAH]]*NOTA[[#This Row],[DISC 1]])</f>
        <v>567000</v>
      </c>
      <c r="Y406" s="36">
        <f>IF(NOTA[[#This Row],[JUMLAH]]="","",(NOTA[[#This Row],[JUMLAH]]-NOTA[[#This Row],[DISC 1-]])*NOTA[[#This Row],[DISC 2]])</f>
        <v>198450</v>
      </c>
      <c r="Z406" s="36">
        <f>IF(NOTA[[#This Row],[JUMLAH]]="","",NOTA[[#This Row],[DISC 1-]]+NOTA[[#This Row],[DISC 2-]])</f>
        <v>765450</v>
      </c>
      <c r="AA406" s="36">
        <f>IF(NOTA[[#This Row],[JUMLAH]]="","",NOTA[[#This Row],[JUMLAH]]-NOTA[[#This Row],[DISC]])</f>
        <v>3770550</v>
      </c>
      <c r="AB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406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6" s="36">
        <f>IF(OR(NOTA[[#This Row],[QTY]]="",NOTA[[#This Row],[HARGA SATUAN]]="",),"",NOTA[[#This Row],[QTY]]*NOTA[[#This Row],[HARGA SATUAN]])</f>
        <v>4536000</v>
      </c>
      <c r="AF406" s="34">
        <f ca="1">IF(NOTA[ID_H]="","",INDEX(NOTA[TANGGAL],MATCH(,INDIRECT(ADDRESS(ROW(NOTA[TANGGAL]),COLUMN(NOTA[TANGGAL]))&amp;":"&amp;ADDRESS(ROW(),COLUMN(NOTA[TANGGAL]))),-1)))</f>
        <v>44856</v>
      </c>
      <c r="AG406" s="30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>
        <f ca="1">IF(NOTA[[#This Row],[TGL.NOTA]]="",IF(NOTA[[#This Row],[SUPPLIER_H]]="","",AI405),MONTH(NOTA[[#This Row],[TGL.NOTA]]))</f>
        <v>10</v>
      </c>
      <c r="AJ406" s="16"/>
    </row>
    <row r="407" spans="1:36" ht="20.100000000000001" customHeight="1" x14ac:dyDescent="0.25">
      <c r="A4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 t="str">
        <f ca="1">IF(NOTA[[#This Row],[NAMA BARANG]]="","",INDEX(NOTA[ID],MATCH(,INDIRECT(ADDRESS(ROW(NOTA[ID]),COLUMN(NOTA[ID]))&amp;":"&amp;ADDRESS(ROW(),COLUMN(NOTA[ID]))),-1)))</f>
        <v/>
      </c>
      <c r="E407" s="32"/>
      <c r="F407" s="31"/>
      <c r="G407" s="31"/>
      <c r="H407" s="33"/>
      <c r="I407" s="31"/>
      <c r="J407" s="34"/>
      <c r="K407" s="31"/>
      <c r="L407" s="31"/>
      <c r="M407" s="35"/>
      <c r="N407" s="31"/>
      <c r="O407" s="31"/>
      <c r="P407" s="30"/>
      <c r="Q407" s="103"/>
      <c r="R407" s="35"/>
      <c r="S407" s="37"/>
      <c r="T407" s="37"/>
      <c r="U407" s="36"/>
      <c r="V407" s="87"/>
      <c r="W407" s="36" t="str">
        <f>IF(NOTA[[#This Row],[HARGA/ CTN]]="",NOTA[[#This Row],[JUMLAH_H]],NOTA[[#This Row],[HARGA/ CTN]]*NOTA[[#This Row],[C]])</f>
        <v/>
      </c>
      <c r="X407" s="36" t="str">
        <f>IF(NOTA[[#This Row],[JUMLAH]]="","",NOTA[[#This Row],[JUMLAH]]*NOTA[[#This Row],[DISC 1]])</f>
        <v/>
      </c>
      <c r="Y407" s="36" t="str">
        <f>IF(NOTA[[#This Row],[JUMLAH]]="","",(NOTA[[#This Row],[JUMLAH]]-NOTA[[#This Row],[DISC 1-]])*NOTA[[#This Row],[DISC 2]])</f>
        <v/>
      </c>
      <c r="Z407" s="36" t="str">
        <f>IF(NOTA[[#This Row],[JUMLAH]]="","",NOTA[[#This Row],[DISC 1-]]+NOTA[[#This Row],[DISC 2-]])</f>
        <v/>
      </c>
      <c r="AA407" s="36" t="str">
        <f>IF(NOTA[[#This Row],[JUMLAH]]="","",NOTA[[#This Row],[JUMLAH]]-NOTA[[#This Row],[DISC]])</f>
        <v/>
      </c>
      <c r="AB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102" t="str">
        <f>IF(OR(NOTA[[#This Row],[QTY]]="",NOTA[[#This Row],[HARGA SATUAN]]="",),"",NOTA[[#This Row],[QTY]]*NOTA[[#This Row],[HARGA SATUAN]])</f>
        <v/>
      </c>
      <c r="AF407" s="34" t="str">
        <f ca="1">IF(NOTA[ID_H]="","",INDEX(NOTA[TANGGAL],MATCH(,INDIRECT(ADDRESS(ROW(NOTA[TANGGAL]),COLUMN(NOTA[TANGGAL]))&amp;":"&amp;ADDRESS(ROW(),COLUMN(NOTA[TANGGAL]))),-1)))</f>
        <v/>
      </c>
      <c r="AG407" s="30" t="str">
        <f ca="1">IF(NOTA[[#This Row],[NAMA BARANG]]="","",INDEX(NOTA[SUPPLIER],MATCH(,INDIRECT(ADDRESS(ROW(NOTA[ID]),COLUMN(NOTA[ID]))&amp;":"&amp;ADDRESS(ROW(),COLUMN(NOTA[ID]))),-1)))</f>
        <v/>
      </c>
      <c r="AH407" s="22" t="str">
        <f ca="1">IF(NOTA[[#This Row],[ID]]="","",COUNTIF(NOTA[ID_H],NOTA[[#This Row],[ID_H]]))</f>
        <v/>
      </c>
      <c r="AI407" s="16" t="str">
        <f ca="1">IF(NOTA[[#This Row],[TGL.NOTA]]="",IF(NOTA[[#This Row],[SUPPLIER_H]]="","",AI406),MONTH(NOTA[[#This Row],[TGL.NOTA]]))</f>
        <v/>
      </c>
      <c r="AJ407" s="16"/>
    </row>
    <row r="408" spans="1:36" ht="20.100000000000001" customHeight="1" x14ac:dyDescent="0.25">
      <c r="A408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408" s="39" t="e">
        <f ca="1">IF(NOTA[[#This Row],[ID_P]]="","",MATCH(NOTA[[#This Row],[ID_P]],[1]!B_MSK[N_ID],0))</f>
        <v>#REF!</v>
      </c>
      <c r="D408" s="39">
        <f ca="1">IF(NOTA[[#This Row],[NAMA BARANG]]="","",INDEX(NOTA[ID],MATCH(,INDIRECT(ADDRESS(ROW(NOTA[ID]),COLUMN(NOTA[ID]))&amp;":"&amp;ADDRESS(ROW(),COLUMN(NOTA[ID]))),-1)))</f>
        <v>88</v>
      </c>
      <c r="E408" s="32"/>
      <c r="F408" s="31" t="s">
        <v>25</v>
      </c>
      <c r="G408" s="31" t="s">
        <v>24</v>
      </c>
      <c r="H408" s="33" t="s">
        <v>583</v>
      </c>
      <c r="I408" s="31"/>
      <c r="J408" s="34">
        <v>44853</v>
      </c>
      <c r="K408" s="31"/>
      <c r="L408" s="31" t="s">
        <v>597</v>
      </c>
      <c r="M408" s="35">
        <v>2</v>
      </c>
      <c r="N408" s="31">
        <v>24</v>
      </c>
      <c r="O408" s="31" t="s">
        <v>220</v>
      </c>
      <c r="P408" s="30">
        <v>176400</v>
      </c>
      <c r="Q408" s="103"/>
      <c r="R408" s="35"/>
      <c r="S408" s="37">
        <v>0.125</v>
      </c>
      <c r="T408" s="37">
        <v>0.05</v>
      </c>
      <c r="U408" s="36"/>
      <c r="V408" s="87"/>
      <c r="W408" s="36">
        <f>IF(NOTA[[#This Row],[HARGA/ CTN]]="",NOTA[[#This Row],[JUMLAH_H]],NOTA[[#This Row],[HARGA/ CTN]]*NOTA[[#This Row],[C]])</f>
        <v>4233600</v>
      </c>
      <c r="X408" s="36">
        <f>IF(NOTA[[#This Row],[JUMLAH]]="","",NOTA[[#This Row],[JUMLAH]]*NOTA[[#This Row],[DISC 1]])</f>
        <v>529200</v>
      </c>
      <c r="Y408" s="36">
        <f>IF(NOTA[[#This Row],[JUMLAH]]="","",(NOTA[[#This Row],[JUMLAH]]-NOTA[[#This Row],[DISC 1-]])*NOTA[[#This Row],[DISC 2]])</f>
        <v>185220</v>
      </c>
      <c r="Z408" s="36">
        <f>IF(NOTA[[#This Row],[JUMLAH]]="","",NOTA[[#This Row],[DISC 1-]]+NOTA[[#This Row],[DISC 2-]])</f>
        <v>714420</v>
      </c>
      <c r="AA408" s="36">
        <f>IF(NOTA[[#This Row],[JUMLAH]]="","",NOTA[[#This Row],[JUMLAH]]-NOTA[[#This Row],[DISC]])</f>
        <v>3519180</v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8" s="36">
        <f>IF(OR(NOTA[[#This Row],[QTY]]="",NOTA[[#This Row],[HARGA SATUAN]]="",),"",NOTA[[#This Row],[QTY]]*NOTA[[#This Row],[HARGA SATUAN]])</f>
        <v>4233600</v>
      </c>
      <c r="AF408" s="34">
        <f ca="1">IF(NOTA[ID_H]="","",INDEX(NOTA[TANGGAL],MATCH(,INDIRECT(ADDRESS(ROW(NOTA[TANGGAL]),COLUMN(NOTA[TANGGAL]))&amp;":"&amp;ADDRESS(ROW(),COLUMN(NOTA[TANGGAL]))),-1)))</f>
        <v>44856</v>
      </c>
      <c r="AG408" s="30" t="str">
        <f ca="1">IF(NOTA[[#This Row],[NAMA BARANG]]="","",INDEX(NOTA[SUPPLIER],MATCH(,INDIRECT(ADDRESS(ROW(NOTA[ID]),COLUMN(NOTA[ID]))&amp;":"&amp;ADDRESS(ROW(),COLUMN(NOTA[ID]))),-1)))</f>
        <v>ATALI MAKMUR</v>
      </c>
      <c r="AH408" s="16">
        <f ca="1">IF(NOTA[[#This Row],[ID]]="","",COUNTIF(NOTA[ID_H],NOTA[[#This Row],[ID_H]]))</f>
        <v>12</v>
      </c>
      <c r="AI408" s="16">
        <f>IF(NOTA[[#This Row],[TGL.NOTA]]="",IF(NOTA[[#This Row],[SUPPLIER_H]]="","",AI407),MONTH(NOTA[[#This Row],[TGL.NOTA]]))</f>
        <v>10</v>
      </c>
      <c r="AJ408" s="16"/>
    </row>
    <row r="409" spans="1:36" ht="20.100000000000001" customHeight="1" x14ac:dyDescent="0.25">
      <c r="A4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88</v>
      </c>
      <c r="E409" s="32"/>
      <c r="F409" s="31"/>
      <c r="G409" s="31"/>
      <c r="H409" s="33"/>
      <c r="I409" s="31"/>
      <c r="J409" s="34"/>
      <c r="K409" s="31"/>
      <c r="L409" s="31" t="s">
        <v>598</v>
      </c>
      <c r="M409" s="35">
        <v>2</v>
      </c>
      <c r="N409" s="31">
        <v>48</v>
      </c>
      <c r="O409" s="31" t="s">
        <v>88</v>
      </c>
      <c r="P409" s="30">
        <v>97000</v>
      </c>
      <c r="Q409" s="103"/>
      <c r="R409" s="35"/>
      <c r="S409" s="37">
        <v>0.125</v>
      </c>
      <c r="T409" s="37">
        <v>0.05</v>
      </c>
      <c r="U409" s="36"/>
      <c r="V409" s="87"/>
      <c r="W409" s="36">
        <f>IF(NOTA[[#This Row],[HARGA/ CTN]]="",NOTA[[#This Row],[JUMLAH_H]],NOTA[[#This Row],[HARGA/ CTN]]*NOTA[[#This Row],[C]])</f>
        <v>4656000</v>
      </c>
      <c r="X409" s="36">
        <f>IF(NOTA[[#This Row],[JUMLAH]]="","",NOTA[[#This Row],[JUMLAH]]*NOTA[[#This Row],[DISC 1]])</f>
        <v>582000</v>
      </c>
      <c r="Y409" s="36">
        <f>IF(NOTA[[#This Row],[JUMLAH]]="","",(NOTA[[#This Row],[JUMLAH]]-NOTA[[#This Row],[DISC 1-]])*NOTA[[#This Row],[DISC 2]])</f>
        <v>203700</v>
      </c>
      <c r="Z409" s="36">
        <f>IF(NOTA[[#This Row],[JUMLAH]]="","",NOTA[[#This Row],[DISC 1-]]+NOTA[[#This Row],[DISC 2-]])</f>
        <v>785700</v>
      </c>
      <c r="AA409" s="36">
        <f>IF(NOTA[[#This Row],[JUMLAH]]="","",NOTA[[#This Row],[JUMLAH]]-NOTA[[#This Row],[DISC]])</f>
        <v>3870300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409" s="36">
        <f>IF(OR(NOTA[[#This Row],[QTY]]="",NOTA[[#This Row],[HARGA SATUAN]]="",),"",NOTA[[#This Row],[QTY]]*NOTA[[#This Row],[HARGA SATUAN]])</f>
        <v>4656000</v>
      </c>
      <c r="AF409" s="34">
        <f ca="1">IF(NOTA[ID_H]="","",INDEX(NOTA[TANGGAL],MATCH(,INDIRECT(ADDRESS(ROW(NOTA[TANGGAL]),COLUMN(NOTA[TANGGAL]))&amp;":"&amp;ADDRESS(ROW(),COLUMN(NOTA[TANGGAL]))),-1)))</f>
        <v>44856</v>
      </c>
      <c r="AG409" s="30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>
        <f ca="1"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88</v>
      </c>
      <c r="E410" s="32"/>
      <c r="F410" s="31"/>
      <c r="G410" s="31"/>
      <c r="H410" s="33"/>
      <c r="I410" s="31"/>
      <c r="J410" s="34"/>
      <c r="K410" s="31"/>
      <c r="L410" s="31" t="s">
        <v>475</v>
      </c>
      <c r="M410" s="35">
        <v>5</v>
      </c>
      <c r="N410" s="31">
        <v>150</v>
      </c>
      <c r="O410" s="31" t="s">
        <v>220</v>
      </c>
      <c r="P410" s="30">
        <v>104400</v>
      </c>
      <c r="Q410" s="103"/>
      <c r="R410" s="35"/>
      <c r="S410" s="37">
        <v>0.125</v>
      </c>
      <c r="T410" s="37">
        <v>0.05</v>
      </c>
      <c r="U410" s="36"/>
      <c r="V410" s="87"/>
      <c r="W410" s="36">
        <f>IF(NOTA[[#This Row],[HARGA/ CTN]]="",NOTA[[#This Row],[JUMLAH_H]],NOTA[[#This Row],[HARGA/ CTN]]*NOTA[[#This Row],[C]])</f>
        <v>15660000</v>
      </c>
      <c r="X410" s="36">
        <f>IF(NOTA[[#This Row],[JUMLAH]]="","",NOTA[[#This Row],[JUMLAH]]*NOTA[[#This Row],[DISC 1]])</f>
        <v>1957500</v>
      </c>
      <c r="Y410" s="36">
        <f>IF(NOTA[[#This Row],[JUMLAH]]="","",(NOTA[[#This Row],[JUMLAH]]-NOTA[[#This Row],[DISC 1-]])*NOTA[[#This Row],[DISC 2]])</f>
        <v>685125</v>
      </c>
      <c r="Z410" s="36">
        <f>IF(NOTA[[#This Row],[JUMLAH]]="","",NOTA[[#This Row],[DISC 1-]]+NOTA[[#This Row],[DISC 2-]])</f>
        <v>2642625</v>
      </c>
      <c r="AA410" s="36">
        <f>IF(NOTA[[#This Row],[JUMLAH]]="","",NOTA[[#This Row],[JUMLAH]]-NOTA[[#This Row],[DISC]])</f>
        <v>13017375</v>
      </c>
      <c r="AB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10" s="36">
        <f>IF(OR(NOTA[[#This Row],[QTY]]="",NOTA[[#This Row],[HARGA SATUAN]]="",),"",NOTA[[#This Row],[QTY]]*NOTA[[#This Row],[HARGA SATUAN]])</f>
        <v>15660000</v>
      </c>
      <c r="AF410" s="34">
        <f ca="1">IF(NOTA[ID_H]="","",INDEX(NOTA[TANGGAL],MATCH(,INDIRECT(ADDRESS(ROW(NOTA[TANGGAL]),COLUMN(NOTA[TANGGAL]))&amp;":"&amp;ADDRESS(ROW(),COLUMN(NOTA[TANGGAL]))),-1)))</f>
        <v>44856</v>
      </c>
      <c r="AG410" s="30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88</v>
      </c>
      <c r="E411" s="32"/>
      <c r="F411" s="31"/>
      <c r="G411" s="31"/>
      <c r="H411" s="33"/>
      <c r="I411" s="31"/>
      <c r="J411" s="34"/>
      <c r="K411" s="31"/>
      <c r="L411" s="31" t="s">
        <v>599</v>
      </c>
      <c r="M411" s="35">
        <v>3</v>
      </c>
      <c r="N411" s="31">
        <v>864</v>
      </c>
      <c r="O411" s="31" t="s">
        <v>88</v>
      </c>
      <c r="P411" s="30">
        <v>4800</v>
      </c>
      <c r="Q411" s="103"/>
      <c r="R411" s="35"/>
      <c r="S411" s="37">
        <v>0.125</v>
      </c>
      <c r="T411" s="37">
        <v>0.05</v>
      </c>
      <c r="U411" s="36"/>
      <c r="V411" s="87"/>
      <c r="W411" s="36">
        <f>IF(NOTA[[#This Row],[HARGA/ CTN]]="",NOTA[[#This Row],[JUMLAH_H]],NOTA[[#This Row],[HARGA/ CTN]]*NOTA[[#This Row],[C]])</f>
        <v>4147200</v>
      </c>
      <c r="X411" s="36">
        <f>IF(NOTA[[#This Row],[JUMLAH]]="","",NOTA[[#This Row],[JUMLAH]]*NOTA[[#This Row],[DISC 1]])</f>
        <v>518400</v>
      </c>
      <c r="Y411" s="36">
        <f>IF(NOTA[[#This Row],[JUMLAH]]="","",(NOTA[[#This Row],[JUMLAH]]-NOTA[[#This Row],[DISC 1-]])*NOTA[[#This Row],[DISC 2]])</f>
        <v>181440</v>
      </c>
      <c r="Z411" s="36">
        <f>IF(NOTA[[#This Row],[JUMLAH]]="","",NOTA[[#This Row],[DISC 1-]]+NOTA[[#This Row],[DISC 2-]])</f>
        <v>699840</v>
      </c>
      <c r="AA411" s="36">
        <f>IF(NOTA[[#This Row],[JUMLAH]]="","",NOTA[[#This Row],[JUMLAH]]-NOTA[[#This Row],[DISC]])</f>
        <v>3447360</v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11" s="36">
        <f>IF(OR(NOTA[[#This Row],[QTY]]="",NOTA[[#This Row],[HARGA SATUAN]]="",),"",NOTA[[#This Row],[QTY]]*NOTA[[#This Row],[HARGA SATUAN]])</f>
        <v>4147200</v>
      </c>
      <c r="AF411" s="34">
        <f ca="1">IF(NOTA[ID_H]="","",INDEX(NOTA[TANGGAL],MATCH(,INDIRECT(ADDRESS(ROW(NOTA[TANGGAL]),COLUMN(NOTA[TANGGAL]))&amp;":"&amp;ADDRESS(ROW(),COLUMN(NOTA[TANGGAL]))),-1)))</f>
        <v>44856</v>
      </c>
      <c r="AG411" s="30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>
        <f ca="1">IF(NOTA[[#This Row],[TGL.NOTA]]="",IF(NOTA[[#This Row],[SUPPLIER_H]]="","",AI410),MONTH(NOTA[[#This Row],[TGL.NOTA]]))</f>
        <v>10</v>
      </c>
      <c r="AJ411" s="16"/>
    </row>
    <row r="412" spans="1:36" ht="20.100000000000001" customHeight="1" x14ac:dyDescent="0.25">
      <c r="A4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>
        <f ca="1">IF(NOTA[[#This Row],[NAMA BARANG]]="","",INDEX(NOTA[ID],MATCH(,INDIRECT(ADDRESS(ROW(NOTA[ID]),COLUMN(NOTA[ID]))&amp;":"&amp;ADDRESS(ROW(),COLUMN(NOTA[ID]))),-1)))</f>
        <v>88</v>
      </c>
      <c r="E412" s="32"/>
      <c r="F412" s="31"/>
      <c r="G412" s="31"/>
      <c r="H412" s="33"/>
      <c r="I412" s="31"/>
      <c r="J412" s="34"/>
      <c r="K412" s="31"/>
      <c r="L412" s="31" t="s">
        <v>600</v>
      </c>
      <c r="M412" s="35" t="s">
        <v>586</v>
      </c>
      <c r="N412" s="31">
        <v>144</v>
      </c>
      <c r="O412" s="31" t="s">
        <v>88</v>
      </c>
      <c r="P412" s="30">
        <v>4800</v>
      </c>
      <c r="Q412" s="103"/>
      <c r="R412" s="35"/>
      <c r="S412" s="37">
        <v>0.125</v>
      </c>
      <c r="T412" s="37">
        <v>0.05</v>
      </c>
      <c r="U412" s="36"/>
      <c r="V412" s="87"/>
      <c r="W412" s="36">
        <f>IF(NOTA[[#This Row],[HARGA/ CTN]]="",NOTA[[#This Row],[JUMLAH_H]],NOTA[[#This Row],[HARGA/ CTN]]*NOTA[[#This Row],[C]])</f>
        <v>691200</v>
      </c>
      <c r="X412" s="36">
        <f>IF(NOTA[[#This Row],[JUMLAH]]="","",NOTA[[#This Row],[JUMLAH]]*NOTA[[#This Row],[DISC 1]])</f>
        <v>86400</v>
      </c>
      <c r="Y412" s="36">
        <f>IF(NOTA[[#This Row],[JUMLAH]]="","",(NOTA[[#This Row],[JUMLAH]]-NOTA[[#This Row],[DISC 1-]])*NOTA[[#This Row],[DISC 2]])</f>
        <v>30240</v>
      </c>
      <c r="Z412" s="36">
        <f>IF(NOTA[[#This Row],[JUMLAH]]="","",NOTA[[#This Row],[DISC 1-]]+NOTA[[#This Row],[DISC 2-]])</f>
        <v>116640</v>
      </c>
      <c r="AA412" s="36">
        <f>IF(NOTA[[#This Row],[JUMLAH]]="","",NOTA[[#This Row],[JUMLAH]]-NOTA[[#This Row],[DISC]])</f>
        <v>574560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2" s="36">
        <f>IF(OR(NOTA[[#This Row],[QTY]]="",NOTA[[#This Row],[HARGA SATUAN]]="",),"",NOTA[[#This Row],[QTY]]*NOTA[[#This Row],[HARGA SATUAN]])</f>
        <v>691200</v>
      </c>
      <c r="AF412" s="34">
        <f ca="1">IF(NOTA[ID_H]="","",INDEX(NOTA[TANGGAL],MATCH(,INDIRECT(ADDRESS(ROW(NOTA[TANGGAL]),COLUMN(NOTA[TANGGAL]))&amp;":"&amp;ADDRESS(ROW(),COLUMN(NOTA[TANGGAL]))),-1)))</f>
        <v>44856</v>
      </c>
      <c r="AG412" s="30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>
        <f ca="1"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88</v>
      </c>
      <c r="E413" s="32"/>
      <c r="F413" s="31"/>
      <c r="G413" s="31"/>
      <c r="H413" s="33"/>
      <c r="I413" s="31"/>
      <c r="J413" s="34"/>
      <c r="K413" s="31"/>
      <c r="L413" s="31" t="s">
        <v>601</v>
      </c>
      <c r="M413" s="35" t="s">
        <v>586</v>
      </c>
      <c r="N413" s="31">
        <v>144</v>
      </c>
      <c r="O413" s="31" t="s">
        <v>88</v>
      </c>
      <c r="P413" s="30">
        <v>4800</v>
      </c>
      <c r="Q413" s="103"/>
      <c r="R413" s="35"/>
      <c r="S413" s="37">
        <v>0.125</v>
      </c>
      <c r="T413" s="37">
        <v>0.05</v>
      </c>
      <c r="U413" s="36"/>
      <c r="V413" s="87"/>
      <c r="W413" s="36">
        <f>IF(NOTA[[#This Row],[HARGA/ CTN]]="",NOTA[[#This Row],[JUMLAH_H]],NOTA[[#This Row],[HARGA/ CTN]]*NOTA[[#This Row],[C]])</f>
        <v>691200</v>
      </c>
      <c r="X413" s="36">
        <f>IF(NOTA[[#This Row],[JUMLAH]]="","",NOTA[[#This Row],[JUMLAH]]*NOTA[[#This Row],[DISC 1]])</f>
        <v>86400</v>
      </c>
      <c r="Y413" s="36">
        <f>IF(NOTA[[#This Row],[JUMLAH]]="","",(NOTA[[#This Row],[JUMLAH]]-NOTA[[#This Row],[DISC 1-]])*NOTA[[#This Row],[DISC 2]])</f>
        <v>30240</v>
      </c>
      <c r="Z413" s="36">
        <f>IF(NOTA[[#This Row],[JUMLAH]]="","",NOTA[[#This Row],[DISC 1-]]+NOTA[[#This Row],[DISC 2-]])</f>
        <v>116640</v>
      </c>
      <c r="AA413" s="36">
        <f>IF(NOTA[[#This Row],[JUMLAH]]="","",NOTA[[#This Row],[JUMLAH]]-NOTA[[#This Row],[DISC]])</f>
        <v>574560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3" s="36">
        <f>IF(OR(NOTA[[#This Row],[QTY]]="",NOTA[[#This Row],[HARGA SATUAN]]="",),"",NOTA[[#This Row],[QTY]]*NOTA[[#This Row],[HARGA SATUAN]])</f>
        <v>691200</v>
      </c>
      <c r="AF413" s="34">
        <f ca="1">IF(NOTA[ID_H]="","",INDEX(NOTA[TANGGAL],MATCH(,INDIRECT(ADDRESS(ROW(NOTA[TANGGAL]),COLUMN(NOTA[TANGGAL]))&amp;":"&amp;ADDRESS(ROW(),COLUMN(NOTA[TANGGAL]))),-1)))</f>
        <v>44856</v>
      </c>
      <c r="AG413" s="30" t="str">
        <f ca="1">IF(NOTA[[#This Row],[NAMA BARANG]]="","",INDEX(NOTA[SUPPLIER],MATCH(,INDIRECT(ADDRESS(ROW(NOTA[ID]),COLUMN(NOTA[ID]))&amp;":"&amp;ADDRESS(ROW(),COLUMN(NOTA[ID]))),-1)))</f>
        <v>ATALI MAKMUR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88</v>
      </c>
      <c r="E414" s="32"/>
      <c r="F414" s="31"/>
      <c r="G414" s="31"/>
      <c r="H414" s="33"/>
      <c r="I414" s="31"/>
      <c r="J414" s="34"/>
      <c r="K414" s="31"/>
      <c r="L414" s="31" t="s">
        <v>602</v>
      </c>
      <c r="M414" s="35" t="s">
        <v>586</v>
      </c>
      <c r="N414" s="31">
        <v>144</v>
      </c>
      <c r="O414" s="31" t="s">
        <v>88</v>
      </c>
      <c r="P414" s="30">
        <v>4800</v>
      </c>
      <c r="Q414" s="103"/>
      <c r="R414" s="35"/>
      <c r="S414" s="37">
        <v>0.125</v>
      </c>
      <c r="T414" s="37">
        <v>0.05</v>
      </c>
      <c r="U414" s="36"/>
      <c r="V414" s="87"/>
      <c r="W414" s="36">
        <f>IF(NOTA[[#This Row],[HARGA/ CTN]]="",NOTA[[#This Row],[JUMLAH_H]],NOTA[[#This Row],[HARGA/ CTN]]*NOTA[[#This Row],[C]])</f>
        <v>691200</v>
      </c>
      <c r="X414" s="36">
        <f>IF(NOTA[[#This Row],[JUMLAH]]="","",NOTA[[#This Row],[JUMLAH]]*NOTA[[#This Row],[DISC 1]])</f>
        <v>86400</v>
      </c>
      <c r="Y414" s="36">
        <f>IF(NOTA[[#This Row],[JUMLAH]]="","",(NOTA[[#This Row],[JUMLAH]]-NOTA[[#This Row],[DISC 1-]])*NOTA[[#This Row],[DISC 2]])</f>
        <v>30240</v>
      </c>
      <c r="Z414" s="36">
        <f>IF(NOTA[[#This Row],[JUMLAH]]="","",NOTA[[#This Row],[DISC 1-]]+NOTA[[#This Row],[DISC 2-]])</f>
        <v>116640</v>
      </c>
      <c r="AA414" s="36">
        <f>IF(NOTA[[#This Row],[JUMLAH]]="","",NOTA[[#This Row],[JUMLAH]]-NOTA[[#This Row],[DISC]])</f>
        <v>574560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4" s="36">
        <f>IF(OR(NOTA[[#This Row],[QTY]]="",NOTA[[#This Row],[HARGA SATUAN]]="",),"",NOTA[[#This Row],[QTY]]*NOTA[[#This Row],[HARGA SATUAN]])</f>
        <v>691200</v>
      </c>
      <c r="AF414" s="34">
        <f ca="1">IF(NOTA[ID_H]="","",INDEX(NOTA[TANGGAL],MATCH(,INDIRECT(ADDRESS(ROW(NOTA[TANGGAL]),COLUMN(NOTA[TANGGAL]))&amp;":"&amp;ADDRESS(ROW(),COLUMN(NOTA[TANGGAL]))),-1)))</f>
        <v>44856</v>
      </c>
      <c r="AG414" s="30" t="str">
        <f ca="1">IF(NOTA[[#This Row],[NAMA BARANG]]="","",INDEX(NOTA[SUPPLIER],MATCH(,INDIRECT(ADDRESS(ROW(NOTA[ID]),COLUMN(NOTA[ID]))&amp;":"&amp;ADDRESS(ROW(),COLUMN(NOTA[ID]))),-1)))</f>
        <v>ATALI MAKMUR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88</v>
      </c>
      <c r="E415" s="32"/>
      <c r="F415" s="31"/>
      <c r="G415" s="31"/>
      <c r="H415" s="33"/>
      <c r="I415" s="31"/>
      <c r="J415" s="34"/>
      <c r="K415" s="31"/>
      <c r="L415" s="31" t="s">
        <v>603</v>
      </c>
      <c r="M415" s="35" t="s">
        <v>586</v>
      </c>
      <c r="N415" s="31">
        <v>144</v>
      </c>
      <c r="O415" s="31" t="s">
        <v>88</v>
      </c>
      <c r="P415" s="30">
        <v>4800</v>
      </c>
      <c r="Q415" s="103"/>
      <c r="R415" s="35"/>
      <c r="S415" s="37">
        <v>0.125</v>
      </c>
      <c r="T415" s="37">
        <v>0.05</v>
      </c>
      <c r="U415" s="36"/>
      <c r="V415" s="87"/>
      <c r="W415" s="36">
        <f>IF(NOTA[[#This Row],[HARGA/ CTN]]="",NOTA[[#This Row],[JUMLAH_H]],NOTA[[#This Row],[HARGA/ CTN]]*NOTA[[#This Row],[C]])</f>
        <v>691200</v>
      </c>
      <c r="X415" s="36">
        <f>IF(NOTA[[#This Row],[JUMLAH]]="","",NOTA[[#This Row],[JUMLAH]]*NOTA[[#This Row],[DISC 1]])</f>
        <v>86400</v>
      </c>
      <c r="Y415" s="36">
        <f>IF(NOTA[[#This Row],[JUMLAH]]="","",(NOTA[[#This Row],[JUMLAH]]-NOTA[[#This Row],[DISC 1-]])*NOTA[[#This Row],[DISC 2]])</f>
        <v>30240</v>
      </c>
      <c r="Z415" s="36">
        <f>IF(NOTA[[#This Row],[JUMLAH]]="","",NOTA[[#This Row],[DISC 1-]]+NOTA[[#This Row],[DISC 2-]])</f>
        <v>116640</v>
      </c>
      <c r="AA415" s="36">
        <f>IF(NOTA[[#This Row],[JUMLAH]]="","",NOTA[[#This Row],[JUMLAH]]-NOTA[[#This Row],[DISC]])</f>
        <v>574560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5" s="36">
        <f>IF(OR(NOTA[[#This Row],[QTY]]="",NOTA[[#This Row],[HARGA SATUAN]]="",),"",NOTA[[#This Row],[QTY]]*NOTA[[#This Row],[HARGA SATUAN]])</f>
        <v>691200</v>
      </c>
      <c r="AF415" s="34">
        <f ca="1">IF(NOTA[ID_H]="","",INDEX(NOTA[TANGGAL],MATCH(,INDIRECT(ADDRESS(ROW(NOTA[TANGGAL]),COLUMN(NOTA[TANGGAL]))&amp;":"&amp;ADDRESS(ROW(),COLUMN(NOTA[TANGGAL]))),-1)))</f>
        <v>44856</v>
      </c>
      <c r="AG415" s="30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88</v>
      </c>
      <c r="E416" s="32"/>
      <c r="F416" s="31"/>
      <c r="G416" s="31"/>
      <c r="H416" s="33"/>
      <c r="I416" s="31"/>
      <c r="J416" s="34"/>
      <c r="K416" s="31"/>
      <c r="L416" s="31" t="s">
        <v>591</v>
      </c>
      <c r="M416" s="35">
        <v>2</v>
      </c>
      <c r="N416" s="31">
        <v>1536</v>
      </c>
      <c r="O416" s="31" t="s">
        <v>88</v>
      </c>
      <c r="P416" s="30">
        <v>2100</v>
      </c>
      <c r="Q416" s="103"/>
      <c r="R416" s="35"/>
      <c r="S416" s="37">
        <v>0.125</v>
      </c>
      <c r="T416" s="37">
        <v>0.05</v>
      </c>
      <c r="U416" s="36"/>
      <c r="V416" s="87"/>
      <c r="W416" s="36">
        <f>IF(NOTA[[#This Row],[HARGA/ CTN]]="",NOTA[[#This Row],[JUMLAH_H]],NOTA[[#This Row],[HARGA/ CTN]]*NOTA[[#This Row],[C]])</f>
        <v>3225600</v>
      </c>
      <c r="X416" s="36">
        <f>IF(NOTA[[#This Row],[JUMLAH]]="","",NOTA[[#This Row],[JUMLAH]]*NOTA[[#This Row],[DISC 1]])</f>
        <v>403200</v>
      </c>
      <c r="Y416" s="36">
        <f>IF(NOTA[[#This Row],[JUMLAH]]="","",(NOTA[[#This Row],[JUMLAH]]-NOTA[[#This Row],[DISC 1-]])*NOTA[[#This Row],[DISC 2]])</f>
        <v>141120</v>
      </c>
      <c r="Z416" s="36">
        <f>IF(NOTA[[#This Row],[JUMLAH]]="","",NOTA[[#This Row],[DISC 1-]]+NOTA[[#This Row],[DISC 2-]])</f>
        <v>544320</v>
      </c>
      <c r="AA416" s="36">
        <f>IF(NOTA[[#This Row],[JUMLAH]]="","",NOTA[[#This Row],[JUMLAH]]-NOTA[[#This Row],[DISC]])</f>
        <v>2681280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16" s="36">
        <f>IF(OR(NOTA[[#This Row],[QTY]]="",NOTA[[#This Row],[HARGA SATUAN]]="",),"",NOTA[[#This Row],[QTY]]*NOTA[[#This Row],[HARGA SATUAN]])</f>
        <v>3225600</v>
      </c>
      <c r="AF416" s="34">
        <f ca="1">IF(NOTA[ID_H]="","",INDEX(NOTA[TANGGAL],MATCH(,INDIRECT(ADDRESS(ROW(NOTA[TANGGAL]),COLUMN(NOTA[TANGGAL]))&amp;":"&amp;ADDRESS(ROW(),COLUMN(NOTA[TANGGAL]))),-1)))</f>
        <v>44856</v>
      </c>
      <c r="AG416" s="30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88</v>
      </c>
      <c r="E417" s="32"/>
      <c r="F417" s="31"/>
      <c r="G417" s="31"/>
      <c r="H417" s="33"/>
      <c r="I417" s="31"/>
      <c r="J417" s="34"/>
      <c r="K417" s="31"/>
      <c r="L417" s="31" t="s">
        <v>447</v>
      </c>
      <c r="M417" s="35">
        <v>1</v>
      </c>
      <c r="N417" s="31">
        <v>60</v>
      </c>
      <c r="O417" s="31" t="s">
        <v>287</v>
      </c>
      <c r="P417" s="30">
        <v>22200</v>
      </c>
      <c r="Q417" s="103"/>
      <c r="R417" s="35"/>
      <c r="S417" s="37">
        <v>0.125</v>
      </c>
      <c r="T417" s="37">
        <v>0.05</v>
      </c>
      <c r="U417" s="36"/>
      <c r="V417" s="87"/>
      <c r="W417" s="36">
        <f>IF(NOTA[[#This Row],[HARGA/ CTN]]="",NOTA[[#This Row],[JUMLAH_H]],NOTA[[#This Row],[HARGA/ CTN]]*NOTA[[#This Row],[C]])</f>
        <v>1332000</v>
      </c>
      <c r="X417" s="36">
        <f>IF(NOTA[[#This Row],[JUMLAH]]="","",NOTA[[#This Row],[JUMLAH]]*NOTA[[#This Row],[DISC 1]])</f>
        <v>166500</v>
      </c>
      <c r="Y417" s="36">
        <f>IF(NOTA[[#This Row],[JUMLAH]]="","",(NOTA[[#This Row],[JUMLAH]]-NOTA[[#This Row],[DISC 1-]])*NOTA[[#This Row],[DISC 2]])</f>
        <v>58275</v>
      </c>
      <c r="Z417" s="36">
        <f>IF(NOTA[[#This Row],[JUMLAH]]="","",NOTA[[#This Row],[DISC 1-]]+NOTA[[#This Row],[DISC 2-]])</f>
        <v>224775</v>
      </c>
      <c r="AA417" s="36">
        <f>IF(NOTA[[#This Row],[JUMLAH]]="","",NOTA[[#This Row],[JUMLAH]]-NOTA[[#This Row],[DISC]])</f>
        <v>1107225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417" s="36">
        <f>IF(OR(NOTA[[#This Row],[QTY]]="",NOTA[[#This Row],[HARGA SATUAN]]="",),"",NOTA[[#This Row],[QTY]]*NOTA[[#This Row],[HARGA SATUAN]])</f>
        <v>1332000</v>
      </c>
      <c r="AF417" s="34">
        <f ca="1">IF(NOTA[ID_H]="","",INDEX(NOTA[TANGGAL],MATCH(,INDIRECT(ADDRESS(ROW(NOTA[TANGGAL]),COLUMN(NOTA[TANGGAL]))&amp;":"&amp;ADDRESS(ROW(),COLUMN(NOTA[TANGGAL]))),-1)))</f>
        <v>44856</v>
      </c>
      <c r="AG417" s="30" t="str">
        <f ca="1">IF(NOTA[[#This Row],[NAMA BARANG]]="","",INDEX(NOTA[SUPPLIER],MATCH(,INDIRECT(ADDRESS(ROW(NOTA[ID]),COLUMN(NOTA[ID]))&amp;":"&amp;ADDRESS(ROW(),COLUMN(NOTA[ID]))),-1)))</f>
        <v>ATALI MAKMUR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88</v>
      </c>
      <c r="E418" s="32"/>
      <c r="F418" s="31"/>
      <c r="G418" s="31"/>
      <c r="H418" s="33"/>
      <c r="I418" s="31"/>
      <c r="J418" s="34"/>
      <c r="K418" s="31"/>
      <c r="L418" s="31" t="s">
        <v>539</v>
      </c>
      <c r="M418" s="35">
        <v>2</v>
      </c>
      <c r="N418" s="31">
        <v>100</v>
      </c>
      <c r="O418" s="31" t="s">
        <v>287</v>
      </c>
      <c r="P418" s="30">
        <v>32000</v>
      </c>
      <c r="Q418" s="103"/>
      <c r="R418" s="35"/>
      <c r="S418" s="37">
        <v>0.125</v>
      </c>
      <c r="T418" s="37">
        <v>0.05</v>
      </c>
      <c r="U418" s="36"/>
      <c r="V418" s="87"/>
      <c r="W418" s="36">
        <f>IF(NOTA[[#This Row],[HARGA/ CTN]]="",NOTA[[#This Row],[JUMLAH_H]],NOTA[[#This Row],[HARGA/ CTN]]*NOTA[[#This Row],[C]])</f>
        <v>3200000</v>
      </c>
      <c r="X418" s="36">
        <f>IF(NOTA[[#This Row],[JUMLAH]]="","",NOTA[[#This Row],[JUMLAH]]*NOTA[[#This Row],[DISC 1]])</f>
        <v>400000</v>
      </c>
      <c r="Y418" s="36">
        <f>IF(NOTA[[#This Row],[JUMLAH]]="","",(NOTA[[#This Row],[JUMLAH]]-NOTA[[#This Row],[DISC 1-]])*NOTA[[#This Row],[DISC 2]])</f>
        <v>140000</v>
      </c>
      <c r="Z418" s="36">
        <f>IF(NOTA[[#This Row],[JUMLAH]]="","",NOTA[[#This Row],[DISC 1-]]+NOTA[[#This Row],[DISC 2-]])</f>
        <v>540000</v>
      </c>
      <c r="AA418" s="36">
        <f>IF(NOTA[[#This Row],[JUMLAH]]="","",NOTA[[#This Row],[JUMLAH]]-NOTA[[#This Row],[DISC]])</f>
        <v>2660000</v>
      </c>
      <c r="AB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18" s="36">
        <f>IF(OR(NOTA[[#This Row],[QTY]]="",NOTA[[#This Row],[HARGA SATUAN]]="",),"",NOTA[[#This Row],[QTY]]*NOTA[[#This Row],[HARGA SATUAN]])</f>
        <v>3200000</v>
      </c>
      <c r="AF418" s="34">
        <f ca="1">IF(NOTA[ID_H]="","",INDEX(NOTA[TANGGAL],MATCH(,INDIRECT(ADDRESS(ROW(NOTA[TANGGAL]),COLUMN(NOTA[TANGGAL]))&amp;":"&amp;ADDRESS(ROW(),COLUMN(NOTA[TANGGAL]))),-1)))</f>
        <v>44856</v>
      </c>
      <c r="AG418" s="30" t="str">
        <f ca="1">IF(NOTA[[#This Row],[NAMA BARANG]]="","",INDEX(NOTA[SUPPLIER],MATCH(,INDIRECT(ADDRESS(ROW(NOTA[ID]),COLUMN(NOTA[ID]))&amp;":"&amp;ADDRESS(ROW(),COLUMN(NOTA[ID]))),-1)))</f>
        <v>ATALI MAKMUR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>
        <f ca="1">IF(NOTA[[#This Row],[NAMA BARANG]]="","",INDEX(NOTA[ID],MATCH(,INDIRECT(ADDRESS(ROW(NOTA[ID]),COLUMN(NOTA[ID]))&amp;":"&amp;ADDRESS(ROW(),COLUMN(NOTA[ID]))),-1)))</f>
        <v>88</v>
      </c>
      <c r="E419" s="32"/>
      <c r="F419" s="31"/>
      <c r="G419" s="31"/>
      <c r="H419" s="33"/>
      <c r="I419" s="31"/>
      <c r="J419" s="34"/>
      <c r="K419" s="31"/>
      <c r="L419" s="31" t="s">
        <v>540</v>
      </c>
      <c r="M419" s="35">
        <v>2</v>
      </c>
      <c r="N419" s="31">
        <v>100</v>
      </c>
      <c r="O419" s="31" t="s">
        <v>287</v>
      </c>
      <c r="P419" s="30">
        <v>34100</v>
      </c>
      <c r="Q419" s="103"/>
      <c r="R419" s="35"/>
      <c r="S419" s="37">
        <v>0.125</v>
      </c>
      <c r="T419" s="37">
        <v>0.05</v>
      </c>
      <c r="U419" s="36"/>
      <c r="V419" s="87"/>
      <c r="W419" s="36">
        <f>IF(NOTA[[#This Row],[HARGA/ CTN]]="",NOTA[[#This Row],[JUMLAH_H]],NOTA[[#This Row],[HARGA/ CTN]]*NOTA[[#This Row],[C]])</f>
        <v>3410000</v>
      </c>
      <c r="X419" s="36">
        <f>IF(NOTA[[#This Row],[JUMLAH]]="","",NOTA[[#This Row],[JUMLAH]]*NOTA[[#This Row],[DISC 1]])</f>
        <v>426250</v>
      </c>
      <c r="Y419" s="36">
        <f>IF(NOTA[[#This Row],[JUMLAH]]="","",(NOTA[[#This Row],[JUMLAH]]-NOTA[[#This Row],[DISC 1-]])*NOTA[[#This Row],[DISC 2]])</f>
        <v>149187.5</v>
      </c>
      <c r="Z419" s="36">
        <f>IF(NOTA[[#This Row],[JUMLAH]]="","",NOTA[[#This Row],[DISC 1-]]+NOTA[[#This Row],[DISC 2-]])</f>
        <v>575437.5</v>
      </c>
      <c r="AA419" s="36">
        <f>IF(NOTA[[#This Row],[JUMLAH]]="","",NOTA[[#This Row],[JUMLAH]]-NOTA[[#This Row],[DISC]])</f>
        <v>2834562.5</v>
      </c>
      <c r="AB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41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19" s="36">
        <f>IF(OR(NOTA[[#This Row],[QTY]]="",NOTA[[#This Row],[HARGA SATUAN]]="",),"",NOTA[[#This Row],[QTY]]*NOTA[[#This Row],[HARGA SATUAN]])</f>
        <v>3410000</v>
      </c>
      <c r="AF419" s="34">
        <f ca="1">IF(NOTA[ID_H]="","",INDEX(NOTA[TANGGAL],MATCH(,INDIRECT(ADDRESS(ROW(NOTA[TANGGAL]),COLUMN(NOTA[TANGGAL]))&amp;":"&amp;ADDRESS(ROW(),COLUMN(NOTA[TANGGAL]))),-1)))</f>
        <v>44856</v>
      </c>
      <c r="AG419" s="30" t="str">
        <f ca="1">IF(NOTA[[#This Row],[NAMA BARANG]]="","",INDEX(NOTA[SUPPLIER],MATCH(,INDIRECT(ADDRESS(ROW(NOTA[ID]),COLUMN(NOTA[ID]))&amp;":"&amp;ADDRESS(ROW(),COLUMN(NOTA[ID]))),-1)))</f>
        <v>ATALI MAKMUR</v>
      </c>
      <c r="AH419" s="16" t="str">
        <f ca="1">IF(NOTA[[#This Row],[ID]]="","",COUNTIF(NOTA[ID_H],NOTA[[#This Row],[ID_H]]))</f>
        <v/>
      </c>
      <c r="AI419" s="16">
        <f ca="1">IF(NOTA[[#This Row],[TGL.NOTA]]="",IF(NOTA[[#This Row],[SUPPLIER_H]]="","",AI418),MONTH(NOTA[[#This Row],[TGL.NOTA]]))</f>
        <v>10</v>
      </c>
      <c r="AJ419" s="16"/>
    </row>
    <row r="420" spans="1:36" ht="20.100000000000001" customHeight="1" x14ac:dyDescent="0.25">
      <c r="A4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9" t="str">
        <f>IF(NOTA[[#This Row],[ID_P]]="","",MATCH(NOTA[[#This Row],[ID_P]],[1]!B_MSK[N_ID],0))</f>
        <v/>
      </c>
      <c r="D420" s="39" t="str">
        <f ca="1">IF(NOTA[[#This Row],[NAMA BARANG]]="","",INDEX(NOTA[ID],MATCH(,INDIRECT(ADDRESS(ROW(NOTA[ID]),COLUMN(NOTA[ID]))&amp;":"&amp;ADDRESS(ROW(),COLUMN(NOTA[ID]))),-1)))</f>
        <v/>
      </c>
      <c r="E420" s="32"/>
      <c r="F420" s="31"/>
      <c r="G420" s="31"/>
      <c r="H420" s="33"/>
      <c r="I420" s="31"/>
      <c r="J420" s="34"/>
      <c r="K420" s="31"/>
      <c r="L420" s="31"/>
      <c r="M420" s="35"/>
      <c r="N420" s="31"/>
      <c r="O420" s="31"/>
      <c r="P420" s="30"/>
      <c r="Q420" s="103"/>
      <c r="R420" s="35"/>
      <c r="S420" s="37"/>
      <c r="T420" s="37"/>
      <c r="U420" s="36"/>
      <c r="V420" s="87"/>
      <c r="W420" s="36" t="str">
        <f>IF(NOTA[[#This Row],[HARGA/ CTN]]="",NOTA[[#This Row],[JUMLAH_H]],NOTA[[#This Row],[HARGA/ CTN]]*NOTA[[#This Row],[C]])</f>
        <v/>
      </c>
      <c r="X420" s="36" t="str">
        <f>IF(NOTA[[#This Row],[JUMLAH]]="","",NOTA[[#This Row],[JUMLAH]]*NOTA[[#This Row],[DISC 1]])</f>
        <v/>
      </c>
      <c r="Y420" s="36" t="str">
        <f>IF(NOTA[[#This Row],[JUMLAH]]="","",(NOTA[[#This Row],[JUMLAH]]-NOTA[[#This Row],[DISC 1-]])*NOTA[[#This Row],[DISC 2]])</f>
        <v/>
      </c>
      <c r="Z420" s="36" t="str">
        <f>IF(NOTA[[#This Row],[JUMLAH]]="","",NOTA[[#This Row],[DISC 1-]]+NOTA[[#This Row],[DISC 2-]])</f>
        <v/>
      </c>
      <c r="AA420" s="36" t="str">
        <f>IF(NOTA[[#This Row],[JUMLAH]]="","",NOTA[[#This Row],[JUMLAH]]-NOTA[[#This Row],[DISC]])</f>
        <v/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36" t="str">
        <f>IF(OR(NOTA[[#This Row],[QTY]]="",NOTA[[#This Row],[HARGA SATUAN]]="",),"",NOTA[[#This Row],[QTY]]*NOTA[[#This Row],[HARGA SATUAN]])</f>
        <v/>
      </c>
      <c r="AF420" s="34" t="str">
        <f ca="1">IF(NOTA[ID_H]="","",INDEX(NOTA[TANGGAL],MATCH(,INDIRECT(ADDRESS(ROW(NOTA[TANGGAL]),COLUMN(NOTA[TANGGAL]))&amp;":"&amp;ADDRESS(ROW(),COLUMN(NOTA[TANGGAL]))),-1)))</f>
        <v/>
      </c>
      <c r="AG420" s="30" t="str">
        <f ca="1">IF(NOTA[[#This Row],[NAMA BARANG]]="","",INDEX(NOTA[SUPPLIER],MATCH(,INDIRECT(ADDRESS(ROW(NOTA[ID]),COLUMN(NOTA[ID]))&amp;":"&amp;ADDRESS(ROW(),COLUMN(NOTA[ID]))),-1)))</f>
        <v/>
      </c>
      <c r="AH420" s="16" t="str">
        <f ca="1">IF(NOTA[[#This Row],[ID]]="","",COUNTIF(NOTA[ID_H],NOTA[[#This Row],[ID_H]]))</f>
        <v/>
      </c>
      <c r="AI420" s="16" t="str">
        <f ca="1">IF(NOTA[[#This Row],[TGL.NOTA]]="",IF(NOTA[[#This Row],[SUPPLIER_H]]="","",AI419),MONTH(NOTA[[#This Row],[TGL.NOTA]]))</f>
        <v/>
      </c>
      <c r="AJ420" s="16"/>
    </row>
    <row r="421" spans="1:36" ht="20.100000000000001" customHeight="1" x14ac:dyDescent="0.25">
      <c r="A421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421" s="39" t="e">
        <f ca="1">IF(NOTA[[#This Row],[ID_P]]="","",MATCH(NOTA[[#This Row],[ID_P]],[1]!B_MSK[N_ID],0))</f>
        <v>#REF!</v>
      </c>
      <c r="D421" s="39">
        <f ca="1">IF(NOTA[[#This Row],[NAMA BARANG]]="","",INDEX(NOTA[ID],MATCH(,INDIRECT(ADDRESS(ROW(NOTA[ID]),COLUMN(NOTA[ID]))&amp;":"&amp;ADDRESS(ROW(),COLUMN(NOTA[ID]))),-1)))</f>
        <v>89</v>
      </c>
      <c r="E421" s="32"/>
      <c r="F421" s="31" t="s">
        <v>25</v>
      </c>
      <c r="G421" s="31" t="s">
        <v>24</v>
      </c>
      <c r="H421" s="33" t="s">
        <v>584</v>
      </c>
      <c r="I421" s="31"/>
      <c r="J421" s="34">
        <v>44853</v>
      </c>
      <c r="K421" s="31"/>
      <c r="L421" s="31" t="s">
        <v>604</v>
      </c>
      <c r="M421" s="35">
        <v>10</v>
      </c>
      <c r="N421" s="31">
        <v>480</v>
      </c>
      <c r="O421" s="31" t="s">
        <v>210</v>
      </c>
      <c r="P421" s="30">
        <v>36000</v>
      </c>
      <c r="Q421" s="103"/>
      <c r="R421" s="35"/>
      <c r="S421" s="37">
        <v>0.125</v>
      </c>
      <c r="T421" s="37">
        <v>0.05</v>
      </c>
      <c r="U421" s="36"/>
      <c r="V421" s="87"/>
      <c r="W421" s="36">
        <f>IF(NOTA[[#This Row],[HARGA/ CTN]]="",NOTA[[#This Row],[JUMLAH_H]],NOTA[[#This Row],[HARGA/ CTN]]*NOTA[[#This Row],[C]])</f>
        <v>17280000</v>
      </c>
      <c r="X421" s="36">
        <f>IF(NOTA[[#This Row],[JUMLAH]]="","",NOTA[[#This Row],[JUMLAH]]*NOTA[[#This Row],[DISC 1]])</f>
        <v>2160000</v>
      </c>
      <c r="Y421" s="36">
        <f>IF(NOTA[[#This Row],[JUMLAH]]="","",(NOTA[[#This Row],[JUMLAH]]-NOTA[[#This Row],[DISC 1-]])*NOTA[[#This Row],[DISC 2]])</f>
        <v>756000</v>
      </c>
      <c r="Z421" s="36">
        <f>IF(NOTA[[#This Row],[JUMLAH]]="","",NOTA[[#This Row],[DISC 1-]]+NOTA[[#This Row],[DISC 2-]])</f>
        <v>2916000</v>
      </c>
      <c r="AA421" s="36">
        <f>IF(NOTA[[#This Row],[JUMLAH]]="","",NOTA[[#This Row],[JUMLAH]]-NOTA[[#This Row],[DISC]])</f>
        <v>14364000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21" s="36">
        <f>IF(OR(NOTA[[#This Row],[QTY]]="",NOTA[[#This Row],[HARGA SATUAN]]="",),"",NOTA[[#This Row],[QTY]]*NOTA[[#This Row],[HARGA SATUAN]])</f>
        <v>17280000</v>
      </c>
      <c r="AF421" s="34">
        <f ca="1">IF(NOTA[ID_H]="","",INDEX(NOTA[TANGGAL],MATCH(,INDIRECT(ADDRESS(ROW(NOTA[TANGGAL]),COLUMN(NOTA[TANGGAL]))&amp;":"&amp;ADDRESS(ROW(),COLUMN(NOTA[TANGGAL]))),-1)))</f>
        <v>44856</v>
      </c>
      <c r="AG421" s="30" t="str">
        <f ca="1">IF(NOTA[[#This Row],[NAMA BARANG]]="","",INDEX(NOTA[SUPPLIER],MATCH(,INDIRECT(ADDRESS(ROW(NOTA[ID]),COLUMN(NOTA[ID]))&amp;":"&amp;ADDRESS(ROW(),COLUMN(NOTA[ID]))),-1)))</f>
        <v>ATALI MAKMUR</v>
      </c>
      <c r="AH421" s="16">
        <f ca="1">IF(NOTA[[#This Row],[ID]]="","",COUNTIF(NOTA[ID_H],NOTA[[#This Row],[ID_H]]))</f>
        <v>2</v>
      </c>
      <c r="AI421" s="16">
        <f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89</v>
      </c>
      <c r="E422" s="32"/>
      <c r="F422" s="31"/>
      <c r="G422" s="31"/>
      <c r="H422" s="33"/>
      <c r="I422" s="31"/>
      <c r="J422" s="34"/>
      <c r="K422" s="31"/>
      <c r="L422" s="31" t="s">
        <v>454</v>
      </c>
      <c r="M422" s="35" t="s">
        <v>586</v>
      </c>
      <c r="N422" s="31">
        <v>20</v>
      </c>
      <c r="O422" s="31" t="s">
        <v>210</v>
      </c>
      <c r="P422" s="30">
        <v>12600</v>
      </c>
      <c r="Q422" s="103"/>
      <c r="R422" s="35"/>
      <c r="S422" s="37">
        <v>0.1</v>
      </c>
      <c r="T422" s="37">
        <v>0.05</v>
      </c>
      <c r="U422" s="36">
        <v>215460</v>
      </c>
      <c r="V422" s="87" t="s">
        <v>580</v>
      </c>
      <c r="W422" s="36">
        <f>IF(NOTA[[#This Row],[HARGA/ CTN]]="",NOTA[[#This Row],[JUMLAH_H]],NOTA[[#This Row],[HARGA/ CTN]]*NOTA[[#This Row],[C]])</f>
        <v>252000</v>
      </c>
      <c r="X422" s="36">
        <f>IF(NOTA[[#This Row],[JUMLAH]]="","",NOTA[[#This Row],[JUMLAH]]*NOTA[[#This Row],[DISC 1]])</f>
        <v>25200</v>
      </c>
      <c r="Y422" s="36">
        <f>IF(NOTA[[#This Row],[JUMLAH]]="","",(NOTA[[#This Row],[JUMLAH]]-NOTA[[#This Row],[DISC 1-]])*NOTA[[#This Row],[DISC 2]])</f>
        <v>11340</v>
      </c>
      <c r="Z422" s="36">
        <f>IF(NOTA[[#This Row],[JUMLAH]]="","",NOTA[[#This Row],[DISC 1-]]+NOTA[[#This Row],[DISC 2-]])</f>
        <v>36540</v>
      </c>
      <c r="AA422" s="36">
        <f>IF(NOTA[[#This Row],[JUMLAH]]="","",NOTA[[#This Row],[JUMLAH]]-NOTA[[#This Row],[DISC]])</f>
        <v>215460</v>
      </c>
      <c r="AB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22" s="36">
        <f>IF(OR(NOTA[[#This Row],[QTY]]="",NOTA[[#This Row],[HARGA SATUAN]]="",),"",NOTA[[#This Row],[QTY]]*NOTA[[#This Row],[HARGA SATUAN]])</f>
        <v>252000</v>
      </c>
      <c r="AF422" s="34">
        <f ca="1">IF(NOTA[ID_H]="","",INDEX(NOTA[TANGGAL],MATCH(,INDIRECT(ADDRESS(ROW(NOTA[TANGGAL]),COLUMN(NOTA[TANGGAL]))&amp;":"&amp;ADDRESS(ROW(),COLUMN(NOTA[TANGGAL]))),-1)))</f>
        <v>44856</v>
      </c>
      <c r="AG422" s="30" t="str">
        <f ca="1">IF(NOTA[[#This Row],[NAMA BARANG]]="","",INDEX(NOTA[SUPPLIER],MATCH(,INDIRECT(ADDRESS(ROW(NOTA[ID]),COLUMN(NOTA[ID]))&amp;":"&amp;ADDRESS(ROW(),COLUMN(NOTA[ID]))),-1)))</f>
        <v>ATALI MAKMUR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 t="str">
        <f ca="1">IF(NOTA[[#This Row],[NAMA BARANG]]="","",INDEX(NOTA[ID],MATCH(,INDIRECT(ADDRESS(ROW(NOTA[ID]),COLUMN(NOTA[ID]))&amp;":"&amp;ADDRESS(ROW(),COLUMN(NOTA[ID]))),-1)))</f>
        <v/>
      </c>
      <c r="E423" s="32"/>
      <c r="F423" s="31"/>
      <c r="G423" s="31"/>
      <c r="H423" s="33"/>
      <c r="I423" s="31"/>
      <c r="J423" s="34"/>
      <c r="K423" s="31"/>
      <c r="L423" s="31"/>
      <c r="M423" s="35"/>
      <c r="N423" s="31"/>
      <c r="O423" s="31"/>
      <c r="P423" s="30"/>
      <c r="Q423" s="103"/>
      <c r="R423" s="35"/>
      <c r="S423" s="37"/>
      <c r="T423" s="37"/>
      <c r="U423" s="36"/>
      <c r="V423" s="87"/>
      <c r="W423" s="36" t="str">
        <f>IF(NOTA[[#This Row],[HARGA/ CTN]]="",NOTA[[#This Row],[JUMLAH_H]],NOTA[[#This Row],[HARGA/ CTN]]*NOTA[[#This Row],[C]])</f>
        <v/>
      </c>
      <c r="X423" s="36" t="str">
        <f>IF(NOTA[[#This Row],[JUMLAH]]="","",NOTA[[#This Row],[JUMLAH]]*NOTA[[#This Row],[DISC 1]])</f>
        <v/>
      </c>
      <c r="Y423" s="36" t="str">
        <f>IF(NOTA[[#This Row],[JUMLAH]]="","",(NOTA[[#This Row],[JUMLAH]]-NOTA[[#This Row],[DISC 1-]])*NOTA[[#This Row],[DISC 2]])</f>
        <v/>
      </c>
      <c r="Z423" s="36" t="str">
        <f>IF(NOTA[[#This Row],[JUMLAH]]="","",NOTA[[#This Row],[DISC 1-]]+NOTA[[#This Row],[DISC 2-]])</f>
        <v/>
      </c>
      <c r="AA423" s="36" t="str">
        <f>IF(NOTA[[#This Row],[JUMLAH]]="","",NOTA[[#This Row],[JUMLAH]]-NOTA[[#This Row],[DISC]])</f>
        <v/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36" t="str">
        <f>IF(OR(NOTA[[#This Row],[QTY]]="",NOTA[[#This Row],[HARGA SATUAN]]="",),"",NOTA[[#This Row],[QTY]]*NOTA[[#This Row],[HARGA SATUAN]])</f>
        <v/>
      </c>
      <c r="AF423" s="34" t="str">
        <f ca="1">IF(NOTA[ID_H]="","",INDEX(NOTA[TANGGAL],MATCH(,INDIRECT(ADDRESS(ROW(NOTA[TANGGAL]),COLUMN(NOTA[TANGGAL]))&amp;":"&amp;ADDRESS(ROW(),COLUMN(NOTA[TANGGAL]))),-1)))</f>
        <v/>
      </c>
      <c r="AG423" s="30" t="str">
        <f ca="1">IF(NOTA[[#This Row],[NAMA BARANG]]="","",INDEX(NOTA[SUPPLIER],MATCH(,INDIRECT(ADDRESS(ROW(NOTA[ID]),COLUMN(NOTA[ID]))&amp;":"&amp;ADDRESS(ROW(),COLUMN(NOTA[ID]))),-1)))</f>
        <v/>
      </c>
      <c r="AH423" s="16" t="str">
        <f ca="1">IF(NOTA[[#This Row],[ID]]="","",COUNTIF(NOTA[ID_H],NOTA[[#This Row],[ID_H]]))</f>
        <v/>
      </c>
      <c r="AI423" s="16" t="str">
        <f ca="1">IF(NOTA[[#This Row],[TGL.NOTA]]="",IF(NOTA[[#This Row],[SUPPLIER_H]]="","",AI422),MONTH(NOTA[[#This Row],[TGL.NOTA]]))</f>
        <v/>
      </c>
      <c r="AJ423" s="16"/>
    </row>
    <row r="424" spans="1:36" ht="20.100000000000001" customHeight="1" x14ac:dyDescent="0.25">
      <c r="A42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424" s="39" t="e">
        <f ca="1">IF(NOTA[[#This Row],[ID_P]]="","",MATCH(NOTA[[#This Row],[ID_P]],[1]!B_MSK[N_ID],0))</f>
        <v>#REF!</v>
      </c>
      <c r="D424" s="39">
        <f ca="1">IF(NOTA[[#This Row],[NAMA BARANG]]="","",INDEX(NOTA[ID],MATCH(,INDIRECT(ADDRESS(ROW(NOTA[ID]),COLUMN(NOTA[ID]))&amp;":"&amp;ADDRESS(ROW(),COLUMN(NOTA[ID]))),-1)))</f>
        <v>90</v>
      </c>
      <c r="E424" s="32"/>
      <c r="F424" s="31" t="s">
        <v>25</v>
      </c>
      <c r="G424" s="31" t="s">
        <v>24</v>
      </c>
      <c r="H424" s="33" t="s">
        <v>585</v>
      </c>
      <c r="I424" s="31"/>
      <c r="J424" s="34">
        <v>44854</v>
      </c>
      <c r="K424" s="31"/>
      <c r="L424" s="31" t="s">
        <v>605</v>
      </c>
      <c r="M424" s="35">
        <v>1</v>
      </c>
      <c r="N424" s="31">
        <v>36</v>
      </c>
      <c r="O424" s="31" t="s">
        <v>210</v>
      </c>
      <c r="P424" s="30">
        <v>41400</v>
      </c>
      <c r="Q424" s="103"/>
      <c r="R424" s="35"/>
      <c r="S424" s="37">
        <v>0.125</v>
      </c>
      <c r="T424" s="37">
        <v>0.05</v>
      </c>
      <c r="U424" s="36"/>
      <c r="V424" s="87"/>
      <c r="W424" s="36">
        <f>IF(NOTA[[#This Row],[HARGA/ CTN]]="",NOTA[[#This Row],[JUMLAH_H]],NOTA[[#This Row],[HARGA/ CTN]]*NOTA[[#This Row],[C]])</f>
        <v>1490400</v>
      </c>
      <c r="X424" s="36">
        <f>IF(NOTA[[#This Row],[JUMLAH]]="","",NOTA[[#This Row],[JUMLAH]]*NOTA[[#This Row],[DISC 1]])</f>
        <v>186300</v>
      </c>
      <c r="Y424" s="36">
        <f>IF(NOTA[[#This Row],[JUMLAH]]="","",(NOTA[[#This Row],[JUMLAH]]-NOTA[[#This Row],[DISC 1-]])*NOTA[[#This Row],[DISC 2]])</f>
        <v>65205</v>
      </c>
      <c r="Z424" s="36">
        <f>IF(NOTA[[#This Row],[JUMLAH]]="","",NOTA[[#This Row],[DISC 1-]]+NOTA[[#This Row],[DISC 2-]])</f>
        <v>251505</v>
      </c>
      <c r="AA424" s="36">
        <f>IF(NOTA[[#This Row],[JUMLAH]]="","",NOTA[[#This Row],[JUMLAH]]-NOTA[[#This Row],[DISC]])</f>
        <v>1238895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24" s="36">
        <f>IF(OR(NOTA[[#This Row],[QTY]]="",NOTA[[#This Row],[HARGA SATUAN]]="",),"",NOTA[[#This Row],[QTY]]*NOTA[[#This Row],[HARGA SATUAN]])</f>
        <v>1490400</v>
      </c>
      <c r="AF424" s="34">
        <f ca="1">IF(NOTA[ID_H]="","",INDEX(NOTA[TANGGAL],MATCH(,INDIRECT(ADDRESS(ROW(NOTA[TANGGAL]),COLUMN(NOTA[TANGGAL]))&amp;":"&amp;ADDRESS(ROW(),COLUMN(NOTA[TANGGAL]))),-1)))</f>
        <v>44856</v>
      </c>
      <c r="AG424" s="30" t="str">
        <f ca="1">IF(NOTA[[#This Row],[NAMA BARANG]]="","",INDEX(NOTA[SUPPLIER],MATCH(,INDIRECT(ADDRESS(ROW(NOTA[ID]),COLUMN(NOTA[ID]))&amp;":"&amp;ADDRESS(ROW(),COLUMN(NOTA[ID]))),-1)))</f>
        <v>ATALI MAKMUR</v>
      </c>
      <c r="AH424" s="16">
        <f ca="1">IF(NOTA[[#This Row],[ID]]="","",COUNTIF(NOTA[ID_H],NOTA[[#This Row],[ID_H]]))</f>
        <v>3</v>
      </c>
      <c r="AI424" s="16">
        <f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90</v>
      </c>
      <c r="E425" s="32"/>
      <c r="F425" s="31"/>
      <c r="G425" s="31"/>
      <c r="H425" s="33"/>
      <c r="I425" s="31"/>
      <c r="J425" s="34"/>
      <c r="K425" s="31"/>
      <c r="L425" s="31" t="s">
        <v>606</v>
      </c>
      <c r="M425" s="35">
        <v>2</v>
      </c>
      <c r="N425" s="31">
        <v>288</v>
      </c>
      <c r="O425" s="31" t="s">
        <v>210</v>
      </c>
      <c r="P425" s="30">
        <v>14100</v>
      </c>
      <c r="Q425" s="103"/>
      <c r="R425" s="35"/>
      <c r="S425" s="37">
        <v>0.125</v>
      </c>
      <c r="T425" s="37">
        <v>0.05</v>
      </c>
      <c r="U425" s="36"/>
      <c r="V425" s="87"/>
      <c r="W425" s="36">
        <f>IF(NOTA[[#This Row],[HARGA/ CTN]]="",NOTA[[#This Row],[JUMLAH_H]],NOTA[[#This Row],[HARGA/ CTN]]*NOTA[[#This Row],[C]])</f>
        <v>4060800</v>
      </c>
      <c r="X425" s="36">
        <f>IF(NOTA[[#This Row],[JUMLAH]]="","",NOTA[[#This Row],[JUMLAH]]*NOTA[[#This Row],[DISC 1]])</f>
        <v>507600</v>
      </c>
      <c r="Y425" s="36">
        <f>IF(NOTA[[#This Row],[JUMLAH]]="","",(NOTA[[#This Row],[JUMLAH]]-NOTA[[#This Row],[DISC 1-]])*NOTA[[#This Row],[DISC 2]])</f>
        <v>177660</v>
      </c>
      <c r="Z425" s="36">
        <f>IF(NOTA[[#This Row],[JUMLAH]]="","",NOTA[[#This Row],[DISC 1-]]+NOTA[[#This Row],[DISC 2-]])</f>
        <v>685260</v>
      </c>
      <c r="AA425" s="36">
        <f>IF(NOTA[[#This Row],[JUMLAH]]="","",NOTA[[#This Row],[JUMLAH]]-NOTA[[#This Row],[DISC]])</f>
        <v>3375540</v>
      </c>
      <c r="AB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425" s="36">
        <f>IF(OR(NOTA[[#This Row],[QTY]]="",NOTA[[#This Row],[HARGA SATUAN]]="",),"",NOTA[[#This Row],[QTY]]*NOTA[[#This Row],[HARGA SATUAN]])</f>
        <v>4060800</v>
      </c>
      <c r="AF425" s="34">
        <f ca="1">IF(NOTA[ID_H]="","",INDEX(NOTA[TANGGAL],MATCH(,INDIRECT(ADDRESS(ROW(NOTA[TANGGAL]),COLUMN(NOTA[TANGGAL]))&amp;":"&amp;ADDRESS(ROW(),COLUMN(NOTA[TANGGAL]))),-1)))</f>
        <v>44856</v>
      </c>
      <c r="AG425" s="30" t="str">
        <f ca="1">IF(NOTA[[#This Row],[NAMA BARANG]]="","",INDEX(NOTA[SUPPLIER],MATCH(,INDIRECT(ADDRESS(ROW(NOTA[ID]),COLUMN(NOTA[ID]))&amp;":"&amp;ADDRESS(ROW(),COLUMN(NOTA[ID]))),-1)))</f>
        <v>ATALI MAKMUR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90</v>
      </c>
      <c r="E426" s="32"/>
      <c r="F426" s="31"/>
      <c r="G426" s="31"/>
      <c r="H426" s="33"/>
      <c r="I426" s="31"/>
      <c r="J426" s="34"/>
      <c r="K426" s="31"/>
      <c r="L426" s="31" t="s">
        <v>475</v>
      </c>
      <c r="M426" s="35">
        <v>5</v>
      </c>
      <c r="N426" s="31">
        <v>150</v>
      </c>
      <c r="O426" s="31" t="s">
        <v>220</v>
      </c>
      <c r="P426" s="30">
        <v>104400</v>
      </c>
      <c r="Q426" s="103"/>
      <c r="R426" s="35"/>
      <c r="S426" s="37">
        <v>0.125</v>
      </c>
      <c r="T426" s="37">
        <v>0.05</v>
      </c>
      <c r="U426" s="36"/>
      <c r="V426" s="87"/>
      <c r="W426" s="36">
        <f>IF(NOTA[[#This Row],[HARGA/ CTN]]="",NOTA[[#This Row],[JUMLAH_H]],NOTA[[#This Row],[HARGA/ CTN]]*NOTA[[#This Row],[C]])</f>
        <v>15660000</v>
      </c>
      <c r="X426" s="36">
        <f>IF(NOTA[[#This Row],[JUMLAH]]="","",NOTA[[#This Row],[JUMLAH]]*NOTA[[#This Row],[DISC 1]])</f>
        <v>1957500</v>
      </c>
      <c r="Y426" s="36">
        <f>IF(NOTA[[#This Row],[JUMLAH]]="","",(NOTA[[#This Row],[JUMLAH]]-NOTA[[#This Row],[DISC 1-]])*NOTA[[#This Row],[DISC 2]])</f>
        <v>685125</v>
      </c>
      <c r="Z426" s="36">
        <f>IF(NOTA[[#This Row],[JUMLAH]]="","",NOTA[[#This Row],[DISC 1-]]+NOTA[[#This Row],[DISC 2-]])</f>
        <v>2642625</v>
      </c>
      <c r="AA426" s="36">
        <f>IF(NOTA[[#This Row],[JUMLAH]]="","",NOTA[[#This Row],[JUMLAH]]-NOTA[[#This Row],[DISC]])</f>
        <v>13017375</v>
      </c>
      <c r="AB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42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26" s="36">
        <f>IF(OR(NOTA[[#This Row],[QTY]]="",NOTA[[#This Row],[HARGA SATUAN]]="",),"",NOTA[[#This Row],[QTY]]*NOTA[[#This Row],[HARGA SATUAN]])</f>
        <v>15660000</v>
      </c>
      <c r="AF426" s="34">
        <f ca="1">IF(NOTA[ID_H]="","",INDEX(NOTA[TANGGAL],MATCH(,INDIRECT(ADDRESS(ROW(NOTA[TANGGAL]),COLUMN(NOTA[TANGGAL]))&amp;":"&amp;ADDRESS(ROW(),COLUMN(NOTA[TANGGAL]))),-1)))</f>
        <v>44856</v>
      </c>
      <c r="AG426" s="30" t="str">
        <f ca="1">IF(NOTA[[#This Row],[NAMA BARANG]]="","",INDEX(NOTA[SUPPLIER],MATCH(,INDIRECT(ADDRESS(ROW(NOTA[ID]),COLUMN(NOTA[ID]))&amp;":"&amp;ADDRESS(ROW(),COLUMN(NOTA[ID]))),-1)))</f>
        <v>ATALI MAKMUR</v>
      </c>
      <c r="AH426" s="16" t="str">
        <f ca="1">IF(NOTA[[#This Row],[ID]]="","",COUNTIF(NOTA[ID_H],NOTA[[#This Row],[ID_H]]))</f>
        <v/>
      </c>
      <c r="AI426" s="16">
        <f ca="1">IF(NOTA[[#This Row],[TGL.NOTA]]="",IF(NOTA[[#This Row],[SUPPLIER_H]]="","",AI425),MONTH(NOTA[[#This Row],[TGL.NOTA]]))</f>
        <v>10</v>
      </c>
      <c r="AJ426" s="16"/>
    </row>
    <row r="427" spans="1:36" ht="20.100000000000001" customHeight="1" x14ac:dyDescent="0.25">
      <c r="A4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 t="str">
        <f ca="1">IF(NOTA[[#This Row],[NAMA BARANG]]="","",INDEX(NOTA[ID],MATCH(,INDIRECT(ADDRESS(ROW(NOTA[ID]),COLUMN(NOTA[ID]))&amp;":"&amp;ADDRESS(ROW(),COLUMN(NOTA[ID]))),-1)))</f>
        <v/>
      </c>
      <c r="E427" s="32"/>
      <c r="F427" s="31"/>
      <c r="G427" s="31"/>
      <c r="H427" s="33"/>
      <c r="I427" s="31"/>
      <c r="J427" s="34"/>
      <c r="K427" s="31"/>
      <c r="L427" s="31"/>
      <c r="M427" s="35"/>
      <c r="N427" s="31"/>
      <c r="O427" s="31"/>
      <c r="P427" s="30"/>
      <c r="Q427" s="103"/>
      <c r="R427" s="35"/>
      <c r="S427" s="37"/>
      <c r="T427" s="37"/>
      <c r="U427" s="36"/>
      <c r="V427" s="87"/>
      <c r="W427" s="36" t="str">
        <f>IF(NOTA[[#This Row],[HARGA/ CTN]]="",NOTA[[#This Row],[JUMLAH_H]],NOTA[[#This Row],[HARGA/ CTN]]*NOTA[[#This Row],[C]])</f>
        <v/>
      </c>
      <c r="X427" s="36" t="str">
        <f>IF(NOTA[[#This Row],[JUMLAH]]="","",NOTA[[#This Row],[JUMLAH]]*NOTA[[#This Row],[DISC 1]])</f>
        <v/>
      </c>
      <c r="Y427" s="36" t="str">
        <f>IF(NOTA[[#This Row],[JUMLAH]]="","",(NOTA[[#This Row],[JUMLAH]]-NOTA[[#This Row],[DISC 1-]])*NOTA[[#This Row],[DISC 2]])</f>
        <v/>
      </c>
      <c r="Z427" s="36" t="str">
        <f>IF(NOTA[[#This Row],[JUMLAH]]="","",NOTA[[#This Row],[DISC 1-]]+NOTA[[#This Row],[DISC 2-]])</f>
        <v/>
      </c>
      <c r="AA427" s="36" t="str">
        <f>IF(NOTA[[#This Row],[JUMLAH]]="","",NOTA[[#This Row],[JUMLAH]]-NOTA[[#This Row],[DISC]])</f>
        <v/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36" t="str">
        <f>IF(OR(NOTA[[#This Row],[QTY]]="",NOTA[[#This Row],[HARGA SATUAN]]="",),"",NOTA[[#This Row],[QTY]]*NOTA[[#This Row],[HARGA SATUAN]])</f>
        <v/>
      </c>
      <c r="AF427" s="34" t="str">
        <f ca="1">IF(NOTA[ID_H]="","",INDEX(NOTA[TANGGAL],MATCH(,INDIRECT(ADDRESS(ROW(NOTA[TANGGAL]),COLUMN(NOTA[TANGGAL]))&amp;":"&amp;ADDRESS(ROW(),COLUMN(NOTA[TANGGAL]))),-1)))</f>
        <v/>
      </c>
      <c r="AG427" s="30" t="str">
        <f ca="1">IF(NOTA[[#This Row],[NAMA BARANG]]="","",INDEX(NOTA[SUPPLIER],MATCH(,INDIRECT(ADDRESS(ROW(NOTA[ID]),COLUMN(NOTA[ID]))&amp;":"&amp;ADDRESS(ROW(),COLUMN(NOTA[ID]))),-1)))</f>
        <v/>
      </c>
      <c r="AH427" s="16" t="str">
        <f ca="1">IF(NOTA[[#This Row],[ID]]="","",COUNTIF(NOTA[ID_H],NOTA[[#This Row],[ID_H]]))</f>
        <v/>
      </c>
      <c r="AI427" s="16" t="str">
        <f ca="1">IF(NOTA[[#This Row],[TGL.NOTA]]="",IF(NOTA[[#This Row],[SUPPLIER_H]]="","",AI426),MONTH(NOTA[[#This Row],[TGL.NOTA]]))</f>
        <v/>
      </c>
      <c r="AJ427" s="16"/>
    </row>
    <row r="428" spans="1:36" ht="20.100000000000001" customHeight="1" x14ac:dyDescent="0.25">
      <c r="A428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428" s="39" t="e">
        <f ca="1">IF(NOTA[[#This Row],[ID_P]]="","",MATCH(NOTA[[#This Row],[ID_P]],[1]!B_MSK[N_ID],0))</f>
        <v>#REF!</v>
      </c>
      <c r="D428" s="39">
        <f ca="1">IF(NOTA[[#This Row],[NAMA BARANG]]="","",INDEX(NOTA[ID],MATCH(,INDIRECT(ADDRESS(ROW(NOTA[ID]),COLUMN(NOTA[ID]))&amp;":"&amp;ADDRESS(ROW(),COLUMN(NOTA[ID]))),-1)))</f>
        <v>91</v>
      </c>
      <c r="E428" s="32">
        <v>44858</v>
      </c>
      <c r="F428" s="31" t="s">
        <v>52</v>
      </c>
      <c r="G428" s="31" t="s">
        <v>24</v>
      </c>
      <c r="H428" s="33" t="s">
        <v>535</v>
      </c>
      <c r="I428" s="31"/>
      <c r="J428" s="34">
        <v>44855</v>
      </c>
      <c r="K428" s="31"/>
      <c r="L428" s="31" t="s">
        <v>536</v>
      </c>
      <c r="M428" s="35">
        <v>1</v>
      </c>
      <c r="N428" s="31">
        <v>60</v>
      </c>
      <c r="O428" s="31" t="s">
        <v>88</v>
      </c>
      <c r="P428" s="30">
        <v>74000</v>
      </c>
      <c r="Q428" s="103"/>
      <c r="R428" s="35" t="s">
        <v>459</v>
      </c>
      <c r="S428" s="37">
        <v>0.125</v>
      </c>
      <c r="T428" s="37">
        <v>0.05</v>
      </c>
      <c r="U428" s="36"/>
      <c r="V428" s="87"/>
      <c r="W428" s="36">
        <f>IF(NOTA[[#This Row],[HARGA/ CTN]]="",NOTA[[#This Row],[JUMLAH_H]],NOTA[[#This Row],[HARGA/ CTN]]*NOTA[[#This Row],[C]])</f>
        <v>4440000</v>
      </c>
      <c r="X428" s="36">
        <f>IF(NOTA[[#This Row],[JUMLAH]]="","",NOTA[[#This Row],[JUMLAH]]*NOTA[[#This Row],[DISC 1]])</f>
        <v>555000</v>
      </c>
      <c r="Y428" s="36">
        <f>IF(NOTA[[#This Row],[JUMLAH]]="","",(NOTA[[#This Row],[JUMLAH]]-NOTA[[#This Row],[DISC 1-]])*NOTA[[#This Row],[DISC 2]])</f>
        <v>194250</v>
      </c>
      <c r="Z428" s="36">
        <f>IF(NOTA[[#This Row],[JUMLAH]]="","",NOTA[[#This Row],[DISC 1-]]+NOTA[[#This Row],[DISC 2-]])</f>
        <v>749250</v>
      </c>
      <c r="AA428" s="36">
        <f>IF(NOTA[[#This Row],[JUMLAH]]="","",NOTA[[#This Row],[JUMLAH]]-NOTA[[#This Row],[DISC]])</f>
        <v>3690750</v>
      </c>
      <c r="AB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428" s="36">
        <f>IF(OR(NOTA[[#This Row],[QTY]]="",NOTA[[#This Row],[HARGA SATUAN]]="",),"",NOTA[[#This Row],[QTY]]*NOTA[[#This Row],[HARGA SATUAN]])</f>
        <v>4440000</v>
      </c>
      <c r="AF428" s="34">
        <f ca="1">IF(NOTA[ID_H]="","",INDEX(NOTA[TANGGAL],MATCH(,INDIRECT(ADDRESS(ROW(NOTA[TANGGAL]),COLUMN(NOTA[TANGGAL]))&amp;":"&amp;ADDRESS(ROW(),COLUMN(NOTA[TANGGAL]))),-1)))</f>
        <v>44858</v>
      </c>
      <c r="AG428" s="38" t="str">
        <f ca="1">IF(NOTA[[#This Row],[NAMA BARANG]]="","",INDEX(NOTA[SUPPLIER],MATCH(,INDIRECT(ADDRESS(ROW(NOTA[ID]),COLUMN(NOTA[ID]))&amp;":"&amp;ADDRESS(ROW(),COLUMN(NOTA[ID]))),-1)))</f>
        <v>KALINDO SUKSES</v>
      </c>
      <c r="AH428" s="16">
        <f ca="1">IF(NOTA[[#This Row],[ID]]="","",COUNTIF(NOTA[ID_H],NOTA[[#This Row],[ID_H]]))</f>
        <v>2</v>
      </c>
      <c r="AI428" s="16">
        <f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>
        <f ca="1">IF(NOTA[[#This Row],[NAMA BARANG]]="","",INDEX(NOTA[ID],MATCH(,INDIRECT(ADDRESS(ROW(NOTA[ID]),COLUMN(NOTA[ID]))&amp;":"&amp;ADDRESS(ROW(),COLUMN(NOTA[ID]))),-1)))</f>
        <v>91</v>
      </c>
      <c r="E429" s="32"/>
      <c r="F429" s="31"/>
      <c r="G429" s="31"/>
      <c r="H429" s="33"/>
      <c r="I429" s="31"/>
      <c r="J429" s="34"/>
      <c r="K429" s="31"/>
      <c r="L429" s="31" t="s">
        <v>460</v>
      </c>
      <c r="M429" s="35">
        <v>1</v>
      </c>
      <c r="N429" s="31">
        <v>120</v>
      </c>
      <c r="O429" s="31" t="s">
        <v>88</v>
      </c>
      <c r="P429" s="30">
        <v>47000</v>
      </c>
      <c r="Q429" s="103"/>
      <c r="R429" s="35" t="s">
        <v>402</v>
      </c>
      <c r="S429" s="37">
        <v>0.125</v>
      </c>
      <c r="T429" s="37">
        <v>0.05</v>
      </c>
      <c r="U429" s="36"/>
      <c r="V429" s="87"/>
      <c r="W429" s="36">
        <f>IF(NOTA[[#This Row],[HARGA/ CTN]]="",NOTA[[#This Row],[JUMLAH_H]],NOTA[[#This Row],[HARGA/ CTN]]*NOTA[[#This Row],[C]])</f>
        <v>5640000</v>
      </c>
      <c r="X429" s="36">
        <f>IF(NOTA[[#This Row],[JUMLAH]]="","",NOTA[[#This Row],[JUMLAH]]*NOTA[[#This Row],[DISC 1]])</f>
        <v>705000</v>
      </c>
      <c r="Y429" s="36">
        <f>IF(NOTA[[#This Row],[JUMLAH]]="","",(NOTA[[#This Row],[JUMLAH]]-NOTA[[#This Row],[DISC 1-]])*NOTA[[#This Row],[DISC 2]])</f>
        <v>246750</v>
      </c>
      <c r="Z429" s="36">
        <f>IF(NOTA[[#This Row],[JUMLAH]]="","",NOTA[[#This Row],[DISC 1-]]+NOTA[[#This Row],[DISC 2-]])</f>
        <v>951750</v>
      </c>
      <c r="AA429" s="36">
        <f>IF(NOTA[[#This Row],[JUMLAH]]="","",NOTA[[#This Row],[JUMLAH]]-NOTA[[#This Row],[DISC]])</f>
        <v>4688250</v>
      </c>
      <c r="AB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429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429" s="36">
        <f>IF(OR(NOTA[[#This Row],[QTY]]="",NOTA[[#This Row],[HARGA SATUAN]]="",),"",NOTA[[#This Row],[QTY]]*NOTA[[#This Row],[HARGA SATUAN]])</f>
        <v>5640000</v>
      </c>
      <c r="AF429" s="34">
        <f ca="1">IF(NOTA[ID_H]="","",INDEX(NOTA[TANGGAL],MATCH(,INDIRECT(ADDRESS(ROW(NOTA[TANGGAL]),COLUMN(NOTA[TANGGAL]))&amp;":"&amp;ADDRESS(ROW(),COLUMN(NOTA[TANGGAL]))),-1)))</f>
        <v>44858</v>
      </c>
      <c r="AG429" s="38" t="str">
        <f ca="1">IF(NOTA[[#This Row],[NAMA BARANG]]="","",INDEX(NOTA[SUPPLIER],MATCH(,INDIRECT(ADDRESS(ROW(NOTA[ID]),COLUMN(NOTA[ID]))&amp;":"&amp;ADDRESS(ROW(),COLUMN(NOTA[ID]))),-1)))</f>
        <v>KALINDO SUKSES</v>
      </c>
      <c r="AH429" s="16" t="str">
        <f ca="1">IF(NOTA[[#This Row],[ID]]="","",COUNTIF(NOTA[ID_H],NOTA[[#This Row],[ID_H]]))</f>
        <v/>
      </c>
      <c r="AI429" s="16">
        <f ca="1">IF(NOTA[[#This Row],[TGL.NOTA]]="",IF(NOTA[[#This Row],[SUPPLIER_H]]="","",AI428),MONTH(NOTA[[#This Row],[TGL.NOTA]]))</f>
        <v>10</v>
      </c>
      <c r="AJ429" s="16"/>
    </row>
    <row r="430" spans="1:36" ht="20.100000000000001" customHeight="1" x14ac:dyDescent="0.25">
      <c r="A4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9" t="str">
        <f>IF(NOTA[[#This Row],[ID_P]]="","",MATCH(NOTA[[#This Row],[ID_P]],[1]!B_MSK[N_ID],0))</f>
        <v/>
      </c>
      <c r="D430" s="39" t="str">
        <f ca="1">IF(NOTA[[#This Row],[NAMA BARANG]]="","",INDEX(NOTA[ID],MATCH(,INDIRECT(ADDRESS(ROW(NOTA[ID]),COLUMN(NOTA[ID]))&amp;":"&amp;ADDRESS(ROW(),COLUMN(NOTA[ID]))),-1)))</f>
        <v/>
      </c>
      <c r="E430" s="32"/>
      <c r="F430" s="31"/>
      <c r="G430" s="31"/>
      <c r="H430" s="33"/>
      <c r="I430" s="31"/>
      <c r="J430" s="34"/>
      <c r="K430" s="31"/>
      <c r="L430" s="31"/>
      <c r="M430" s="35"/>
      <c r="N430" s="31"/>
      <c r="O430" s="31"/>
      <c r="P430" s="30"/>
      <c r="Q430" s="103"/>
      <c r="R430" s="35"/>
      <c r="S430" s="37"/>
      <c r="T430" s="37"/>
      <c r="U430" s="36"/>
      <c r="V430" s="87"/>
      <c r="W430" s="36" t="str">
        <f>IF(NOTA[[#This Row],[HARGA/ CTN]]="",NOTA[[#This Row],[JUMLAH_H]],NOTA[[#This Row],[HARGA/ CTN]]*NOTA[[#This Row],[C]])</f>
        <v/>
      </c>
      <c r="X430" s="36" t="str">
        <f>IF(NOTA[[#This Row],[JUMLAH]]="","",NOTA[[#This Row],[JUMLAH]]*NOTA[[#This Row],[DISC 1]])</f>
        <v/>
      </c>
      <c r="Y430" s="36" t="str">
        <f>IF(NOTA[[#This Row],[JUMLAH]]="","",(NOTA[[#This Row],[JUMLAH]]-NOTA[[#This Row],[DISC 1-]])*NOTA[[#This Row],[DISC 2]])</f>
        <v/>
      </c>
      <c r="Z430" s="36" t="str">
        <f>IF(NOTA[[#This Row],[JUMLAH]]="","",NOTA[[#This Row],[DISC 1-]]+NOTA[[#This Row],[DISC 2-]])</f>
        <v/>
      </c>
      <c r="AA430" s="36" t="str">
        <f>IF(NOTA[[#This Row],[JUMLAH]]="","",NOTA[[#This Row],[JUMLAH]]-NOTA[[#This Row],[DISC]])</f>
        <v/>
      </c>
      <c r="AB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36" t="str">
        <f>IF(OR(NOTA[[#This Row],[QTY]]="",NOTA[[#This Row],[HARGA SATUAN]]="",),"",NOTA[[#This Row],[QTY]]*NOTA[[#This Row],[HARGA SATUAN]])</f>
        <v/>
      </c>
      <c r="AF430" s="34" t="str">
        <f ca="1">IF(NOTA[ID_H]="","",INDEX(NOTA[TANGGAL],MATCH(,INDIRECT(ADDRESS(ROW(NOTA[TANGGAL]),COLUMN(NOTA[TANGGAL]))&amp;":"&amp;ADDRESS(ROW(),COLUMN(NOTA[TANGGAL]))),-1)))</f>
        <v/>
      </c>
      <c r="AG430" s="38" t="str">
        <f ca="1">IF(NOTA[[#This Row],[NAMA BARANG]]="","",INDEX(NOTA[SUPPLIER],MATCH(,INDIRECT(ADDRESS(ROW(NOTA[ID]),COLUMN(NOTA[ID]))&amp;":"&amp;ADDRESS(ROW(),COLUMN(NOTA[ID]))),-1)))</f>
        <v/>
      </c>
      <c r="AH430" s="16" t="str">
        <f ca="1">IF(NOTA[[#This Row],[ID]]="","",COUNTIF(NOTA[ID_H],NOTA[[#This Row],[ID_H]]))</f>
        <v/>
      </c>
      <c r="AI430" s="16" t="str">
        <f ca="1">IF(NOTA[[#This Row],[TGL.NOTA]]="",IF(NOTA[[#This Row],[SUPPLIER_H]]="","",AI429),MONTH(NOTA[[#This Row],[TGL.NOTA]]))</f>
        <v/>
      </c>
      <c r="AJ430" s="16"/>
    </row>
    <row r="431" spans="1:36" ht="20.100000000000001" customHeight="1" x14ac:dyDescent="0.25">
      <c r="A431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431" s="39" t="e">
        <f ca="1">IF(NOTA[[#This Row],[ID_P]]="","",MATCH(NOTA[[#This Row],[ID_P]],[1]!B_MSK[N_ID],0))</f>
        <v>#REF!</v>
      </c>
      <c r="D431" s="39">
        <f ca="1">IF(NOTA[[#This Row],[NAMA BARANG]]="","",INDEX(NOTA[ID],MATCH(,INDIRECT(ADDRESS(ROW(NOTA[ID]),COLUMN(NOTA[ID]))&amp;":"&amp;ADDRESS(ROW(),COLUMN(NOTA[ID]))),-1)))</f>
        <v>92</v>
      </c>
      <c r="E431" s="32"/>
      <c r="F431" s="31" t="s">
        <v>25</v>
      </c>
      <c r="G431" s="31" t="s">
        <v>24</v>
      </c>
      <c r="H431" s="33" t="s">
        <v>537</v>
      </c>
      <c r="I431" s="31"/>
      <c r="J431" s="34">
        <v>44855</v>
      </c>
      <c r="K431" s="31"/>
      <c r="L431" s="31" t="s">
        <v>539</v>
      </c>
      <c r="M431" s="35">
        <v>3</v>
      </c>
      <c r="N431" s="31">
        <v>150</v>
      </c>
      <c r="O431" s="31" t="s">
        <v>287</v>
      </c>
      <c r="P431" s="30">
        <v>32000</v>
      </c>
      <c r="Q431" s="103"/>
      <c r="R431" s="35" t="s">
        <v>538</v>
      </c>
      <c r="S431" s="37">
        <v>0.125</v>
      </c>
      <c r="T431" s="37">
        <v>0.05</v>
      </c>
      <c r="U431" s="36"/>
      <c r="V431" s="87"/>
      <c r="W431" s="36">
        <f>IF(NOTA[[#This Row],[HARGA/ CTN]]="",NOTA[[#This Row],[JUMLAH_H]],NOTA[[#This Row],[HARGA/ CTN]]*NOTA[[#This Row],[C]])</f>
        <v>4800000</v>
      </c>
      <c r="X431" s="36">
        <f>IF(NOTA[[#This Row],[JUMLAH]]="","",NOTA[[#This Row],[JUMLAH]]*NOTA[[#This Row],[DISC 1]])</f>
        <v>600000</v>
      </c>
      <c r="Y431" s="36">
        <f>IF(NOTA[[#This Row],[JUMLAH]]="","",(NOTA[[#This Row],[JUMLAH]]-NOTA[[#This Row],[DISC 1-]])*NOTA[[#This Row],[DISC 2]])</f>
        <v>210000</v>
      </c>
      <c r="Z431" s="36">
        <f>IF(NOTA[[#This Row],[JUMLAH]]="","",NOTA[[#This Row],[DISC 1-]]+NOTA[[#This Row],[DISC 2-]])</f>
        <v>810000</v>
      </c>
      <c r="AA431" s="36">
        <f>IF(NOTA[[#This Row],[JUMLAH]]="","",NOTA[[#This Row],[JUMLAH]]-NOTA[[#This Row],[DISC]])</f>
        <v>3990000</v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31" s="36">
        <f>IF(OR(NOTA[[#This Row],[QTY]]="",NOTA[[#This Row],[HARGA SATUAN]]="",),"",NOTA[[#This Row],[QTY]]*NOTA[[#This Row],[HARGA SATUAN]])</f>
        <v>4800000</v>
      </c>
      <c r="AF431" s="34">
        <f ca="1">IF(NOTA[ID_H]="","",INDEX(NOTA[TANGGAL],MATCH(,INDIRECT(ADDRESS(ROW(NOTA[TANGGAL]),COLUMN(NOTA[TANGGAL]))&amp;":"&amp;ADDRESS(ROW(),COLUMN(NOTA[TANGGAL]))),-1)))</f>
        <v>44858</v>
      </c>
      <c r="AG431" s="38" t="str">
        <f ca="1">IF(NOTA[[#This Row],[NAMA BARANG]]="","",INDEX(NOTA[SUPPLIER],MATCH(,INDIRECT(ADDRESS(ROW(NOTA[ID]),COLUMN(NOTA[ID]))&amp;":"&amp;ADDRESS(ROW(),COLUMN(NOTA[ID]))),-1)))</f>
        <v>ATALI MAKMUR</v>
      </c>
      <c r="AH431" s="16">
        <f ca="1">IF(NOTA[[#This Row],[ID]]="","",COUNTIF(NOTA[ID_H],NOTA[[#This Row],[ID_H]]))</f>
        <v>2</v>
      </c>
      <c r="AI431" s="16">
        <f>IF(NOTA[[#This Row],[TGL.NOTA]]="",IF(NOTA[[#This Row],[SUPPLIER_H]]="","",AI430),MONTH(NOTA[[#This Row],[TGL.NOTA]]))</f>
        <v>10</v>
      </c>
      <c r="AJ431" s="16"/>
    </row>
    <row r="432" spans="1:36" ht="20.100000000000001" customHeight="1" x14ac:dyDescent="0.25">
      <c r="A4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92</v>
      </c>
      <c r="E432" s="32"/>
      <c r="F432" s="31"/>
      <c r="G432" s="31"/>
      <c r="H432" s="33"/>
      <c r="I432" s="31"/>
      <c r="J432" s="34"/>
      <c r="K432" s="31"/>
      <c r="L432" s="31" t="s">
        <v>540</v>
      </c>
      <c r="M432" s="35">
        <v>3</v>
      </c>
      <c r="N432" s="31">
        <v>150</v>
      </c>
      <c r="O432" s="31" t="s">
        <v>287</v>
      </c>
      <c r="P432" s="30">
        <v>34100</v>
      </c>
      <c r="Q432" s="103"/>
      <c r="R432" s="35" t="s">
        <v>345</v>
      </c>
      <c r="S432" s="37">
        <v>0.125</v>
      </c>
      <c r="T432" s="37">
        <v>0.05</v>
      </c>
      <c r="U432" s="36"/>
      <c r="V432" s="87"/>
      <c r="W432" s="36">
        <f>IF(NOTA[[#This Row],[HARGA/ CTN]]="",NOTA[[#This Row],[JUMLAH_H]],NOTA[[#This Row],[HARGA/ CTN]]*NOTA[[#This Row],[C]])</f>
        <v>5115000</v>
      </c>
      <c r="X432" s="36">
        <f>IF(NOTA[[#This Row],[JUMLAH]]="","",NOTA[[#This Row],[JUMLAH]]*NOTA[[#This Row],[DISC 1]])</f>
        <v>639375</v>
      </c>
      <c r="Y432" s="36">
        <f>IF(NOTA[[#This Row],[JUMLAH]]="","",(NOTA[[#This Row],[JUMLAH]]-NOTA[[#This Row],[DISC 1-]])*NOTA[[#This Row],[DISC 2]])</f>
        <v>223781.25</v>
      </c>
      <c r="Z432" s="36">
        <f>IF(NOTA[[#This Row],[JUMLAH]]="","",NOTA[[#This Row],[DISC 1-]]+NOTA[[#This Row],[DISC 2-]])</f>
        <v>863156.25</v>
      </c>
      <c r="AA432" s="36">
        <f>IF(NOTA[[#This Row],[JUMLAH]]="","",NOTA[[#This Row],[JUMLAH]]-NOTA[[#This Row],[DISC]])</f>
        <v>4251843.75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32" s="36">
        <f>IF(OR(NOTA[[#This Row],[QTY]]="",NOTA[[#This Row],[HARGA SATUAN]]="",),"",NOTA[[#This Row],[QTY]]*NOTA[[#This Row],[HARGA SATUAN]])</f>
        <v>5115000</v>
      </c>
      <c r="AF432" s="34">
        <f ca="1">IF(NOTA[ID_H]="","",INDEX(NOTA[TANGGAL],MATCH(,INDIRECT(ADDRESS(ROW(NOTA[TANGGAL]),COLUMN(NOTA[TANGGAL]))&amp;":"&amp;ADDRESS(ROW(),COLUMN(NOTA[TANGGAL]))),-1)))</f>
        <v>44858</v>
      </c>
      <c r="AG432" s="38" t="str">
        <f ca="1">IF(NOTA[[#This Row],[NAMA BARANG]]="","",INDEX(NOTA[SUPPLIER],MATCH(,INDIRECT(ADDRESS(ROW(NOTA[ID]),COLUMN(NOTA[ID]))&amp;":"&amp;ADDRESS(ROW(),COLUMN(NOTA[ID]))),-1)))</f>
        <v>ATALI MAKMUR</v>
      </c>
      <c r="AH432" s="16" t="str">
        <f ca="1">IF(NOTA[[#This Row],[ID]]="","",COUNTIF(NOTA[ID_H],NOTA[[#This Row],[ID_H]]))</f>
        <v/>
      </c>
      <c r="AI432" s="16">
        <f ca="1"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32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8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93</v>
      </c>
      <c r="E434" s="32"/>
      <c r="F434" s="31" t="s">
        <v>375</v>
      </c>
      <c r="G434" s="31" t="s">
        <v>87</v>
      </c>
      <c r="H434" s="33" t="s">
        <v>547</v>
      </c>
      <c r="I434" s="31"/>
      <c r="J434" s="34">
        <v>44854</v>
      </c>
      <c r="K434" s="31"/>
      <c r="L434" s="31" t="s">
        <v>548</v>
      </c>
      <c r="M434" s="35">
        <v>2</v>
      </c>
      <c r="N434" s="31">
        <v>100</v>
      </c>
      <c r="O434" s="31" t="s">
        <v>378</v>
      </c>
      <c r="P434" s="30">
        <v>125000</v>
      </c>
      <c r="Q434" s="103"/>
      <c r="R434" s="35" t="s">
        <v>379</v>
      </c>
      <c r="S434" s="37">
        <v>0.2</v>
      </c>
      <c r="T434" s="37"/>
      <c r="U434" s="36"/>
      <c r="V434" s="87"/>
      <c r="W434" s="36">
        <f>IF(NOTA[[#This Row],[HARGA/ CTN]]="",NOTA[[#This Row],[JUMLAH_H]],NOTA[[#This Row],[HARGA/ CTN]]*NOTA[[#This Row],[C]])</f>
        <v>12500000</v>
      </c>
      <c r="X434" s="36">
        <f>IF(NOTA[[#This Row],[JUMLAH]]="","",NOTA[[#This Row],[JUMLAH]]*NOTA[[#This Row],[DISC 1]])</f>
        <v>2500000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2500000</v>
      </c>
      <c r="AA434" s="36">
        <f>IF(NOTA[[#This Row],[JUMLAH]]="","",NOTA[[#This Row],[JUMLAH]]-NOTA[[#This Row],[DISC]])</f>
        <v>10000000</v>
      </c>
      <c r="AB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4" s="36">
        <f>IF(OR(NOTA[[#This Row],[QTY]]="",NOTA[[#This Row],[HARGA SATUAN]]="",),"",NOTA[[#This Row],[QTY]]*NOTA[[#This Row],[HARGA SATUAN]])</f>
        <v>12500000</v>
      </c>
      <c r="AF434" s="34">
        <f ca="1">IF(NOTA[ID_H]="","",INDEX(NOTA[TANGGAL],MATCH(,INDIRECT(ADDRESS(ROW(NOTA[TANGGAL]),COLUMN(NOTA[TANGGAL]))&amp;":"&amp;ADDRESS(ROW(),COLUMN(NOTA[TANGGAL]))),-1)))</f>
        <v>44858</v>
      </c>
      <c r="AG434" s="38" t="str">
        <f ca="1">IF(NOTA[[#This Row],[NAMA BARANG]]="","",INDEX(NOTA[SUPPLIER],MATCH(,INDIRECT(ADDRESS(ROW(NOTA[ID]),COLUMN(NOTA[ID]))&amp;":"&amp;ADDRESS(ROW(),COLUMN(NOTA[ID]))),-1)))</f>
        <v>PUTRA SURYA MANDIRI</v>
      </c>
      <c r="AH434" s="16">
        <f ca="1">IF(NOTA[[#This Row],[ID]]="","",COUNTIF(NOTA[ID_H],NOTA[[#This Row],[ID_H]]))</f>
        <v>4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>
        <f ca="1">IF(NOTA[[#This Row],[NAMA BARANG]]="","",INDEX(NOTA[ID],MATCH(,INDIRECT(ADDRESS(ROW(NOTA[ID]),COLUMN(NOTA[ID]))&amp;":"&amp;ADDRESS(ROW(),COLUMN(NOTA[ID]))),-1)))</f>
        <v>93</v>
      </c>
      <c r="E435" s="32"/>
      <c r="F435" s="31"/>
      <c r="G435" s="31"/>
      <c r="H435" s="33"/>
      <c r="I435" s="31"/>
      <c r="J435" s="34"/>
      <c r="K435" s="31"/>
      <c r="L435" s="31" t="s">
        <v>549</v>
      </c>
      <c r="M435" s="35">
        <v>2</v>
      </c>
      <c r="N435" s="31">
        <v>100</v>
      </c>
      <c r="O435" s="31" t="s">
        <v>378</v>
      </c>
      <c r="P435" s="30">
        <v>125000</v>
      </c>
      <c r="Q435" s="103"/>
      <c r="R435" s="35" t="s">
        <v>379</v>
      </c>
      <c r="S435" s="37">
        <v>0.2</v>
      </c>
      <c r="T435" s="37"/>
      <c r="U435" s="36"/>
      <c r="V435" s="87"/>
      <c r="W435" s="36">
        <f>IF(NOTA[[#This Row],[HARGA/ CTN]]="",NOTA[[#This Row],[JUMLAH_H]],NOTA[[#This Row],[HARGA/ CTN]]*NOTA[[#This Row],[C]])</f>
        <v>12500000</v>
      </c>
      <c r="X435" s="36">
        <f>IF(NOTA[[#This Row],[JUMLAH]]="","",NOTA[[#This Row],[JUMLAH]]*NOTA[[#This Row],[DISC 1]])</f>
        <v>2500000</v>
      </c>
      <c r="Y435" s="36">
        <f>IF(NOTA[[#This Row],[JUMLAH]]="","",(NOTA[[#This Row],[JUMLAH]]-NOTA[[#This Row],[DISC 1-]])*NOTA[[#This Row],[DISC 2]])</f>
        <v>0</v>
      </c>
      <c r="Z435" s="36">
        <f>IF(NOTA[[#This Row],[JUMLAH]]="","",NOTA[[#This Row],[DISC 1-]]+NOTA[[#This Row],[DISC 2-]])</f>
        <v>2500000</v>
      </c>
      <c r="AA435" s="36">
        <f>IF(NOTA[[#This Row],[JUMLAH]]="","",NOTA[[#This Row],[JUMLAH]]-NOTA[[#This Row],[DISC]])</f>
        <v>10000000</v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5" s="36">
        <f>IF(OR(NOTA[[#This Row],[QTY]]="",NOTA[[#This Row],[HARGA SATUAN]]="",),"",NOTA[[#This Row],[QTY]]*NOTA[[#This Row],[HARGA SATUAN]])</f>
        <v>12500000</v>
      </c>
      <c r="AF435" s="34">
        <f ca="1">IF(NOTA[ID_H]="","",INDEX(NOTA[TANGGAL],MATCH(,INDIRECT(ADDRESS(ROW(NOTA[TANGGAL]),COLUMN(NOTA[TANGGAL]))&amp;":"&amp;ADDRESS(ROW(),COLUMN(NOTA[TANGGAL]))),-1)))</f>
        <v>44858</v>
      </c>
      <c r="AG435" s="38" t="str">
        <f ca="1">IF(NOTA[[#This Row],[NAMA BARANG]]="","",INDEX(NOTA[SUPPLIER],MATCH(,INDIRECT(ADDRESS(ROW(NOTA[ID]),COLUMN(NOTA[ID]))&amp;":"&amp;ADDRESS(ROW(),COLUMN(NOTA[ID]))),-1)))</f>
        <v>PUTRA SURYA MANDIRI</v>
      </c>
      <c r="AH435" s="16" t="str">
        <f ca="1">IF(NOTA[[#This Row],[ID]]="","",COUNTIF(NOTA[ID_H],NOTA[[#This Row],[ID_H]]))</f>
        <v/>
      </c>
      <c r="AI435" s="16">
        <f ca="1">IF(NOTA[[#This Row],[TGL.NOTA]]="",IF(NOTA[[#This Row],[SUPPLIER_H]]="","",AI434),MONTH(NOTA[[#This Row],[TGL.NOTA]]))</f>
        <v>10</v>
      </c>
      <c r="AJ435" s="16"/>
    </row>
    <row r="436" spans="1:36" ht="20.100000000000001" customHeight="1" x14ac:dyDescent="0.25">
      <c r="A4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9" t="str">
        <f>IF(NOTA[[#This Row],[ID_P]]="","",MATCH(NOTA[[#This Row],[ID_P]],[1]!B_MSK[N_ID],0))</f>
        <v/>
      </c>
      <c r="D436" s="39">
        <f ca="1">IF(NOTA[[#This Row],[NAMA BARANG]]="","",INDEX(NOTA[ID],MATCH(,INDIRECT(ADDRESS(ROW(NOTA[ID]),COLUMN(NOTA[ID]))&amp;":"&amp;ADDRESS(ROW(),COLUMN(NOTA[ID]))),-1)))</f>
        <v>93</v>
      </c>
      <c r="E436" s="32"/>
      <c r="F436" s="31"/>
      <c r="G436" s="31"/>
      <c r="H436" s="33"/>
      <c r="I436" s="31"/>
      <c r="J436" s="34"/>
      <c r="K436" s="31"/>
      <c r="L436" s="31" t="s">
        <v>550</v>
      </c>
      <c r="M436" s="35">
        <v>1</v>
      </c>
      <c r="N436" s="31">
        <v>280</v>
      </c>
      <c r="O436" s="31" t="s">
        <v>482</v>
      </c>
      <c r="P436" s="30">
        <v>17000</v>
      </c>
      <c r="Q436" s="103"/>
      <c r="R436" s="35" t="s">
        <v>551</v>
      </c>
      <c r="S436" s="37">
        <v>0.2</v>
      </c>
      <c r="T436" s="37"/>
      <c r="U436" s="36"/>
      <c r="V436" s="87"/>
      <c r="W436" s="36">
        <f>IF(NOTA[[#This Row],[HARGA/ CTN]]="",NOTA[[#This Row],[JUMLAH_H]],NOTA[[#This Row],[HARGA/ CTN]]*NOTA[[#This Row],[C]])</f>
        <v>4760000</v>
      </c>
      <c r="X436" s="36">
        <f>IF(NOTA[[#This Row],[JUMLAH]]="","",NOTA[[#This Row],[JUMLAH]]*NOTA[[#This Row],[DISC 1]])</f>
        <v>952000</v>
      </c>
      <c r="Y436" s="36">
        <f>IF(NOTA[[#This Row],[JUMLAH]]="","",(NOTA[[#This Row],[JUMLAH]]-NOTA[[#This Row],[DISC 1-]])*NOTA[[#This Row],[DISC 2]])</f>
        <v>0</v>
      </c>
      <c r="Z436" s="36">
        <f>IF(NOTA[[#This Row],[JUMLAH]]="","",NOTA[[#This Row],[DISC 1-]]+NOTA[[#This Row],[DISC 2-]])</f>
        <v>952000</v>
      </c>
      <c r="AA436" s="36">
        <f>IF(NOTA[[#This Row],[JUMLAH]]="","",NOTA[[#This Row],[JUMLAH]]-NOTA[[#This Row],[DISC]])</f>
        <v>3808000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436" s="36">
        <f>IF(OR(NOTA[[#This Row],[QTY]]="",NOTA[[#This Row],[HARGA SATUAN]]="",),"",NOTA[[#This Row],[QTY]]*NOTA[[#This Row],[HARGA SATUAN]])</f>
        <v>4760000</v>
      </c>
      <c r="AF436" s="34">
        <f ca="1">IF(NOTA[ID_H]="","",INDEX(NOTA[TANGGAL],MATCH(,INDIRECT(ADDRESS(ROW(NOTA[TANGGAL]),COLUMN(NOTA[TANGGAL]))&amp;":"&amp;ADDRESS(ROW(),COLUMN(NOTA[TANGGAL]))),-1)))</f>
        <v>44858</v>
      </c>
      <c r="AG436" s="38" t="str">
        <f ca="1">IF(NOTA[[#This Row],[NAMA BARANG]]="","",INDEX(NOTA[SUPPLIER],MATCH(,INDIRECT(ADDRESS(ROW(NOTA[ID]),COLUMN(NOTA[ID]))&amp;":"&amp;ADDRESS(ROW(),COLUMN(NOTA[ID]))),-1)))</f>
        <v>PUTRA SURYA MANDIRI</v>
      </c>
      <c r="AH436" s="16" t="str">
        <f ca="1">IF(NOTA[[#This Row],[ID]]="","",COUNTIF(NOTA[ID_H],NOTA[[#This Row],[ID_H]]))</f>
        <v/>
      </c>
      <c r="AI436" s="16">
        <f ca="1"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93</v>
      </c>
      <c r="E437" s="32"/>
      <c r="F437" s="31"/>
      <c r="G437" s="31"/>
      <c r="H437" s="33"/>
      <c r="I437" s="31"/>
      <c r="J437" s="34"/>
      <c r="K437" s="31"/>
      <c r="L437" s="31" t="s">
        <v>552</v>
      </c>
      <c r="M437" s="35">
        <v>1</v>
      </c>
      <c r="N437" s="31">
        <v>120</v>
      </c>
      <c r="O437" s="31" t="s">
        <v>204</v>
      </c>
      <c r="P437" s="30">
        <v>29500</v>
      </c>
      <c r="Q437" s="103"/>
      <c r="R437" s="35" t="s">
        <v>369</v>
      </c>
      <c r="S437" s="37">
        <v>0.2</v>
      </c>
      <c r="T437" s="37"/>
      <c r="U437" s="36"/>
      <c r="V437" s="87"/>
      <c r="W437" s="36">
        <f>IF(NOTA[[#This Row],[HARGA/ CTN]]="",NOTA[[#This Row],[JUMLAH_H]],NOTA[[#This Row],[HARGA/ CTN]]*NOTA[[#This Row],[C]])</f>
        <v>3540000</v>
      </c>
      <c r="X437" s="36">
        <f>IF(NOTA[[#This Row],[JUMLAH]]="","",NOTA[[#This Row],[JUMLAH]]*NOTA[[#This Row],[DISC 1]])</f>
        <v>708000</v>
      </c>
      <c r="Y437" s="36">
        <f>IF(NOTA[[#This Row],[JUMLAH]]="","",(NOTA[[#This Row],[JUMLAH]]-NOTA[[#This Row],[DISC 1-]])*NOTA[[#This Row],[DISC 2]])</f>
        <v>0</v>
      </c>
      <c r="Z437" s="36">
        <f>IF(NOTA[[#This Row],[JUMLAH]]="","",NOTA[[#This Row],[DISC 1-]]+NOTA[[#This Row],[DISC 2-]])</f>
        <v>708000</v>
      </c>
      <c r="AA437" s="36">
        <f>IF(NOTA[[#This Row],[JUMLAH]]="","",NOTA[[#This Row],[JUMLAH]]-NOTA[[#This Row],[DISC]])</f>
        <v>2832000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437" s="36">
        <f>IF(OR(NOTA[[#This Row],[QTY]]="",NOTA[[#This Row],[HARGA SATUAN]]="",),"",NOTA[[#This Row],[QTY]]*NOTA[[#This Row],[HARGA SATUAN]])</f>
        <v>3540000</v>
      </c>
      <c r="AF437" s="34">
        <f ca="1">IF(NOTA[ID_H]="","",INDEX(NOTA[TANGGAL],MATCH(,INDIRECT(ADDRESS(ROW(NOTA[TANGGAL]),COLUMN(NOTA[TANGGAL]))&amp;":"&amp;ADDRESS(ROW(),COLUMN(NOTA[TANGGAL]))),-1)))</f>
        <v>44858</v>
      </c>
      <c r="AG437" s="38" t="str">
        <f ca="1">IF(NOTA[[#This Row],[NAMA BARANG]]="","",INDEX(NOTA[SUPPLIER],MATCH(,INDIRECT(ADDRESS(ROW(NOTA[ID]),COLUMN(NOTA[ID]))&amp;":"&amp;ADDRESS(ROW(),COLUMN(NOTA[ID]))),-1)))</f>
        <v>PUTRA SURYA MANDIRI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8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94</v>
      </c>
      <c r="E439" s="32"/>
      <c r="F439" s="31" t="s">
        <v>254</v>
      </c>
      <c r="G439" s="31" t="s">
        <v>87</v>
      </c>
      <c r="H439" s="33" t="s">
        <v>553</v>
      </c>
      <c r="I439" s="31"/>
      <c r="J439" s="34">
        <v>44854</v>
      </c>
      <c r="K439" s="31"/>
      <c r="L439" s="31" t="s">
        <v>258</v>
      </c>
      <c r="M439" s="35">
        <v>9</v>
      </c>
      <c r="N439" s="31">
        <v>450</v>
      </c>
      <c r="O439" s="31" t="s">
        <v>90</v>
      </c>
      <c r="P439" s="30">
        <v>17500</v>
      </c>
      <c r="Q439" s="103"/>
      <c r="R439" s="35" t="s">
        <v>257</v>
      </c>
      <c r="S439" s="37"/>
      <c r="T439" s="37"/>
      <c r="U439" s="36"/>
      <c r="V439" s="87"/>
      <c r="W439" s="36">
        <f>IF(NOTA[[#This Row],[HARGA/ CTN]]="",NOTA[[#This Row],[JUMLAH_H]],NOTA[[#This Row],[HARGA/ CTN]]*NOTA[[#This Row],[C]])</f>
        <v>7875000</v>
      </c>
      <c r="X439" s="36">
        <f>IF(NOTA[[#This Row],[JUMLAH]]="","",NOTA[[#This Row],[JUMLAH]]*NOTA[[#This Row],[DISC 1]])</f>
        <v>0</v>
      </c>
      <c r="Y439" s="36">
        <f>IF(NOTA[[#This Row],[JUMLAH]]="","",(NOTA[[#This Row],[JUMLAH]]-NOTA[[#This Row],[DISC 1-]])*NOTA[[#This Row],[DISC 2]])</f>
        <v>0</v>
      </c>
      <c r="Z439" s="36">
        <f>IF(NOTA[[#This Row],[JUMLAH]]="","",NOTA[[#This Row],[DISC 1-]]+NOTA[[#This Row],[DISC 2-]])</f>
        <v>0</v>
      </c>
      <c r="AA439" s="36">
        <f>IF(NOTA[[#This Row],[JUMLAH]]="","",NOTA[[#This Row],[JUMLAH]]-NOTA[[#This Row],[DISC]])</f>
        <v>7875000</v>
      </c>
      <c r="AB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39" s="36">
        <f>IF(OR(NOTA[[#This Row],[QTY]]="",NOTA[[#This Row],[HARGA SATUAN]]="",),"",NOTA[[#This Row],[QTY]]*NOTA[[#This Row],[HARGA SATUAN]])</f>
        <v>7875000</v>
      </c>
      <c r="AF439" s="34">
        <f ca="1">IF(NOTA[ID_H]="","",INDEX(NOTA[TANGGAL],MATCH(,INDIRECT(ADDRESS(ROW(NOTA[TANGGAL]),COLUMN(NOTA[TANGGAL]))&amp;":"&amp;ADDRESS(ROW(),COLUMN(NOTA[TANGGAL]))),-1)))</f>
        <v>44858</v>
      </c>
      <c r="AG439" s="38" t="str">
        <f ca="1">IF(NOTA[[#This Row],[NAMA BARANG]]="","",INDEX(NOTA[SUPPLIER],MATCH(,INDIRECT(ADDRESS(ROW(NOTA[ID]),COLUMN(NOTA[ID]))&amp;":"&amp;ADDRESS(ROW(),COLUMN(NOTA[ID]))),-1)))</f>
        <v>GRAFINDO</v>
      </c>
      <c r="AH439" s="16">
        <f ca="1">IF(NOTA[[#This Row],[ID]]="","",COUNTIF(NOTA[ID_H],NOTA[[#This Row],[ID_H]]))</f>
        <v>1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 t="str">
        <f ca="1">IF(NOTA[[#This Row],[NAMA BARANG]]="","",INDEX(NOTA[ID],MATCH(,INDIRECT(ADDRESS(ROW(NOTA[ID]),COLUMN(NOTA[ID]))&amp;":"&amp;ADDRESS(ROW(),COLUMN(NOTA[ID]))),-1)))</f>
        <v/>
      </c>
      <c r="E440" s="32"/>
      <c r="F440" s="31"/>
      <c r="G440" s="31"/>
      <c r="H440" s="33"/>
      <c r="I440" s="31"/>
      <c r="J440" s="34"/>
      <c r="K440" s="31"/>
      <c r="L440" s="31"/>
      <c r="M440" s="35"/>
      <c r="N440" s="31"/>
      <c r="O440" s="31"/>
      <c r="P440" s="30"/>
      <c r="Q440" s="103"/>
      <c r="R440" s="35"/>
      <c r="S440" s="37"/>
      <c r="T440" s="37"/>
      <c r="U440" s="36"/>
      <c r="V440" s="87"/>
      <c r="W440" s="36" t="str">
        <f>IF(NOTA[[#This Row],[HARGA/ CTN]]="",NOTA[[#This Row],[JUMLAH_H]],NOTA[[#This Row],[HARGA/ CTN]]*NOTA[[#This Row],[C]])</f>
        <v/>
      </c>
      <c r="X440" s="36" t="str">
        <f>IF(NOTA[[#This Row],[JUMLAH]]="","",NOTA[[#This Row],[JUMLAH]]*NOTA[[#This Row],[DISC 1]])</f>
        <v/>
      </c>
      <c r="Y440" s="36" t="str">
        <f>IF(NOTA[[#This Row],[JUMLAH]]="","",(NOTA[[#This Row],[JUMLAH]]-NOTA[[#This Row],[DISC 1-]])*NOTA[[#This Row],[DISC 2]])</f>
        <v/>
      </c>
      <c r="Z440" s="36" t="str">
        <f>IF(NOTA[[#This Row],[JUMLAH]]="","",NOTA[[#This Row],[DISC 1-]]+NOTA[[#This Row],[DISC 2-]])</f>
        <v/>
      </c>
      <c r="AA440" s="36" t="str">
        <f>IF(NOTA[[#This Row],[JUMLAH]]="","",NOTA[[#This Row],[JUMLAH]]-NOTA[[#This Row],[DISC]])</f>
        <v/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36" t="str">
        <f>IF(OR(NOTA[[#This Row],[QTY]]="",NOTA[[#This Row],[HARGA SATUAN]]="",),"",NOTA[[#This Row],[QTY]]*NOTA[[#This Row],[HARGA SATUAN]])</f>
        <v/>
      </c>
      <c r="AF440" s="34" t="str">
        <f ca="1">IF(NOTA[ID_H]="","",INDEX(NOTA[TANGGAL],MATCH(,INDIRECT(ADDRESS(ROW(NOTA[TANGGAL]),COLUMN(NOTA[TANGGAL]))&amp;":"&amp;ADDRESS(ROW(),COLUMN(NOTA[TANGGAL]))),-1)))</f>
        <v/>
      </c>
      <c r="AG440" s="38" t="str">
        <f ca="1">IF(NOTA[[#This Row],[NAMA BARANG]]="","",INDEX(NOTA[SUPPLIER],MATCH(,INDIRECT(ADDRESS(ROW(NOTA[ID]),COLUMN(NOTA[ID]))&amp;":"&amp;ADDRESS(ROW(),COLUMN(NOTA[ID]))),-1)))</f>
        <v/>
      </c>
      <c r="AH440" s="16" t="str">
        <f ca="1">IF(NOTA[[#This Row],[ID]]="","",COUNTIF(NOTA[ID_H],NOTA[[#This Row],[ID_H]]))</f>
        <v/>
      </c>
      <c r="AI440" s="16" t="str">
        <f ca="1">IF(NOTA[[#This Row],[TGL.NOTA]]="",IF(NOTA[[#This Row],[SUPPLIER_H]]="","",AI439),MONTH(NOTA[[#This Row],[TGL.NOTA]]))</f>
        <v/>
      </c>
      <c r="AJ440" s="16"/>
    </row>
    <row r="441" spans="1:36" ht="20.100000000000001" customHeight="1" x14ac:dyDescent="0.25">
      <c r="A441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41" s="39" t="e">
        <f ca="1">IF(NOTA[[#This Row],[ID_P]]="","",MATCH(NOTA[[#This Row],[ID_P]],[1]!B_MSK[N_ID],0))</f>
        <v>#REF!</v>
      </c>
      <c r="D441" s="39">
        <f ca="1">IF(NOTA[[#This Row],[NAMA BARANG]]="","",INDEX(NOTA[ID],MATCH(,INDIRECT(ADDRESS(ROW(NOTA[ID]),COLUMN(NOTA[ID]))&amp;":"&amp;ADDRESS(ROW(),COLUMN(NOTA[ID]))),-1)))</f>
        <v>95</v>
      </c>
      <c r="E441" s="32"/>
      <c r="F441" s="31" t="s">
        <v>254</v>
      </c>
      <c r="G441" s="31" t="s">
        <v>87</v>
      </c>
      <c r="H441" s="33" t="s">
        <v>554</v>
      </c>
      <c r="I441" s="31"/>
      <c r="J441" s="34">
        <v>44854</v>
      </c>
      <c r="K441" s="31"/>
      <c r="L441" s="31" t="s">
        <v>256</v>
      </c>
      <c r="M441" s="35">
        <v>6</v>
      </c>
      <c r="N441" s="31">
        <v>300</v>
      </c>
      <c r="O441" s="31" t="s">
        <v>90</v>
      </c>
      <c r="P441" s="30">
        <v>17500</v>
      </c>
      <c r="Q441" s="103"/>
      <c r="R441" s="35" t="s">
        <v>257</v>
      </c>
      <c r="S441" s="37"/>
      <c r="T441" s="37"/>
      <c r="U441" s="36"/>
      <c r="V441" s="87"/>
      <c r="W441" s="36">
        <f>IF(NOTA[[#This Row],[HARGA/ CTN]]="",NOTA[[#This Row],[JUMLAH_H]],NOTA[[#This Row],[HARGA/ CTN]]*NOTA[[#This Row],[C]])</f>
        <v>5250000</v>
      </c>
      <c r="X441" s="36">
        <f>IF(NOTA[[#This Row],[JUMLAH]]="","",NOTA[[#This Row],[JUMLAH]]*NOTA[[#This Row],[DISC 1]])</f>
        <v>0</v>
      </c>
      <c r="Y441" s="36">
        <f>IF(NOTA[[#This Row],[JUMLAH]]="","",(NOTA[[#This Row],[JUMLAH]]-NOTA[[#This Row],[DISC 1-]])*NOTA[[#This Row],[DISC 2]])</f>
        <v>0</v>
      </c>
      <c r="Z441" s="36">
        <f>IF(NOTA[[#This Row],[JUMLAH]]="","",NOTA[[#This Row],[DISC 1-]]+NOTA[[#This Row],[DISC 2-]])</f>
        <v>0</v>
      </c>
      <c r="AA441" s="36">
        <f>IF(NOTA[[#This Row],[JUMLAH]]="","",NOTA[[#This Row],[JUMLAH]]-NOTA[[#This Row],[DISC]])</f>
        <v>5250000</v>
      </c>
      <c r="AB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41" s="36">
        <f>IF(OR(NOTA[[#This Row],[QTY]]="",NOTA[[#This Row],[HARGA SATUAN]]="",),"",NOTA[[#This Row],[QTY]]*NOTA[[#This Row],[HARGA SATUAN]])</f>
        <v>5250000</v>
      </c>
      <c r="AF441" s="34">
        <f ca="1">IF(NOTA[ID_H]="","",INDEX(NOTA[TANGGAL],MATCH(,INDIRECT(ADDRESS(ROW(NOTA[TANGGAL]),COLUMN(NOTA[TANGGAL]))&amp;":"&amp;ADDRESS(ROW(),COLUMN(NOTA[TANGGAL]))),-1)))</f>
        <v>44858</v>
      </c>
      <c r="AG441" s="38" t="str">
        <f ca="1">IF(NOTA[[#This Row],[NAMA BARANG]]="","",INDEX(NOTA[SUPPLIER],MATCH(,INDIRECT(ADDRESS(ROW(NOTA[ID]),COLUMN(NOTA[ID]))&amp;":"&amp;ADDRESS(ROW(),COLUMN(NOTA[ID]))),-1)))</f>
        <v>GRAFINDO</v>
      </c>
      <c r="AH441" s="16">
        <f ca="1">IF(NOTA[[#This Row],[ID]]="","",COUNTIF(NOTA[ID_H],NOTA[[#This Row],[ID_H]]))</f>
        <v>1</v>
      </c>
      <c r="AI441" s="16">
        <f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 t="str">
        <f ca="1">IF(NOTA[[#This Row],[NAMA BARANG]]="","",INDEX(NOTA[ID],MATCH(,INDIRECT(ADDRESS(ROW(NOTA[ID]),COLUMN(NOTA[ID]))&amp;":"&amp;ADDRESS(ROW(),COLUMN(NOTA[ID]))),-1)))</f>
        <v/>
      </c>
      <c r="E442" s="32"/>
      <c r="F442" s="31"/>
      <c r="G442" s="31"/>
      <c r="H442" s="33"/>
      <c r="I442" s="31"/>
      <c r="J442" s="34"/>
      <c r="K442" s="31"/>
      <c r="L442" s="31"/>
      <c r="M442" s="35"/>
      <c r="N442" s="31"/>
      <c r="O442" s="31"/>
      <c r="P442" s="30"/>
      <c r="Q442" s="103"/>
      <c r="R442" s="35"/>
      <c r="S442" s="37"/>
      <c r="T442" s="37"/>
      <c r="U442" s="36"/>
      <c r="V442" s="87"/>
      <c r="W442" s="36" t="str">
        <f>IF(NOTA[[#This Row],[HARGA/ CTN]]="",NOTA[[#This Row],[JUMLAH_H]],NOTA[[#This Row],[HARGA/ CTN]]*NOTA[[#This Row],[C]])</f>
        <v/>
      </c>
      <c r="X442" s="36" t="str">
        <f>IF(NOTA[[#This Row],[JUMLAH]]="","",NOTA[[#This Row],[JUMLAH]]*NOTA[[#This Row],[DISC 1]])</f>
        <v/>
      </c>
      <c r="Y442" s="36" t="str">
        <f>IF(NOTA[[#This Row],[JUMLAH]]="","",(NOTA[[#This Row],[JUMLAH]]-NOTA[[#This Row],[DISC 1-]])*NOTA[[#This Row],[DISC 2]])</f>
        <v/>
      </c>
      <c r="Z442" s="36" t="str">
        <f>IF(NOTA[[#This Row],[JUMLAH]]="","",NOTA[[#This Row],[DISC 1-]]+NOTA[[#This Row],[DISC 2-]])</f>
        <v/>
      </c>
      <c r="AA442" s="36" t="str">
        <f>IF(NOTA[[#This Row],[JUMLAH]]="","",NOTA[[#This Row],[JUMLAH]]-NOTA[[#This Row],[DISC]])</f>
        <v/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36" t="str">
        <f>IF(OR(NOTA[[#This Row],[QTY]]="",NOTA[[#This Row],[HARGA SATUAN]]="",),"",NOTA[[#This Row],[QTY]]*NOTA[[#This Row],[HARGA SATUAN]])</f>
        <v/>
      </c>
      <c r="AF442" s="34" t="str">
        <f ca="1">IF(NOTA[ID_H]="","",INDEX(NOTA[TANGGAL],MATCH(,INDIRECT(ADDRESS(ROW(NOTA[TANGGAL]),COLUMN(NOTA[TANGGAL]))&amp;":"&amp;ADDRESS(ROW(),COLUMN(NOTA[TANGGAL]))),-1)))</f>
        <v/>
      </c>
      <c r="AG442" s="38" t="str">
        <f ca="1">IF(NOTA[[#This Row],[NAMA BARANG]]="","",INDEX(NOTA[SUPPLIER],MATCH(,INDIRECT(ADDRESS(ROW(NOTA[ID]),COLUMN(NOTA[ID]))&amp;":"&amp;ADDRESS(ROW(),COLUMN(NOTA[ID]))),-1)))</f>
        <v/>
      </c>
      <c r="AH442" s="16" t="str">
        <f ca="1">IF(NOTA[[#This Row],[ID]]="","",COUNTIF(NOTA[ID_H],NOTA[[#This Row],[ID_H]]))</f>
        <v/>
      </c>
      <c r="AI442" s="16" t="str">
        <f ca="1">IF(NOTA[[#This Row],[TGL.NOTA]]="",IF(NOTA[[#This Row],[SUPPLIER_H]]="","",AI441),MONTH(NOTA[[#This Row],[TGL.NOTA]]))</f>
        <v/>
      </c>
      <c r="AJ442" s="16"/>
    </row>
    <row r="443" spans="1:36" ht="20.100000000000001" customHeight="1" x14ac:dyDescent="0.25">
      <c r="A443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4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43" s="39" t="e">
        <f ca="1">IF(NOTA[[#This Row],[ID_P]]="","",MATCH(NOTA[[#This Row],[ID_P]],[1]!B_MSK[N_ID],0))</f>
        <v>#REF!</v>
      </c>
      <c r="D443" s="39">
        <f ca="1">IF(NOTA[[#This Row],[NAMA BARANG]]="","",INDEX(NOTA[ID],MATCH(,INDIRECT(ADDRESS(ROW(NOTA[ID]),COLUMN(NOTA[ID]))&amp;":"&amp;ADDRESS(ROW(),COLUMN(NOTA[ID]))),-1)))</f>
        <v>96</v>
      </c>
      <c r="E443" s="32">
        <v>44859</v>
      </c>
      <c r="F443" s="31" t="s">
        <v>555</v>
      </c>
      <c r="G443" s="31" t="s">
        <v>87</v>
      </c>
      <c r="H443" s="33" t="s">
        <v>556</v>
      </c>
      <c r="I443" s="31"/>
      <c r="J443" s="34">
        <v>44855</v>
      </c>
      <c r="K443" s="31"/>
      <c r="L443" s="31" t="s">
        <v>557</v>
      </c>
      <c r="M443" s="35">
        <v>20</v>
      </c>
      <c r="N443" s="31">
        <f>144*20</f>
        <v>2880</v>
      </c>
      <c r="O443" s="31" t="s">
        <v>88</v>
      </c>
      <c r="P443" s="30">
        <v>3083.33</v>
      </c>
      <c r="Q443" s="103">
        <v>444000</v>
      </c>
      <c r="R443" s="35" t="s">
        <v>558</v>
      </c>
      <c r="S443" s="37"/>
      <c r="T443" s="37"/>
      <c r="U443" s="36"/>
      <c r="V443" s="87"/>
      <c r="W443" s="36">
        <f>IF(NOTA[[#This Row],[HARGA/ CTN]]="",NOTA[[#This Row],[JUMLAH_H]],NOTA[[#This Row],[HARGA/ CTN]]*NOTA[[#This Row],[C]])</f>
        <v>8880000</v>
      </c>
      <c r="X443" s="36">
        <f>IF(NOTA[[#This Row],[JUMLAH]]="","",NOTA[[#This Row],[JUMLAH]]*NOTA[[#This Row],[DISC 1]])</f>
        <v>0</v>
      </c>
      <c r="Y443" s="36">
        <f>IF(NOTA[[#This Row],[JUMLAH]]="","",(NOTA[[#This Row],[JUMLAH]]-NOTA[[#This Row],[DISC 1-]])*NOTA[[#This Row],[DISC 2]])</f>
        <v>0</v>
      </c>
      <c r="Z443" s="36">
        <f>IF(NOTA[[#This Row],[JUMLAH]]="","",NOTA[[#This Row],[DISC 1-]]+NOTA[[#This Row],[DISC 2-]])</f>
        <v>0</v>
      </c>
      <c r="AA443" s="36">
        <f>IF(NOTA[[#This Row],[JUMLAH]]="","",NOTA[[#This Row],[JUMLAH]]-NOTA[[#This Row],[DISC]])</f>
        <v>8880000</v>
      </c>
      <c r="AB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3" s="36">
        <f>IF(OR(NOTA[[#This Row],[QTY]]="",NOTA[[#This Row],[HARGA SATUAN]]="",),"",NOTA[[#This Row],[QTY]]*NOTA[[#This Row],[HARGA SATUAN]])</f>
        <v>8879990.4000000004</v>
      </c>
      <c r="AF443" s="34">
        <f ca="1">IF(NOTA[ID_H]="","",INDEX(NOTA[TANGGAL],MATCH(,INDIRECT(ADDRESS(ROW(NOTA[TANGGAL]),COLUMN(NOTA[TANGGAL]))&amp;":"&amp;ADDRESS(ROW(),COLUMN(NOTA[TANGGAL]))),-1)))</f>
        <v>44859</v>
      </c>
      <c r="AG443" s="38" t="str">
        <f ca="1">IF(NOTA[[#This Row],[NAMA BARANG]]="","",INDEX(NOTA[SUPPLIER],MATCH(,INDIRECT(ADDRESS(ROW(NOTA[ID]),COLUMN(NOTA[ID]))&amp;":"&amp;ADDRESS(ROW(),COLUMN(NOTA[ID]))),-1)))</f>
        <v>BINTANG JAYA</v>
      </c>
      <c r="AH443" s="16">
        <f ca="1">IF(NOTA[[#This Row],[ID]]="","",COUNTIF(NOTA[ID_H],NOTA[[#This Row],[ID_H]]))</f>
        <v>2</v>
      </c>
      <c r="AI443" s="16">
        <f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>
        <f ca="1">IF(NOTA[[#This Row],[NAMA BARANG]]="","",INDEX(NOTA[ID],MATCH(,INDIRECT(ADDRESS(ROW(NOTA[ID]),COLUMN(NOTA[ID]))&amp;":"&amp;ADDRESS(ROW(),COLUMN(NOTA[ID]))),-1)))</f>
        <v>96</v>
      </c>
      <c r="E444" s="32"/>
      <c r="F444" s="31"/>
      <c r="G444" s="31"/>
      <c r="H444" s="33"/>
      <c r="I444" s="31"/>
      <c r="J444" s="34"/>
      <c r="K444" s="31"/>
      <c r="L444" s="31" t="s">
        <v>557</v>
      </c>
      <c r="M444" s="35">
        <v>1</v>
      </c>
      <c r="N444" s="31">
        <v>144</v>
      </c>
      <c r="O444" s="31" t="s">
        <v>88</v>
      </c>
      <c r="P444" s="30">
        <v>3083.33</v>
      </c>
      <c r="Q444" s="103">
        <v>444000</v>
      </c>
      <c r="R444" s="35" t="s">
        <v>558</v>
      </c>
      <c r="S444" s="37"/>
      <c r="T444" s="37"/>
      <c r="U444" s="36">
        <v>444000</v>
      </c>
      <c r="V444" s="87" t="s">
        <v>559</v>
      </c>
      <c r="W444" s="36">
        <f>IF(NOTA[[#This Row],[HARGA/ CTN]]="",NOTA[[#This Row],[JUMLAH_H]],NOTA[[#This Row],[HARGA/ CTN]]*NOTA[[#This Row],[C]])</f>
        <v>444000</v>
      </c>
      <c r="X444" s="36">
        <f>IF(NOTA[[#This Row],[JUMLAH]]="","",NOTA[[#This Row],[JUMLAH]]*NOTA[[#This Row],[DISC 1]])</f>
        <v>0</v>
      </c>
      <c r="Y444" s="36">
        <f>IF(NOTA[[#This Row],[JUMLAH]]="","",(NOTA[[#This Row],[JUMLAH]]-NOTA[[#This Row],[DISC 1-]])*NOTA[[#This Row],[DISC 2]])</f>
        <v>0</v>
      </c>
      <c r="Z444" s="36">
        <f>IF(NOTA[[#This Row],[JUMLAH]]="","",NOTA[[#This Row],[DISC 1-]]+NOTA[[#This Row],[DISC 2-]])</f>
        <v>0</v>
      </c>
      <c r="AA444" s="36">
        <f>IF(NOTA[[#This Row],[JUMLAH]]="","",NOTA[[#This Row],[JUMLAH]]-NOTA[[#This Row],[DISC]])</f>
        <v>444000</v>
      </c>
      <c r="AB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4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4" s="36">
        <f>IF(OR(NOTA[[#This Row],[QTY]]="",NOTA[[#This Row],[HARGA SATUAN]]="",),"",NOTA[[#This Row],[QTY]]*NOTA[[#This Row],[HARGA SATUAN]])</f>
        <v>443999.52</v>
      </c>
      <c r="AF444" s="34">
        <f ca="1">IF(NOTA[ID_H]="","",INDEX(NOTA[TANGGAL],MATCH(,INDIRECT(ADDRESS(ROW(NOTA[TANGGAL]),COLUMN(NOTA[TANGGAL]))&amp;":"&amp;ADDRESS(ROW(),COLUMN(NOTA[TANGGAL]))),-1)))</f>
        <v>44859</v>
      </c>
      <c r="AG444" s="38" t="str">
        <f ca="1">IF(NOTA[[#This Row],[NAMA BARANG]]="","",INDEX(NOTA[SUPPLIER],MATCH(,INDIRECT(ADDRESS(ROW(NOTA[ID]),COLUMN(NOTA[ID]))&amp;":"&amp;ADDRESS(ROW(),COLUMN(NOTA[ID]))),-1)))</f>
        <v>BINTANG JAYA</v>
      </c>
      <c r="AH444" s="16" t="str">
        <f ca="1">IF(NOTA[[#This Row],[ID]]="","",COUNTIF(NOTA[ID_H],NOTA[[#This Row],[ID_H]]))</f>
        <v/>
      </c>
      <c r="AI444" s="16">
        <f ca="1">IF(NOTA[[#This Row],[TGL.NOTA]]="",IF(NOTA[[#This Row],[SUPPLIER_H]]="","",AI443),MONTH(NOTA[[#This Row],[TGL.NOTA]]))</f>
        <v>10</v>
      </c>
      <c r="AJ444" s="16"/>
    </row>
    <row r="445" spans="1:36" ht="20.100000000000001" customHeight="1" x14ac:dyDescent="0.25">
      <c r="A4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9" t="str">
        <f>IF(NOTA[[#This Row],[ID_P]]="","",MATCH(NOTA[[#This Row],[ID_P]],[1]!B_MSK[N_ID],0))</f>
        <v/>
      </c>
      <c r="D445" s="39" t="str">
        <f ca="1">IF(NOTA[[#This Row],[NAMA BARANG]]="","",INDEX(NOTA[ID],MATCH(,INDIRECT(ADDRESS(ROW(NOTA[ID]),COLUMN(NOTA[ID]))&amp;":"&amp;ADDRESS(ROW(),COLUMN(NOTA[ID]))),-1)))</f>
        <v/>
      </c>
      <c r="E445" s="32"/>
      <c r="F445" s="31"/>
      <c r="G445" s="31"/>
      <c r="H445" s="33"/>
      <c r="I445" s="31"/>
      <c r="J445" s="34"/>
      <c r="K445" s="31"/>
      <c r="L445" s="31"/>
      <c r="M445" s="35"/>
      <c r="N445" s="31"/>
      <c r="O445" s="31"/>
      <c r="P445" s="30"/>
      <c r="Q445" s="103"/>
      <c r="R445" s="35"/>
      <c r="S445" s="37"/>
      <c r="T445" s="37"/>
      <c r="U445" s="36"/>
      <c r="V445" s="87"/>
      <c r="W445" s="36" t="str">
        <f>IF(NOTA[[#This Row],[HARGA/ CTN]]="",NOTA[[#This Row],[JUMLAH_H]],NOTA[[#This Row],[HARGA/ CTN]]*NOTA[[#This Row],[C]])</f>
        <v/>
      </c>
      <c r="X445" s="36" t="str">
        <f>IF(NOTA[[#This Row],[JUMLAH]]="","",NOTA[[#This Row],[JUMLAH]]*NOTA[[#This Row],[DISC 1]])</f>
        <v/>
      </c>
      <c r="Y445" s="36" t="str">
        <f>IF(NOTA[[#This Row],[JUMLAH]]="","",(NOTA[[#This Row],[JUMLAH]]-NOTA[[#This Row],[DISC 1-]])*NOTA[[#This Row],[DISC 2]])</f>
        <v/>
      </c>
      <c r="Z445" s="36" t="str">
        <f>IF(NOTA[[#This Row],[JUMLAH]]="","",NOTA[[#This Row],[DISC 1-]]+NOTA[[#This Row],[DISC 2-]])</f>
        <v/>
      </c>
      <c r="AA445" s="36" t="str">
        <f>IF(NOTA[[#This Row],[JUMLAH]]="","",NOTA[[#This Row],[JUMLAH]]-NOTA[[#This Row],[DISC]])</f>
        <v/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36" t="str">
        <f>IF(OR(NOTA[[#This Row],[QTY]]="",NOTA[[#This Row],[HARGA SATUAN]]="",),"",NOTA[[#This Row],[QTY]]*NOTA[[#This Row],[HARGA SATUAN]])</f>
        <v/>
      </c>
      <c r="AF445" s="34" t="str">
        <f ca="1">IF(NOTA[ID_H]="","",INDEX(NOTA[TANGGAL],MATCH(,INDIRECT(ADDRESS(ROW(NOTA[TANGGAL]),COLUMN(NOTA[TANGGAL]))&amp;":"&amp;ADDRESS(ROW(),COLUMN(NOTA[TANGGAL]))),-1)))</f>
        <v/>
      </c>
      <c r="AG445" s="38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 t="str">
        <f ca="1">IF(NOTA[[#This Row],[TGL.NOTA]]="",IF(NOTA[[#This Row],[SUPPLIER_H]]="","",AI444),MONTH(NOTA[[#This Row],[TGL.NOTA]]))</f>
        <v/>
      </c>
      <c r="AJ445" s="16"/>
    </row>
    <row r="446" spans="1:36" ht="20.100000000000001" customHeight="1" x14ac:dyDescent="0.25">
      <c r="A446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46" s="39" t="e">
        <f ca="1">IF(NOTA[[#This Row],[ID_P]]="","",MATCH(NOTA[[#This Row],[ID_P]],[1]!B_MSK[N_ID],0))</f>
        <v>#REF!</v>
      </c>
      <c r="D446" s="39">
        <f ca="1">IF(NOTA[[#This Row],[NAMA BARANG]]="","",INDEX(NOTA[ID],MATCH(,INDIRECT(ADDRESS(ROW(NOTA[ID]),COLUMN(NOTA[ID]))&amp;":"&amp;ADDRESS(ROW(),COLUMN(NOTA[ID]))),-1)))</f>
        <v>97</v>
      </c>
      <c r="E446" s="32">
        <v>44860</v>
      </c>
      <c r="F446" s="31" t="s">
        <v>560</v>
      </c>
      <c r="G446" s="31" t="s">
        <v>87</v>
      </c>
      <c r="H446" s="33" t="s">
        <v>561</v>
      </c>
      <c r="I446" s="31"/>
      <c r="J446" s="34">
        <v>44860</v>
      </c>
      <c r="K446" s="31"/>
      <c r="L446" s="31" t="s">
        <v>562</v>
      </c>
      <c r="M446" s="35">
        <v>2</v>
      </c>
      <c r="N446" s="31">
        <v>100</v>
      </c>
      <c r="O446" s="31" t="s">
        <v>88</v>
      </c>
      <c r="P446" s="30">
        <v>28000</v>
      </c>
      <c r="Q446" s="103"/>
      <c r="R446" s="35" t="s">
        <v>124</v>
      </c>
      <c r="S446" s="37"/>
      <c r="T446" s="37"/>
      <c r="U446" s="36"/>
      <c r="V446" s="87"/>
      <c r="W446" s="36">
        <f>IF(NOTA[[#This Row],[HARGA/ CTN]]="",NOTA[[#This Row],[JUMLAH_H]],NOTA[[#This Row],[HARGA/ CTN]]*NOTA[[#This Row],[C]])</f>
        <v>2800000</v>
      </c>
      <c r="X446" s="36">
        <f>IF(NOTA[[#This Row],[JUMLAH]]="","",NOTA[[#This Row],[JUMLAH]]*NOTA[[#This Row],[DISC 1]])</f>
        <v>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0</v>
      </c>
      <c r="AA446" s="36">
        <f>IF(NOTA[[#This Row],[JUMLAH]]="","",NOTA[[#This Row],[JUMLAH]]-NOTA[[#This Row],[DISC]])</f>
        <v>2800000</v>
      </c>
      <c r="AB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46" s="36">
        <f>IF(OR(NOTA[[#This Row],[QTY]]="",NOTA[[#This Row],[HARGA SATUAN]]="",),"",NOTA[[#This Row],[QTY]]*NOTA[[#This Row],[HARGA SATUAN]])</f>
        <v>2800000</v>
      </c>
      <c r="AF446" s="34">
        <f ca="1">IF(NOTA[ID_H]="","",INDEX(NOTA[TANGGAL],MATCH(,INDIRECT(ADDRESS(ROW(NOTA[TANGGAL]),COLUMN(NOTA[TANGGAL]))&amp;":"&amp;ADDRESS(ROW(),COLUMN(NOTA[TANGGAL]))),-1)))</f>
        <v>44860</v>
      </c>
      <c r="AG446" s="38" t="str">
        <f ca="1">IF(NOTA[[#This Row],[NAMA BARANG]]="","",INDEX(NOTA[SUPPLIER],MATCH(,INDIRECT(ADDRESS(ROW(NOTA[ID]),COLUMN(NOTA[ID]))&amp;":"&amp;ADDRESS(ROW(),COLUMN(NOTA[ID]))),-1)))</f>
        <v>SBS</v>
      </c>
      <c r="AH446" s="16">
        <f ca="1">IF(NOTA[[#This Row],[ID]]="","",COUNTIF(NOTA[ID_H],NOTA[[#This Row],[ID_H]]))</f>
        <v>1</v>
      </c>
      <c r="AI446" s="16">
        <f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32"/>
      <c r="F447" s="31"/>
      <c r="G447" s="31"/>
      <c r="H447" s="33"/>
      <c r="I447" s="31"/>
      <c r="J447" s="34"/>
      <c r="K447" s="31"/>
      <c r="L447" s="31"/>
      <c r="M447" s="35"/>
      <c r="N447" s="31"/>
      <c r="O447" s="31"/>
      <c r="P447" s="30"/>
      <c r="Q447" s="103"/>
      <c r="R447" s="35"/>
      <c r="S447" s="37"/>
      <c r="T447" s="37"/>
      <c r="U447" s="36"/>
      <c r="V447" s="87"/>
      <c r="W447" s="36" t="str">
        <f>IF(NOTA[[#This Row],[HARGA/ CTN]]="",NOTA[[#This Row],[JUMLAH_H]],NOTA[[#This Row],[HARGA/ CTN]]*NOTA[[#This Row],[C]])</f>
        <v/>
      </c>
      <c r="X447" s="36" t="str">
        <f>IF(NOTA[[#This Row],[JUMLAH]]="","",NOTA[[#This Row],[JUMLAH]]*NOTA[[#This Row],[DISC 1]])</f>
        <v/>
      </c>
      <c r="Y447" s="36" t="str">
        <f>IF(NOTA[[#This Row],[JUMLAH]]="","",(NOTA[[#This Row],[JUMLAH]]-NOTA[[#This Row],[DISC 1-]])*NOTA[[#This Row],[DISC 2]])</f>
        <v/>
      </c>
      <c r="Z447" s="36" t="str">
        <f>IF(NOTA[[#This Row],[JUMLAH]]="","",NOTA[[#This Row],[DISC 1-]]+NOTA[[#This Row],[DISC 2-]])</f>
        <v/>
      </c>
      <c r="AA447" s="36" t="str">
        <f>IF(NOTA[[#This Row],[JUMLAH]]="","",NOTA[[#This Row],[JUMLAH]]-NOTA[[#This Row],[DISC]])</f>
        <v/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36" t="str">
        <f>IF(OR(NOTA[[#This Row],[QTY]]="",NOTA[[#This Row],[HARGA SATUAN]]="",),"",NOTA[[#This Row],[QTY]]*NOTA[[#This Row],[HARGA SATUAN]])</f>
        <v/>
      </c>
      <c r="AF447" s="34" t="str">
        <f ca="1">IF(NOTA[ID_H]="","",INDEX(NOTA[TANGGAL],MATCH(,INDIRECT(ADDRESS(ROW(NOTA[TANGGAL]),COLUMN(NOTA[TANGGAL]))&amp;":"&amp;ADDRESS(ROW(),COLUMN(NOTA[TANGGAL]))),-1)))</f>
        <v/>
      </c>
      <c r="AG447" s="38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 t="str">
        <f ca="1">IF(NOTA[[#This Row],[TGL.NOTA]]="",IF(NOTA[[#This Row],[SUPPLIER_H]]="","",AI446),MONTH(NOTA[[#This Row],[TGL.NOTA]]))</f>
        <v/>
      </c>
      <c r="AJ447" s="16"/>
    </row>
    <row r="448" spans="1:36" ht="20.100000000000001" customHeight="1" x14ac:dyDescent="0.25">
      <c r="A448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98</v>
      </c>
      <c r="E448" s="32"/>
      <c r="F448" s="31" t="s">
        <v>264</v>
      </c>
      <c r="G448" s="31" t="s">
        <v>87</v>
      </c>
      <c r="H448" s="33" t="s">
        <v>563</v>
      </c>
      <c r="I448" s="31"/>
      <c r="J448" s="34">
        <v>44860</v>
      </c>
      <c r="K448" s="31"/>
      <c r="L448" s="31" t="s">
        <v>673</v>
      </c>
      <c r="M448" s="35"/>
      <c r="N448" s="31">
        <v>12</v>
      </c>
      <c r="O448" s="31" t="s">
        <v>210</v>
      </c>
      <c r="P448" s="30">
        <v>213000</v>
      </c>
      <c r="Q448" s="103"/>
      <c r="R448" s="35" t="s">
        <v>511</v>
      </c>
      <c r="S448" s="37"/>
      <c r="T448" s="37"/>
      <c r="U448" s="36"/>
      <c r="V448" s="87" t="s">
        <v>564</v>
      </c>
      <c r="W448" s="36">
        <f>IF(NOTA[[#This Row],[HARGA/ CTN]]="",NOTA[[#This Row],[JUMLAH_H]],NOTA[[#This Row],[HARGA/ CTN]]*NOTA[[#This Row],[C]])</f>
        <v>2556000</v>
      </c>
      <c r="X448" s="36">
        <f>IF(NOTA[[#This Row],[JUMLAH]]="","",NOTA[[#This Row],[JUMLAH]]*NOTA[[#This Row],[DISC 1]])</f>
        <v>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0</v>
      </c>
      <c r="AA448" s="36">
        <f>IF(NOTA[[#This Row],[JUMLAH]]="","",NOTA[[#This Row],[JUMLAH]]-NOTA[[#This Row],[DISC]])</f>
        <v>2556000</v>
      </c>
      <c r="AB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48" s="36">
        <f>IF(OR(NOTA[[#This Row],[QTY]]="",NOTA[[#This Row],[HARGA SATUAN]]="",),"",NOTA[[#This Row],[QTY]]*NOTA[[#This Row],[HARGA SATUAN]])</f>
        <v>2556000</v>
      </c>
      <c r="AF448" s="34">
        <f ca="1">IF(NOTA[ID_H]="","",INDEX(NOTA[TANGGAL],MATCH(,INDIRECT(ADDRESS(ROW(NOTA[TANGGAL]),COLUMN(NOTA[TANGGAL]))&amp;":"&amp;ADDRESS(ROW(),COLUMN(NOTA[TANGGAL]))),-1)))</f>
        <v>44860</v>
      </c>
      <c r="AG448" s="38" t="str">
        <f ca="1">IF(NOTA[[#This Row],[NAMA BARANG]]="","",INDEX(NOTA[SUPPLIER],MATCH(,INDIRECT(ADDRESS(ROW(NOTA[ID]),COLUMN(NOTA[ID]))&amp;":"&amp;ADDRESS(ROW(),COLUMN(NOTA[ID]))),-1)))</f>
        <v>COMBI</v>
      </c>
      <c r="AH448" s="16">
        <f ca="1">IF(NOTA[[#This Row],[ID]]="","",COUNTIF(NOTA[ID_H],NOTA[[#This Row],[ID_H]]))</f>
        <v>2</v>
      </c>
      <c r="AI448" s="16">
        <f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>
        <f ca="1">IF(NOTA[[#This Row],[NAMA BARANG]]="","",INDEX(NOTA[ID],MATCH(,INDIRECT(ADDRESS(ROW(NOTA[ID]),COLUMN(NOTA[ID]))&amp;":"&amp;ADDRESS(ROW(),COLUMN(NOTA[ID]))),-1)))</f>
        <v>98</v>
      </c>
      <c r="E449" s="32"/>
      <c r="F449" s="31"/>
      <c r="G449" s="31"/>
      <c r="H449" s="33"/>
      <c r="I449" s="31"/>
      <c r="J449" s="34"/>
      <c r="K449" s="31"/>
      <c r="L449" s="31" t="s">
        <v>510</v>
      </c>
      <c r="M449" s="35">
        <v>1</v>
      </c>
      <c r="N449" s="31">
        <v>6</v>
      </c>
      <c r="O449" s="31" t="s">
        <v>210</v>
      </c>
      <c r="P449" s="30">
        <v>195000</v>
      </c>
      <c r="Q449" s="103"/>
      <c r="R449" s="35" t="s">
        <v>565</v>
      </c>
      <c r="S449" s="37"/>
      <c r="T449" s="37"/>
      <c r="U449" s="36"/>
      <c r="V449" s="87"/>
      <c r="W449" s="36">
        <f>IF(NOTA[[#This Row],[HARGA/ CTN]]="",NOTA[[#This Row],[JUMLAH_H]],NOTA[[#This Row],[HARGA/ CTN]]*NOTA[[#This Row],[C]])</f>
        <v>1170000</v>
      </c>
      <c r="X449" s="36">
        <f>IF(NOTA[[#This Row],[JUMLAH]]="","",NOTA[[#This Row],[JUMLAH]]*NOTA[[#This Row],[DISC 1]])</f>
        <v>0</v>
      </c>
      <c r="Y449" s="36">
        <f>IF(NOTA[[#This Row],[JUMLAH]]="","",(NOTA[[#This Row],[JUMLAH]]-NOTA[[#This Row],[DISC 1-]])*NOTA[[#This Row],[DISC 2]])</f>
        <v>0</v>
      </c>
      <c r="Z449" s="36">
        <f>IF(NOTA[[#This Row],[JUMLAH]]="","",NOTA[[#This Row],[DISC 1-]]+NOTA[[#This Row],[DISC 2-]])</f>
        <v>0</v>
      </c>
      <c r="AA449" s="36">
        <f>IF(NOTA[[#This Row],[JUMLAH]]="","",NOTA[[#This Row],[JUMLAH]]-NOTA[[#This Row],[DISC]])</f>
        <v>1170000</v>
      </c>
      <c r="AB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49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49" s="36">
        <f>IF(OR(NOTA[[#This Row],[QTY]]="",NOTA[[#This Row],[HARGA SATUAN]]="",),"",NOTA[[#This Row],[QTY]]*NOTA[[#This Row],[HARGA SATUAN]])</f>
        <v>1170000</v>
      </c>
      <c r="AF449" s="34">
        <f ca="1">IF(NOTA[ID_H]="","",INDEX(NOTA[TANGGAL],MATCH(,INDIRECT(ADDRESS(ROW(NOTA[TANGGAL]),COLUMN(NOTA[TANGGAL]))&amp;":"&amp;ADDRESS(ROW(),COLUMN(NOTA[TANGGAL]))),-1)))</f>
        <v>44860</v>
      </c>
      <c r="AG449" s="38" t="str">
        <f ca="1">IF(NOTA[[#This Row],[NAMA BARANG]]="","",INDEX(NOTA[SUPPLIER],MATCH(,INDIRECT(ADDRESS(ROW(NOTA[ID]),COLUMN(NOTA[ID]))&amp;":"&amp;ADDRESS(ROW(),COLUMN(NOTA[ID]))),-1)))</f>
        <v>COMBI</v>
      </c>
      <c r="AH449" s="16" t="str">
        <f ca="1">IF(NOTA[[#This Row],[ID]]="","",COUNTIF(NOTA[ID_H],NOTA[[#This Row],[ID_H]]))</f>
        <v/>
      </c>
      <c r="AI449" s="16">
        <f ca="1">IF(NOTA[[#This Row],[TGL.NOTA]]="",IF(NOTA[[#This Row],[SUPPLIER_H]]="","",AI448),MONTH(NOTA[[#This Row],[TGL.NOTA]]))</f>
        <v>10</v>
      </c>
      <c r="AJ449" s="16"/>
    </row>
    <row r="450" spans="1:36" ht="20.100000000000001" customHeight="1" x14ac:dyDescent="0.25">
      <c r="A4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9" t="str">
        <f>IF(NOTA[[#This Row],[ID_P]]="","",MATCH(NOTA[[#This Row],[ID_P]],[1]!B_MSK[N_ID],0))</f>
        <v/>
      </c>
      <c r="D450" s="39" t="str">
        <f ca="1">IF(NOTA[[#This Row],[NAMA BARANG]]="","",INDEX(NOTA[ID],MATCH(,INDIRECT(ADDRESS(ROW(NOTA[ID]),COLUMN(NOTA[ID]))&amp;":"&amp;ADDRESS(ROW(),COLUMN(NOTA[ID]))),-1)))</f>
        <v/>
      </c>
      <c r="E450" s="32"/>
      <c r="F450" s="31"/>
      <c r="G450" s="31"/>
      <c r="H450" s="33"/>
      <c r="I450" s="31"/>
      <c r="J450" s="34"/>
      <c r="K450" s="31"/>
      <c r="L450" s="31"/>
      <c r="M450" s="35"/>
      <c r="N450" s="31"/>
      <c r="O450" s="31"/>
      <c r="P450" s="30"/>
      <c r="Q450" s="103"/>
      <c r="R450" s="35"/>
      <c r="S450" s="37"/>
      <c r="T450" s="37"/>
      <c r="U450" s="36"/>
      <c r="V450" s="87"/>
      <c r="W450" s="36" t="str">
        <f>IF(NOTA[[#This Row],[HARGA/ CTN]]="",NOTA[[#This Row],[JUMLAH_H]],NOTA[[#This Row],[HARGA/ CTN]]*NOTA[[#This Row],[C]])</f>
        <v/>
      </c>
      <c r="X450" s="36" t="str">
        <f>IF(NOTA[[#This Row],[JUMLAH]]="","",NOTA[[#This Row],[JUMLAH]]*NOTA[[#This Row],[DISC 1]])</f>
        <v/>
      </c>
      <c r="Y450" s="36" t="str">
        <f>IF(NOTA[[#This Row],[JUMLAH]]="","",(NOTA[[#This Row],[JUMLAH]]-NOTA[[#This Row],[DISC 1-]])*NOTA[[#This Row],[DISC 2]])</f>
        <v/>
      </c>
      <c r="Z450" s="36" t="str">
        <f>IF(NOTA[[#This Row],[JUMLAH]]="","",NOTA[[#This Row],[DISC 1-]]+NOTA[[#This Row],[DISC 2-]])</f>
        <v/>
      </c>
      <c r="AA450" s="36" t="str">
        <f>IF(NOTA[[#This Row],[JUMLAH]]="","",NOTA[[#This Row],[JUMLAH]]-NOTA[[#This Row],[DISC]])</f>
        <v/>
      </c>
      <c r="AB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36" t="str">
        <f>IF(OR(NOTA[[#This Row],[QTY]]="",NOTA[[#This Row],[HARGA SATUAN]]="",),"",NOTA[[#This Row],[QTY]]*NOTA[[#This Row],[HARGA SATUAN]])</f>
        <v/>
      </c>
      <c r="AF450" s="34" t="str">
        <f ca="1">IF(NOTA[ID_H]="","",INDEX(NOTA[TANGGAL],MATCH(,INDIRECT(ADDRESS(ROW(NOTA[TANGGAL]),COLUMN(NOTA[TANGGAL]))&amp;":"&amp;ADDRESS(ROW(),COLUMN(NOTA[TANGGAL]))),-1)))</f>
        <v/>
      </c>
      <c r="AG450" s="38" t="str">
        <f ca="1">IF(NOTA[[#This Row],[NAMA BARANG]]="","",INDEX(NOTA[SUPPLIER],MATCH(,INDIRECT(ADDRESS(ROW(NOTA[ID]),COLUMN(NOTA[ID]))&amp;":"&amp;ADDRESS(ROW(),COLUMN(NOTA[ID]))),-1)))</f>
        <v/>
      </c>
      <c r="AH450" s="16" t="str">
        <f ca="1">IF(NOTA[[#This Row],[ID]]="","",COUNTIF(NOTA[ID_H],NOTA[[#This Row],[ID_H]]))</f>
        <v/>
      </c>
      <c r="AI450" s="16" t="str">
        <f ca="1">IF(NOTA[[#This Row],[TGL.NOTA]]="",IF(NOTA[[#This Row],[SUPPLIER_H]]="","",AI449),MONTH(NOTA[[#This Row],[TGL.NOTA]]))</f>
        <v/>
      </c>
      <c r="AJ450" s="16"/>
    </row>
    <row r="451" spans="1:36" ht="20.100000000000001" customHeight="1" x14ac:dyDescent="0.25">
      <c r="A451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51" s="39" t="e">
        <f ca="1">IF(NOTA[[#This Row],[ID_P]]="","",MATCH(NOTA[[#This Row],[ID_P]],[1]!B_MSK[N_ID],0))</f>
        <v>#REF!</v>
      </c>
      <c r="D451" s="39">
        <f ca="1">IF(NOTA[[#This Row],[NAMA BARANG]]="","",INDEX(NOTA[ID],MATCH(,INDIRECT(ADDRESS(ROW(NOTA[ID]),COLUMN(NOTA[ID]))&amp;":"&amp;ADDRESS(ROW(),COLUMN(NOTA[ID]))),-1)))</f>
        <v>99</v>
      </c>
      <c r="E451" s="51">
        <v>44861</v>
      </c>
      <c r="F451" s="31" t="s">
        <v>23</v>
      </c>
      <c r="G451" s="31" t="s">
        <v>24</v>
      </c>
      <c r="H451" s="33" t="s">
        <v>513</v>
      </c>
      <c r="I451" s="31" t="s">
        <v>520</v>
      </c>
      <c r="J451" s="44">
        <v>44854</v>
      </c>
      <c r="K451" s="42"/>
      <c r="L451" s="31" t="s">
        <v>514</v>
      </c>
      <c r="M451" s="45">
        <v>2</v>
      </c>
      <c r="N451" s="42"/>
      <c r="O451" s="42"/>
      <c r="P451" s="40"/>
      <c r="Q451" s="160">
        <v>850000</v>
      </c>
      <c r="R451" s="35" t="s">
        <v>531</v>
      </c>
      <c r="S451" s="47">
        <v>0.17</v>
      </c>
      <c r="T451" s="47"/>
      <c r="U451" s="46"/>
      <c r="V451" s="87"/>
      <c r="W451" s="36">
        <f>IF(NOTA[[#This Row],[HARGA/ CTN]]="",NOTA[[#This Row],[JUMLAH_H]],NOTA[[#This Row],[HARGA/ CTN]]*NOTA[[#This Row],[C]])</f>
        <v>1700000</v>
      </c>
      <c r="X451" s="36">
        <f>IF(NOTA[[#This Row],[JUMLAH]]="","",NOTA[[#This Row],[JUMLAH]]*NOTA[[#This Row],[DISC 1]])</f>
        <v>289000</v>
      </c>
      <c r="Y451" s="36">
        <f>IF(NOTA[[#This Row],[JUMLAH]]="","",(NOTA[[#This Row],[JUMLAH]]-NOTA[[#This Row],[DISC 1-]])*NOTA[[#This Row],[DISC 2]])</f>
        <v>0</v>
      </c>
      <c r="Z451" s="36">
        <f>IF(NOTA[[#This Row],[JUMLAH]]="","",NOTA[[#This Row],[DISC 1-]]+NOTA[[#This Row],[DISC 2-]])</f>
        <v>289000</v>
      </c>
      <c r="AA451" s="36">
        <f>IF(NOTA[[#This Row],[JUMLAH]]="","",NOTA[[#This Row],[JUMLAH]]-NOTA[[#This Row],[DISC]])</f>
        <v>1411000</v>
      </c>
      <c r="AB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51" s="36" t="str">
        <f>IF(OR(NOTA[[#This Row],[QTY]]="",NOTA[[#This Row],[HARGA SATUAN]]="",),"",NOTA[[#This Row],[QTY]]*NOTA[[#This Row],[HARGA SATUAN]])</f>
        <v/>
      </c>
      <c r="AF451" s="34">
        <f ca="1">IF(NOTA[ID_H]="","",INDEX(NOTA[TANGGAL],MATCH(,INDIRECT(ADDRESS(ROW(NOTA[TANGGAL]),COLUMN(NOTA[TANGGAL]))&amp;":"&amp;ADDRESS(ROW(),COLUMN(NOTA[TANGGAL]))),-1)))</f>
        <v>44861</v>
      </c>
      <c r="AG451" s="38" t="str">
        <f ca="1">IF(NOTA[[#This Row],[NAMA BARANG]]="","",INDEX(NOTA[SUPPLIER],MATCH(,INDIRECT(ADDRESS(ROW(NOTA[ID]),COLUMN(NOTA[ID]))&amp;":"&amp;ADDRESS(ROW(),COLUMN(NOTA[ID]))),-1)))</f>
        <v>KENKO SINAR INDONESIA</v>
      </c>
      <c r="AH451" s="16">
        <f ca="1">IF(NOTA[[#This Row],[ID]]="","",COUNTIF(NOTA[ID_H],NOTA[[#This Row],[ID_H]]))</f>
        <v>7</v>
      </c>
      <c r="AI451" s="16">
        <f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9" t="str">
        <f>IF(NOTA[[#This Row],[ID_P]]="","",MATCH(NOTA[[#This Row],[ID_P]],[1]!B_MSK[N_ID],0))</f>
        <v/>
      </c>
      <c r="D452" s="39">
        <f ca="1">IF(NOTA[[#This Row],[NAMA BARANG]]="","",INDEX(NOTA[ID],MATCH(,INDIRECT(ADDRESS(ROW(NOTA[ID]),COLUMN(NOTA[ID]))&amp;":"&amp;ADDRESS(ROW(),COLUMN(NOTA[ID]))),-1)))</f>
        <v>99</v>
      </c>
      <c r="E452" s="51"/>
      <c r="F452" s="31"/>
      <c r="G452" s="31"/>
      <c r="H452" s="33"/>
      <c r="I452" s="42"/>
      <c r="J452" s="44"/>
      <c r="K452" s="42"/>
      <c r="L452" s="31" t="s">
        <v>515</v>
      </c>
      <c r="M452" s="45">
        <v>1</v>
      </c>
      <c r="N452" s="42"/>
      <c r="O452" s="31"/>
      <c r="P452" s="40"/>
      <c r="Q452" s="160">
        <v>800000</v>
      </c>
      <c r="R452" s="35" t="s">
        <v>531</v>
      </c>
      <c r="S452" s="47">
        <v>0.17</v>
      </c>
      <c r="T452" s="47"/>
      <c r="U452" s="46"/>
      <c r="V452" s="87"/>
      <c r="W452" s="36">
        <f>IF(NOTA[[#This Row],[HARGA/ CTN]]="",NOTA[[#This Row],[JUMLAH_H]],NOTA[[#This Row],[HARGA/ CTN]]*NOTA[[#This Row],[C]])</f>
        <v>800000</v>
      </c>
      <c r="X452" s="36">
        <f>IF(NOTA[[#This Row],[JUMLAH]]="","",NOTA[[#This Row],[JUMLAH]]*NOTA[[#This Row],[DISC 1]])</f>
        <v>136000</v>
      </c>
      <c r="Y452" s="36">
        <f>IF(NOTA[[#This Row],[JUMLAH]]="","",(NOTA[[#This Row],[JUMLAH]]-NOTA[[#This Row],[DISC 1-]])*NOTA[[#This Row],[DISC 2]])</f>
        <v>0</v>
      </c>
      <c r="Z452" s="36">
        <f>IF(NOTA[[#This Row],[JUMLAH]]="","",NOTA[[#This Row],[DISC 1-]]+NOTA[[#This Row],[DISC 2-]])</f>
        <v>136000</v>
      </c>
      <c r="AA452" s="36">
        <f>IF(NOTA[[#This Row],[JUMLAH]]="","",NOTA[[#This Row],[JUMLAH]]-NOTA[[#This Row],[DISC]])</f>
        <v>664000</v>
      </c>
      <c r="AB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52" s="36" t="str">
        <f>IF(OR(NOTA[[#This Row],[QTY]]="",NOTA[[#This Row],[HARGA SATUAN]]="",),"",NOTA[[#This Row],[QTY]]*NOTA[[#This Row],[HARGA SATUAN]])</f>
        <v/>
      </c>
      <c r="AF452" s="34">
        <f ca="1">IF(NOTA[ID_H]="","",INDEX(NOTA[TANGGAL],MATCH(,INDIRECT(ADDRESS(ROW(NOTA[TANGGAL]),COLUMN(NOTA[TANGGAL]))&amp;":"&amp;ADDRESS(ROW(),COLUMN(NOTA[TANGGAL]))),-1)))</f>
        <v>44861</v>
      </c>
      <c r="AG452" s="38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99</v>
      </c>
      <c r="E453" s="51"/>
      <c r="F453" s="42"/>
      <c r="G453" s="42"/>
      <c r="H453" s="43"/>
      <c r="I453" s="42"/>
      <c r="J453" s="44"/>
      <c r="K453" s="42"/>
      <c r="L453" s="31" t="s">
        <v>516</v>
      </c>
      <c r="M453" s="45">
        <v>2</v>
      </c>
      <c r="N453" s="42"/>
      <c r="O453" s="42"/>
      <c r="P453" s="40"/>
      <c r="Q453" s="160">
        <v>1584000</v>
      </c>
      <c r="R453" s="35" t="s">
        <v>166</v>
      </c>
      <c r="S453" s="47">
        <v>0.17</v>
      </c>
      <c r="T453" s="47"/>
      <c r="U453" s="46"/>
      <c r="V453" s="87"/>
      <c r="W453" s="36">
        <f>IF(NOTA[[#This Row],[HARGA/ CTN]]="",NOTA[[#This Row],[JUMLAH_H]],NOTA[[#This Row],[HARGA/ CTN]]*NOTA[[#This Row],[C]])</f>
        <v>3168000</v>
      </c>
      <c r="X453" s="36">
        <f>IF(NOTA[[#This Row],[JUMLAH]]="","",NOTA[[#This Row],[JUMLAH]]*NOTA[[#This Row],[DISC 1]])</f>
        <v>538560</v>
      </c>
      <c r="Y453" s="36">
        <f>IF(NOTA[[#This Row],[JUMLAH]]="","",(NOTA[[#This Row],[JUMLAH]]-NOTA[[#This Row],[DISC 1-]])*NOTA[[#This Row],[DISC 2]])</f>
        <v>0</v>
      </c>
      <c r="Z453" s="36">
        <f>IF(NOTA[[#This Row],[JUMLAH]]="","",NOTA[[#This Row],[DISC 1-]]+NOTA[[#This Row],[DISC 2-]])</f>
        <v>538560</v>
      </c>
      <c r="AA453" s="36">
        <f>IF(NOTA[[#This Row],[JUMLAH]]="","",NOTA[[#This Row],[JUMLAH]]-NOTA[[#This Row],[DISC]])</f>
        <v>2629440</v>
      </c>
      <c r="AB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53" s="36" t="str">
        <f>IF(OR(NOTA[[#This Row],[QTY]]="",NOTA[[#This Row],[HARGA SATUAN]]="",),"",NOTA[[#This Row],[QTY]]*NOTA[[#This Row],[HARGA SATUAN]])</f>
        <v/>
      </c>
      <c r="AF453" s="34">
        <f ca="1">IF(NOTA[ID_H]="","",INDEX(NOTA[TANGGAL],MATCH(,INDIRECT(ADDRESS(ROW(NOTA[TANGGAL]),COLUMN(NOTA[TANGGAL]))&amp;":"&amp;ADDRESS(ROW(),COLUMN(NOTA[TANGGAL]))),-1)))</f>
        <v>44861</v>
      </c>
      <c r="AG453" s="38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99</v>
      </c>
      <c r="E454" s="51"/>
      <c r="F454" s="31"/>
      <c r="G454" s="31"/>
      <c r="H454" s="33"/>
      <c r="I454" s="31"/>
      <c r="J454" s="44"/>
      <c r="K454" s="42"/>
      <c r="L454" s="31" t="s">
        <v>517</v>
      </c>
      <c r="M454" s="45">
        <v>1</v>
      </c>
      <c r="N454" s="42"/>
      <c r="O454" s="31"/>
      <c r="P454" s="30"/>
      <c r="Q454" s="160">
        <v>930000</v>
      </c>
      <c r="R454" s="35" t="s">
        <v>532</v>
      </c>
      <c r="S454" s="47">
        <v>0.17</v>
      </c>
      <c r="T454" s="47"/>
      <c r="U454" s="46"/>
      <c r="V454" s="87"/>
      <c r="W454" s="36">
        <f>IF(NOTA[[#This Row],[HARGA/ CTN]]="",NOTA[[#This Row],[JUMLAH_H]],NOTA[[#This Row],[HARGA/ CTN]]*NOTA[[#This Row],[C]])</f>
        <v>930000</v>
      </c>
      <c r="X454" s="36">
        <f>IF(NOTA[[#This Row],[JUMLAH]]="","",NOTA[[#This Row],[JUMLAH]]*NOTA[[#This Row],[DISC 1]])</f>
        <v>158100</v>
      </c>
      <c r="Y454" s="36">
        <f>IF(NOTA[[#This Row],[JUMLAH]]="","",(NOTA[[#This Row],[JUMLAH]]-NOTA[[#This Row],[DISC 1-]])*NOTA[[#This Row],[DISC 2]])</f>
        <v>0</v>
      </c>
      <c r="Z454" s="36">
        <f>IF(NOTA[[#This Row],[JUMLAH]]="","",NOTA[[#This Row],[DISC 1-]]+NOTA[[#This Row],[DISC 2-]])</f>
        <v>158100</v>
      </c>
      <c r="AA454" s="36">
        <f>IF(NOTA[[#This Row],[JUMLAH]]="","",NOTA[[#This Row],[JUMLAH]]-NOTA[[#This Row],[DISC]])</f>
        <v>771900</v>
      </c>
      <c r="AB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54" s="36" t="str">
        <f>IF(OR(NOTA[[#This Row],[QTY]]="",NOTA[[#This Row],[HARGA SATUAN]]="",),"",NOTA[[#This Row],[QTY]]*NOTA[[#This Row],[HARGA SATUAN]])</f>
        <v/>
      </c>
      <c r="AF454" s="34">
        <f ca="1">IF(NOTA[ID_H]="","",INDEX(NOTA[TANGGAL],MATCH(,INDIRECT(ADDRESS(ROW(NOTA[TANGGAL]),COLUMN(NOTA[TANGGAL]))&amp;":"&amp;ADDRESS(ROW(),COLUMN(NOTA[TANGGAL]))),-1)))</f>
        <v>44861</v>
      </c>
      <c r="AG454" s="38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99</v>
      </c>
      <c r="E455" s="51"/>
      <c r="F455" s="31"/>
      <c r="G455" s="31"/>
      <c r="H455" s="33"/>
      <c r="I455" s="31"/>
      <c r="J455" s="44"/>
      <c r="K455" s="42"/>
      <c r="L455" s="31" t="s">
        <v>84</v>
      </c>
      <c r="M455" s="45">
        <v>5</v>
      </c>
      <c r="N455" s="42"/>
      <c r="O455" s="42"/>
      <c r="P455" s="40"/>
      <c r="Q455" s="160">
        <v>5616000</v>
      </c>
      <c r="R455" s="35" t="s">
        <v>102</v>
      </c>
      <c r="S455" s="47">
        <v>0.17</v>
      </c>
      <c r="T455" s="47"/>
      <c r="U455" s="46"/>
      <c r="V455" s="87"/>
      <c r="W455" s="36">
        <f>IF(NOTA[[#This Row],[HARGA/ CTN]]="",NOTA[[#This Row],[JUMLAH_H]],NOTA[[#This Row],[HARGA/ CTN]]*NOTA[[#This Row],[C]])</f>
        <v>28080000</v>
      </c>
      <c r="X455" s="36">
        <f>IF(NOTA[[#This Row],[JUMLAH]]="","",NOTA[[#This Row],[JUMLAH]]*NOTA[[#This Row],[DISC 1]])</f>
        <v>4773600</v>
      </c>
      <c r="Y455" s="36">
        <f>IF(NOTA[[#This Row],[JUMLAH]]="","",(NOTA[[#This Row],[JUMLAH]]-NOTA[[#This Row],[DISC 1-]])*NOTA[[#This Row],[DISC 2]])</f>
        <v>0</v>
      </c>
      <c r="Z455" s="36">
        <f>IF(NOTA[[#This Row],[JUMLAH]]="","",NOTA[[#This Row],[DISC 1-]]+NOTA[[#This Row],[DISC 2-]])</f>
        <v>4773600</v>
      </c>
      <c r="AA455" s="36">
        <f>IF(NOTA[[#This Row],[JUMLAH]]="","",NOTA[[#This Row],[JUMLAH]]-NOTA[[#This Row],[DISC]])</f>
        <v>23306400</v>
      </c>
      <c r="AB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5" s="36" t="str">
        <f>IF(OR(NOTA[[#This Row],[QTY]]="",NOTA[[#This Row],[HARGA SATUAN]]="",),"",NOTA[[#This Row],[QTY]]*NOTA[[#This Row],[HARGA SATUAN]])</f>
        <v/>
      </c>
      <c r="AF455" s="34">
        <f ca="1">IF(NOTA[ID_H]="","",INDEX(NOTA[TANGGAL],MATCH(,INDIRECT(ADDRESS(ROW(NOTA[TANGGAL]),COLUMN(NOTA[TANGGAL]))&amp;":"&amp;ADDRESS(ROW(),COLUMN(NOTA[TANGGAL]))),-1)))</f>
        <v>44861</v>
      </c>
      <c r="AG455" s="38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99</v>
      </c>
      <c r="E456" s="51"/>
      <c r="F456" s="31"/>
      <c r="G456" s="31"/>
      <c r="H456" s="33"/>
      <c r="I456" s="31"/>
      <c r="J456" s="44"/>
      <c r="K456" s="42"/>
      <c r="L456" s="31" t="s">
        <v>518</v>
      </c>
      <c r="M456" s="45">
        <v>2</v>
      </c>
      <c r="N456" s="42"/>
      <c r="O456" s="31"/>
      <c r="P456" s="40"/>
      <c r="Q456" s="160">
        <v>5616000</v>
      </c>
      <c r="R456" s="35" t="s">
        <v>102</v>
      </c>
      <c r="S456" s="47">
        <v>0.17</v>
      </c>
      <c r="T456" s="47"/>
      <c r="U456" s="46"/>
      <c r="V456" s="87"/>
      <c r="W456" s="36">
        <f>IF(NOTA[[#This Row],[HARGA/ CTN]]="",NOTA[[#This Row],[JUMLAH_H]],NOTA[[#This Row],[HARGA/ CTN]]*NOTA[[#This Row],[C]])</f>
        <v>11232000</v>
      </c>
      <c r="X456" s="36">
        <f>IF(NOTA[[#This Row],[JUMLAH]]="","",NOTA[[#This Row],[JUMLAH]]*NOTA[[#This Row],[DISC 1]])</f>
        <v>1909440.0000000002</v>
      </c>
      <c r="Y456" s="36">
        <f>IF(NOTA[[#This Row],[JUMLAH]]="","",(NOTA[[#This Row],[JUMLAH]]-NOTA[[#This Row],[DISC 1-]])*NOTA[[#This Row],[DISC 2]])</f>
        <v>0</v>
      </c>
      <c r="Z456" s="36">
        <f>IF(NOTA[[#This Row],[JUMLAH]]="","",NOTA[[#This Row],[DISC 1-]]+NOTA[[#This Row],[DISC 2-]])</f>
        <v>1909440.0000000002</v>
      </c>
      <c r="AA456" s="36">
        <f>IF(NOTA[[#This Row],[JUMLAH]]="","",NOTA[[#This Row],[JUMLAH]]-NOTA[[#This Row],[DISC]])</f>
        <v>9322560</v>
      </c>
      <c r="AB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6" s="36" t="str">
        <f>IF(OR(NOTA[[#This Row],[QTY]]="",NOTA[[#This Row],[HARGA SATUAN]]="",),"",NOTA[[#This Row],[QTY]]*NOTA[[#This Row],[HARGA SATUAN]])</f>
        <v/>
      </c>
      <c r="AF456" s="34">
        <f ca="1">IF(NOTA[ID_H]="","",INDEX(NOTA[TANGGAL],MATCH(,INDIRECT(ADDRESS(ROW(NOTA[TANGGAL]),COLUMN(NOTA[TANGGAL]))&amp;":"&amp;ADDRESS(ROW(),COLUMN(NOTA[TANGGAL]))),-1)))</f>
        <v>44861</v>
      </c>
      <c r="AG456" s="38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99</v>
      </c>
      <c r="E457" s="51"/>
      <c r="F457" s="42"/>
      <c r="G457" s="42"/>
      <c r="H457" s="43"/>
      <c r="I457" s="42"/>
      <c r="J457" s="44"/>
      <c r="K457" s="42"/>
      <c r="L457" s="31" t="s">
        <v>519</v>
      </c>
      <c r="M457" s="45">
        <v>3</v>
      </c>
      <c r="N457" s="42"/>
      <c r="O457" s="31"/>
      <c r="P457" s="40"/>
      <c r="Q457" s="160">
        <v>1416000</v>
      </c>
      <c r="R457" s="35" t="s">
        <v>168</v>
      </c>
      <c r="S457" s="47">
        <v>0.17</v>
      </c>
      <c r="T457" s="47"/>
      <c r="U457" s="46"/>
      <c r="V457" s="87"/>
      <c r="W457" s="36">
        <f>IF(NOTA[[#This Row],[HARGA/ CTN]]="",NOTA[[#This Row],[JUMLAH_H]],NOTA[[#This Row],[HARGA/ CTN]]*NOTA[[#This Row],[C]])</f>
        <v>4248000</v>
      </c>
      <c r="X457" s="36">
        <f>IF(NOTA[[#This Row],[JUMLAH]]="","",NOTA[[#This Row],[JUMLAH]]*NOTA[[#This Row],[DISC 1]])</f>
        <v>722160</v>
      </c>
      <c r="Y457" s="36">
        <f>IF(NOTA[[#This Row],[JUMLAH]]="","",(NOTA[[#This Row],[JUMLAH]]-NOTA[[#This Row],[DISC 1-]])*NOTA[[#This Row],[DISC 2]])</f>
        <v>0</v>
      </c>
      <c r="Z457" s="36">
        <f>IF(NOTA[[#This Row],[JUMLAH]]="","",NOTA[[#This Row],[DISC 1-]]+NOTA[[#This Row],[DISC 2-]])</f>
        <v>722160</v>
      </c>
      <c r="AA457" s="36">
        <f>IF(NOTA[[#This Row],[JUMLAH]]="","",NOTA[[#This Row],[JUMLAH]]-NOTA[[#This Row],[DISC]])</f>
        <v>3525840</v>
      </c>
      <c r="AB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57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57" s="36" t="str">
        <f>IF(OR(NOTA[[#This Row],[QTY]]="",NOTA[[#This Row],[HARGA SATUAN]]="",),"",NOTA[[#This Row],[QTY]]*NOTA[[#This Row],[HARGA SATUAN]])</f>
        <v/>
      </c>
      <c r="AF457" s="34">
        <f ca="1">IF(NOTA[ID_H]="","",INDEX(NOTA[TANGGAL],MATCH(,INDIRECT(ADDRESS(ROW(NOTA[TANGGAL]),COLUMN(NOTA[TANGGAL]))&amp;":"&amp;ADDRESS(ROW(),COLUMN(NOTA[TANGGAL]))),-1)))</f>
        <v>44861</v>
      </c>
      <c r="AG457" s="38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 t="str">
        <f ca="1">IF(NOTA[[#This Row],[NAMA BARANG]]="","",INDEX(NOTA[ID],MATCH(,INDIRECT(ADDRESS(ROW(NOTA[ID]),COLUMN(NOTA[ID]))&amp;":"&amp;ADDRESS(ROW(),COLUMN(NOTA[ID]))),-1)))</f>
        <v/>
      </c>
      <c r="E458" s="51"/>
      <c r="F458" s="31"/>
      <c r="G458" s="31"/>
      <c r="H458" s="33"/>
      <c r="I458" s="31"/>
      <c r="J458" s="44"/>
      <c r="L458" s="31"/>
      <c r="M458" s="45"/>
      <c r="N458" s="42"/>
      <c r="O458" s="31"/>
      <c r="P458" s="40"/>
      <c r="Q458" s="160"/>
      <c r="R458" s="35"/>
      <c r="S458" s="47"/>
      <c r="T458" s="47"/>
      <c r="U458" s="46"/>
      <c r="V458" s="87"/>
      <c r="W458" s="36" t="str">
        <f>IF(NOTA[[#This Row],[HARGA/ CTN]]="",NOTA[[#This Row],[JUMLAH_H]],NOTA[[#This Row],[HARGA/ CTN]]*NOTA[[#This Row],[C]])</f>
        <v/>
      </c>
      <c r="X458" s="36" t="str">
        <f>IF(NOTA[[#This Row],[JUMLAH]]="","",NOTA[[#This Row],[JUMLAH]]*NOTA[[#This Row],[DISC 1]])</f>
        <v/>
      </c>
      <c r="Y458" s="36" t="str">
        <f>IF(NOTA[[#This Row],[JUMLAH]]="","",(NOTA[[#This Row],[JUMLAH]]-NOTA[[#This Row],[DISC 1-]])*NOTA[[#This Row],[DISC 2]])</f>
        <v/>
      </c>
      <c r="Z458" s="36" t="str">
        <f>IF(NOTA[[#This Row],[JUMLAH]]="","",NOTA[[#This Row],[DISC 1-]]+NOTA[[#This Row],[DISC 2-]])</f>
        <v/>
      </c>
      <c r="AA458" s="36" t="str">
        <f>IF(NOTA[[#This Row],[JUMLAH]]="","",NOTA[[#This Row],[JUMLAH]]-NOTA[[#This Row],[DISC]])</f>
        <v/>
      </c>
      <c r="AB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36" t="str">
        <f>IF(OR(NOTA[[#This Row],[QTY]]="",NOTA[[#This Row],[HARGA SATUAN]]="",),"",NOTA[[#This Row],[QTY]]*NOTA[[#This Row],[HARGA SATUAN]])</f>
        <v/>
      </c>
      <c r="AF458" s="34" t="str">
        <f ca="1">IF(NOTA[ID_H]="","",INDEX(NOTA[TANGGAL],MATCH(,INDIRECT(ADDRESS(ROW(NOTA[TANGGAL]),COLUMN(NOTA[TANGGAL]))&amp;":"&amp;ADDRESS(ROW(),COLUMN(NOTA[TANGGAL]))),-1)))</f>
        <v/>
      </c>
      <c r="AG458" s="38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59" s="39" t="e">
        <f ca="1">IF(NOTA[[#This Row],[ID_P]]="","",MATCH(NOTA[[#This Row],[ID_P]],[1]!B_MSK[N_ID],0))</f>
        <v>#REF!</v>
      </c>
      <c r="D459" s="39">
        <f ca="1">IF(NOTA[[#This Row],[NAMA BARANG]]="","",INDEX(NOTA[ID],MATCH(,INDIRECT(ADDRESS(ROW(NOTA[ID]),COLUMN(NOTA[ID]))&amp;":"&amp;ADDRESS(ROW(),COLUMN(NOTA[ID]))),-1)))</f>
        <v>100</v>
      </c>
      <c r="E459" s="51"/>
      <c r="F459" s="31" t="s">
        <v>23</v>
      </c>
      <c r="G459" s="31" t="s">
        <v>24</v>
      </c>
      <c r="H459" s="33" t="s">
        <v>521</v>
      </c>
      <c r="I459" s="31" t="s">
        <v>522</v>
      </c>
      <c r="J459" s="44">
        <v>44854</v>
      </c>
      <c r="K459" s="42"/>
      <c r="L459" s="31" t="s">
        <v>85</v>
      </c>
      <c r="M459" s="45">
        <v>1</v>
      </c>
      <c r="N459" s="42"/>
      <c r="O459" s="31"/>
      <c r="P459" s="40"/>
      <c r="Q459" s="160">
        <v>2980800</v>
      </c>
      <c r="R459" s="35" t="s">
        <v>115</v>
      </c>
      <c r="S459" s="47">
        <v>0.17</v>
      </c>
      <c r="T459" s="47"/>
      <c r="U459" s="46"/>
      <c r="V459" s="87"/>
      <c r="W459" s="36">
        <f>IF(NOTA[[#This Row],[HARGA/ CTN]]="",NOTA[[#This Row],[JUMLAH_H]],NOTA[[#This Row],[HARGA/ CTN]]*NOTA[[#This Row],[C]])</f>
        <v>2980800</v>
      </c>
      <c r="X459" s="36">
        <f>IF(NOTA[[#This Row],[JUMLAH]]="","",NOTA[[#This Row],[JUMLAH]]*NOTA[[#This Row],[DISC 1]])</f>
        <v>506736.00000000006</v>
      </c>
      <c r="Y459" s="36">
        <f>IF(NOTA[[#This Row],[JUMLAH]]="","",(NOTA[[#This Row],[JUMLAH]]-NOTA[[#This Row],[DISC 1-]])*NOTA[[#This Row],[DISC 2]])</f>
        <v>0</v>
      </c>
      <c r="Z459" s="36">
        <f>IF(NOTA[[#This Row],[JUMLAH]]="","",NOTA[[#This Row],[DISC 1-]]+NOTA[[#This Row],[DISC 2-]])</f>
        <v>506736.00000000006</v>
      </c>
      <c r="AA459" s="36">
        <f>IF(NOTA[[#This Row],[JUMLAH]]="","",NOTA[[#This Row],[JUMLAH]]-NOTA[[#This Row],[DISC]])</f>
        <v>2474064</v>
      </c>
      <c r="AB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59" s="36" t="str">
        <f>IF(OR(NOTA[[#This Row],[QTY]]="",NOTA[[#This Row],[HARGA SATUAN]]="",),"",NOTA[[#This Row],[QTY]]*NOTA[[#This Row],[HARGA SATUAN]])</f>
        <v/>
      </c>
      <c r="AF459" s="34">
        <f ca="1">IF(NOTA[ID_H]="","",INDEX(NOTA[TANGGAL],MATCH(,INDIRECT(ADDRESS(ROW(NOTA[TANGGAL]),COLUMN(NOTA[TANGGAL]))&amp;":"&amp;ADDRESS(ROW(),COLUMN(NOTA[TANGGAL]))),-1)))</f>
        <v>44861</v>
      </c>
      <c r="AG459" s="38" t="str">
        <f ca="1">IF(NOTA[[#This Row],[NAMA BARANG]]="","",INDEX(NOTA[SUPPLIER],MATCH(,INDIRECT(ADDRESS(ROW(NOTA[ID]),COLUMN(NOTA[ID]))&amp;":"&amp;ADDRESS(ROW(),COLUMN(NOTA[ID]))),-1)))</f>
        <v>KENKO SINAR INDONESIA</v>
      </c>
      <c r="AH459" s="16">
        <f ca="1">IF(NOTA[[#This Row],[ID]]="","",COUNTIF(NOTA[ID_H],NOTA[[#This Row],[ID_H]]))</f>
        <v>6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100</v>
      </c>
      <c r="E460" s="51"/>
      <c r="F460" s="31"/>
      <c r="G460" s="31"/>
      <c r="H460" s="33"/>
      <c r="I460" s="31"/>
      <c r="J460" s="44"/>
      <c r="K460" s="42"/>
      <c r="L460" s="31" t="s">
        <v>523</v>
      </c>
      <c r="M460" s="45">
        <v>1</v>
      </c>
      <c r="N460" s="42"/>
      <c r="O460" s="31"/>
      <c r="P460" s="40"/>
      <c r="Q460" s="160">
        <v>2280000</v>
      </c>
      <c r="R460" s="35" t="s">
        <v>161</v>
      </c>
      <c r="S460" s="47">
        <v>0.17</v>
      </c>
      <c r="T460" s="47"/>
      <c r="U460" s="46"/>
      <c r="V460" s="87"/>
      <c r="W460" s="36">
        <f>IF(NOTA[[#This Row],[HARGA/ CTN]]="",NOTA[[#This Row],[JUMLAH_H]],NOTA[[#This Row],[HARGA/ CTN]]*NOTA[[#This Row],[C]])</f>
        <v>2280000</v>
      </c>
      <c r="X460" s="36">
        <f>IF(NOTA[[#This Row],[JUMLAH]]="","",NOTA[[#This Row],[JUMLAH]]*NOTA[[#This Row],[DISC 1]])</f>
        <v>387600</v>
      </c>
      <c r="Y460" s="36">
        <f>IF(NOTA[[#This Row],[JUMLAH]]="","",(NOTA[[#This Row],[JUMLAH]]-NOTA[[#This Row],[DISC 1-]])*NOTA[[#This Row],[DISC 2]])</f>
        <v>0</v>
      </c>
      <c r="Z460" s="36">
        <f>IF(NOTA[[#This Row],[JUMLAH]]="","",NOTA[[#This Row],[DISC 1-]]+NOTA[[#This Row],[DISC 2-]])</f>
        <v>387600</v>
      </c>
      <c r="AA460" s="36">
        <f>IF(NOTA[[#This Row],[JUMLAH]]="","",NOTA[[#This Row],[JUMLAH]]-NOTA[[#This Row],[DISC]])</f>
        <v>1892400</v>
      </c>
      <c r="AB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60" s="36" t="str">
        <f>IF(OR(NOTA[[#This Row],[QTY]]="",NOTA[[#This Row],[HARGA SATUAN]]="",),"",NOTA[[#This Row],[QTY]]*NOTA[[#This Row],[HARGA SATUAN]])</f>
        <v/>
      </c>
      <c r="AF460" s="34">
        <f ca="1">IF(NOTA[ID_H]="","",INDEX(NOTA[TANGGAL],MATCH(,INDIRECT(ADDRESS(ROW(NOTA[TANGGAL]),COLUMN(NOTA[TANGGAL]))&amp;":"&amp;ADDRESS(ROW(),COLUMN(NOTA[TANGGAL]))),-1)))</f>
        <v>44861</v>
      </c>
      <c r="AG460" s="38" t="str">
        <f ca="1">IF(NOTA[[#This Row],[NAMA BARANG]]="","",INDEX(NOTA[SUPPLIER],MATCH(,INDIRECT(ADDRESS(ROW(NOTA[ID]),COLUMN(NOTA[ID]))&amp;":"&amp;ADDRESS(ROW(),COLUMN(NOTA[ID]))),-1)))</f>
        <v>KENKO SINAR INDONESIA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>
        <f ca="1">IF(NOTA[[#This Row],[NAMA BARANG]]="","",INDEX(NOTA[ID],MATCH(,INDIRECT(ADDRESS(ROW(NOTA[ID]),COLUMN(NOTA[ID]))&amp;":"&amp;ADDRESS(ROW(),COLUMN(NOTA[ID]))),-1)))</f>
        <v>100</v>
      </c>
      <c r="E461" s="51"/>
      <c r="F461" s="31"/>
      <c r="G461" s="31"/>
      <c r="H461" s="33"/>
      <c r="I461" s="42"/>
      <c r="J461" s="44"/>
      <c r="K461" s="42"/>
      <c r="L461" s="31" t="s">
        <v>524</v>
      </c>
      <c r="M461" s="45">
        <v>1</v>
      </c>
      <c r="N461" s="42"/>
      <c r="O461" s="31"/>
      <c r="P461" s="40"/>
      <c r="Q461" s="160">
        <v>2764800</v>
      </c>
      <c r="R461" s="35" t="s">
        <v>102</v>
      </c>
      <c r="S461" s="47">
        <v>0.17</v>
      </c>
      <c r="T461" s="47"/>
      <c r="U461" s="46"/>
      <c r="V461" s="87"/>
      <c r="W461" s="36">
        <f>IF(NOTA[[#This Row],[HARGA/ CTN]]="",NOTA[[#This Row],[JUMLAH_H]],NOTA[[#This Row],[HARGA/ CTN]]*NOTA[[#This Row],[C]])</f>
        <v>2764800</v>
      </c>
      <c r="X461" s="36">
        <f>IF(NOTA[[#This Row],[JUMLAH]]="","",NOTA[[#This Row],[JUMLAH]]*NOTA[[#This Row],[DISC 1]])</f>
        <v>470016.00000000006</v>
      </c>
      <c r="Y461" s="36">
        <f>IF(NOTA[[#This Row],[JUMLAH]]="","",(NOTA[[#This Row],[JUMLAH]]-NOTA[[#This Row],[DISC 1-]])*NOTA[[#This Row],[DISC 2]])</f>
        <v>0</v>
      </c>
      <c r="Z461" s="36">
        <f>IF(NOTA[[#This Row],[JUMLAH]]="","",NOTA[[#This Row],[DISC 1-]]+NOTA[[#This Row],[DISC 2-]])</f>
        <v>470016.00000000006</v>
      </c>
      <c r="AA461" s="36">
        <f>IF(NOTA[[#This Row],[JUMLAH]]="","",NOTA[[#This Row],[JUMLAH]]-NOTA[[#This Row],[DISC]])</f>
        <v>2294784</v>
      </c>
      <c r="AB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61" s="36" t="str">
        <f>IF(OR(NOTA[[#This Row],[QTY]]="",NOTA[[#This Row],[HARGA SATUAN]]="",),"",NOTA[[#This Row],[QTY]]*NOTA[[#This Row],[HARGA SATUAN]])</f>
        <v/>
      </c>
      <c r="AF461" s="34">
        <f ca="1">IF(NOTA[ID_H]="","",INDEX(NOTA[TANGGAL],MATCH(,INDIRECT(ADDRESS(ROW(NOTA[TANGGAL]),COLUMN(NOTA[TANGGAL]))&amp;":"&amp;ADDRESS(ROW(),COLUMN(NOTA[TANGGAL]))),-1)))</f>
        <v>44861</v>
      </c>
      <c r="AG461" s="38" t="str">
        <f ca="1">IF(NOTA[[#This Row],[NAMA BARANG]]="","",INDEX(NOTA[SUPPLIER],MATCH(,INDIRECT(ADDRESS(ROW(NOTA[ID]),COLUMN(NOTA[ID]))&amp;":"&amp;ADDRESS(ROW(),COLUMN(NOTA[ID]))),-1)))</f>
        <v>KENKO SINAR INDONESIA</v>
      </c>
      <c r="AH461" s="16" t="str">
        <f ca="1">IF(NOTA[[#This Row],[ID]]="","",COUNTIF(NOTA[ID_H],NOTA[[#This Row],[ID_H]]))</f>
        <v/>
      </c>
      <c r="AI461" s="16">
        <f ca="1">IF(NOTA[[#This Row],[TGL.NOTA]]="",IF(NOTA[[#This Row],[SUPPLIER_H]]="","",AI460),MONTH(NOTA[[#This Row],[TGL.NOTA]]))</f>
        <v>10</v>
      </c>
      <c r="AJ461" s="16"/>
    </row>
    <row r="462" spans="1:36" ht="20.100000000000001" customHeight="1" x14ac:dyDescent="0.25">
      <c r="A4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9" t="str">
        <f>IF(NOTA[[#This Row],[ID_P]]="","",MATCH(NOTA[[#This Row],[ID_P]],[1]!B_MSK[N_ID],0))</f>
        <v/>
      </c>
      <c r="D462" s="39">
        <f ca="1">IF(NOTA[[#This Row],[NAMA BARANG]]="","",INDEX(NOTA[ID],MATCH(,INDIRECT(ADDRESS(ROW(NOTA[ID]),COLUMN(NOTA[ID]))&amp;":"&amp;ADDRESS(ROW(),COLUMN(NOTA[ID]))),-1)))</f>
        <v>100</v>
      </c>
      <c r="E462" s="51"/>
      <c r="F462" s="31"/>
      <c r="G462" s="31"/>
      <c r="H462" s="33"/>
      <c r="I462" s="42"/>
      <c r="J462" s="44"/>
      <c r="K462" s="42"/>
      <c r="L462" s="31" t="s">
        <v>525</v>
      </c>
      <c r="M462" s="45">
        <v>2</v>
      </c>
      <c r="N462" s="42"/>
      <c r="O462" s="31"/>
      <c r="P462" s="40"/>
      <c r="Q462" s="160">
        <v>1375000</v>
      </c>
      <c r="R462" s="35" t="s">
        <v>530</v>
      </c>
      <c r="S462" s="47">
        <v>0.17</v>
      </c>
      <c r="T462" s="47"/>
      <c r="U462" s="46"/>
      <c r="V462" s="87"/>
      <c r="W462" s="36">
        <f>IF(NOTA[[#This Row],[HARGA/ CTN]]="",NOTA[[#This Row],[JUMLAH_H]],NOTA[[#This Row],[HARGA/ CTN]]*NOTA[[#This Row],[C]])</f>
        <v>2750000</v>
      </c>
      <c r="X462" s="36">
        <f>IF(NOTA[[#This Row],[JUMLAH]]="","",NOTA[[#This Row],[JUMLAH]]*NOTA[[#This Row],[DISC 1]])</f>
        <v>467500.00000000006</v>
      </c>
      <c r="Y462" s="36">
        <f>IF(NOTA[[#This Row],[JUMLAH]]="","",(NOTA[[#This Row],[JUMLAH]]-NOTA[[#This Row],[DISC 1-]])*NOTA[[#This Row],[DISC 2]])</f>
        <v>0</v>
      </c>
      <c r="Z462" s="36">
        <f>IF(NOTA[[#This Row],[JUMLAH]]="","",NOTA[[#This Row],[DISC 1-]]+NOTA[[#This Row],[DISC 2-]])</f>
        <v>467500.00000000006</v>
      </c>
      <c r="AA462" s="36">
        <f>IF(NOTA[[#This Row],[JUMLAH]]="","",NOTA[[#This Row],[JUMLAH]]-NOTA[[#This Row],[DISC]])</f>
        <v>2282500</v>
      </c>
      <c r="AB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2" s="36" t="str">
        <f>IF(OR(NOTA[[#This Row],[QTY]]="",NOTA[[#This Row],[HARGA SATUAN]]="",),"",NOTA[[#This Row],[QTY]]*NOTA[[#This Row],[HARGA SATUAN]])</f>
        <v/>
      </c>
      <c r="AF462" s="34">
        <f ca="1">IF(NOTA[ID_H]="","",INDEX(NOTA[TANGGAL],MATCH(,INDIRECT(ADDRESS(ROW(NOTA[TANGGAL]),COLUMN(NOTA[TANGGAL]))&amp;":"&amp;ADDRESS(ROW(),COLUMN(NOTA[TANGGAL]))),-1)))</f>
        <v>44861</v>
      </c>
      <c r="AG462" s="38" t="str">
        <f ca="1">IF(NOTA[[#This Row],[NAMA BARANG]]="","",INDEX(NOTA[SUPPLIER],MATCH(,INDIRECT(ADDRESS(ROW(NOTA[ID]),COLUMN(NOTA[ID]))&amp;":"&amp;ADDRESS(ROW(),COLUMN(NOTA[ID]))),-1)))</f>
        <v>KENKO SINAR INDONESIA</v>
      </c>
      <c r="AH462" s="16" t="str">
        <f ca="1">IF(NOTA[[#This Row],[ID]]="","",COUNTIF(NOTA[ID_H],NOTA[[#This Row],[ID_H]]))</f>
        <v/>
      </c>
      <c r="AI462" s="16">
        <f ca="1"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100</v>
      </c>
      <c r="E463" s="51"/>
      <c r="F463" s="31"/>
      <c r="G463" s="31"/>
      <c r="H463" s="33"/>
      <c r="I463" s="42"/>
      <c r="J463" s="44"/>
      <c r="K463" s="42"/>
      <c r="L463" s="31" t="s">
        <v>272</v>
      </c>
      <c r="M463" s="45">
        <v>1</v>
      </c>
      <c r="N463" s="42"/>
      <c r="O463" s="31"/>
      <c r="P463" s="40"/>
      <c r="Q463" s="160">
        <v>1740000</v>
      </c>
      <c r="R463" s="35" t="s">
        <v>96</v>
      </c>
      <c r="S463" s="47">
        <v>0.17</v>
      </c>
      <c r="T463" s="47"/>
      <c r="U463" s="46"/>
      <c r="V463" s="87"/>
      <c r="W463" s="36">
        <f>IF(NOTA[[#This Row],[HARGA/ CTN]]="",NOTA[[#This Row],[JUMLAH_H]],NOTA[[#This Row],[HARGA/ CTN]]*NOTA[[#This Row],[C]])</f>
        <v>1740000</v>
      </c>
      <c r="X463" s="36">
        <f>IF(NOTA[[#This Row],[JUMLAH]]="","",NOTA[[#This Row],[JUMLAH]]*NOTA[[#This Row],[DISC 1]])</f>
        <v>295800</v>
      </c>
      <c r="Y463" s="36">
        <f>IF(NOTA[[#This Row],[JUMLAH]]="","",(NOTA[[#This Row],[JUMLAH]]-NOTA[[#This Row],[DISC 1-]])*NOTA[[#This Row],[DISC 2]])</f>
        <v>0</v>
      </c>
      <c r="Z463" s="36">
        <f>IF(NOTA[[#This Row],[JUMLAH]]="","",NOTA[[#This Row],[DISC 1-]]+NOTA[[#This Row],[DISC 2-]])</f>
        <v>295800</v>
      </c>
      <c r="AA463" s="36">
        <f>IF(NOTA[[#This Row],[JUMLAH]]="","",NOTA[[#This Row],[JUMLAH]]-NOTA[[#This Row],[DISC]])</f>
        <v>1444200</v>
      </c>
      <c r="AB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63" s="36" t="str">
        <f>IF(OR(NOTA[[#This Row],[QTY]]="",NOTA[[#This Row],[HARGA SATUAN]]="",),"",NOTA[[#This Row],[QTY]]*NOTA[[#This Row],[HARGA SATUAN]])</f>
        <v/>
      </c>
      <c r="AF463" s="34">
        <f ca="1">IF(NOTA[ID_H]="","",INDEX(NOTA[TANGGAL],MATCH(,INDIRECT(ADDRESS(ROW(NOTA[TANGGAL]),COLUMN(NOTA[TANGGAL]))&amp;":"&amp;ADDRESS(ROW(),COLUMN(NOTA[TANGGAL]))),-1)))</f>
        <v>44861</v>
      </c>
      <c r="AG463" s="38" t="str">
        <f ca="1">IF(NOTA[[#This Row],[NAMA BARANG]]="","",INDEX(NOTA[SUPPLIER],MATCH(,INDIRECT(ADDRESS(ROW(NOTA[ID]),COLUMN(NOTA[ID]))&amp;":"&amp;ADDRESS(ROW(),COLUMN(NOTA[ID]))),-1)))</f>
        <v>KENKO SINAR INDONESIA</v>
      </c>
      <c r="AH463" s="16" t="str">
        <f ca="1">IF(NOTA[[#This Row],[ID]]="","",COUNTIF(NOTA[ID_H],NOTA[[#This Row],[ID_H]]))</f>
        <v/>
      </c>
      <c r="AI463" s="16">
        <f ca="1">IF(NOTA[[#This Row],[TGL.NOTA]]="",IF(NOTA[[#This Row],[SUPPLIER_H]]="","",AI462),MONTH(NOTA[[#This Row],[TGL.NOTA]]))</f>
        <v>10</v>
      </c>
      <c r="AJ463" s="16"/>
    </row>
    <row r="464" spans="1:36" ht="20.100000000000001" customHeight="1" x14ac:dyDescent="0.25">
      <c r="A4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100</v>
      </c>
      <c r="E464" s="51"/>
      <c r="F464" s="31"/>
      <c r="G464" s="31"/>
      <c r="H464" s="33"/>
      <c r="I464" s="42"/>
      <c r="J464" s="44"/>
      <c r="K464" s="42"/>
      <c r="L464" s="31" t="s">
        <v>519</v>
      </c>
      <c r="M464" s="45">
        <v>2</v>
      </c>
      <c r="N464" s="42"/>
      <c r="O464" s="31"/>
      <c r="P464" s="40"/>
      <c r="Q464" s="160">
        <v>1164000</v>
      </c>
      <c r="R464" s="35" t="s">
        <v>168</v>
      </c>
      <c r="S464" s="47">
        <v>0.17</v>
      </c>
      <c r="T464" s="47"/>
      <c r="U464" s="46"/>
      <c r="V464" s="87"/>
      <c r="W464" s="36">
        <f>IF(NOTA[[#This Row],[HARGA/ CTN]]="",NOTA[[#This Row],[JUMLAH_H]],NOTA[[#This Row],[HARGA/ CTN]]*NOTA[[#This Row],[C]])</f>
        <v>2328000</v>
      </c>
      <c r="X464" s="36">
        <f>IF(NOTA[[#This Row],[JUMLAH]]="","",NOTA[[#This Row],[JUMLAH]]*NOTA[[#This Row],[DISC 1]])</f>
        <v>395760</v>
      </c>
      <c r="Y464" s="36">
        <f>IF(NOTA[[#This Row],[JUMLAH]]="","",(NOTA[[#This Row],[JUMLAH]]-NOTA[[#This Row],[DISC 1-]])*NOTA[[#This Row],[DISC 2]])</f>
        <v>0</v>
      </c>
      <c r="Z464" s="36">
        <f>IF(NOTA[[#This Row],[JUMLAH]]="","",NOTA[[#This Row],[DISC 1-]]+NOTA[[#This Row],[DISC 2-]])</f>
        <v>395760</v>
      </c>
      <c r="AA464" s="36">
        <f>IF(NOTA[[#This Row],[JUMLAH]]="","",NOTA[[#This Row],[JUMLAH]]-NOTA[[#This Row],[DISC]])</f>
        <v>1932240</v>
      </c>
      <c r="AB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64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64" s="36" t="str">
        <f>IF(OR(NOTA[[#This Row],[QTY]]="",NOTA[[#This Row],[HARGA SATUAN]]="",),"",NOTA[[#This Row],[QTY]]*NOTA[[#This Row],[HARGA SATUAN]])</f>
        <v/>
      </c>
      <c r="AF464" s="34">
        <f ca="1">IF(NOTA[ID_H]="","",INDEX(NOTA[TANGGAL],MATCH(,INDIRECT(ADDRESS(ROW(NOTA[TANGGAL]),COLUMN(NOTA[TANGGAL]))&amp;":"&amp;ADDRESS(ROW(),COLUMN(NOTA[TANGGAL]))),-1)))</f>
        <v>44861</v>
      </c>
      <c r="AG464" s="38" t="str">
        <f ca="1">IF(NOTA[[#This Row],[NAMA BARANG]]="","",INDEX(NOTA[SUPPLIER],MATCH(,INDIRECT(ADDRESS(ROW(NOTA[ID]),COLUMN(NOTA[ID]))&amp;":"&amp;ADDRESS(ROW(),COLUMN(NOTA[ID]))),-1)))</f>
        <v>KENKO SINAR INDONESIA</v>
      </c>
      <c r="AH464" s="16" t="str">
        <f ca="1">IF(NOTA[[#This Row],[ID]]="","",COUNTIF(NOTA[ID_H],NOTA[[#This Row],[ID_H]]))</f>
        <v/>
      </c>
      <c r="AI464" s="16">
        <f ca="1"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51"/>
      <c r="F465" s="31"/>
      <c r="G465" s="31"/>
      <c r="H465" s="33"/>
      <c r="I465" s="42"/>
      <c r="J465" s="44"/>
      <c r="K465" s="42"/>
      <c r="L465" s="31"/>
      <c r="M465" s="45"/>
      <c r="N465" s="42"/>
      <c r="O465" s="31"/>
      <c r="P465" s="40"/>
      <c r="Q465" s="160"/>
      <c r="R465" s="35"/>
      <c r="S465" s="47"/>
      <c r="T465" s="47"/>
      <c r="U465" s="46"/>
      <c r="V465" s="87"/>
      <c r="W465" s="36" t="str">
        <f>IF(NOTA[[#This Row],[HARGA/ CTN]]="",NOTA[[#This Row],[JUMLAH_H]],NOTA[[#This Row],[HARGA/ CTN]]*NOTA[[#This Row],[C]])</f>
        <v/>
      </c>
      <c r="X465" s="36" t="str">
        <f>IF(NOTA[[#This Row],[JUMLAH]]="","",NOTA[[#This Row],[JUMLAH]]*NOTA[[#This Row],[DISC 1]])</f>
        <v/>
      </c>
      <c r="Y465" s="36" t="str">
        <f>IF(NOTA[[#This Row],[JUMLAH]]="","",(NOTA[[#This Row],[JUMLAH]]-NOTA[[#This Row],[DISC 1-]])*NOTA[[#This Row],[DISC 2]])</f>
        <v/>
      </c>
      <c r="Z465" s="36" t="str">
        <f>IF(NOTA[[#This Row],[JUMLAH]]="","",NOTA[[#This Row],[DISC 1-]]+NOTA[[#This Row],[DISC 2-]])</f>
        <v/>
      </c>
      <c r="AA465" s="36" t="str">
        <f>IF(NOTA[[#This Row],[JUMLAH]]="","",NOTA[[#This Row],[JUMLAH]]-NOTA[[#This Row],[DISC]])</f>
        <v/>
      </c>
      <c r="AB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36" t="str">
        <f>IF(OR(NOTA[[#This Row],[QTY]]="",NOTA[[#This Row],[HARGA SATUAN]]="",),"",NOTA[[#This Row],[QTY]]*NOTA[[#This Row],[HARGA SATUAN]])</f>
        <v/>
      </c>
      <c r="AF465" s="34" t="str">
        <f ca="1">IF(NOTA[ID_H]="","",INDEX(NOTA[TANGGAL],MATCH(,INDIRECT(ADDRESS(ROW(NOTA[TANGGAL]),COLUMN(NOTA[TANGGAL]))&amp;":"&amp;ADDRESS(ROW(),COLUMN(NOTA[TANGGAL]))),-1)))</f>
        <v/>
      </c>
      <c r="AG465" s="38" t="str">
        <f ca="1">IF(NOTA[[#This Row],[NAMA BARANG]]="","",INDEX(NOTA[SUPPLIER],MATCH(,INDIRECT(ADDRESS(ROW(NOTA[ID]),COLUMN(NOTA[ID]))&amp;":"&amp;ADDRESS(ROW(),COLUMN(NOTA[ID]))),-1)))</f>
        <v/>
      </c>
      <c r="AH465" s="16" t="str">
        <f ca="1">IF(NOTA[[#This Row],[ID]]="","",COUNTIF(NOTA[ID_H],NOTA[[#This Row],[ID_H]]))</f>
        <v/>
      </c>
      <c r="AI465" s="16" t="str">
        <f ca="1">IF(NOTA[[#This Row],[TGL.NOTA]]="",IF(NOTA[[#This Row],[SUPPLIER_H]]="","",AI464),MONTH(NOTA[[#This Row],[TGL.NOTA]]))</f>
        <v/>
      </c>
      <c r="AJ465" s="16"/>
    </row>
    <row r="466" spans="1:36" ht="20.100000000000001" customHeight="1" x14ac:dyDescent="0.25">
      <c r="A466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101</v>
      </c>
      <c r="E466" s="51"/>
      <c r="F466" s="31" t="s">
        <v>23</v>
      </c>
      <c r="G466" s="31" t="s">
        <v>24</v>
      </c>
      <c r="H466" s="33" t="s">
        <v>526</v>
      </c>
      <c r="I466" s="31" t="s">
        <v>527</v>
      </c>
      <c r="J466" s="34">
        <v>44855</v>
      </c>
      <c r="K466" s="42"/>
      <c r="L466" s="31" t="s">
        <v>528</v>
      </c>
      <c r="M466" s="45">
        <v>2</v>
      </c>
      <c r="N466" s="42"/>
      <c r="O466" s="31"/>
      <c r="P466" s="40"/>
      <c r="Q466" s="160">
        <v>2052000</v>
      </c>
      <c r="R466" s="35" t="s">
        <v>94</v>
      </c>
      <c r="S466" s="47">
        <v>0.17</v>
      </c>
      <c r="T466" s="47"/>
      <c r="U466" s="46"/>
      <c r="V466" s="87"/>
      <c r="W466" s="36">
        <f>IF(NOTA[[#This Row],[HARGA/ CTN]]="",NOTA[[#This Row],[JUMLAH_H]],NOTA[[#This Row],[HARGA/ CTN]]*NOTA[[#This Row],[C]])</f>
        <v>4104000</v>
      </c>
      <c r="X466" s="36">
        <f>IF(NOTA[[#This Row],[JUMLAH]]="","",NOTA[[#This Row],[JUMLAH]]*NOTA[[#This Row],[DISC 1]])</f>
        <v>697680</v>
      </c>
      <c r="Y466" s="36">
        <f>IF(NOTA[[#This Row],[JUMLAH]]="","",(NOTA[[#This Row],[JUMLAH]]-NOTA[[#This Row],[DISC 1-]])*NOTA[[#This Row],[DISC 2]])</f>
        <v>0</v>
      </c>
      <c r="Z466" s="36">
        <f>IF(NOTA[[#This Row],[JUMLAH]]="","",NOTA[[#This Row],[DISC 1-]]+NOTA[[#This Row],[DISC 2-]])</f>
        <v>697680</v>
      </c>
      <c r="AA466" s="36">
        <f>IF(NOTA[[#This Row],[JUMLAH]]="","",NOTA[[#This Row],[JUMLAH]]-NOTA[[#This Row],[DISC]])</f>
        <v>3406320</v>
      </c>
      <c r="AB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66" s="36" t="str">
        <f>IF(OR(NOTA[[#This Row],[QTY]]="",NOTA[[#This Row],[HARGA SATUAN]]="",),"",NOTA[[#This Row],[QTY]]*NOTA[[#This Row],[HARGA SATUAN]])</f>
        <v/>
      </c>
      <c r="AF466" s="34">
        <f ca="1">IF(NOTA[ID_H]="","",INDEX(NOTA[TANGGAL],MATCH(,INDIRECT(ADDRESS(ROW(NOTA[TANGGAL]),COLUMN(NOTA[TANGGAL]))&amp;":"&amp;ADDRESS(ROW(),COLUMN(NOTA[TANGGAL]))),-1)))</f>
        <v>44861</v>
      </c>
      <c r="AG466" s="38" t="str">
        <f ca="1">IF(NOTA[[#This Row],[NAMA BARANG]]="","",INDEX(NOTA[SUPPLIER],MATCH(,INDIRECT(ADDRESS(ROW(NOTA[ID]),COLUMN(NOTA[ID]))&amp;":"&amp;ADDRESS(ROW(),COLUMN(NOTA[ID]))),-1)))</f>
        <v>KENKO SINAR INDONESIA</v>
      </c>
      <c r="AH466" s="16">
        <f ca="1">IF(NOTA[[#This Row],[ID]]="","",COUNTIF(NOTA[ID_H],NOTA[[#This Row],[ID_H]]))</f>
        <v>2</v>
      </c>
      <c r="AI466" s="16">
        <f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>
        <f ca="1">IF(NOTA[[#This Row],[NAMA BARANG]]="","",INDEX(NOTA[ID],MATCH(,INDIRECT(ADDRESS(ROW(NOTA[ID]),COLUMN(NOTA[ID]))&amp;":"&amp;ADDRESS(ROW(),COLUMN(NOTA[ID]))),-1)))</f>
        <v>101</v>
      </c>
      <c r="E467" s="51"/>
      <c r="H467" s="24"/>
      <c r="I467" s="42"/>
      <c r="J467" s="44"/>
      <c r="K467" s="42"/>
      <c r="L467" s="31" t="s">
        <v>529</v>
      </c>
      <c r="M467" s="45">
        <v>2</v>
      </c>
      <c r="N467" s="42"/>
      <c r="O467" s="31"/>
      <c r="P467" s="40"/>
      <c r="Q467" s="160">
        <v>3758400</v>
      </c>
      <c r="R467" s="35" t="s">
        <v>102</v>
      </c>
      <c r="S467" s="47">
        <v>0.17</v>
      </c>
      <c r="T467" s="47"/>
      <c r="U467" s="46"/>
      <c r="V467" s="87"/>
      <c r="W467" s="36">
        <f>IF(NOTA[[#This Row],[HARGA/ CTN]]="",NOTA[[#This Row],[JUMLAH_H]],NOTA[[#This Row],[HARGA/ CTN]]*NOTA[[#This Row],[C]])</f>
        <v>7516800</v>
      </c>
      <c r="X467" s="36">
        <f>IF(NOTA[[#This Row],[JUMLAH]]="","",NOTA[[#This Row],[JUMLAH]]*NOTA[[#This Row],[DISC 1]])</f>
        <v>1277856</v>
      </c>
      <c r="Y467" s="36">
        <f>IF(NOTA[[#This Row],[JUMLAH]]="","",(NOTA[[#This Row],[JUMLAH]]-NOTA[[#This Row],[DISC 1-]])*NOTA[[#This Row],[DISC 2]])</f>
        <v>0</v>
      </c>
      <c r="Z467" s="36">
        <f>IF(NOTA[[#This Row],[JUMLAH]]="","",NOTA[[#This Row],[DISC 1-]]+NOTA[[#This Row],[DISC 2-]])</f>
        <v>1277856</v>
      </c>
      <c r="AA467" s="36">
        <f>IF(NOTA[[#This Row],[JUMLAH]]="","",NOTA[[#This Row],[JUMLAH]]-NOTA[[#This Row],[DISC]])</f>
        <v>6238944</v>
      </c>
      <c r="AB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67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67" s="36" t="str">
        <f>IF(OR(NOTA[[#This Row],[QTY]]="",NOTA[[#This Row],[HARGA SATUAN]]="",),"",NOTA[[#This Row],[QTY]]*NOTA[[#This Row],[HARGA SATUAN]])</f>
        <v/>
      </c>
      <c r="AF467" s="34">
        <f ca="1">IF(NOTA[ID_H]="","",INDEX(NOTA[TANGGAL],MATCH(,INDIRECT(ADDRESS(ROW(NOTA[TANGGAL]),COLUMN(NOTA[TANGGAL]))&amp;":"&amp;ADDRESS(ROW(),COLUMN(NOTA[TANGGAL]))),-1)))</f>
        <v>44861</v>
      </c>
      <c r="AG467" s="38" t="str">
        <f ca="1">IF(NOTA[[#This Row],[NAMA BARANG]]="","",INDEX(NOTA[SUPPLIER],MATCH(,INDIRECT(ADDRESS(ROW(NOTA[ID]),COLUMN(NOTA[ID]))&amp;":"&amp;ADDRESS(ROW(),COLUMN(NOTA[ID]))),-1)))</f>
        <v>KENKO SINAR INDONESIA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9" t="str">
        <f>IF(NOTA[[#This Row],[ID_P]]="","",MATCH(NOTA[[#This Row],[ID_P]],[1]!B_MSK[N_ID],0))</f>
        <v/>
      </c>
      <c r="D468" s="39" t="str">
        <f ca="1">IF(NOTA[[#This Row],[NAMA BARANG]]="","",INDEX(NOTA[ID],MATCH(,INDIRECT(ADDRESS(ROW(NOTA[ID]),COLUMN(NOTA[ID]))&amp;":"&amp;ADDRESS(ROW(),COLUMN(NOTA[ID]))),-1)))</f>
        <v/>
      </c>
      <c r="E468" s="51"/>
      <c r="F468" s="31"/>
      <c r="G468" s="31"/>
      <c r="H468" s="33"/>
      <c r="I468" s="42"/>
      <c r="J468" s="44"/>
      <c r="K468" s="42"/>
      <c r="L468" s="31"/>
      <c r="M468" s="45"/>
      <c r="N468" s="42"/>
      <c r="O468" s="31"/>
      <c r="P468" s="40"/>
      <c r="Q468" s="160"/>
      <c r="R468" s="35"/>
      <c r="S468" s="47"/>
      <c r="T468" s="47"/>
      <c r="U468" s="46"/>
      <c r="V468" s="87"/>
      <c r="W468" s="36" t="str">
        <f>IF(NOTA[[#This Row],[HARGA/ CTN]]="",NOTA[[#This Row],[JUMLAH_H]],NOTA[[#This Row],[HARGA/ CTN]]*NOTA[[#This Row],[C]])</f>
        <v/>
      </c>
      <c r="X468" s="36" t="str">
        <f>IF(NOTA[[#This Row],[JUMLAH]]="","",NOTA[[#This Row],[JUMLAH]]*NOTA[[#This Row],[DISC 1]])</f>
        <v/>
      </c>
      <c r="Y468" s="36" t="str">
        <f>IF(NOTA[[#This Row],[JUMLAH]]="","",(NOTA[[#This Row],[JUMLAH]]-NOTA[[#This Row],[DISC 1-]])*NOTA[[#This Row],[DISC 2]])</f>
        <v/>
      </c>
      <c r="Z468" s="36" t="str">
        <f>IF(NOTA[[#This Row],[JUMLAH]]="","",NOTA[[#This Row],[DISC 1-]]+NOTA[[#This Row],[DISC 2-]])</f>
        <v/>
      </c>
      <c r="AA468" s="36" t="str">
        <f>IF(NOTA[[#This Row],[JUMLAH]]="","",NOTA[[#This Row],[JUMLAH]]-NOTA[[#This Row],[DISC]])</f>
        <v/>
      </c>
      <c r="AB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36" t="str">
        <f>IF(OR(NOTA[[#This Row],[QTY]]="",NOTA[[#This Row],[HARGA SATUAN]]="",),"",NOTA[[#This Row],[QTY]]*NOTA[[#This Row],[HARGA SATUAN]])</f>
        <v/>
      </c>
      <c r="AF468" s="34" t="str">
        <f ca="1">IF(NOTA[ID_H]="","",INDEX(NOTA[TANGGAL],MATCH(,INDIRECT(ADDRESS(ROW(NOTA[TANGGAL]),COLUMN(NOTA[TANGGAL]))&amp;":"&amp;ADDRESS(ROW(),COLUMN(NOTA[TANGGAL]))),-1)))</f>
        <v/>
      </c>
      <c r="AG468" s="38" t="str">
        <f ca="1">IF(NOTA[[#This Row],[NAMA BARANG]]="","",INDEX(NOTA[SUPPLIER],MATCH(,INDIRECT(ADDRESS(ROW(NOTA[ID]),COLUMN(NOTA[ID]))&amp;":"&amp;ADDRESS(ROW(),COLUMN(NOTA[ID]))),-1)))</f>
        <v/>
      </c>
      <c r="AH468" s="16" t="str">
        <f ca="1">IF(NOTA[[#This Row],[ID]]="","",COUNTIF(NOTA[ID_H],NOTA[[#This Row],[ID_H]]))</f>
        <v/>
      </c>
      <c r="AI468" s="16" t="str">
        <f ca="1">IF(NOTA[[#This Row],[TGL.NOTA]]="",IF(NOTA[[#This Row],[SUPPLIER_H]]="","",AI467),MONTH(NOTA[[#This Row],[TGL.NOTA]]))</f>
        <v/>
      </c>
      <c r="AJ468" s="16"/>
    </row>
    <row r="469" spans="1:36" ht="20.100000000000001" customHeight="1" x14ac:dyDescent="0.25">
      <c r="A469" s="3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69" s="39" t="e">
        <f ca="1">IF(NOTA[[#This Row],[ID_P]]="","",MATCH(NOTA[[#This Row],[ID_P]],[1]!B_MSK[N_ID],0))</f>
        <v>#REF!</v>
      </c>
      <c r="D469" s="39">
        <f ca="1">IF(NOTA[[#This Row],[NAMA BARANG]]="","",INDEX(NOTA[ID],MATCH(,INDIRECT(ADDRESS(ROW(NOTA[ID]),COLUMN(NOTA[ID]))&amp;":"&amp;ADDRESS(ROW(),COLUMN(NOTA[ID]))),-1)))</f>
        <v>102</v>
      </c>
      <c r="E469" s="51"/>
      <c r="F469" s="31" t="s">
        <v>28</v>
      </c>
      <c r="G469" s="31" t="s">
        <v>24</v>
      </c>
      <c r="H469" s="33" t="s">
        <v>533</v>
      </c>
      <c r="I469" s="31"/>
      <c r="J469" s="44">
        <v>44856</v>
      </c>
      <c r="K469" s="42"/>
      <c r="L469" s="31" t="s">
        <v>534</v>
      </c>
      <c r="M469" s="45">
        <v>5</v>
      </c>
      <c r="N469" s="42">
        <v>250</v>
      </c>
      <c r="O469" s="31" t="s">
        <v>482</v>
      </c>
      <c r="P469" s="40">
        <v>24000</v>
      </c>
      <c r="Q469" s="160"/>
      <c r="R469" s="35"/>
      <c r="S469" s="47"/>
      <c r="T469" s="47"/>
      <c r="U469" s="46"/>
      <c r="V469" s="87"/>
      <c r="W469" s="36">
        <f>IF(NOTA[[#This Row],[HARGA/ CTN]]="",NOTA[[#This Row],[JUMLAH_H]],NOTA[[#This Row],[HARGA/ CTN]]*NOTA[[#This Row],[C]])</f>
        <v>6000000</v>
      </c>
      <c r="X469" s="36">
        <f>IF(NOTA[[#This Row],[JUMLAH]]="","",NOTA[[#This Row],[JUMLAH]]*NOTA[[#This Row],[DISC 1]])</f>
        <v>0</v>
      </c>
      <c r="Y469" s="36">
        <f>IF(NOTA[[#This Row],[JUMLAH]]="","",(NOTA[[#This Row],[JUMLAH]]-NOTA[[#This Row],[DISC 1-]])*NOTA[[#This Row],[DISC 2]])</f>
        <v>0</v>
      </c>
      <c r="Z469" s="36">
        <f>IF(NOTA[[#This Row],[JUMLAH]]="","",NOTA[[#This Row],[DISC 1-]]+NOTA[[#This Row],[DISC 2-]])</f>
        <v>0</v>
      </c>
      <c r="AA469" s="36">
        <f>IF(NOTA[[#This Row],[JUMLAH]]="","",NOTA[[#This Row],[JUMLAH]]-NOTA[[#This Row],[DISC]])</f>
        <v>6000000</v>
      </c>
      <c r="AB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6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9" s="36">
        <f>IF(OR(NOTA[[#This Row],[QTY]]="",NOTA[[#This Row],[HARGA SATUAN]]="",),"",NOTA[[#This Row],[QTY]]*NOTA[[#This Row],[HARGA SATUAN]])</f>
        <v>6000000</v>
      </c>
      <c r="AF469" s="34">
        <f ca="1">IF(NOTA[ID_H]="","",INDEX(NOTA[TANGGAL],MATCH(,INDIRECT(ADDRESS(ROW(NOTA[TANGGAL]),COLUMN(NOTA[TANGGAL]))&amp;":"&amp;ADDRESS(ROW(),COLUMN(NOTA[TANGGAL]))),-1)))</f>
        <v>44861</v>
      </c>
      <c r="AG469" s="38" t="str">
        <f ca="1">IF(NOTA[[#This Row],[NAMA BARANG]]="","",INDEX(NOTA[SUPPLIER],MATCH(,INDIRECT(ADDRESS(ROW(NOTA[ID]),COLUMN(NOTA[ID]))&amp;":"&amp;ADDRESS(ROW(),COLUMN(NOTA[ID]))),-1)))</f>
        <v>LAYS</v>
      </c>
      <c r="AH469" s="16">
        <f ca="1">IF(NOTA[[#This Row],[ID]]="","",COUNTIF(NOTA[ID_H],NOTA[[#This Row],[ID_H]]))</f>
        <v>1</v>
      </c>
      <c r="AI469" s="16">
        <f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51"/>
      <c r="F470" s="31"/>
      <c r="G470" s="31"/>
      <c r="H470" s="33"/>
      <c r="I470" s="42"/>
      <c r="J470" s="44"/>
      <c r="K470" s="42"/>
      <c r="L470" s="31"/>
      <c r="M470" s="45"/>
      <c r="N470" s="42"/>
      <c r="O470" s="31"/>
      <c r="P470" s="40"/>
      <c r="Q470" s="160"/>
      <c r="R470" s="35"/>
      <c r="S470" s="47"/>
      <c r="T470" s="47"/>
      <c r="U470" s="46"/>
      <c r="V470" s="87"/>
      <c r="W470" s="36" t="str">
        <f>IF(NOTA[[#This Row],[HARGA/ CTN]]="",NOTA[[#This Row],[JUMLAH_H]],NOTA[[#This Row],[HARGA/ CTN]]*NOTA[[#This Row],[C]])</f>
        <v/>
      </c>
      <c r="X470" s="36" t="str">
        <f>IF(NOTA[[#This Row],[JUMLAH]]="","",NOTA[[#This Row],[JUMLAH]]*NOTA[[#This Row],[DISC 1]])</f>
        <v/>
      </c>
      <c r="Y470" s="36" t="str">
        <f>IF(NOTA[[#This Row],[JUMLAH]]="","",(NOTA[[#This Row],[JUMLAH]]-NOTA[[#This Row],[DISC 1-]])*NOTA[[#This Row],[DISC 2]])</f>
        <v/>
      </c>
      <c r="Z470" s="36" t="str">
        <f>IF(NOTA[[#This Row],[JUMLAH]]="","",NOTA[[#This Row],[DISC 1-]]+NOTA[[#This Row],[DISC 2-]])</f>
        <v/>
      </c>
      <c r="AA470" s="36" t="str">
        <f>IF(NOTA[[#This Row],[JUMLAH]]="","",NOTA[[#This Row],[JUMLAH]]-NOTA[[#This Row],[DISC]])</f>
        <v/>
      </c>
      <c r="AB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36" t="str">
        <f>IF(OR(NOTA[[#This Row],[QTY]]="",NOTA[[#This Row],[HARGA SATUAN]]="",),"",NOTA[[#This Row],[QTY]]*NOTA[[#This Row],[HARGA SATUAN]])</f>
        <v/>
      </c>
      <c r="AF470" s="34" t="str">
        <f ca="1">IF(NOTA[ID_H]="","",INDEX(NOTA[TANGGAL],MATCH(,INDIRECT(ADDRESS(ROW(NOTA[TANGGAL]),COLUMN(NOTA[TANGGAL]))&amp;":"&amp;ADDRESS(ROW(),COLUMN(NOTA[TANGGAL]))),-1)))</f>
        <v/>
      </c>
      <c r="AG470" s="38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 t="str">
        <f ca="1">IF(NOTA[[#This Row],[TGL.NOTA]]="",IF(NOTA[[#This Row],[SUPPLIER_H]]="","",AI469),MONTH(NOTA[[#This Row],[TGL.NOTA]]))</f>
        <v/>
      </c>
      <c r="AJ470" s="16"/>
    </row>
    <row r="471" spans="1:36" ht="20.100000000000001" customHeight="1" x14ac:dyDescent="0.25">
      <c r="A471" s="3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103</v>
      </c>
      <c r="E471" s="32">
        <v>44861</v>
      </c>
      <c r="F471" s="31" t="s">
        <v>254</v>
      </c>
      <c r="G471" s="31" t="s">
        <v>87</v>
      </c>
      <c r="H471" s="33" t="s">
        <v>566</v>
      </c>
      <c r="I471" s="31"/>
      <c r="J471" s="34">
        <v>44854</v>
      </c>
      <c r="K471" s="31"/>
      <c r="L471" s="31" t="s">
        <v>567</v>
      </c>
      <c r="M471" s="35">
        <v>6</v>
      </c>
      <c r="N471" s="31">
        <v>300</v>
      </c>
      <c r="O471" s="31" t="s">
        <v>90</v>
      </c>
      <c r="P471" s="30">
        <v>18250</v>
      </c>
      <c r="Q471" s="103"/>
      <c r="R471" s="35"/>
      <c r="S471" s="37"/>
      <c r="T471" s="37"/>
      <c r="U471" s="36"/>
      <c r="V471" s="87"/>
      <c r="W471" s="36">
        <f>IF(NOTA[[#This Row],[HARGA/ CTN]]="",NOTA[[#This Row],[JUMLAH_H]],NOTA[[#This Row],[HARGA/ CTN]]*NOTA[[#This Row],[C]])</f>
        <v>5475000</v>
      </c>
      <c r="X471" s="36">
        <f>IF(NOTA[[#This Row],[JUMLAH]]="","",NOTA[[#This Row],[JUMLAH]]*NOTA[[#This Row],[DISC 1]])</f>
        <v>0</v>
      </c>
      <c r="Y471" s="36">
        <f>IF(NOTA[[#This Row],[JUMLAH]]="","",(NOTA[[#This Row],[JUMLAH]]-NOTA[[#This Row],[DISC 1-]])*NOTA[[#This Row],[DISC 2]])</f>
        <v>0</v>
      </c>
      <c r="Z471" s="36">
        <f>IF(NOTA[[#This Row],[JUMLAH]]="","",NOTA[[#This Row],[DISC 1-]]+NOTA[[#This Row],[DISC 2-]])</f>
        <v>0</v>
      </c>
      <c r="AA471" s="36">
        <f>IF(NOTA[[#This Row],[JUMLAH]]="","",NOTA[[#This Row],[JUMLAH]]-NOTA[[#This Row],[DISC]])</f>
        <v>5475000</v>
      </c>
      <c r="AB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71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1" s="36">
        <f>IF(OR(NOTA[[#This Row],[QTY]]="",NOTA[[#This Row],[HARGA SATUAN]]="",),"",NOTA[[#This Row],[QTY]]*NOTA[[#This Row],[HARGA SATUAN]])</f>
        <v>5475000</v>
      </c>
      <c r="AF471" s="34">
        <f ca="1">IF(NOTA[ID_H]="","",INDEX(NOTA[TANGGAL],MATCH(,INDIRECT(ADDRESS(ROW(NOTA[TANGGAL]),COLUMN(NOTA[TANGGAL]))&amp;":"&amp;ADDRESS(ROW(),COLUMN(NOTA[TANGGAL]))),-1)))</f>
        <v>44861</v>
      </c>
      <c r="AG471" s="38" t="str">
        <f ca="1">IF(NOTA[[#This Row],[NAMA BARANG]]="","",INDEX(NOTA[SUPPLIER],MATCH(,INDIRECT(ADDRESS(ROW(NOTA[ID]),COLUMN(NOTA[ID]))&amp;":"&amp;ADDRESS(ROW(),COLUMN(NOTA[ID]))),-1)))</f>
        <v>GRAFINDO</v>
      </c>
      <c r="AH471" s="16">
        <f ca="1">IF(NOTA[[#This Row],[ID]]="","",COUNTIF(NOTA[ID_H],NOTA[[#This Row],[ID_H]]))</f>
        <v>1</v>
      </c>
      <c r="AI471" s="16">
        <f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26"/>
      <c r="F472" s="31"/>
      <c r="G472" s="31"/>
      <c r="H472" s="33"/>
      <c r="I472" s="31"/>
      <c r="J472" s="34"/>
      <c r="K472" s="31"/>
      <c r="L472" s="31"/>
      <c r="M472" s="35"/>
      <c r="N472" s="31"/>
      <c r="O472" s="31"/>
      <c r="P472" s="30"/>
      <c r="Q472" s="103"/>
      <c r="R472" s="35"/>
      <c r="S472" s="37"/>
      <c r="T472" s="37"/>
      <c r="U472" s="36"/>
      <c r="V472" s="87"/>
      <c r="W472" s="36" t="str">
        <f>IF(NOTA[[#This Row],[HARGA/ CTN]]="",NOTA[[#This Row],[JUMLAH_H]],NOTA[[#This Row],[HARGA/ CTN]]*NOTA[[#This Row],[C]])</f>
        <v/>
      </c>
      <c r="X472" s="36" t="str">
        <f>IF(NOTA[[#This Row],[JUMLAH]]="","",NOTA[[#This Row],[JUMLAH]]*NOTA[[#This Row],[DISC 1]])</f>
        <v/>
      </c>
      <c r="Y472" s="36" t="str">
        <f>IF(NOTA[[#This Row],[JUMLAH]]="","",(NOTA[[#This Row],[JUMLAH]]-NOTA[[#This Row],[DISC 1-]])*NOTA[[#This Row],[DISC 2]])</f>
        <v/>
      </c>
      <c r="Z472" s="36" t="str">
        <f>IF(NOTA[[#This Row],[JUMLAH]]="","",NOTA[[#This Row],[DISC 1-]]+NOTA[[#This Row],[DISC 2-]])</f>
        <v/>
      </c>
      <c r="AA472" s="36" t="str">
        <f>IF(NOTA[[#This Row],[JUMLAH]]="","",NOTA[[#This Row],[JUMLAH]]-NOTA[[#This Row],[DISC]])</f>
        <v/>
      </c>
      <c r="AB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36" t="str">
        <f>IF(OR(NOTA[[#This Row],[QTY]]="",NOTA[[#This Row],[HARGA SATUAN]]="",),"",NOTA[[#This Row],[QTY]]*NOTA[[#This Row],[HARGA SATUAN]])</f>
        <v/>
      </c>
      <c r="AF472" s="34" t="str">
        <f ca="1">IF(NOTA[ID_H]="","",INDEX(NOTA[TANGGAL],MATCH(,INDIRECT(ADDRESS(ROW(NOTA[TANGGAL]),COLUMN(NOTA[TANGGAL]))&amp;":"&amp;ADDRESS(ROW(),COLUMN(NOTA[TANGGAL]))),-1)))</f>
        <v/>
      </c>
      <c r="AG472" s="30" t="str">
        <f ca="1">IF(NOTA[[#This Row],[NAMA BARANG]]="","",INDEX(NOTA[SUPPLIER],MATCH(,INDIRECT(ADDRESS(ROW(NOTA[ID]),COLUMN(NOTA[ID]))&amp;":"&amp;ADDRESS(ROW(),COLUMN(NOTA[ID]))),-1)))</f>
        <v/>
      </c>
      <c r="AH472" s="16" t="str">
        <f ca="1">IF(NOTA[[#This Row],[ID]]="","",COUNTIF(NOTA[ID_H],NOTA[[#This Row],[ID_H]]))</f>
        <v/>
      </c>
      <c r="AI472" s="16" t="str">
        <f ca="1">IF(NOTA[[#This Row],[TGL.NOTA]]="",IF(NOTA[[#This Row],[SUPPLIER_H]]="","",AI471),MONTH(NOTA[[#This Row],[TGL.NOTA]]))</f>
        <v/>
      </c>
      <c r="AJ472" s="16"/>
    </row>
    <row r="473" spans="1:36" ht="20.100000000000001" customHeight="1" x14ac:dyDescent="0.25">
      <c r="A473" s="3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104</v>
      </c>
      <c r="E473" s="26"/>
      <c r="F473" s="31" t="s">
        <v>254</v>
      </c>
      <c r="G473" s="31" t="s">
        <v>87</v>
      </c>
      <c r="H473" s="33" t="s">
        <v>568</v>
      </c>
      <c r="I473" s="31"/>
      <c r="J473" s="34">
        <v>44855</v>
      </c>
      <c r="K473" s="31"/>
      <c r="L473" s="31" t="s">
        <v>569</v>
      </c>
      <c r="M473" s="35">
        <v>1</v>
      </c>
      <c r="N473" s="31">
        <v>50</v>
      </c>
      <c r="O473" s="31" t="s">
        <v>90</v>
      </c>
      <c r="P473" s="30">
        <v>18250</v>
      </c>
      <c r="Q473" s="103"/>
      <c r="R473" s="35" t="s">
        <v>257</v>
      </c>
      <c r="S473" s="37"/>
      <c r="T473" s="37"/>
      <c r="U473" s="36"/>
      <c r="V473" s="87"/>
      <c r="W473" s="36">
        <f>IF(NOTA[[#This Row],[HARGA/ CTN]]="",NOTA[[#This Row],[JUMLAH_H]],NOTA[[#This Row],[HARGA/ CTN]]*NOTA[[#This Row],[C]])</f>
        <v>912500</v>
      </c>
      <c r="X473" s="36">
        <f>IF(NOTA[[#This Row],[JUMLAH]]="","",NOTA[[#This Row],[JUMLAH]]*NOTA[[#This Row],[DISC 1]])</f>
        <v>0</v>
      </c>
      <c r="Y473" s="36">
        <f>IF(NOTA[[#This Row],[JUMLAH]]="","",(NOTA[[#This Row],[JUMLAH]]-NOTA[[#This Row],[DISC 1-]])*NOTA[[#This Row],[DISC 2]])</f>
        <v>0</v>
      </c>
      <c r="Z473" s="36">
        <f>IF(NOTA[[#This Row],[JUMLAH]]="","",NOTA[[#This Row],[DISC 1-]]+NOTA[[#This Row],[DISC 2-]])</f>
        <v>0</v>
      </c>
      <c r="AA473" s="36">
        <f>IF(NOTA[[#This Row],[JUMLAH]]="","",NOTA[[#This Row],[JUMLAH]]-NOTA[[#This Row],[DISC]])</f>
        <v>912500</v>
      </c>
      <c r="AB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7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3" s="36">
        <f>IF(OR(NOTA[[#This Row],[QTY]]="",NOTA[[#This Row],[HARGA SATUAN]]="",),"",NOTA[[#This Row],[QTY]]*NOTA[[#This Row],[HARGA SATUAN]])</f>
        <v>912500</v>
      </c>
      <c r="AF473" s="34">
        <f ca="1">IF(NOTA[ID_H]="","",INDEX(NOTA[TANGGAL],MATCH(,INDIRECT(ADDRESS(ROW(NOTA[TANGGAL]),COLUMN(NOTA[TANGGAL]))&amp;":"&amp;ADDRESS(ROW(),COLUMN(NOTA[TANGGAL]))),-1)))</f>
        <v>44861</v>
      </c>
      <c r="AG473" s="30" t="str">
        <f ca="1">IF(NOTA[[#This Row],[NAMA BARANG]]="","",INDEX(NOTA[SUPPLIER],MATCH(,INDIRECT(ADDRESS(ROW(NOTA[ID]),COLUMN(NOTA[ID]))&amp;":"&amp;ADDRESS(ROW(),COLUMN(NOTA[ID]))),-1)))</f>
        <v>GRAFINDO</v>
      </c>
      <c r="AH473" s="16">
        <f ca="1">IF(NOTA[[#This Row],[ID]]="","",COUNTIF(NOTA[ID_H],NOTA[[#This Row],[ID_H]]))</f>
        <v>1</v>
      </c>
      <c r="AI473" s="16">
        <f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26"/>
      <c r="F474" s="31"/>
      <c r="G474" s="31"/>
      <c r="H474" s="33"/>
      <c r="I474" s="31"/>
      <c r="J474" s="34"/>
      <c r="K474" s="31"/>
      <c r="L474" s="31"/>
      <c r="M474" s="35"/>
      <c r="N474" s="31"/>
      <c r="O474" s="31"/>
      <c r="P474" s="30"/>
      <c r="Q474" s="103"/>
      <c r="R474" s="35"/>
      <c r="S474" s="37"/>
      <c r="T474" s="37"/>
      <c r="U474" s="36"/>
      <c r="V474" s="87"/>
      <c r="W474" s="36" t="str">
        <f>IF(NOTA[[#This Row],[HARGA/ CTN]]="",NOTA[[#This Row],[JUMLAH_H]],NOTA[[#This Row],[HARGA/ CTN]]*NOTA[[#This Row],[C]])</f>
        <v/>
      </c>
      <c r="X474" s="36" t="str">
        <f>IF(NOTA[[#This Row],[JUMLAH]]="","",NOTA[[#This Row],[JUMLAH]]*NOTA[[#This Row],[DISC 1]])</f>
        <v/>
      </c>
      <c r="Y474" s="36" t="str">
        <f>IF(NOTA[[#This Row],[JUMLAH]]="","",(NOTA[[#This Row],[JUMLAH]]-NOTA[[#This Row],[DISC 1-]])*NOTA[[#This Row],[DISC 2]])</f>
        <v/>
      </c>
      <c r="Z474" s="36" t="str">
        <f>IF(NOTA[[#This Row],[JUMLAH]]="","",NOTA[[#This Row],[DISC 1-]]+NOTA[[#This Row],[DISC 2-]])</f>
        <v/>
      </c>
      <c r="AA474" s="36" t="str">
        <f>IF(NOTA[[#This Row],[JUMLAH]]="","",NOTA[[#This Row],[JUMLAH]]-NOTA[[#This Row],[DISC]])</f>
        <v/>
      </c>
      <c r="AB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36" t="str">
        <f>IF(OR(NOTA[[#This Row],[QTY]]="",NOTA[[#This Row],[HARGA SATUAN]]="",),"",NOTA[[#This Row],[QTY]]*NOTA[[#This Row],[HARGA SATUAN]])</f>
        <v/>
      </c>
      <c r="AF474" s="34" t="str">
        <f ca="1">IF(NOTA[ID_H]="","",INDEX(NOTA[TANGGAL],MATCH(,INDIRECT(ADDRESS(ROW(NOTA[TANGGAL]),COLUMN(NOTA[TANGGAL]))&amp;":"&amp;ADDRESS(ROW(),COLUMN(NOTA[TANGGAL]))),-1)))</f>
        <v/>
      </c>
      <c r="AG474" s="3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3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105</v>
      </c>
      <c r="E475" s="32">
        <v>44862</v>
      </c>
      <c r="F475" s="31" t="s">
        <v>25</v>
      </c>
      <c r="G475" s="31" t="s">
        <v>24</v>
      </c>
      <c r="H475" s="33" t="s">
        <v>607</v>
      </c>
      <c r="I475" s="31"/>
      <c r="J475" s="34">
        <v>44858</v>
      </c>
      <c r="K475" s="31"/>
      <c r="L475" s="31" t="s">
        <v>326</v>
      </c>
      <c r="M475" s="35">
        <v>20</v>
      </c>
      <c r="N475" s="31">
        <v>14400</v>
      </c>
      <c r="O475" s="31" t="s">
        <v>88</v>
      </c>
      <c r="P475" s="30">
        <v>4800</v>
      </c>
      <c r="Q475" s="103"/>
      <c r="R475" s="35" t="s">
        <v>327</v>
      </c>
      <c r="S475" s="37">
        <v>0.125</v>
      </c>
      <c r="T475" s="37">
        <v>0.05</v>
      </c>
      <c r="U475" s="36"/>
      <c r="V475" s="87"/>
      <c r="W475" s="36">
        <f>IF(NOTA[[#This Row],[HARGA/ CTN]]="",NOTA[[#This Row],[JUMLAH_H]],NOTA[[#This Row],[HARGA/ CTN]]*NOTA[[#This Row],[C]])</f>
        <v>69120000</v>
      </c>
      <c r="X475" s="36">
        <f>IF(NOTA[[#This Row],[JUMLAH]]="","",NOTA[[#This Row],[JUMLAH]]*NOTA[[#This Row],[DISC 1]])</f>
        <v>8640000</v>
      </c>
      <c r="Y475" s="36">
        <f>IF(NOTA[[#This Row],[JUMLAH]]="","",(NOTA[[#This Row],[JUMLAH]]-NOTA[[#This Row],[DISC 1-]])*NOTA[[#This Row],[DISC 2]])</f>
        <v>3024000</v>
      </c>
      <c r="Z475" s="36">
        <f>IF(NOTA[[#This Row],[JUMLAH]]="","",NOTA[[#This Row],[DISC 1-]]+NOTA[[#This Row],[DISC 2-]])</f>
        <v>11664000</v>
      </c>
      <c r="AA475" s="36">
        <f>IF(NOTA[[#This Row],[JUMLAH]]="","",NOTA[[#This Row],[JUMLAH]]-NOTA[[#This Row],[DISC]])</f>
        <v>57456000</v>
      </c>
      <c r="AB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5" s="36">
        <f>IF(OR(NOTA[[#This Row],[QTY]]="",NOTA[[#This Row],[HARGA SATUAN]]="",),"",NOTA[[#This Row],[QTY]]*NOTA[[#This Row],[HARGA SATUAN]])</f>
        <v>69120000</v>
      </c>
      <c r="AF475" s="34">
        <f ca="1">IF(NOTA[ID_H]="","",INDEX(NOTA[TANGGAL],MATCH(,INDIRECT(ADDRESS(ROW(NOTA[TANGGAL]),COLUMN(NOTA[TANGGAL]))&amp;":"&amp;ADDRESS(ROW(),COLUMN(NOTA[TANGGAL]))),-1)))</f>
        <v>44862</v>
      </c>
      <c r="AG475" s="30" t="str">
        <f ca="1">IF(NOTA[[#This Row],[NAMA BARANG]]="","",INDEX(NOTA[SUPPLIER],MATCH(,INDIRECT(ADDRESS(ROW(NOTA[ID]),COLUMN(NOTA[ID]))&amp;":"&amp;ADDRESS(ROW(),COLUMN(NOTA[ID]))),-1)))</f>
        <v>ATALI MAKMUR</v>
      </c>
      <c r="AH475" s="16">
        <f ca="1">IF(NOTA[[#This Row],[ID]]="","",COUNTIF(NOTA[ID_H],NOTA[[#This Row],[ID_H]]))</f>
        <v>2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>
        <f ca="1">IF(NOTA[[#This Row],[NAMA BARANG]]="","",INDEX(NOTA[ID],MATCH(,INDIRECT(ADDRESS(ROW(NOTA[ID]),COLUMN(NOTA[ID]))&amp;":"&amp;ADDRESS(ROW(),COLUMN(NOTA[ID]))),-1)))</f>
        <v>105</v>
      </c>
      <c r="E476" s="32"/>
      <c r="F476" s="31"/>
      <c r="G476" s="31"/>
      <c r="H476" s="33"/>
      <c r="I476" s="31"/>
      <c r="J476" s="34"/>
      <c r="K476" s="31"/>
      <c r="L476" s="31" t="s">
        <v>475</v>
      </c>
      <c r="M476" s="35">
        <v>5</v>
      </c>
      <c r="N476" s="31">
        <v>150</v>
      </c>
      <c r="O476" s="31" t="s">
        <v>220</v>
      </c>
      <c r="P476" s="30">
        <v>104400</v>
      </c>
      <c r="Q476" s="103"/>
      <c r="R476" s="35" t="s">
        <v>476</v>
      </c>
      <c r="S476" s="37">
        <v>0.125</v>
      </c>
      <c r="T476" s="37">
        <v>0.05</v>
      </c>
      <c r="U476" s="36"/>
      <c r="V476" s="87"/>
      <c r="W476" s="36">
        <f>IF(NOTA[[#This Row],[HARGA/ CTN]]="",NOTA[[#This Row],[JUMLAH_H]],NOTA[[#This Row],[HARGA/ CTN]]*NOTA[[#This Row],[C]])</f>
        <v>15660000</v>
      </c>
      <c r="X476" s="36">
        <f>IF(NOTA[[#This Row],[JUMLAH]]="","",NOTA[[#This Row],[JUMLAH]]*NOTA[[#This Row],[DISC 1]])</f>
        <v>1957500</v>
      </c>
      <c r="Y476" s="36">
        <f>IF(NOTA[[#This Row],[JUMLAH]]="","",(NOTA[[#This Row],[JUMLAH]]-NOTA[[#This Row],[DISC 1-]])*NOTA[[#This Row],[DISC 2]])</f>
        <v>685125</v>
      </c>
      <c r="Z476" s="36">
        <f>IF(NOTA[[#This Row],[JUMLAH]]="","",NOTA[[#This Row],[DISC 1-]]+NOTA[[#This Row],[DISC 2-]])</f>
        <v>2642625</v>
      </c>
      <c r="AA476" s="36">
        <f>IF(NOTA[[#This Row],[JUMLAH]]="","",NOTA[[#This Row],[JUMLAH]]-NOTA[[#This Row],[DISC]])</f>
        <v>13017375</v>
      </c>
      <c r="AB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7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76" s="36">
        <f>IF(OR(NOTA[[#This Row],[QTY]]="",NOTA[[#This Row],[HARGA SATUAN]]="",),"",NOTA[[#This Row],[QTY]]*NOTA[[#This Row],[HARGA SATUAN]])</f>
        <v>15660000</v>
      </c>
      <c r="AF476" s="34">
        <f ca="1">IF(NOTA[ID_H]="","",INDEX(NOTA[TANGGAL],MATCH(,INDIRECT(ADDRESS(ROW(NOTA[TANGGAL]),COLUMN(NOTA[TANGGAL]))&amp;":"&amp;ADDRESS(ROW(),COLUMN(NOTA[TANGGAL]))),-1)))</f>
        <v>44862</v>
      </c>
      <c r="AG476" s="30" t="str">
        <f ca="1">IF(NOTA[[#This Row],[NAMA BARANG]]="","",INDEX(NOTA[SUPPLIER],MATCH(,INDIRECT(ADDRESS(ROW(NOTA[ID]),COLUMN(NOTA[ID]))&amp;":"&amp;ADDRESS(ROW(),COLUMN(NOTA[ID]))),-1)))</f>
        <v>ATALI MAKMUR</v>
      </c>
      <c r="AH476" s="16" t="str">
        <f ca="1">IF(NOTA[[#This Row],[ID]]="","",COUNTIF(NOTA[ID_H],NOTA[[#This Row],[ID_H]]))</f>
        <v/>
      </c>
      <c r="AI476" s="16">
        <f ca="1">IF(NOTA[[#This Row],[TGL.NOTA]]="",IF(NOTA[[#This Row],[SUPPLIER_H]]="","",AI475),MONTH(NOTA[[#This Row],[TGL.NOTA]]))</f>
        <v>10</v>
      </c>
      <c r="AJ476" s="16"/>
    </row>
    <row r="477" spans="1:36" ht="20.100000000000001" customHeight="1" x14ac:dyDescent="0.25">
      <c r="A4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9" t="str">
        <f>IF(NOTA[[#This Row],[ID_P]]="","",MATCH(NOTA[[#This Row],[ID_P]],[1]!B_MSK[N_ID],0))</f>
        <v/>
      </c>
      <c r="D477" s="39" t="str">
        <f ca="1">IF(NOTA[[#This Row],[NAMA BARANG]]="","",INDEX(NOTA[ID],MATCH(,INDIRECT(ADDRESS(ROW(NOTA[ID]),COLUMN(NOTA[ID]))&amp;":"&amp;ADDRESS(ROW(),COLUMN(NOTA[ID]))),-1)))</f>
        <v/>
      </c>
      <c r="E477" s="32"/>
      <c r="F477" s="31"/>
      <c r="G477" s="31"/>
      <c r="H477" s="33"/>
      <c r="I477" s="31"/>
      <c r="J477" s="34"/>
      <c r="K477" s="31"/>
      <c r="L477" s="31"/>
      <c r="M477" s="35"/>
      <c r="N477" s="31"/>
      <c r="O477" s="31"/>
      <c r="P477" s="30"/>
      <c r="Q477" s="103"/>
      <c r="R477" s="35"/>
      <c r="S477" s="37"/>
      <c r="T477" s="37"/>
      <c r="U477" s="36"/>
      <c r="V477" s="87"/>
      <c r="W477" s="36" t="str">
        <f>IF(NOTA[[#This Row],[HARGA/ CTN]]="",NOTA[[#This Row],[JUMLAH_H]],NOTA[[#This Row],[HARGA/ CTN]]*NOTA[[#This Row],[C]])</f>
        <v/>
      </c>
      <c r="X477" s="36" t="str">
        <f>IF(NOTA[[#This Row],[JUMLAH]]="","",NOTA[[#This Row],[JUMLAH]]*NOTA[[#This Row],[DISC 1]])</f>
        <v/>
      </c>
      <c r="Y477" s="36" t="str">
        <f>IF(NOTA[[#This Row],[JUMLAH]]="","",(NOTA[[#This Row],[JUMLAH]]-NOTA[[#This Row],[DISC 1-]])*NOTA[[#This Row],[DISC 2]])</f>
        <v/>
      </c>
      <c r="Z477" s="36" t="str">
        <f>IF(NOTA[[#This Row],[JUMLAH]]="","",NOTA[[#This Row],[DISC 1-]]+NOTA[[#This Row],[DISC 2-]])</f>
        <v/>
      </c>
      <c r="AA477" s="36" t="str">
        <f>IF(NOTA[[#This Row],[JUMLAH]]="","",NOTA[[#This Row],[JUMLAH]]-NOTA[[#This Row],[DISC]])</f>
        <v/>
      </c>
      <c r="AB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36" t="str">
        <f>IF(OR(NOTA[[#This Row],[QTY]]="",NOTA[[#This Row],[HARGA SATUAN]]="",),"",NOTA[[#This Row],[QTY]]*NOTA[[#This Row],[HARGA SATUAN]])</f>
        <v/>
      </c>
      <c r="AF477" s="34" t="str">
        <f ca="1">IF(NOTA[ID_H]="","",INDEX(NOTA[TANGGAL],MATCH(,INDIRECT(ADDRESS(ROW(NOTA[TANGGAL]),COLUMN(NOTA[TANGGAL]))&amp;":"&amp;ADDRESS(ROW(),COLUMN(NOTA[TANGGAL]))),-1)))</f>
        <v/>
      </c>
      <c r="AG477" s="30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 t="str">
        <f ca="1">IF(NOTA[[#This Row],[TGL.NOTA]]="",IF(NOTA[[#This Row],[SUPPLIER_H]]="","",AI476),MONTH(NOTA[[#This Row],[TGL.NOTA]]))</f>
        <v/>
      </c>
      <c r="AJ477" s="16"/>
    </row>
    <row r="478" spans="1:36" ht="20.100000000000001" customHeight="1" x14ac:dyDescent="0.25">
      <c r="A478" s="3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78" s="39" t="e">
        <f ca="1">IF(NOTA[[#This Row],[ID_P]]="","",MATCH(NOTA[[#This Row],[ID_P]],[1]!B_MSK[N_ID],0))</f>
        <v>#REF!</v>
      </c>
      <c r="D478" s="39">
        <f ca="1">IF(NOTA[[#This Row],[NAMA BARANG]]="","",INDEX(NOTA[ID],MATCH(,INDIRECT(ADDRESS(ROW(NOTA[ID]),COLUMN(NOTA[ID]))&amp;":"&amp;ADDRESS(ROW(),COLUMN(NOTA[ID]))),-1)))</f>
        <v>106</v>
      </c>
      <c r="E478" s="32"/>
      <c r="F478" s="31" t="s">
        <v>25</v>
      </c>
      <c r="G478" s="31" t="s">
        <v>24</v>
      </c>
      <c r="H478" s="33" t="s">
        <v>608</v>
      </c>
      <c r="I478" s="31"/>
      <c r="J478" s="34">
        <v>44858</v>
      </c>
      <c r="K478" s="31"/>
      <c r="L478" s="31" t="s">
        <v>209</v>
      </c>
      <c r="M478" s="35">
        <v>1</v>
      </c>
      <c r="N478" s="31">
        <v>36</v>
      </c>
      <c r="O478" s="31" t="s">
        <v>210</v>
      </c>
      <c r="P478" s="30">
        <v>41400</v>
      </c>
      <c r="Q478" s="103"/>
      <c r="R478" s="35" t="s">
        <v>211</v>
      </c>
      <c r="S478" s="37">
        <v>0.125</v>
      </c>
      <c r="T478" s="37">
        <v>0.05</v>
      </c>
      <c r="U478" s="36"/>
      <c r="V478" s="87"/>
      <c r="W478" s="36">
        <f>IF(NOTA[[#This Row],[HARGA/ CTN]]="",NOTA[[#This Row],[JUMLAH_H]],NOTA[[#This Row],[HARGA/ CTN]]*NOTA[[#This Row],[C]])</f>
        <v>1490400</v>
      </c>
      <c r="X478" s="36">
        <f>IF(NOTA[[#This Row],[JUMLAH]]="","",NOTA[[#This Row],[JUMLAH]]*NOTA[[#This Row],[DISC 1]])</f>
        <v>186300</v>
      </c>
      <c r="Y478" s="36">
        <f>IF(NOTA[[#This Row],[JUMLAH]]="","",(NOTA[[#This Row],[JUMLAH]]-NOTA[[#This Row],[DISC 1-]])*NOTA[[#This Row],[DISC 2]])</f>
        <v>65205</v>
      </c>
      <c r="Z478" s="36">
        <f>IF(NOTA[[#This Row],[JUMLAH]]="","",NOTA[[#This Row],[DISC 1-]]+NOTA[[#This Row],[DISC 2-]])</f>
        <v>251505</v>
      </c>
      <c r="AA478" s="36">
        <f>IF(NOTA[[#This Row],[JUMLAH]]="","",NOTA[[#This Row],[JUMLAH]]-NOTA[[#This Row],[DISC]])</f>
        <v>1238895</v>
      </c>
      <c r="AB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78" s="36">
        <f>IF(OR(NOTA[[#This Row],[QTY]]="",NOTA[[#This Row],[HARGA SATUAN]]="",),"",NOTA[[#This Row],[QTY]]*NOTA[[#This Row],[HARGA SATUAN]])</f>
        <v>1490400</v>
      </c>
      <c r="AF478" s="34">
        <f ca="1">IF(NOTA[ID_H]="","",INDEX(NOTA[TANGGAL],MATCH(,INDIRECT(ADDRESS(ROW(NOTA[TANGGAL]),COLUMN(NOTA[TANGGAL]))&amp;":"&amp;ADDRESS(ROW(),COLUMN(NOTA[TANGGAL]))),-1)))</f>
        <v>44862</v>
      </c>
      <c r="AG478" s="30" t="str">
        <f ca="1">IF(NOTA[[#This Row],[NAMA BARANG]]="","",INDEX(NOTA[SUPPLIER],MATCH(,INDIRECT(ADDRESS(ROW(NOTA[ID]),COLUMN(NOTA[ID]))&amp;":"&amp;ADDRESS(ROW(),COLUMN(NOTA[ID]))),-1)))</f>
        <v>ATALI MAKMUR</v>
      </c>
      <c r="AH478" s="16">
        <f ca="1">IF(NOTA[[#This Row],[ID]]="","",COUNTIF(NOTA[ID_H],NOTA[[#This Row],[ID_H]]))</f>
        <v>5</v>
      </c>
      <c r="AI478" s="16">
        <f>IF(NOTA[[#This Row],[TGL.NOTA]]="",IF(NOTA[[#This Row],[SUPPLIER_H]]="","",AI477),MONTH(NOTA[[#This Row],[TGL.NOTA]]))</f>
        <v>10</v>
      </c>
      <c r="AJ478" s="16"/>
    </row>
    <row r="479" spans="1:36" ht="20.100000000000001" customHeight="1" x14ac:dyDescent="0.25">
      <c r="A4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106</v>
      </c>
      <c r="E479" s="32"/>
      <c r="F479" s="31"/>
      <c r="G479" s="31"/>
      <c r="H479" s="33"/>
      <c r="I479" s="31"/>
      <c r="J479" s="34"/>
      <c r="K479" s="31"/>
      <c r="L479" s="31" t="s">
        <v>449</v>
      </c>
      <c r="M479" s="35">
        <v>1</v>
      </c>
      <c r="N479" s="31">
        <v>72</v>
      </c>
      <c r="O479" s="31" t="s">
        <v>204</v>
      </c>
      <c r="P479" s="30">
        <v>21200</v>
      </c>
      <c r="Q479" s="103"/>
      <c r="R479" s="35" t="s">
        <v>450</v>
      </c>
      <c r="S479" s="37">
        <v>0.125</v>
      </c>
      <c r="T479" s="37">
        <v>0.05</v>
      </c>
      <c r="U479" s="36"/>
      <c r="V479" s="87"/>
      <c r="W479" s="36">
        <f>IF(NOTA[[#This Row],[HARGA/ CTN]]="",NOTA[[#This Row],[JUMLAH_H]],NOTA[[#This Row],[HARGA/ CTN]]*NOTA[[#This Row],[C]])</f>
        <v>1526400</v>
      </c>
      <c r="X479" s="36">
        <f>IF(NOTA[[#This Row],[JUMLAH]]="","",NOTA[[#This Row],[JUMLAH]]*NOTA[[#This Row],[DISC 1]])</f>
        <v>190800</v>
      </c>
      <c r="Y479" s="36">
        <f>IF(NOTA[[#This Row],[JUMLAH]]="","",(NOTA[[#This Row],[JUMLAH]]-NOTA[[#This Row],[DISC 1-]])*NOTA[[#This Row],[DISC 2]])</f>
        <v>66780</v>
      </c>
      <c r="Z479" s="36">
        <f>IF(NOTA[[#This Row],[JUMLAH]]="","",NOTA[[#This Row],[DISC 1-]]+NOTA[[#This Row],[DISC 2-]])</f>
        <v>257580</v>
      </c>
      <c r="AA479" s="36">
        <f>IF(NOTA[[#This Row],[JUMLAH]]="","",NOTA[[#This Row],[JUMLAH]]-NOTA[[#This Row],[DISC]])</f>
        <v>1268820</v>
      </c>
      <c r="AB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9" s="36">
        <f>IF(OR(NOTA[[#This Row],[QTY]]="",NOTA[[#This Row],[HARGA SATUAN]]="",),"",NOTA[[#This Row],[QTY]]*NOTA[[#This Row],[HARGA SATUAN]])</f>
        <v>1526400</v>
      </c>
      <c r="AF479" s="34">
        <f ca="1">IF(NOTA[ID_H]="","",INDEX(NOTA[TANGGAL],MATCH(,INDIRECT(ADDRESS(ROW(NOTA[TANGGAL]),COLUMN(NOTA[TANGGAL]))&amp;":"&amp;ADDRESS(ROW(),COLUMN(NOTA[TANGGAL]))),-1)))</f>
        <v>44862</v>
      </c>
      <c r="AG479" s="30" t="str">
        <f ca="1">IF(NOTA[[#This Row],[NAMA BARANG]]="","",INDEX(NOTA[SUPPLIER],MATCH(,INDIRECT(ADDRESS(ROW(NOTA[ID]),COLUMN(NOTA[ID]))&amp;":"&amp;ADDRESS(ROW(),COLUMN(NOTA[ID]))),-1)))</f>
        <v>ATALI MAKMUR</v>
      </c>
      <c r="AH479" s="16" t="str">
        <f ca="1">IF(NOTA[[#This Row],[ID]]="","",COUNTIF(NOTA[ID_H],NOTA[[#This Row],[ID_H]]))</f>
        <v/>
      </c>
      <c r="AI479" s="16">
        <f ca="1"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106</v>
      </c>
      <c r="E480" s="32"/>
      <c r="F480" s="31"/>
      <c r="G480" s="31"/>
      <c r="H480" s="33"/>
      <c r="I480" s="31"/>
      <c r="J480" s="34"/>
      <c r="K480" s="31"/>
      <c r="L480" s="31" t="s">
        <v>429</v>
      </c>
      <c r="M480" s="35">
        <v>2</v>
      </c>
      <c r="N480" s="31">
        <v>576</v>
      </c>
      <c r="O480" s="31" t="s">
        <v>88</v>
      </c>
      <c r="P480" s="30">
        <v>2150</v>
      </c>
      <c r="Q480" s="103"/>
      <c r="R480" s="35" t="s">
        <v>430</v>
      </c>
      <c r="S480" s="37">
        <v>0.125</v>
      </c>
      <c r="T480" s="37">
        <v>0.05</v>
      </c>
      <c r="U480" s="36"/>
      <c r="V480" s="87"/>
      <c r="W480" s="36">
        <f>IF(NOTA[[#This Row],[HARGA/ CTN]]="",NOTA[[#This Row],[JUMLAH_H]],NOTA[[#This Row],[HARGA/ CTN]]*NOTA[[#This Row],[C]])</f>
        <v>1238400</v>
      </c>
      <c r="X480" s="36">
        <f>IF(NOTA[[#This Row],[JUMLAH]]="","",NOTA[[#This Row],[JUMLAH]]*NOTA[[#This Row],[DISC 1]])</f>
        <v>154800</v>
      </c>
      <c r="Y480" s="36">
        <f>IF(NOTA[[#This Row],[JUMLAH]]="","",(NOTA[[#This Row],[JUMLAH]]-NOTA[[#This Row],[DISC 1-]])*NOTA[[#This Row],[DISC 2]])</f>
        <v>54180</v>
      </c>
      <c r="Z480" s="36">
        <f>IF(NOTA[[#This Row],[JUMLAH]]="","",NOTA[[#This Row],[DISC 1-]]+NOTA[[#This Row],[DISC 2-]])</f>
        <v>208980</v>
      </c>
      <c r="AA480" s="36">
        <f>IF(NOTA[[#This Row],[JUMLAH]]="","",NOTA[[#This Row],[JUMLAH]]-NOTA[[#This Row],[DISC]])</f>
        <v>1029420</v>
      </c>
      <c r="AB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80" s="36">
        <f>IF(OR(NOTA[[#This Row],[QTY]]="",NOTA[[#This Row],[HARGA SATUAN]]="",),"",NOTA[[#This Row],[QTY]]*NOTA[[#This Row],[HARGA SATUAN]])</f>
        <v>1238400</v>
      </c>
      <c r="AF480" s="34">
        <f ca="1">IF(NOTA[ID_H]="","",INDEX(NOTA[TANGGAL],MATCH(,INDIRECT(ADDRESS(ROW(NOTA[TANGGAL]),COLUMN(NOTA[TANGGAL]))&amp;":"&amp;ADDRESS(ROW(),COLUMN(NOTA[TANGGAL]))),-1)))</f>
        <v>44862</v>
      </c>
      <c r="AG480" s="30" t="str">
        <f ca="1">IF(NOTA[[#This Row],[NAMA BARANG]]="","",INDEX(NOTA[SUPPLIER],MATCH(,INDIRECT(ADDRESS(ROW(NOTA[ID]),COLUMN(NOTA[ID]))&amp;":"&amp;ADDRESS(ROW(),COLUMN(NOTA[ID]))),-1)))</f>
        <v>ATALI MAKMUR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106</v>
      </c>
      <c r="E481" s="32"/>
      <c r="F481" s="31"/>
      <c r="G481" s="31"/>
      <c r="H481" s="33"/>
      <c r="I481" s="31"/>
      <c r="J481" s="34"/>
      <c r="K481" s="31"/>
      <c r="L481" s="31" t="s">
        <v>599</v>
      </c>
      <c r="M481" s="35">
        <v>1</v>
      </c>
      <c r="N481" s="31">
        <v>288</v>
      </c>
      <c r="O481" s="31" t="s">
        <v>88</v>
      </c>
      <c r="P481" s="30">
        <v>4800</v>
      </c>
      <c r="Q481" s="103"/>
      <c r="R481" s="35" t="s">
        <v>292</v>
      </c>
      <c r="S481" s="37">
        <v>0.125</v>
      </c>
      <c r="T481" s="37">
        <v>0.05</v>
      </c>
      <c r="U481" s="36"/>
      <c r="V481" s="87"/>
      <c r="W481" s="36">
        <f>IF(NOTA[[#This Row],[HARGA/ CTN]]="",NOTA[[#This Row],[JUMLAH_H]],NOTA[[#This Row],[HARGA/ CTN]]*NOTA[[#This Row],[C]])</f>
        <v>1382400</v>
      </c>
      <c r="X481" s="36">
        <f>IF(NOTA[[#This Row],[JUMLAH]]="","",NOTA[[#This Row],[JUMLAH]]*NOTA[[#This Row],[DISC 1]])</f>
        <v>172800</v>
      </c>
      <c r="Y481" s="36">
        <f>IF(NOTA[[#This Row],[JUMLAH]]="","",(NOTA[[#This Row],[JUMLAH]]-NOTA[[#This Row],[DISC 1-]])*NOTA[[#This Row],[DISC 2]])</f>
        <v>60480</v>
      </c>
      <c r="Z481" s="36">
        <f>IF(NOTA[[#This Row],[JUMLAH]]="","",NOTA[[#This Row],[DISC 1-]]+NOTA[[#This Row],[DISC 2-]])</f>
        <v>233280</v>
      </c>
      <c r="AA481" s="36">
        <f>IF(NOTA[[#This Row],[JUMLAH]]="","",NOTA[[#This Row],[JUMLAH]]-NOTA[[#This Row],[DISC]])</f>
        <v>1149120</v>
      </c>
      <c r="AB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1" s="36">
        <f>IF(OR(NOTA[[#This Row],[QTY]]="",NOTA[[#This Row],[HARGA SATUAN]]="",),"",NOTA[[#This Row],[QTY]]*NOTA[[#This Row],[HARGA SATUAN]])</f>
        <v>1382400</v>
      </c>
      <c r="AF481" s="34">
        <f ca="1">IF(NOTA[ID_H]="","",INDEX(NOTA[TANGGAL],MATCH(,INDIRECT(ADDRESS(ROW(NOTA[TANGGAL]),COLUMN(NOTA[TANGGAL]))&amp;":"&amp;ADDRESS(ROW(),COLUMN(NOTA[TANGGAL]))),-1)))</f>
        <v>44862</v>
      </c>
      <c r="AG481" s="30" t="str">
        <f ca="1">IF(NOTA[[#This Row],[NAMA BARANG]]="","",INDEX(NOTA[SUPPLIER],MATCH(,INDIRECT(ADDRESS(ROW(NOTA[ID]),COLUMN(NOTA[ID]))&amp;":"&amp;ADDRESS(ROW(),COLUMN(NOTA[ID]))),-1)))</f>
        <v>ATALI MAKMUR</v>
      </c>
      <c r="AH481" s="16" t="str">
        <f ca="1">IF(NOTA[[#This Row],[ID]]="","",COUNTIF(NOTA[ID_H],NOTA[[#This Row],[ID_H]]))</f>
        <v/>
      </c>
      <c r="AI481" s="16">
        <f ca="1">IF(NOTA[[#This Row],[TGL.NOTA]]="",IF(NOTA[[#This Row],[SUPPLIER_H]]="","",AI480),MONTH(NOTA[[#This Row],[TGL.NOTA]]))</f>
        <v>10</v>
      </c>
      <c r="AJ481" s="16"/>
    </row>
    <row r="482" spans="1:36" ht="20.100000000000001" customHeight="1" x14ac:dyDescent="0.25">
      <c r="A4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106</v>
      </c>
      <c r="E482" s="32"/>
      <c r="F482" s="31"/>
      <c r="G482" s="31"/>
      <c r="H482" s="33"/>
      <c r="I482" s="31"/>
      <c r="J482" s="34"/>
      <c r="K482" s="31"/>
      <c r="L482" s="31" t="s">
        <v>609</v>
      </c>
      <c r="M482" s="35">
        <v>1</v>
      </c>
      <c r="N482" s="31">
        <v>288</v>
      </c>
      <c r="O482" s="31" t="s">
        <v>88</v>
      </c>
      <c r="P482" s="30">
        <v>4800</v>
      </c>
      <c r="Q482" s="103"/>
      <c r="R482" s="35" t="s">
        <v>292</v>
      </c>
      <c r="S482" s="37">
        <v>0.125</v>
      </c>
      <c r="T482" s="37">
        <v>0.05</v>
      </c>
      <c r="U482" s="36"/>
      <c r="V482" s="87"/>
      <c r="W482" s="36">
        <f>IF(NOTA[[#This Row],[HARGA/ CTN]]="",NOTA[[#This Row],[JUMLAH_H]],NOTA[[#This Row],[HARGA/ CTN]]*NOTA[[#This Row],[C]])</f>
        <v>1382400</v>
      </c>
      <c r="X482" s="36">
        <f>IF(NOTA[[#This Row],[JUMLAH]]="","",NOTA[[#This Row],[JUMLAH]]*NOTA[[#This Row],[DISC 1]])</f>
        <v>172800</v>
      </c>
      <c r="Y482" s="36">
        <f>IF(NOTA[[#This Row],[JUMLAH]]="","",(NOTA[[#This Row],[JUMLAH]]-NOTA[[#This Row],[DISC 1-]])*NOTA[[#This Row],[DISC 2]])</f>
        <v>60480</v>
      </c>
      <c r="Z482" s="36">
        <f>IF(NOTA[[#This Row],[JUMLAH]]="","",NOTA[[#This Row],[DISC 1-]]+NOTA[[#This Row],[DISC 2-]])</f>
        <v>233280</v>
      </c>
      <c r="AA482" s="36">
        <f>IF(NOTA[[#This Row],[JUMLAH]]="","",NOTA[[#This Row],[JUMLAH]]-NOTA[[#This Row],[DISC]])</f>
        <v>1149120</v>
      </c>
      <c r="AB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8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2" s="36">
        <f>IF(OR(NOTA[[#This Row],[QTY]]="",NOTA[[#This Row],[HARGA SATUAN]]="",),"",NOTA[[#This Row],[QTY]]*NOTA[[#This Row],[HARGA SATUAN]])</f>
        <v>1382400</v>
      </c>
      <c r="AF482" s="34">
        <f ca="1">IF(NOTA[ID_H]="","",INDEX(NOTA[TANGGAL],MATCH(,INDIRECT(ADDRESS(ROW(NOTA[TANGGAL]),COLUMN(NOTA[TANGGAL]))&amp;":"&amp;ADDRESS(ROW(),COLUMN(NOTA[TANGGAL]))),-1)))</f>
        <v>44862</v>
      </c>
      <c r="AG482" s="30" t="str">
        <f ca="1">IF(NOTA[[#This Row],[NAMA BARANG]]="","",INDEX(NOTA[SUPPLIER],MATCH(,INDIRECT(ADDRESS(ROW(NOTA[ID]),COLUMN(NOTA[ID]))&amp;":"&amp;ADDRESS(ROW(),COLUMN(NOTA[ID]))),-1)))</f>
        <v>ATALI MAKMUR</v>
      </c>
      <c r="AH482" s="16" t="str">
        <f ca="1">IF(NOTA[[#This Row],[ID]]="","",COUNTIF(NOTA[ID_H],NOTA[[#This Row],[ID_H]]))</f>
        <v/>
      </c>
      <c r="AI482" s="16">
        <f ca="1"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 t="str">
        <f ca="1">IF(NOTA[[#This Row],[NAMA BARANG]]="","",INDEX(NOTA[ID],MATCH(,INDIRECT(ADDRESS(ROW(NOTA[ID]),COLUMN(NOTA[ID]))&amp;":"&amp;ADDRESS(ROW(),COLUMN(NOTA[ID]))),-1)))</f>
        <v/>
      </c>
      <c r="E483" s="32"/>
      <c r="F483" s="31"/>
      <c r="G483" s="31"/>
      <c r="H483" s="33"/>
      <c r="I483" s="31"/>
      <c r="J483" s="34"/>
      <c r="K483" s="31"/>
      <c r="L483" s="31"/>
      <c r="M483" s="35"/>
      <c r="N483" s="31"/>
      <c r="O483" s="31"/>
      <c r="P483" s="30"/>
      <c r="Q483" s="103"/>
      <c r="R483" s="35"/>
      <c r="S483" s="37"/>
      <c r="T483" s="37"/>
      <c r="U483" s="36"/>
      <c r="V483" s="87"/>
      <c r="W483" s="36" t="str">
        <f>IF(NOTA[[#This Row],[HARGA/ CTN]]="",NOTA[[#This Row],[JUMLAH_H]],NOTA[[#This Row],[HARGA/ CTN]]*NOTA[[#This Row],[C]])</f>
        <v/>
      </c>
      <c r="X483" s="36" t="str">
        <f>IF(NOTA[[#This Row],[JUMLAH]]="","",NOTA[[#This Row],[JUMLAH]]*NOTA[[#This Row],[DISC 1]])</f>
        <v/>
      </c>
      <c r="Y483" s="36" t="str">
        <f>IF(NOTA[[#This Row],[JUMLAH]]="","",(NOTA[[#This Row],[JUMLAH]]-NOTA[[#This Row],[DISC 1-]])*NOTA[[#This Row],[DISC 2]])</f>
        <v/>
      </c>
      <c r="Z483" s="36" t="str">
        <f>IF(NOTA[[#This Row],[JUMLAH]]="","",NOTA[[#This Row],[DISC 1-]]+NOTA[[#This Row],[DISC 2-]])</f>
        <v/>
      </c>
      <c r="AA483" s="36" t="str">
        <f>IF(NOTA[[#This Row],[JUMLAH]]="","",NOTA[[#This Row],[JUMLAH]]-NOTA[[#This Row],[DISC]])</f>
        <v/>
      </c>
      <c r="AB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36" t="str">
        <f>IF(OR(NOTA[[#This Row],[QTY]]="",NOTA[[#This Row],[HARGA SATUAN]]="",),"",NOTA[[#This Row],[QTY]]*NOTA[[#This Row],[HARGA SATUAN]])</f>
        <v/>
      </c>
      <c r="AF483" s="34" t="str">
        <f ca="1">IF(NOTA[ID_H]="","",INDEX(NOTA[TANGGAL],MATCH(,INDIRECT(ADDRESS(ROW(NOTA[TANGGAL]),COLUMN(NOTA[TANGGAL]))&amp;":"&amp;ADDRESS(ROW(),COLUMN(NOTA[TANGGAL]))),-1)))</f>
        <v/>
      </c>
      <c r="AG483" s="3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3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84" s="39" t="e">
        <f ca="1">IF(NOTA[[#This Row],[ID_P]]="","",MATCH(NOTA[[#This Row],[ID_P]],[1]!B_MSK[N_ID],0))</f>
        <v>#REF!</v>
      </c>
      <c r="D484" s="39">
        <f ca="1">IF(NOTA[[#This Row],[NAMA BARANG]]="","",INDEX(NOTA[ID],MATCH(,INDIRECT(ADDRESS(ROW(NOTA[ID]),COLUMN(NOTA[ID]))&amp;":"&amp;ADDRESS(ROW(),COLUMN(NOTA[ID]))),-1)))</f>
        <v>107</v>
      </c>
      <c r="E484" s="32"/>
      <c r="F484" s="31" t="s">
        <v>23</v>
      </c>
      <c r="G484" s="31" t="s">
        <v>24</v>
      </c>
      <c r="H484" s="33" t="s">
        <v>610</v>
      </c>
      <c r="I484" s="31"/>
      <c r="J484" s="34">
        <v>44858</v>
      </c>
      <c r="K484" s="31"/>
      <c r="L484" s="31" t="s">
        <v>99</v>
      </c>
      <c r="M484" s="35">
        <v>3</v>
      </c>
      <c r="N484" s="31"/>
      <c r="O484" s="31"/>
      <c r="P484" s="30"/>
      <c r="Q484" s="103">
        <v>3758400</v>
      </c>
      <c r="R484" s="35" t="s">
        <v>102</v>
      </c>
      <c r="S484" s="37">
        <v>0.17</v>
      </c>
      <c r="T484" s="37"/>
      <c r="U484" s="36"/>
      <c r="V484" s="87"/>
      <c r="W484" s="36">
        <f>IF(NOTA[[#This Row],[HARGA/ CTN]]="",NOTA[[#This Row],[JUMLAH_H]],NOTA[[#This Row],[HARGA/ CTN]]*NOTA[[#This Row],[C]])</f>
        <v>11275200</v>
      </c>
      <c r="X484" s="36">
        <f>IF(NOTA[[#This Row],[JUMLAH]]="","",NOTA[[#This Row],[JUMLAH]]*NOTA[[#This Row],[DISC 1]])</f>
        <v>1916784.0000000002</v>
      </c>
      <c r="Y484" s="36">
        <f>IF(NOTA[[#This Row],[JUMLAH]]="","",(NOTA[[#This Row],[JUMLAH]]-NOTA[[#This Row],[DISC 1-]])*NOTA[[#This Row],[DISC 2]])</f>
        <v>0</v>
      </c>
      <c r="Z484" s="36">
        <f>IF(NOTA[[#This Row],[JUMLAH]]="","",NOTA[[#This Row],[DISC 1-]]+NOTA[[#This Row],[DISC 2-]])</f>
        <v>1916784.0000000002</v>
      </c>
      <c r="AA484" s="36">
        <f>IF(NOTA[[#This Row],[JUMLAH]]="","",NOTA[[#This Row],[JUMLAH]]-NOTA[[#This Row],[DISC]])</f>
        <v>9358416</v>
      </c>
      <c r="AB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84" s="36" t="str">
        <f>IF(OR(NOTA[[#This Row],[QTY]]="",NOTA[[#This Row],[HARGA SATUAN]]="",),"",NOTA[[#This Row],[QTY]]*NOTA[[#This Row],[HARGA SATUAN]])</f>
        <v/>
      </c>
      <c r="AF484" s="34">
        <f ca="1">IF(NOTA[ID_H]="","",INDEX(NOTA[TANGGAL],MATCH(,INDIRECT(ADDRESS(ROW(NOTA[TANGGAL]),COLUMN(NOTA[TANGGAL]))&amp;":"&amp;ADDRESS(ROW(),COLUMN(NOTA[TANGGAL]))),-1)))</f>
        <v>44862</v>
      </c>
      <c r="AG484" s="30" t="str">
        <f ca="1">IF(NOTA[[#This Row],[NAMA BARANG]]="","",INDEX(NOTA[SUPPLIER],MATCH(,INDIRECT(ADDRESS(ROW(NOTA[ID]),COLUMN(NOTA[ID]))&amp;":"&amp;ADDRESS(ROW(),COLUMN(NOTA[ID]))),-1)))</f>
        <v>KENKO SINAR INDONESIA</v>
      </c>
      <c r="AH484" s="16">
        <f ca="1">IF(NOTA[[#This Row],[ID]]="","",COUNTIF(NOTA[ID_H],NOTA[[#This Row],[ID_H]]))</f>
        <v>4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9" t="str">
        <f>IF(NOTA[[#This Row],[ID_P]]="","",MATCH(NOTA[[#This Row],[ID_P]],[1]!B_MSK[N_ID],0))</f>
        <v/>
      </c>
      <c r="D485" s="39">
        <f ca="1">IF(NOTA[[#This Row],[NAMA BARANG]]="","",INDEX(NOTA[ID],MATCH(,INDIRECT(ADDRESS(ROW(NOTA[ID]),COLUMN(NOTA[ID]))&amp;":"&amp;ADDRESS(ROW(),COLUMN(NOTA[ID]))),-1)))</f>
        <v>107</v>
      </c>
      <c r="E485" s="32"/>
      <c r="F485" s="31"/>
      <c r="G485" s="31"/>
      <c r="H485" s="33"/>
      <c r="I485" s="31"/>
      <c r="J485" s="34"/>
      <c r="K485" s="31"/>
      <c r="L485" s="31" t="s">
        <v>667</v>
      </c>
      <c r="M485" s="35">
        <v>2</v>
      </c>
      <c r="N485" s="31"/>
      <c r="O485" s="31"/>
      <c r="P485" s="30"/>
      <c r="Q485" s="103">
        <v>1584000</v>
      </c>
      <c r="R485" s="35" t="s">
        <v>166</v>
      </c>
      <c r="S485" s="37">
        <v>0.17</v>
      </c>
      <c r="T485" s="37"/>
      <c r="U485" s="36"/>
      <c r="V485" s="87"/>
      <c r="W485" s="36">
        <f>IF(NOTA[[#This Row],[HARGA/ CTN]]="",NOTA[[#This Row],[JUMLAH_H]],NOTA[[#This Row],[HARGA/ CTN]]*NOTA[[#This Row],[C]])</f>
        <v>3168000</v>
      </c>
      <c r="X485" s="36">
        <f>IF(NOTA[[#This Row],[JUMLAH]]="","",NOTA[[#This Row],[JUMLAH]]*NOTA[[#This Row],[DISC 1]])</f>
        <v>538560</v>
      </c>
      <c r="Y485" s="36">
        <f>IF(NOTA[[#This Row],[JUMLAH]]="","",(NOTA[[#This Row],[JUMLAH]]-NOTA[[#This Row],[DISC 1-]])*NOTA[[#This Row],[DISC 2]])</f>
        <v>0</v>
      </c>
      <c r="Z485" s="36">
        <f>IF(NOTA[[#This Row],[JUMLAH]]="","",NOTA[[#This Row],[DISC 1-]]+NOTA[[#This Row],[DISC 2-]])</f>
        <v>538560</v>
      </c>
      <c r="AA485" s="36">
        <f>IF(NOTA[[#This Row],[JUMLAH]]="","",NOTA[[#This Row],[JUMLAH]]-NOTA[[#This Row],[DISC]])</f>
        <v>2629440</v>
      </c>
      <c r="AB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85" s="36" t="str">
        <f>IF(OR(NOTA[[#This Row],[QTY]]="",NOTA[[#This Row],[HARGA SATUAN]]="",),"",NOTA[[#This Row],[QTY]]*NOTA[[#This Row],[HARGA SATUAN]])</f>
        <v/>
      </c>
      <c r="AF485" s="34">
        <f ca="1">IF(NOTA[ID_H]="","",INDEX(NOTA[TANGGAL],MATCH(,INDIRECT(ADDRESS(ROW(NOTA[TANGGAL]),COLUMN(NOTA[TANGGAL]))&amp;":"&amp;ADDRESS(ROW(),COLUMN(NOTA[TANGGAL]))),-1)))</f>
        <v>44862</v>
      </c>
      <c r="AG485" s="30" t="str">
        <f ca="1">IF(NOTA[[#This Row],[NAMA BARANG]]="","",INDEX(NOTA[SUPPLIER],MATCH(,INDIRECT(ADDRESS(ROW(NOTA[ID]),COLUMN(NOTA[ID]))&amp;":"&amp;ADDRESS(ROW(),COLUMN(NOTA[ID]))),-1)))</f>
        <v>KENKO SINAR INDONESIA</v>
      </c>
      <c r="AH485" s="16" t="str">
        <f ca="1">IF(NOTA[[#This Row],[ID]]="","",COUNTIF(NOTA[ID_H],NOTA[[#This Row],[ID_H]]))</f>
        <v/>
      </c>
      <c r="AI485" s="16">
        <f ca="1">IF(NOTA[[#This Row],[TGL.NOTA]]="",IF(NOTA[[#This Row],[SUPPLIER_H]]="","",AI484),MONTH(NOTA[[#This Row],[TGL.NOTA]]))</f>
        <v>10</v>
      </c>
      <c r="AJ485" s="16"/>
    </row>
    <row r="486" spans="1:36" ht="20.100000000000001" customHeight="1" x14ac:dyDescent="0.25">
      <c r="A4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107</v>
      </c>
      <c r="E486" s="32"/>
      <c r="F486" s="31"/>
      <c r="G486" s="31"/>
      <c r="H486" s="33"/>
      <c r="I486" s="31"/>
      <c r="J486" s="34"/>
      <c r="K486" s="31"/>
      <c r="L486" s="31" t="s">
        <v>514</v>
      </c>
      <c r="M486" s="35">
        <v>3</v>
      </c>
      <c r="N486" s="31"/>
      <c r="O486" s="31"/>
      <c r="P486" s="30"/>
      <c r="Q486" s="103">
        <v>850000</v>
      </c>
      <c r="R486" s="35" t="s">
        <v>618</v>
      </c>
      <c r="S486" s="37">
        <v>0.17</v>
      </c>
      <c r="T486" s="37"/>
      <c r="U486" s="36"/>
      <c r="V486" s="87"/>
      <c r="W486" s="36">
        <f>IF(NOTA[[#This Row],[HARGA/ CTN]]="",NOTA[[#This Row],[JUMLAH_H]],NOTA[[#This Row],[HARGA/ CTN]]*NOTA[[#This Row],[C]])</f>
        <v>2550000</v>
      </c>
      <c r="X486" s="36">
        <f>IF(NOTA[[#This Row],[JUMLAH]]="","",NOTA[[#This Row],[JUMLAH]]*NOTA[[#This Row],[DISC 1]])</f>
        <v>433500.00000000006</v>
      </c>
      <c r="Y486" s="36">
        <f>IF(NOTA[[#This Row],[JUMLAH]]="","",(NOTA[[#This Row],[JUMLAH]]-NOTA[[#This Row],[DISC 1-]])*NOTA[[#This Row],[DISC 2]])</f>
        <v>0</v>
      </c>
      <c r="Z486" s="36">
        <f>IF(NOTA[[#This Row],[JUMLAH]]="","",NOTA[[#This Row],[DISC 1-]]+NOTA[[#This Row],[DISC 2-]])</f>
        <v>433500.00000000006</v>
      </c>
      <c r="AA486" s="36">
        <f>IF(NOTA[[#This Row],[JUMLAH]]="","",NOTA[[#This Row],[JUMLAH]]-NOTA[[#This Row],[DISC]])</f>
        <v>2116500</v>
      </c>
      <c r="AB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86" s="36" t="str">
        <f>IF(OR(NOTA[[#This Row],[QTY]]="",NOTA[[#This Row],[HARGA SATUAN]]="",),"",NOTA[[#This Row],[QTY]]*NOTA[[#This Row],[HARGA SATUAN]])</f>
        <v/>
      </c>
      <c r="AF486" s="34">
        <f ca="1">IF(NOTA[ID_H]="","",INDEX(NOTA[TANGGAL],MATCH(,INDIRECT(ADDRESS(ROW(NOTA[TANGGAL]),COLUMN(NOTA[TANGGAL]))&amp;":"&amp;ADDRESS(ROW(),COLUMN(NOTA[TANGGAL]))),-1)))</f>
        <v>44862</v>
      </c>
      <c r="AG486" s="30" t="str">
        <f ca="1">IF(NOTA[[#This Row],[NAMA BARANG]]="","",INDEX(NOTA[SUPPLIER],MATCH(,INDIRECT(ADDRESS(ROW(NOTA[ID]),COLUMN(NOTA[ID]))&amp;":"&amp;ADDRESS(ROW(),COLUMN(NOTA[ID]))),-1)))</f>
        <v>KENKO SINAR INDONESIA</v>
      </c>
      <c r="AH486" s="16" t="str">
        <f ca="1">IF(NOTA[[#This Row],[ID]]="","",COUNTIF(NOTA[ID_H],NOTA[[#This Row],[ID_H]]))</f>
        <v/>
      </c>
      <c r="AI486" s="16">
        <f ca="1"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107</v>
      </c>
      <c r="E487" s="32"/>
      <c r="F487" s="31"/>
      <c r="G487" s="31"/>
      <c r="H487" s="33"/>
      <c r="I487" s="31"/>
      <c r="J487" s="34"/>
      <c r="K487" s="31"/>
      <c r="L487" s="31" t="s">
        <v>528</v>
      </c>
      <c r="M487" s="35">
        <v>1</v>
      </c>
      <c r="N487" s="31"/>
      <c r="O487" s="31"/>
      <c r="P487" s="30"/>
      <c r="Q487" s="103">
        <v>2052000</v>
      </c>
      <c r="R487" s="35" t="s">
        <v>94</v>
      </c>
      <c r="S487" s="37">
        <v>0.17</v>
      </c>
      <c r="T487" s="37"/>
      <c r="U487" s="36"/>
      <c r="V487" s="87"/>
      <c r="W487" s="36">
        <f>IF(NOTA[[#This Row],[HARGA/ CTN]]="",NOTA[[#This Row],[JUMLAH_H]],NOTA[[#This Row],[HARGA/ CTN]]*NOTA[[#This Row],[C]])</f>
        <v>2052000</v>
      </c>
      <c r="X487" s="36">
        <f>IF(NOTA[[#This Row],[JUMLAH]]="","",NOTA[[#This Row],[JUMLAH]]*NOTA[[#This Row],[DISC 1]])</f>
        <v>348840</v>
      </c>
      <c r="Y487" s="36">
        <f>IF(NOTA[[#This Row],[JUMLAH]]="","",(NOTA[[#This Row],[JUMLAH]]-NOTA[[#This Row],[DISC 1-]])*NOTA[[#This Row],[DISC 2]])</f>
        <v>0</v>
      </c>
      <c r="Z487" s="36">
        <f>IF(NOTA[[#This Row],[JUMLAH]]="","",NOTA[[#This Row],[DISC 1-]]+NOTA[[#This Row],[DISC 2-]])</f>
        <v>348840</v>
      </c>
      <c r="AA487" s="36">
        <f>IF(NOTA[[#This Row],[JUMLAH]]="","",NOTA[[#This Row],[JUMLAH]]-NOTA[[#This Row],[DISC]])</f>
        <v>1703160</v>
      </c>
      <c r="AB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8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87" s="36" t="str">
        <f>IF(OR(NOTA[[#This Row],[QTY]]="",NOTA[[#This Row],[HARGA SATUAN]]="",),"",NOTA[[#This Row],[QTY]]*NOTA[[#This Row],[HARGA SATUAN]])</f>
        <v/>
      </c>
      <c r="AF487" s="34">
        <f ca="1">IF(NOTA[ID_H]="","",INDEX(NOTA[TANGGAL],MATCH(,INDIRECT(ADDRESS(ROW(NOTA[TANGGAL]),COLUMN(NOTA[TANGGAL]))&amp;":"&amp;ADDRESS(ROW(),COLUMN(NOTA[TANGGAL]))),-1)))</f>
        <v>44862</v>
      </c>
      <c r="AG487" s="30" t="str">
        <f ca="1">IF(NOTA[[#This Row],[NAMA BARANG]]="","",INDEX(NOTA[SUPPLIER],MATCH(,INDIRECT(ADDRESS(ROW(NOTA[ID]),COLUMN(NOTA[ID]))&amp;":"&amp;ADDRESS(ROW(),COLUMN(NOTA[ID]))),-1)))</f>
        <v>KENKO SINAR INDONESIA</v>
      </c>
      <c r="AH487" s="16" t="str">
        <f ca="1">IF(NOTA[[#This Row],[ID]]="","",COUNTIF(NOTA[ID_H],NOTA[[#This Row],[ID_H]]))</f>
        <v/>
      </c>
      <c r="AI487" s="16">
        <f ca="1">IF(NOTA[[#This Row],[TGL.NOTA]]="",IF(NOTA[[#This Row],[SUPPLIER_H]]="","",AI486),MONTH(NOTA[[#This Row],[TGL.NOTA]]))</f>
        <v>10</v>
      </c>
      <c r="AJ487" s="16"/>
    </row>
    <row r="488" spans="1:36" ht="20.100000000000001" customHeight="1" x14ac:dyDescent="0.25">
      <c r="A4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 t="str">
        <f ca="1">IF(NOTA[[#This Row],[NAMA BARANG]]="","",INDEX(NOTA[ID],MATCH(,INDIRECT(ADDRESS(ROW(NOTA[ID]),COLUMN(NOTA[ID]))&amp;":"&amp;ADDRESS(ROW(),COLUMN(NOTA[ID]))),-1)))</f>
        <v/>
      </c>
      <c r="E488" s="32"/>
      <c r="F488" s="31"/>
      <c r="G488" s="31"/>
      <c r="H488" s="33"/>
      <c r="I488" s="31"/>
      <c r="J488" s="34"/>
      <c r="K488" s="31"/>
      <c r="L488" s="31"/>
      <c r="M488" s="35"/>
      <c r="N488" s="31"/>
      <c r="O488" s="31"/>
      <c r="P488" s="30"/>
      <c r="Q488" s="103"/>
      <c r="R488" s="35"/>
      <c r="S488" s="37"/>
      <c r="T488" s="37"/>
      <c r="U488" s="36"/>
      <c r="V488" s="87"/>
      <c r="W488" s="36" t="str">
        <f>IF(NOTA[[#This Row],[HARGA/ CTN]]="",NOTA[[#This Row],[JUMLAH_H]],NOTA[[#This Row],[HARGA/ CTN]]*NOTA[[#This Row],[C]])</f>
        <v/>
      </c>
      <c r="X488" s="36" t="str">
        <f>IF(NOTA[[#This Row],[JUMLAH]]="","",NOTA[[#This Row],[JUMLAH]]*NOTA[[#This Row],[DISC 1]])</f>
        <v/>
      </c>
      <c r="Y488" s="36" t="str">
        <f>IF(NOTA[[#This Row],[JUMLAH]]="","",(NOTA[[#This Row],[JUMLAH]]-NOTA[[#This Row],[DISC 1-]])*NOTA[[#This Row],[DISC 2]])</f>
        <v/>
      </c>
      <c r="Z488" s="36" t="str">
        <f>IF(NOTA[[#This Row],[JUMLAH]]="","",NOTA[[#This Row],[DISC 1-]]+NOTA[[#This Row],[DISC 2-]])</f>
        <v/>
      </c>
      <c r="AA488" s="36" t="str">
        <f>IF(NOTA[[#This Row],[JUMLAH]]="","",NOTA[[#This Row],[JUMLAH]]-NOTA[[#This Row],[DISC]])</f>
        <v/>
      </c>
      <c r="AB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36" t="str">
        <f>IF(OR(NOTA[[#This Row],[QTY]]="",NOTA[[#This Row],[HARGA SATUAN]]="",),"",NOTA[[#This Row],[QTY]]*NOTA[[#This Row],[HARGA SATUAN]])</f>
        <v/>
      </c>
      <c r="AF488" s="34" t="str">
        <f ca="1">IF(NOTA[ID_H]="","",INDEX(NOTA[TANGGAL],MATCH(,INDIRECT(ADDRESS(ROW(NOTA[TANGGAL]),COLUMN(NOTA[TANGGAL]))&amp;":"&amp;ADDRESS(ROW(),COLUMN(NOTA[TANGGAL]))),-1)))</f>
        <v/>
      </c>
      <c r="AG488" s="30" t="str">
        <f ca="1">IF(NOTA[[#This Row],[NAMA BARANG]]="","",INDEX(NOTA[SUPPLIER],MATCH(,INDIRECT(ADDRESS(ROW(NOTA[ID]),COLUMN(NOTA[ID]))&amp;":"&amp;ADDRESS(ROW(),COLUMN(NOTA[ID]))),-1)))</f>
        <v/>
      </c>
      <c r="AH488" s="16" t="str">
        <f ca="1">IF(NOTA[[#This Row],[ID]]="","",COUNTIF(NOTA[ID_H],NOTA[[#This Row],[ID_H]]))</f>
        <v/>
      </c>
      <c r="AI488" s="16" t="str">
        <f ca="1">IF(NOTA[[#This Row],[TGL.NOTA]]="",IF(NOTA[[#This Row],[SUPPLIER_H]]="","",AI487),MONTH(NOTA[[#This Row],[TGL.NOTA]]))</f>
        <v/>
      </c>
      <c r="AJ488" s="16"/>
    </row>
    <row r="489" spans="1:36" ht="20.100000000000001" customHeight="1" x14ac:dyDescent="0.25">
      <c r="A48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89" s="41" t="e">
        <f ca="1">IF(NOTA[[#This Row],[ID_P]]="","",MATCH(NOTA[[#This Row],[ID_P]],[1]!B_MSK[N_ID],0))</f>
        <v>#REF!</v>
      </c>
      <c r="D489" s="41">
        <f ca="1">IF(NOTA[[#This Row],[NAMA BARANG]]="","",INDEX(NOTA[ID],MATCH(,INDIRECT(ADDRESS(ROW(NOTA[ID]),COLUMN(NOTA[ID]))&amp;":"&amp;ADDRESS(ROW(),COLUMN(NOTA[ID]))),-1)))</f>
        <v>108</v>
      </c>
      <c r="E489" s="51"/>
      <c r="F489" s="31" t="s">
        <v>23</v>
      </c>
      <c r="G489" s="31" t="s">
        <v>24</v>
      </c>
      <c r="H489" s="33" t="s">
        <v>611</v>
      </c>
      <c r="I489" s="31" t="s">
        <v>617</v>
      </c>
      <c r="J489" s="44">
        <v>44859</v>
      </c>
      <c r="K489" s="42"/>
      <c r="L489" s="31" t="s">
        <v>84</v>
      </c>
      <c r="M489" s="45">
        <v>3</v>
      </c>
      <c r="N489" s="42"/>
      <c r="O489" s="42"/>
      <c r="P489" s="40"/>
      <c r="Q489" s="160">
        <v>5616000</v>
      </c>
      <c r="R489" s="35" t="s">
        <v>102</v>
      </c>
      <c r="S489" s="47">
        <v>0.17</v>
      </c>
      <c r="T489" s="47"/>
      <c r="U489" s="46"/>
      <c r="V489" s="87"/>
      <c r="W489" s="46">
        <f>IF(NOTA[[#This Row],[HARGA/ CTN]]="",NOTA[[#This Row],[JUMLAH_H]],NOTA[[#This Row],[HARGA/ CTN]]*NOTA[[#This Row],[C]])</f>
        <v>16848000</v>
      </c>
      <c r="X489" s="46">
        <f>IF(NOTA[[#This Row],[JUMLAH]]="","",NOTA[[#This Row],[JUMLAH]]*NOTA[[#This Row],[DISC 1]])</f>
        <v>2864160</v>
      </c>
      <c r="Y489" s="46">
        <f>IF(NOTA[[#This Row],[JUMLAH]]="","",(NOTA[[#This Row],[JUMLAH]]-NOTA[[#This Row],[DISC 1-]])*NOTA[[#This Row],[DISC 2]])</f>
        <v>0</v>
      </c>
      <c r="Z489" s="46">
        <f>IF(NOTA[[#This Row],[JUMLAH]]="","",NOTA[[#This Row],[DISC 1-]]+NOTA[[#This Row],[DISC 2-]])</f>
        <v>2864160</v>
      </c>
      <c r="AA489" s="46">
        <f>IF(NOTA[[#This Row],[JUMLAH]]="","",NOTA[[#This Row],[JUMLAH]]-NOTA[[#This Row],[DISC]])</f>
        <v>13983840</v>
      </c>
      <c r="AB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KENKO SINAR INDONESIA</v>
      </c>
      <c r="AH489" s="16">
        <f ca="1">IF(NOTA[[#This Row],[ID]]="","",COUNTIF(NOTA[ID_H],NOTA[[#This Row],[ID_H]]))</f>
        <v>8</v>
      </c>
      <c r="AI489" s="16">
        <f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>
        <f ca="1">IF(NOTA[[#This Row],[NAMA BARANG]]="","",INDEX(NOTA[ID],MATCH(,INDIRECT(ADDRESS(ROW(NOTA[ID]),COLUMN(NOTA[ID]))&amp;":"&amp;ADDRESS(ROW(),COLUMN(NOTA[ID]))),-1)))</f>
        <v>108</v>
      </c>
      <c r="E490" s="32"/>
      <c r="F490" s="31"/>
      <c r="G490" s="31"/>
      <c r="H490" s="33"/>
      <c r="I490" s="42"/>
      <c r="J490" s="44"/>
      <c r="K490" s="42"/>
      <c r="L490" s="31" t="s">
        <v>528</v>
      </c>
      <c r="M490" s="45">
        <v>2</v>
      </c>
      <c r="N490" s="42"/>
      <c r="O490" s="31"/>
      <c r="P490" s="40"/>
      <c r="Q490" s="160">
        <v>2052000</v>
      </c>
      <c r="R490" s="35" t="s">
        <v>94</v>
      </c>
      <c r="S490" s="47">
        <v>0.17</v>
      </c>
      <c r="T490" s="47"/>
      <c r="U490" s="46"/>
      <c r="V490" s="87"/>
      <c r="W490" s="46">
        <f>IF(NOTA[[#This Row],[HARGA/ CTN]]="",NOTA[[#This Row],[JUMLAH_H]],NOTA[[#This Row],[HARGA/ CTN]]*NOTA[[#This Row],[C]])</f>
        <v>4104000</v>
      </c>
      <c r="X490" s="46">
        <f>IF(NOTA[[#This Row],[JUMLAH]]="","",NOTA[[#This Row],[JUMLAH]]*NOTA[[#This Row],[DISC 1]])</f>
        <v>697680</v>
      </c>
      <c r="Y490" s="46">
        <f>IF(NOTA[[#This Row],[JUMLAH]]="","",(NOTA[[#This Row],[JUMLAH]]-NOTA[[#This Row],[DISC 1-]])*NOTA[[#This Row],[DISC 2]])</f>
        <v>0</v>
      </c>
      <c r="Z490" s="46">
        <f>IF(NOTA[[#This Row],[JUMLAH]]="","",NOTA[[#This Row],[DISC 1-]]+NOTA[[#This Row],[DISC 2-]])</f>
        <v>697680</v>
      </c>
      <c r="AA490" s="46">
        <f>IF(NOTA[[#This Row],[JUMLAH]]="","",NOTA[[#This Row],[JUMLAH]]-NOTA[[#This Row],[DISC]])</f>
        <v>3406320</v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90" s="46" t="str">
        <f>IF(OR(NOTA[[#This Row],[QTY]]="",NOTA[[#This Row],[HARGA SATUAN]]="",),"",NOTA[[#This Row],[QTY]]*NOTA[[#This Row],[HARGA SATUAN]])</f>
        <v/>
      </c>
      <c r="AF490" s="44">
        <f ca="1">IF(NOTA[ID_H]="","",INDEX(NOTA[TANGGAL],MATCH(,INDIRECT(ADDRESS(ROW(NOTA[TANGGAL]),COLUMN(NOTA[TANGGAL]))&amp;":"&amp;ADDRESS(ROW(),COLUMN(NOTA[TANGGAL]))),-1)))</f>
        <v>44862</v>
      </c>
      <c r="AG490" s="40" t="str">
        <f ca="1">IF(NOTA[[#This Row],[NAMA BARANG]]="","",INDEX(NOTA[SUPPLIER],MATCH(,INDIRECT(ADDRESS(ROW(NOTA[ID]),COLUMN(NOTA[ID]))&amp;":"&amp;ADDRESS(ROW(),COLUMN(NOTA[ID]))),-1)))</f>
        <v>KENKO SINAR INDONESIA</v>
      </c>
      <c r="AH490" s="16" t="str">
        <f ca="1">IF(NOTA[[#This Row],[ID]]="","",COUNTIF(NOTA[ID_H],NOTA[[#This Row],[ID_H]]))</f>
        <v/>
      </c>
      <c r="AI490" s="16">
        <f ca="1">IF(NOTA[[#This Row],[TGL.NOTA]]="",IF(NOTA[[#This Row],[SUPPLIER_H]]="","",AI489),MONTH(NOTA[[#This Row],[TGL.NOTA]]))</f>
        <v>10</v>
      </c>
      <c r="AJ490" s="16"/>
    </row>
    <row r="491" spans="1:36" ht="20.100000000000001" customHeight="1" x14ac:dyDescent="0.25">
      <c r="A49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1" t="str">
        <f>IF(NOTA[[#This Row],[ID_P]]="","",MATCH(NOTA[[#This Row],[ID_P]],[1]!B_MSK[N_ID],0))</f>
        <v/>
      </c>
      <c r="D491" s="41">
        <f ca="1">IF(NOTA[[#This Row],[NAMA BARANG]]="","",INDEX(NOTA[ID],MATCH(,INDIRECT(ADDRESS(ROW(NOTA[ID]),COLUMN(NOTA[ID]))&amp;":"&amp;ADDRESS(ROW(),COLUMN(NOTA[ID]))),-1)))</f>
        <v>108</v>
      </c>
      <c r="E491" s="51"/>
      <c r="F491" s="42"/>
      <c r="G491" s="42"/>
      <c r="H491" s="43"/>
      <c r="I491" s="42"/>
      <c r="J491" s="44"/>
      <c r="K491" s="42"/>
      <c r="L491" s="31" t="s">
        <v>612</v>
      </c>
      <c r="M491" s="45">
        <v>1</v>
      </c>
      <c r="N491" s="42"/>
      <c r="O491" s="42"/>
      <c r="P491" s="40"/>
      <c r="Q491" s="160">
        <v>5270400</v>
      </c>
      <c r="R491" s="35" t="s">
        <v>102</v>
      </c>
      <c r="S491" s="47">
        <v>0.17</v>
      </c>
      <c r="T491" s="47"/>
      <c r="U491" s="46"/>
      <c r="V491" s="87"/>
      <c r="W491" s="46">
        <f>IF(NOTA[[#This Row],[HARGA/ CTN]]="",NOTA[[#This Row],[JUMLAH_H]],NOTA[[#This Row],[HARGA/ CTN]]*NOTA[[#This Row],[C]])</f>
        <v>5270400</v>
      </c>
      <c r="X491" s="46">
        <f>IF(NOTA[[#This Row],[JUMLAH]]="","",NOTA[[#This Row],[JUMLAH]]*NOTA[[#This Row],[DISC 1]])</f>
        <v>895968.00000000012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895968.00000000012</v>
      </c>
      <c r="AA491" s="46">
        <f>IF(NOTA[[#This Row],[JUMLAH]]="","",NOTA[[#This Row],[JUMLAH]]-NOTA[[#This Row],[DISC]])</f>
        <v>4374432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91" s="46" t="str">
        <f>IF(OR(NOTA[[#This Row],[QTY]]="",NOTA[[#This Row],[HARGA SATUAN]]="",),"",NOTA[[#This Row],[QTY]]*NOTA[[#This Row],[HARGA SATUAN]])</f>
        <v/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KENKO SINAR INDONESIA</v>
      </c>
      <c r="AH491" s="16" t="str">
        <f ca="1">IF(NOTA[[#This Row],[ID]]="","",COUNTIF(NOTA[ID_H],NOTA[[#This Row],[ID_H]]))</f>
        <v/>
      </c>
      <c r="AI491" s="16">
        <f ca="1"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108</v>
      </c>
      <c r="E492" s="51"/>
      <c r="F492" s="31"/>
      <c r="G492" s="31"/>
      <c r="H492" s="33"/>
      <c r="I492" s="42"/>
      <c r="J492" s="44"/>
      <c r="K492" s="42"/>
      <c r="L492" s="31" t="s">
        <v>613</v>
      </c>
      <c r="M492" s="45">
        <v>7</v>
      </c>
      <c r="N492" s="42"/>
      <c r="O492" s="31"/>
      <c r="P492" s="40"/>
      <c r="Q492" s="160">
        <v>1566000</v>
      </c>
      <c r="R492" s="35" t="s">
        <v>193</v>
      </c>
      <c r="S492" s="47">
        <v>0.17</v>
      </c>
      <c r="T492" s="47"/>
      <c r="U492" s="46"/>
      <c r="V492" s="87"/>
      <c r="W492" s="46">
        <f>IF(NOTA[[#This Row],[HARGA/ CTN]]="",NOTA[[#This Row],[JUMLAH_H]],NOTA[[#This Row],[HARGA/ CTN]]*NOTA[[#This Row],[C]])</f>
        <v>10962000</v>
      </c>
      <c r="X492" s="46">
        <f>IF(NOTA[[#This Row],[JUMLAH]]="","",NOTA[[#This Row],[JUMLAH]]*NOTA[[#This Row],[DISC 1]])</f>
        <v>1863540.0000000002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1863540.0000000002</v>
      </c>
      <c r="AA492" s="46">
        <f>IF(NOTA[[#This Row],[JUMLAH]]="","",NOTA[[#This Row],[JUMLAH]]-NOTA[[#This Row],[DISC]])</f>
        <v>9098460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92" s="46" t="str">
        <f>IF(OR(NOTA[[#This Row],[QTY]]="",NOTA[[#This Row],[HARGA SATUAN]]="",),"",NOTA[[#This Row],[QTY]]*NOTA[[#This Row],[HARGA SATUAN]])</f>
        <v/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KENKO SINAR INDONESIA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108</v>
      </c>
      <c r="E493" s="51"/>
      <c r="F493" s="42"/>
      <c r="G493" s="42"/>
      <c r="H493" s="43"/>
      <c r="I493" s="42"/>
      <c r="J493" s="44"/>
      <c r="K493" s="42"/>
      <c r="L493" s="31" t="s">
        <v>614</v>
      </c>
      <c r="M493" s="45">
        <v>1</v>
      </c>
      <c r="N493" s="42"/>
      <c r="O493" s="42"/>
      <c r="P493" s="40"/>
      <c r="Q493" s="160">
        <v>1710000</v>
      </c>
      <c r="R493" s="35" t="s">
        <v>193</v>
      </c>
      <c r="S493" s="47">
        <v>0.17</v>
      </c>
      <c r="T493" s="47"/>
      <c r="U493" s="46"/>
      <c r="V493" s="87"/>
      <c r="W493" s="46">
        <f>IF(NOTA[[#This Row],[HARGA/ CTN]]="",NOTA[[#This Row],[JUMLAH_H]],NOTA[[#This Row],[HARGA/ CTN]]*NOTA[[#This Row],[C]])</f>
        <v>1710000</v>
      </c>
      <c r="X493" s="46">
        <f>IF(NOTA[[#This Row],[JUMLAH]]="","",NOTA[[#This Row],[JUMLAH]]*NOTA[[#This Row],[DISC 1]])</f>
        <v>290700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290700</v>
      </c>
      <c r="AA493" s="46">
        <f>IF(NOTA[[#This Row],[JUMLAH]]="","",NOTA[[#This Row],[JUMLAH]]-NOTA[[#This Row],[DISC]])</f>
        <v>1419300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93" s="46" t="str">
        <f>IF(OR(NOTA[[#This Row],[QTY]]="",NOTA[[#This Row],[HARGA SATUAN]]="",),"",NOTA[[#This Row],[QTY]]*NOTA[[#This Row],[HARGA SATUAN]])</f>
        <v/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KENKO SINAR INDONESIA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108</v>
      </c>
      <c r="E494" s="51"/>
      <c r="F494" s="31"/>
      <c r="G494" s="31"/>
      <c r="H494" s="33"/>
      <c r="I494" s="42"/>
      <c r="J494" s="44"/>
      <c r="K494" s="42"/>
      <c r="L494" s="31" t="s">
        <v>95</v>
      </c>
      <c r="M494" s="45">
        <v>4</v>
      </c>
      <c r="N494" s="42"/>
      <c r="O494" s="31"/>
      <c r="P494" s="40"/>
      <c r="Q494" s="160">
        <v>2952000</v>
      </c>
      <c r="R494" s="35" t="s">
        <v>96</v>
      </c>
      <c r="S494" s="47">
        <v>0.17</v>
      </c>
      <c r="T494" s="47"/>
      <c r="U494" s="46"/>
      <c r="V494" s="87"/>
      <c r="W494" s="46">
        <f>IF(NOTA[[#This Row],[HARGA/ CTN]]="",NOTA[[#This Row],[JUMLAH_H]],NOTA[[#This Row],[HARGA/ CTN]]*NOTA[[#This Row],[C]])</f>
        <v>11808000</v>
      </c>
      <c r="X494" s="46">
        <f>IF(NOTA[[#This Row],[JUMLAH]]="","",NOTA[[#This Row],[JUMLAH]]*NOTA[[#This Row],[DISC 1]])</f>
        <v>2007360.0000000002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2007360.0000000002</v>
      </c>
      <c r="AA494" s="46">
        <f>IF(NOTA[[#This Row],[JUMLAH]]="","",NOTA[[#This Row],[JUMLAH]]-NOTA[[#This Row],[DISC]])</f>
        <v>9800640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94" s="46" t="str">
        <f>IF(OR(NOTA[[#This Row],[QTY]]="",NOTA[[#This Row],[HARGA SATUAN]]="",),"",NOTA[[#This Row],[QTY]]*NOTA[[#This Row],[HARGA SATUAN]])</f>
        <v/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KENKO SINAR INDONESIA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108</v>
      </c>
      <c r="E495" s="51"/>
      <c r="F495" s="42"/>
      <c r="G495" s="42"/>
      <c r="H495" s="43"/>
      <c r="I495" s="16" t="s">
        <v>615</v>
      </c>
      <c r="J495" s="44"/>
      <c r="K495" s="42"/>
      <c r="L495" s="31" t="s">
        <v>103</v>
      </c>
      <c r="M495" s="45">
        <v>1</v>
      </c>
      <c r="N495" s="42"/>
      <c r="O495" s="31"/>
      <c r="P495" s="40"/>
      <c r="Q495" s="160">
        <v>3110400</v>
      </c>
      <c r="R495" s="35" t="s">
        <v>102</v>
      </c>
      <c r="S495" s="47">
        <v>0.17</v>
      </c>
      <c r="T495" s="47"/>
      <c r="U495" s="46"/>
      <c r="V495" s="87"/>
      <c r="W495" s="46">
        <f>IF(NOTA[[#This Row],[HARGA/ CTN]]="",NOTA[[#This Row],[JUMLAH_H]],NOTA[[#This Row],[HARGA/ CTN]]*NOTA[[#This Row],[C]])</f>
        <v>3110400</v>
      </c>
      <c r="X495" s="46">
        <f>IF(NOTA[[#This Row],[JUMLAH]]="","",NOTA[[#This Row],[JUMLAH]]*NOTA[[#This Row],[DISC 1]])</f>
        <v>528768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528768</v>
      </c>
      <c r="AA495" s="46">
        <f>IF(NOTA[[#This Row],[JUMLAH]]="","",NOTA[[#This Row],[JUMLAH]]-NOTA[[#This Row],[DISC]])</f>
        <v>2581632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95" s="46" t="str">
        <f>IF(OR(NOTA[[#This Row],[QTY]]="",NOTA[[#This Row],[HARGA SATUAN]]="",),"",NOTA[[#This Row],[QTY]]*NOTA[[#This Row],[HARGA SATUAN]])</f>
        <v/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KENKO SINAR INDONESIA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108</v>
      </c>
      <c r="E496" s="99"/>
      <c r="H496" s="24"/>
      <c r="I496" s="16" t="s">
        <v>616</v>
      </c>
      <c r="J496" s="91"/>
      <c r="K496" s="89"/>
      <c r="L496" s="16" t="s">
        <v>529</v>
      </c>
      <c r="M496" s="92">
        <v>1</v>
      </c>
      <c r="N496" s="89"/>
      <c r="P496" s="93"/>
      <c r="Q496" s="161">
        <v>3758400</v>
      </c>
      <c r="R496" s="98" t="s">
        <v>102</v>
      </c>
      <c r="S496" s="95">
        <v>0.17</v>
      </c>
      <c r="T496" s="96"/>
      <c r="U496" s="97"/>
      <c r="V496" s="88"/>
      <c r="W496" s="46">
        <f>IF(NOTA[[#This Row],[HARGA/ CTN]]="",NOTA[[#This Row],[JUMLAH_H]],NOTA[[#This Row],[HARGA/ CTN]]*NOTA[[#This Row],[C]])</f>
        <v>3758400</v>
      </c>
      <c r="X496" s="46">
        <f>IF(NOTA[[#This Row],[JUMLAH]]="","",NOTA[[#This Row],[JUMLAH]]*NOTA[[#This Row],[DISC 1]])</f>
        <v>638928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638928</v>
      </c>
      <c r="AA496" s="46">
        <f>IF(NOTA[[#This Row],[JUMLAH]]="","",NOTA[[#This Row],[JUMLAH]]-NOTA[[#This Row],[DISC]])</f>
        <v>3119472</v>
      </c>
      <c r="AB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96" s="46" t="str">
        <f>IF(OR(NOTA[[#This Row],[QTY]]="",NOTA[[#This Row],[HARGA SATUAN]]="",),"",NOTA[[#This Row],[QTY]]*NOTA[[#This Row],[HARGA SATUAN]])</f>
        <v/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KENKO SINAR INDONESIA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 t="str">
        <f ca="1">IF(NOTA[[#This Row],[NAMA BARANG]]="","",INDEX(NOTA[ID],MATCH(,INDIRECT(ADDRESS(ROW(NOTA[ID]),COLUMN(NOTA[ID]))&amp;":"&amp;ADDRESS(ROW(),COLUMN(NOTA[ID]))),-1)))</f>
        <v/>
      </c>
      <c r="E497" s="99"/>
      <c r="F497" s="89"/>
      <c r="G497" s="89"/>
      <c r="H497" s="90"/>
      <c r="J497" s="91"/>
      <c r="K497" s="89"/>
      <c r="M497" s="92"/>
      <c r="N497" s="89"/>
      <c r="P497" s="93"/>
      <c r="Q497" s="161"/>
      <c r="R497" s="98"/>
      <c r="S497" s="95"/>
      <c r="T497" s="96"/>
      <c r="U497" s="97"/>
      <c r="V497" s="88"/>
      <c r="W497" s="46" t="str">
        <f>IF(NOTA[[#This Row],[HARGA/ CTN]]="",NOTA[[#This Row],[JUMLAH_H]],NOTA[[#This Row],[HARGA/ CTN]]*NOTA[[#This Row],[C]])</f>
        <v/>
      </c>
      <c r="X497" s="46" t="str">
        <f>IF(NOTA[[#This Row],[JUMLAH]]="","",NOTA[[#This Row],[JUMLAH]]*NOTA[[#This Row],[DISC 1]])</f>
        <v/>
      </c>
      <c r="Y497" s="46" t="str">
        <f>IF(NOTA[[#This Row],[JUMLAH]]="","",(NOTA[[#This Row],[JUMLAH]]-NOTA[[#This Row],[DISC 1-]])*NOTA[[#This Row],[DISC 2]])</f>
        <v/>
      </c>
      <c r="Z497" s="46" t="str">
        <f>IF(NOTA[[#This Row],[JUMLAH]]="","",NOTA[[#This Row],[DISC 1-]]+NOTA[[#This Row],[DISC 2-]])</f>
        <v/>
      </c>
      <c r="AA497" s="46" t="str">
        <f>IF(NOTA[[#This Row],[JUMLAH]]="","",NOTA[[#This Row],[JUMLAH]]-NOTA[[#This Row],[DISC]])</f>
        <v/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46" t="str">
        <f>IF(OR(NOTA[[#This Row],[QTY]]="",NOTA[[#This Row],[HARGA SATUAN]]="",),"",NOTA[[#This Row],[QTY]]*NOTA[[#This Row],[HARGA SATUAN]])</f>
        <v/>
      </c>
      <c r="AF497" s="44" t="str">
        <f ca="1">IF(NOTA[ID_H]="","",INDEX(NOTA[TANGGAL],MATCH(,INDIRECT(ADDRESS(ROW(NOTA[TANGGAL]),COLUMN(NOTA[TANGGAL]))&amp;":"&amp;ADDRESS(ROW(),COLUMN(NOTA[TANGGAL]))),-1)))</f>
        <v/>
      </c>
      <c r="AG497" s="40" t="str">
        <f ca="1">IF(NOTA[[#This Row],[NAMA BARANG]]="","",INDEX(NOTA[SUPPLIER],MATCH(,INDIRECT(ADDRESS(ROW(NOTA[ID]),COLUMN(NOTA[ID]))&amp;":"&amp;ADDRESS(ROW(),COLUMN(NOTA[ID]))),-1)))</f>
        <v/>
      </c>
      <c r="AH497" s="16" t="str">
        <f ca="1">IF(NOTA[[#This Row],[ID]]="","",COUNTIF(NOTA[ID_H],NOTA[[#This Row],[ID_H]]))</f>
        <v/>
      </c>
      <c r="AI497" s="16" t="str">
        <f ca="1">IF(NOTA[[#This Row],[TGL.NOTA]]="",IF(NOTA[[#This Row],[SUPPLIER_H]]="","",AI496),MONTH(NOTA[[#This Row],[TGL.NOTA]]))</f>
        <v/>
      </c>
      <c r="AJ497" s="16"/>
    </row>
    <row r="498" spans="1:36" ht="20.100000000000001" customHeight="1" x14ac:dyDescent="0.25">
      <c r="A498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9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98" s="41" t="e">
        <f ca="1">IF(NOTA[[#This Row],[ID_P]]="","",MATCH(NOTA[[#This Row],[ID_P]],[1]!B_MSK[N_ID],0))</f>
        <v>#REF!</v>
      </c>
      <c r="D498" s="41">
        <f ca="1">IF(NOTA[[#This Row],[NAMA BARANG]]="","",INDEX(NOTA[ID],MATCH(,INDIRECT(ADDRESS(ROW(NOTA[ID]),COLUMN(NOTA[ID]))&amp;":"&amp;ADDRESS(ROW(),COLUMN(NOTA[ID]))),-1)))</f>
        <v>109</v>
      </c>
      <c r="E498" s="99"/>
      <c r="F498" s="16" t="s">
        <v>89</v>
      </c>
      <c r="G498" s="16" t="s">
        <v>87</v>
      </c>
      <c r="H498" s="24" t="s">
        <v>619</v>
      </c>
      <c r="J498" s="91">
        <v>44859</v>
      </c>
      <c r="K498" s="89"/>
      <c r="L498" s="16" t="s">
        <v>620</v>
      </c>
      <c r="M498" s="92">
        <v>5</v>
      </c>
      <c r="N498" s="89">
        <v>480</v>
      </c>
      <c r="O498" s="16" t="s">
        <v>90</v>
      </c>
      <c r="P498" s="93">
        <v>31500</v>
      </c>
      <c r="Q498" s="161"/>
      <c r="R498" s="98" t="s">
        <v>621</v>
      </c>
      <c r="S498" s="95"/>
      <c r="T498" s="96"/>
      <c r="U498" s="97"/>
      <c r="V498" s="88"/>
      <c r="W498" s="46">
        <f>IF(NOTA[[#This Row],[HARGA/ CTN]]="",NOTA[[#This Row],[JUMLAH_H]],NOTA[[#This Row],[HARGA/ CTN]]*NOTA[[#This Row],[C]])</f>
        <v>15120000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15120000</v>
      </c>
      <c r="AB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98" s="46">
        <f>IF(OR(NOTA[[#This Row],[QTY]]="",NOTA[[#This Row],[HARGA SATUAN]]="",),"",NOTA[[#This Row],[QTY]]*NOTA[[#This Row],[HARGA SATUAN]])</f>
        <v>15120000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DB STATIONERY</v>
      </c>
      <c r="AH498" s="16">
        <f ca="1">IF(NOTA[[#This Row],[ID]]="","",COUNTIF(NOTA[ID_H],NOTA[[#This Row],[ID_H]]))</f>
        <v>2</v>
      </c>
      <c r="AI498" s="16">
        <f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>
        <f ca="1">IF(NOTA[[#This Row],[NAMA BARANG]]="","",INDEX(NOTA[ID],MATCH(,INDIRECT(ADDRESS(ROW(NOTA[ID]),COLUMN(NOTA[ID]))&amp;":"&amp;ADDRESS(ROW(),COLUMN(NOTA[ID]))),-1)))</f>
        <v>109</v>
      </c>
      <c r="E499" s="99"/>
      <c r="F499" s="89"/>
      <c r="G499" s="89"/>
      <c r="H499" s="90"/>
      <c r="I499" s="89"/>
      <c r="J499" s="91"/>
      <c r="K499" s="89"/>
      <c r="L499" s="16" t="s">
        <v>672</v>
      </c>
      <c r="M499" s="92">
        <v>1</v>
      </c>
      <c r="N499" s="89">
        <v>96</v>
      </c>
      <c r="O499" s="16" t="s">
        <v>90</v>
      </c>
      <c r="P499" s="93">
        <v>37500</v>
      </c>
      <c r="Q499" s="161"/>
      <c r="R499" s="98" t="s">
        <v>621</v>
      </c>
      <c r="S499" s="95"/>
      <c r="T499" s="96"/>
      <c r="U499" s="97"/>
      <c r="V499" s="88"/>
      <c r="W499" s="46">
        <f>IF(NOTA[[#This Row],[HARGA/ CTN]]="",NOTA[[#This Row],[JUMLAH_H]],NOTA[[#This Row],[HARGA/ CTN]]*NOTA[[#This Row],[C]])</f>
        <v>3600000</v>
      </c>
      <c r="X499" s="46">
        <f>IF(NOTA[[#This Row],[JUMLAH]]="","",NOTA[[#This Row],[JUMLAH]]*NOTA[[#This Row],[DISC 1]])</f>
        <v>0</v>
      </c>
      <c r="Y499" s="46">
        <f>IF(NOTA[[#This Row],[JUMLAH]]="","",(NOTA[[#This Row],[JUMLAH]]-NOTA[[#This Row],[DISC 1-]])*NOTA[[#This Row],[DISC 2]])</f>
        <v>0</v>
      </c>
      <c r="Z499" s="46">
        <f>IF(NOTA[[#This Row],[JUMLAH]]="","",NOTA[[#This Row],[DISC 1-]]+NOTA[[#This Row],[DISC 2-]])</f>
        <v>0</v>
      </c>
      <c r="AA499" s="46">
        <f>IF(NOTA[[#This Row],[JUMLAH]]="","",NOTA[[#This Row],[JUMLAH]]-NOTA[[#This Row],[DISC]])</f>
        <v>3600000</v>
      </c>
      <c r="AB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99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99" s="46">
        <f>IF(OR(NOTA[[#This Row],[QTY]]="",NOTA[[#This Row],[HARGA SATUAN]]="",),"",NOTA[[#This Row],[QTY]]*NOTA[[#This Row],[HARGA SATUAN]])</f>
        <v>3600000</v>
      </c>
      <c r="AF499" s="44">
        <f ca="1">IF(NOTA[ID_H]="","",INDEX(NOTA[TANGGAL],MATCH(,INDIRECT(ADDRESS(ROW(NOTA[TANGGAL]),COLUMN(NOTA[TANGGAL]))&amp;":"&amp;ADDRESS(ROW(),COLUMN(NOTA[TANGGAL]))),-1)))</f>
        <v>44862</v>
      </c>
      <c r="AG499" s="40" t="str">
        <f ca="1">IF(NOTA[[#This Row],[NAMA BARANG]]="","",INDEX(NOTA[SUPPLIER],MATCH(,INDIRECT(ADDRESS(ROW(NOTA[ID]),COLUMN(NOTA[ID]))&amp;":"&amp;ADDRESS(ROW(),COLUMN(NOTA[ID]))),-1)))</f>
        <v>DB STATIONERY</v>
      </c>
      <c r="AH499" s="16" t="str">
        <f ca="1">IF(NOTA[[#This Row],[ID]]="","",COUNTIF(NOTA[ID_H],NOTA[[#This Row],[ID_H]]))</f>
        <v/>
      </c>
      <c r="AI499" s="16">
        <f ca="1">IF(NOTA[[#This Row],[TGL.NOTA]]="",IF(NOTA[[#This Row],[SUPPLIER_H]]="","",AI498),MONTH(NOTA[[#This Row],[TGL.NOTA]]))</f>
        <v>10</v>
      </c>
      <c r="AJ499" s="16"/>
    </row>
    <row r="500" spans="1:36" ht="20.100000000000001" customHeight="1" x14ac:dyDescent="0.25">
      <c r="A50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41" t="str">
        <f>IF(NOTA[[#This Row],[ID_P]]="","",MATCH(NOTA[[#This Row],[ID_P]],[1]!B_MSK[N_ID],0))</f>
        <v/>
      </c>
      <c r="D500" s="41" t="str">
        <f ca="1">IF(NOTA[[#This Row],[NAMA BARANG]]="","",INDEX(NOTA[ID],MATCH(,INDIRECT(ADDRESS(ROW(NOTA[ID]),COLUMN(NOTA[ID]))&amp;":"&amp;ADDRESS(ROW(),COLUMN(NOTA[ID]))),-1)))</f>
        <v/>
      </c>
      <c r="E500" s="99"/>
      <c r="F500" s="89"/>
      <c r="G500" s="89"/>
      <c r="H500" s="90"/>
      <c r="I500" s="89"/>
      <c r="J500" s="91"/>
      <c r="K500" s="89"/>
      <c r="M500" s="92"/>
      <c r="N500" s="89"/>
      <c r="O500" s="89"/>
      <c r="P500" s="93"/>
      <c r="Q500" s="161"/>
      <c r="R500" s="98"/>
      <c r="S500" s="95"/>
      <c r="T500" s="96"/>
      <c r="U500" s="97"/>
      <c r="V500" s="88"/>
      <c r="W500" s="46" t="str">
        <f>IF(NOTA[[#This Row],[HARGA/ CTN]]="",NOTA[[#This Row],[JUMLAH_H]],NOTA[[#This Row],[HARGA/ CTN]]*NOTA[[#This Row],[C]])</f>
        <v/>
      </c>
      <c r="X500" s="46" t="str">
        <f>IF(NOTA[[#This Row],[JUMLAH]]="","",NOTA[[#This Row],[JUMLAH]]*NOTA[[#This Row],[DISC 1]])</f>
        <v/>
      </c>
      <c r="Y500" s="46" t="str">
        <f>IF(NOTA[[#This Row],[JUMLAH]]="","",(NOTA[[#This Row],[JUMLAH]]-NOTA[[#This Row],[DISC 1-]])*NOTA[[#This Row],[DISC 2]])</f>
        <v/>
      </c>
      <c r="Z500" s="46" t="str">
        <f>IF(NOTA[[#This Row],[JUMLAH]]="","",NOTA[[#This Row],[DISC 1-]]+NOTA[[#This Row],[DISC 2-]])</f>
        <v/>
      </c>
      <c r="AA500" s="46" t="str">
        <f>IF(NOTA[[#This Row],[JUMLAH]]="","",NOTA[[#This Row],[JUMLAH]]-NOTA[[#This Row],[DISC]])</f>
        <v/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46" t="str">
        <f>IF(OR(NOTA[[#This Row],[QTY]]="",NOTA[[#This Row],[HARGA SATUAN]]="",),"",NOTA[[#This Row],[QTY]]*NOTA[[#This Row],[HARGA SATUAN]])</f>
        <v/>
      </c>
      <c r="AF500" s="44" t="str">
        <f ca="1">IF(NOTA[ID_H]="","",INDEX(NOTA[TANGGAL],MATCH(,INDIRECT(ADDRESS(ROW(NOTA[TANGGAL]),COLUMN(NOTA[TANGGAL]))&amp;":"&amp;ADDRESS(ROW(),COLUMN(NOTA[TANGGAL]))),-1)))</f>
        <v/>
      </c>
      <c r="AG500" s="40" t="str">
        <f ca="1">IF(NOTA[[#This Row],[NAMA BARANG]]="","",INDEX(NOTA[SUPPLIER],MATCH(,INDIRECT(ADDRESS(ROW(NOTA[ID]),COLUMN(NOTA[ID]))&amp;":"&amp;ADDRESS(ROW(),COLUMN(NOTA[ID]))),-1)))</f>
        <v/>
      </c>
      <c r="AH500" s="16" t="str">
        <f ca="1">IF(NOTA[[#This Row],[ID]]="","",COUNTIF(NOTA[ID_H],NOTA[[#This Row],[ID_H]]))</f>
        <v/>
      </c>
      <c r="AI500" s="16" t="str">
        <f ca="1">IF(NOTA[[#This Row],[TGL.NOTA]]="",IF(NOTA[[#This Row],[SUPPLIER_H]]="","",AI499),MONTH(NOTA[[#This Row],[TGL.NOTA]]))</f>
        <v/>
      </c>
      <c r="AJ500" s="16"/>
    </row>
    <row r="501" spans="1:36" ht="20.100000000000001" customHeight="1" x14ac:dyDescent="0.25">
      <c r="A501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5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501" s="41" t="e">
        <f ca="1">IF(NOTA[[#This Row],[ID_P]]="","",MATCH(NOTA[[#This Row],[ID_P]],[1]!B_MSK[N_ID],0))</f>
        <v>#REF!</v>
      </c>
      <c r="D501" s="41">
        <f ca="1">IF(NOTA[[#This Row],[NAMA BARANG]]="","",INDEX(NOTA[ID],MATCH(,INDIRECT(ADDRESS(ROW(NOTA[ID]),COLUMN(NOTA[ID]))&amp;":"&amp;ADDRESS(ROW(),COLUMN(NOTA[ID]))),-1)))</f>
        <v>110</v>
      </c>
      <c r="E501" s="99"/>
      <c r="F501" s="16" t="s">
        <v>314</v>
      </c>
      <c r="G501" s="16" t="s">
        <v>87</v>
      </c>
      <c r="H501" s="24" t="s">
        <v>622</v>
      </c>
      <c r="I501" s="89"/>
      <c r="J501" s="91">
        <v>44858</v>
      </c>
      <c r="K501" s="89"/>
      <c r="L501" s="16" t="s">
        <v>623</v>
      </c>
      <c r="M501" s="92">
        <v>2</v>
      </c>
      <c r="N501" s="89">
        <v>60</v>
      </c>
      <c r="O501" s="16" t="s">
        <v>90</v>
      </c>
      <c r="P501" s="93">
        <v>61000</v>
      </c>
      <c r="Q501" s="161"/>
      <c r="R501" s="98" t="s">
        <v>624</v>
      </c>
      <c r="S501" s="95"/>
      <c r="T501" s="96"/>
      <c r="U501" s="97"/>
      <c r="V501" s="88"/>
      <c r="W501" s="46">
        <f>IF(NOTA[[#This Row],[HARGA/ CTN]]="",NOTA[[#This Row],[JUMLAH_H]],NOTA[[#This Row],[HARGA/ CTN]]*NOTA[[#This Row],[C]])</f>
        <v>3660000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3660000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501" s="46">
        <f>IF(OR(NOTA[[#This Row],[QTY]]="",NOTA[[#This Row],[HARGA SATUAN]]="",),"",NOTA[[#This Row],[QTY]]*NOTA[[#This Row],[HARGA SATUAN]])</f>
        <v>3660000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GUNINDO</v>
      </c>
      <c r="AH501" s="16">
        <f ca="1">IF(NOTA[[#This Row],[ID]]="","",COUNTIF(NOTA[ID_H],NOTA[[#This Row],[ID_H]]))</f>
        <v>1</v>
      </c>
      <c r="AI501" s="16">
        <f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99"/>
      <c r="F502" s="89"/>
      <c r="G502" s="89"/>
      <c r="H502" s="90"/>
      <c r="I502" s="89"/>
      <c r="J502" s="91"/>
      <c r="K502" s="89"/>
      <c r="M502" s="92"/>
      <c r="N502" s="89"/>
      <c r="O502" s="89"/>
      <c r="P502" s="93"/>
      <c r="Q502" s="161"/>
      <c r="R502" s="98"/>
      <c r="S502" s="95"/>
      <c r="T502" s="96"/>
      <c r="U502" s="97"/>
      <c r="V502" s="88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111</v>
      </c>
      <c r="E503" s="99"/>
      <c r="F503" s="16" t="s">
        <v>250</v>
      </c>
      <c r="G503" s="16" t="s">
        <v>87</v>
      </c>
      <c r="H503" s="24" t="s">
        <v>625</v>
      </c>
      <c r="I503" s="89"/>
      <c r="J503" s="91">
        <v>44859</v>
      </c>
      <c r="L503" s="16" t="s">
        <v>670</v>
      </c>
      <c r="M503" s="92">
        <v>5</v>
      </c>
      <c r="N503" s="89">
        <v>300</v>
      </c>
      <c r="O503" s="16" t="s">
        <v>90</v>
      </c>
      <c r="P503" s="93">
        <v>42000</v>
      </c>
      <c r="Q503" s="161"/>
      <c r="R503" s="98" t="s">
        <v>624</v>
      </c>
      <c r="S503" s="95"/>
      <c r="T503" s="96"/>
      <c r="U503" s="97"/>
      <c r="V503" s="88"/>
      <c r="W503" s="46">
        <f>IF(NOTA[[#This Row],[HARGA/ CTN]]="",NOTA[[#This Row],[JUMLAH_H]],NOTA[[#This Row],[HARGA/ CTN]]*NOTA[[#This Row],[C]])</f>
        <v>12600000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12600000</v>
      </c>
      <c r="AB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03" s="46">
        <f>IF(OR(NOTA[[#This Row],[QTY]]="",NOTA[[#This Row],[HARGA SATUAN]]="",),"",NOTA[[#This Row],[QTY]]*NOTA[[#This Row],[HARGA SATUAN]])</f>
        <v>12600000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DUTA BUANA</v>
      </c>
      <c r="AH503" s="16">
        <f ca="1">IF(NOTA[[#This Row],[ID]]="","",COUNTIF(NOTA[ID_H],NOTA[[#This Row],[ID_H]]))</f>
        <v>10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>
        <f ca="1">IF(NOTA[[#This Row],[NAMA BARANG]]="","",INDEX(NOTA[ID],MATCH(,INDIRECT(ADDRESS(ROW(NOTA[ID]),COLUMN(NOTA[ID]))&amp;":"&amp;ADDRESS(ROW(),COLUMN(NOTA[ID]))),-1)))</f>
        <v>111</v>
      </c>
      <c r="E504" s="99"/>
      <c r="F504" s="89"/>
      <c r="G504" s="89"/>
      <c r="H504" s="90"/>
      <c r="I504" s="89"/>
      <c r="J504" s="91"/>
      <c r="K504" s="89"/>
      <c r="L504" s="16" t="s">
        <v>626</v>
      </c>
      <c r="M504" s="92">
        <v>5</v>
      </c>
      <c r="N504" s="89">
        <v>360</v>
      </c>
      <c r="O504" s="16" t="s">
        <v>204</v>
      </c>
      <c r="P504" s="93">
        <v>23500</v>
      </c>
      <c r="Q504" s="161"/>
      <c r="R504" s="98" t="s">
        <v>627</v>
      </c>
      <c r="S504" s="95"/>
      <c r="T504" s="96"/>
      <c r="U504" s="97"/>
      <c r="V504" s="88"/>
      <c r="W504" s="46">
        <f>IF(NOTA[[#This Row],[HARGA/ CTN]]="",NOTA[[#This Row],[JUMLAH_H]],NOTA[[#This Row],[HARGA/ CTN]]*NOTA[[#This Row],[C]])</f>
        <v>8460000</v>
      </c>
      <c r="X504" s="46">
        <f>IF(NOTA[[#This Row],[JUMLAH]]="","",NOTA[[#This Row],[JUMLAH]]*NOTA[[#This Row],[DISC 1]])</f>
        <v>0</v>
      </c>
      <c r="Y504" s="46">
        <f>IF(NOTA[[#This Row],[JUMLAH]]="","",(NOTA[[#This Row],[JUMLAH]]-NOTA[[#This Row],[DISC 1-]])*NOTA[[#This Row],[DISC 2]])</f>
        <v>0</v>
      </c>
      <c r="Z504" s="46">
        <f>IF(NOTA[[#This Row],[JUMLAH]]="","",NOTA[[#This Row],[DISC 1-]]+NOTA[[#This Row],[DISC 2-]])</f>
        <v>0</v>
      </c>
      <c r="AA504" s="46">
        <f>IF(NOTA[[#This Row],[JUMLAH]]="","",NOTA[[#This Row],[JUMLAH]]-NOTA[[#This Row],[DISC]])</f>
        <v>8460000</v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504" s="46">
        <f>IF(OR(NOTA[[#This Row],[QTY]]="",NOTA[[#This Row],[HARGA SATUAN]]="",),"",NOTA[[#This Row],[QTY]]*NOTA[[#This Row],[HARGA SATUAN]])</f>
        <v>8460000</v>
      </c>
      <c r="AF504" s="44">
        <f ca="1">IF(NOTA[ID_H]="","",INDEX(NOTA[TANGGAL],MATCH(,INDIRECT(ADDRESS(ROW(NOTA[TANGGAL]),COLUMN(NOTA[TANGGAL]))&amp;":"&amp;ADDRESS(ROW(),COLUMN(NOTA[TANGGAL]))),-1)))</f>
        <v>44862</v>
      </c>
      <c r="AG504" s="40" t="str">
        <f ca="1">IF(NOTA[[#This Row],[NAMA BARANG]]="","",INDEX(NOTA[SUPPLIER],MATCH(,INDIRECT(ADDRESS(ROW(NOTA[ID]),COLUMN(NOTA[ID]))&amp;":"&amp;ADDRESS(ROW(),COLUMN(NOTA[ID]))),-1)))</f>
        <v>DUTA BUANA</v>
      </c>
      <c r="AH504" s="16" t="str">
        <f ca="1">IF(NOTA[[#This Row],[ID]]="","",COUNTIF(NOTA[ID_H],NOTA[[#This Row],[ID_H]]))</f>
        <v/>
      </c>
      <c r="AI504" s="16">
        <f ca="1">IF(NOTA[[#This Row],[TGL.NOTA]]="",IF(NOTA[[#This Row],[SUPPLIER_H]]="","",AI503),MONTH(NOTA[[#This Row],[TGL.NOTA]]))</f>
        <v>10</v>
      </c>
      <c r="AJ504" s="16"/>
    </row>
    <row r="505" spans="1:36" ht="20.100000000000001" customHeight="1" x14ac:dyDescent="0.25">
      <c r="A50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1" t="str">
        <f>IF(NOTA[[#This Row],[ID_P]]="","",MATCH(NOTA[[#This Row],[ID_P]],[1]!B_MSK[N_ID],0))</f>
        <v/>
      </c>
      <c r="D505" s="41">
        <f ca="1">IF(NOTA[[#This Row],[NAMA BARANG]]="","",INDEX(NOTA[ID],MATCH(,INDIRECT(ADDRESS(ROW(NOTA[ID]),COLUMN(NOTA[ID]))&amp;":"&amp;ADDRESS(ROW(),COLUMN(NOTA[ID]))),-1)))</f>
        <v>111</v>
      </c>
      <c r="E505" s="99"/>
      <c r="H505" s="24"/>
      <c r="I505" s="89"/>
      <c r="J505" s="91"/>
      <c r="K505" s="89"/>
      <c r="L505" s="16" t="s">
        <v>630</v>
      </c>
      <c r="M505" s="92">
        <v>2</v>
      </c>
      <c r="N505" s="89">
        <v>400</v>
      </c>
      <c r="O505" s="16" t="s">
        <v>90</v>
      </c>
      <c r="P505" s="93">
        <v>10000</v>
      </c>
      <c r="Q505" s="161"/>
      <c r="R505" s="98" t="s">
        <v>628</v>
      </c>
      <c r="S505" s="95"/>
      <c r="T505" s="96"/>
      <c r="U505" s="97"/>
      <c r="V505" s="88"/>
      <c r="W505" s="46">
        <f>IF(NOTA[[#This Row],[HARGA/ CTN]]="",NOTA[[#This Row],[JUMLAH_H]],NOTA[[#This Row],[HARGA/ CTN]]*NOTA[[#This Row],[C]])</f>
        <v>4000000</v>
      </c>
      <c r="X505" s="46">
        <f>IF(NOTA[[#This Row],[JUMLAH]]="","",NOTA[[#This Row],[JUMLAH]]*NOTA[[#This Row],[DISC 1]])</f>
        <v>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0</v>
      </c>
      <c r="AA505" s="46">
        <f>IF(NOTA[[#This Row],[JUMLAH]]="","",NOTA[[#This Row],[JUMLAH]]-NOTA[[#This Row],[DISC]])</f>
        <v>4000000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505" s="46">
        <f>IF(OR(NOTA[[#This Row],[QTY]]="",NOTA[[#This Row],[HARGA SATUAN]]="",),"",NOTA[[#This Row],[QTY]]*NOTA[[#This Row],[HARGA SATUAN]])</f>
        <v>4000000</v>
      </c>
      <c r="AF505" s="44">
        <f ca="1">IF(NOTA[ID_H]="","",INDEX(NOTA[TANGGAL],MATCH(,INDIRECT(ADDRESS(ROW(NOTA[TANGGAL]),COLUMN(NOTA[TANGGAL]))&amp;":"&amp;ADDRESS(ROW(),COLUMN(NOTA[TANGGAL]))),-1)))</f>
        <v>44862</v>
      </c>
      <c r="AG505" s="40" t="str">
        <f ca="1">IF(NOTA[[#This Row],[NAMA BARANG]]="","",INDEX(NOTA[SUPPLIER],MATCH(,INDIRECT(ADDRESS(ROW(NOTA[ID]),COLUMN(NOTA[ID]))&amp;":"&amp;ADDRESS(ROW(),COLUMN(NOTA[ID]))),-1)))</f>
        <v>DUTA BUANA</v>
      </c>
      <c r="AH505" s="16" t="str">
        <f ca="1">IF(NOTA[[#This Row],[ID]]="","",COUNTIF(NOTA[ID_H],NOTA[[#This Row],[ID_H]]))</f>
        <v/>
      </c>
      <c r="AI505" s="16">
        <f ca="1"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111</v>
      </c>
      <c r="E506" s="99"/>
      <c r="F506" s="89"/>
      <c r="G506" s="89"/>
      <c r="H506" s="90"/>
      <c r="I506" s="89"/>
      <c r="J506" s="91"/>
      <c r="K506" s="89"/>
      <c r="L506" s="16" t="s">
        <v>629</v>
      </c>
      <c r="M506" s="92">
        <v>2</v>
      </c>
      <c r="N506" s="89">
        <v>96</v>
      </c>
      <c r="O506" s="16" t="s">
        <v>90</v>
      </c>
      <c r="P506" s="93">
        <v>25000</v>
      </c>
      <c r="Q506" s="158"/>
      <c r="R506" s="98" t="s">
        <v>631</v>
      </c>
      <c r="S506" s="95"/>
      <c r="T506" s="96"/>
      <c r="U506" s="97"/>
      <c r="V506" s="88"/>
      <c r="W506" s="46">
        <f>IF(NOTA[[#This Row],[HARGA/ CTN]]="",NOTA[[#This Row],[JUMLAH_H]],NOTA[[#This Row],[HARGA/ CTN]]*NOTA[[#This Row],[C]])</f>
        <v>2400000</v>
      </c>
      <c r="X506" s="46">
        <f>IF(NOTA[[#This Row],[JUMLAH]]="","",NOTA[[#This Row],[JUMLAH]]*NOTA[[#This Row],[DISC 1]])</f>
        <v>0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0</v>
      </c>
      <c r="AA506" s="46">
        <f>IF(NOTA[[#This Row],[JUMLAH]]="","",NOTA[[#This Row],[JUMLAH]]-NOTA[[#This Row],[DISC]])</f>
        <v>2400000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06" s="46">
        <f>IF(OR(NOTA[[#This Row],[QTY]]="",NOTA[[#This Row],[HARGA SATUAN]]="",),"",NOTA[[#This Row],[QTY]]*NOTA[[#This Row],[HARGA SATUAN]])</f>
        <v>2400000</v>
      </c>
      <c r="AF506" s="44">
        <f ca="1">IF(NOTA[ID_H]="","",INDEX(NOTA[TANGGAL],MATCH(,INDIRECT(ADDRESS(ROW(NOTA[TANGGAL]),COLUMN(NOTA[TANGGAL]))&amp;":"&amp;ADDRESS(ROW(),COLUMN(NOTA[TANGGAL]))),-1)))</f>
        <v>44862</v>
      </c>
      <c r="AG506" s="40" t="str">
        <f ca="1">IF(NOTA[[#This Row],[NAMA BARANG]]="","",INDEX(NOTA[SUPPLIER],MATCH(,INDIRECT(ADDRESS(ROW(NOTA[ID]),COLUMN(NOTA[ID]))&amp;":"&amp;ADDRESS(ROW(),COLUMN(NOTA[ID]))),-1)))</f>
        <v>DUTA BUANA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111</v>
      </c>
      <c r="E507" s="99"/>
      <c r="H507" s="24"/>
      <c r="I507" s="89"/>
      <c r="J507" s="91"/>
      <c r="K507" s="89"/>
      <c r="L507" s="16" t="s">
        <v>671</v>
      </c>
      <c r="M507" s="92">
        <v>2</v>
      </c>
      <c r="N507" s="16">
        <v>80</v>
      </c>
      <c r="O507" s="16" t="s">
        <v>90</v>
      </c>
      <c r="P507" s="93">
        <v>32000</v>
      </c>
      <c r="Q507" s="161"/>
      <c r="R507" s="98" t="s">
        <v>247</v>
      </c>
      <c r="S507" s="95"/>
      <c r="T507" s="96"/>
      <c r="U507" s="97"/>
      <c r="V507" s="88"/>
      <c r="W507" s="46">
        <f>IF(NOTA[[#This Row],[HARGA/ CTN]]="",NOTA[[#This Row],[JUMLAH_H]],NOTA[[#This Row],[HARGA/ CTN]]*NOTA[[#This Row],[C]])</f>
        <v>2560000</v>
      </c>
      <c r="X507" s="46">
        <f>IF(NOTA[[#This Row],[JUMLAH]]="","",NOTA[[#This Row],[JUMLAH]]*NOTA[[#This Row],[DISC 1]])</f>
        <v>0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0</v>
      </c>
      <c r="AA507" s="46">
        <f>IF(NOTA[[#This Row],[JUMLAH]]="","",NOTA[[#This Row],[JUMLAH]]-NOTA[[#This Row],[DISC]])</f>
        <v>2560000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07" s="46">
        <f>IF(OR(NOTA[[#This Row],[QTY]]="",NOTA[[#This Row],[HARGA SATUAN]]="",),"",NOTA[[#This Row],[QTY]]*NOTA[[#This Row],[HARGA SATUAN]])</f>
        <v>2560000</v>
      </c>
      <c r="AF507" s="44">
        <f ca="1">IF(NOTA[ID_H]="","",INDEX(NOTA[TANGGAL],MATCH(,INDIRECT(ADDRESS(ROW(NOTA[TANGGAL]),COLUMN(NOTA[TANGGAL]))&amp;":"&amp;ADDRESS(ROW(),COLUMN(NOTA[TANGGAL]))),-1)))</f>
        <v>44862</v>
      </c>
      <c r="AG507" s="40" t="str">
        <f ca="1">IF(NOTA[[#This Row],[NAMA BARANG]]="","",INDEX(NOTA[SUPPLIER],MATCH(,INDIRECT(ADDRESS(ROW(NOTA[ID]),COLUMN(NOTA[ID]))&amp;":"&amp;ADDRESS(ROW(),COLUMN(NOTA[ID]))),-1)))</f>
        <v>DUTA BUANA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111</v>
      </c>
      <c r="E508" s="99"/>
      <c r="F508" s="89"/>
      <c r="G508" s="89"/>
      <c r="H508" s="90"/>
      <c r="I508" s="89"/>
      <c r="J508" s="91"/>
      <c r="K508" s="89"/>
      <c r="L508" s="16" t="s">
        <v>632</v>
      </c>
      <c r="M508" s="92">
        <v>5</v>
      </c>
      <c r="N508" s="89">
        <v>100</v>
      </c>
      <c r="O508" s="16" t="s">
        <v>220</v>
      </c>
      <c r="P508" s="93">
        <v>78975</v>
      </c>
      <c r="Q508" s="161"/>
      <c r="R508" s="98" t="s">
        <v>197</v>
      </c>
      <c r="S508" s="95"/>
      <c r="T508" s="96"/>
      <c r="U508" s="97"/>
      <c r="V508" s="88"/>
      <c r="W508" s="46">
        <f>IF(NOTA[[#This Row],[HARGA/ CTN]]="",NOTA[[#This Row],[JUMLAH_H]],NOTA[[#This Row],[HARGA/ CTN]]*NOTA[[#This Row],[C]])</f>
        <v>7897500</v>
      </c>
      <c r="X508" s="46">
        <f>IF(NOTA[[#This Row],[JUMLAH]]="","",NOTA[[#This Row],[JUMLAH]]*NOTA[[#This Row],[DISC 1]])</f>
        <v>0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0</v>
      </c>
      <c r="AA508" s="46">
        <f>IF(NOTA[[#This Row],[JUMLAH]]="","",NOTA[[#This Row],[JUMLAH]]-NOTA[[#This Row],[DISC]])</f>
        <v>7897500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8" s="46">
        <f>IF(OR(NOTA[[#This Row],[QTY]]="",NOTA[[#This Row],[HARGA SATUAN]]="",),"",NOTA[[#This Row],[QTY]]*NOTA[[#This Row],[HARGA SATUAN]])</f>
        <v>7897500</v>
      </c>
      <c r="AF508" s="44">
        <f ca="1">IF(NOTA[ID_H]="","",INDEX(NOTA[TANGGAL],MATCH(,INDIRECT(ADDRESS(ROW(NOTA[TANGGAL]),COLUMN(NOTA[TANGGAL]))&amp;":"&amp;ADDRESS(ROW(),COLUMN(NOTA[TANGGAL]))),-1)))</f>
        <v>44862</v>
      </c>
      <c r="AG508" s="40" t="str">
        <f ca="1">IF(NOTA[[#This Row],[NAMA BARANG]]="","",INDEX(NOTA[SUPPLIER],MATCH(,INDIRECT(ADDRESS(ROW(NOTA[ID]),COLUMN(NOTA[ID]))&amp;":"&amp;ADDRESS(ROW(),COLUMN(NOTA[ID]))),-1)))</f>
        <v>DUTA BUANA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111</v>
      </c>
      <c r="E509" s="99"/>
      <c r="H509" s="24"/>
      <c r="J509" s="91"/>
      <c r="K509" s="89"/>
      <c r="L509" s="16" t="s">
        <v>633</v>
      </c>
      <c r="M509" s="92">
        <v>5</v>
      </c>
      <c r="N509" s="89">
        <v>100</v>
      </c>
      <c r="O509" s="16" t="s">
        <v>220</v>
      </c>
      <c r="P509" s="93">
        <v>78975</v>
      </c>
      <c r="Q509" s="161"/>
      <c r="R509" s="98" t="s">
        <v>197</v>
      </c>
      <c r="S509" s="95"/>
      <c r="T509" s="96"/>
      <c r="U509" s="97"/>
      <c r="V509" s="88"/>
      <c r="W509" s="46">
        <f>IF(NOTA[[#This Row],[HARGA/ CTN]]="",NOTA[[#This Row],[JUMLAH_H]],NOTA[[#This Row],[HARGA/ CTN]]*NOTA[[#This Row],[C]])</f>
        <v>7897500</v>
      </c>
      <c r="X509" s="46">
        <f>IF(NOTA[[#This Row],[JUMLAH]]="","",NOTA[[#This Row],[JUMLAH]]*NOTA[[#This Row],[DISC 1]])</f>
        <v>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0</v>
      </c>
      <c r="AA509" s="46">
        <f>IF(NOTA[[#This Row],[JUMLAH]]="","",NOTA[[#This Row],[JUMLAH]]-NOTA[[#This Row],[DISC]])</f>
        <v>7897500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9" s="46">
        <f>IF(OR(NOTA[[#This Row],[QTY]]="",NOTA[[#This Row],[HARGA SATUAN]]="",),"",NOTA[[#This Row],[QTY]]*NOTA[[#This Row],[HARGA SATUAN]])</f>
        <v>7897500</v>
      </c>
      <c r="AF509" s="44">
        <f ca="1">IF(NOTA[ID_H]="","",INDEX(NOTA[TANGGAL],MATCH(,INDIRECT(ADDRESS(ROW(NOTA[TANGGAL]),COLUMN(NOTA[TANGGAL]))&amp;":"&amp;ADDRESS(ROW(),COLUMN(NOTA[TANGGAL]))),-1)))</f>
        <v>44862</v>
      </c>
      <c r="AG509" s="40" t="str">
        <f ca="1">IF(NOTA[[#This Row],[NAMA BARANG]]="","",INDEX(NOTA[SUPPLIER],MATCH(,INDIRECT(ADDRESS(ROW(NOTA[ID]),COLUMN(NOTA[ID]))&amp;":"&amp;ADDRESS(ROW(),COLUMN(NOTA[ID]))),-1)))</f>
        <v>DUTA BUANA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111</v>
      </c>
      <c r="E510" s="99"/>
      <c r="F510" s="89"/>
      <c r="G510" s="89"/>
      <c r="H510" s="90"/>
      <c r="I510" s="89"/>
      <c r="J510" s="91"/>
      <c r="K510" s="89"/>
      <c r="L510" s="16" t="s">
        <v>634</v>
      </c>
      <c r="M510" s="92">
        <v>5</v>
      </c>
      <c r="N510" s="89">
        <v>100</v>
      </c>
      <c r="O510" s="16" t="s">
        <v>220</v>
      </c>
      <c r="P510" s="93">
        <v>78975</v>
      </c>
      <c r="Q510" s="161"/>
      <c r="R510" s="98" t="s">
        <v>197</v>
      </c>
      <c r="S510" s="95"/>
      <c r="T510" s="96"/>
      <c r="U510" s="97"/>
      <c r="V510" s="88"/>
      <c r="W510" s="46">
        <f>IF(NOTA[[#This Row],[HARGA/ CTN]]="",NOTA[[#This Row],[JUMLAH_H]],NOTA[[#This Row],[HARGA/ CTN]]*NOTA[[#This Row],[C]])</f>
        <v>7897500</v>
      </c>
      <c r="X510" s="46">
        <f>IF(NOTA[[#This Row],[JUMLAH]]="","",NOTA[[#This Row],[JUMLAH]]*NOTA[[#This Row],[DISC 1]])</f>
        <v>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0</v>
      </c>
      <c r="AA510" s="46">
        <f>IF(NOTA[[#This Row],[JUMLAH]]="","",NOTA[[#This Row],[JUMLAH]]-NOTA[[#This Row],[DISC]])</f>
        <v>7897500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0" s="46">
        <f>IF(OR(NOTA[[#This Row],[QTY]]="",NOTA[[#This Row],[HARGA SATUAN]]="",),"",NOTA[[#This Row],[QTY]]*NOTA[[#This Row],[HARGA SATUAN]])</f>
        <v>7897500</v>
      </c>
      <c r="AF510" s="44">
        <f ca="1">IF(NOTA[ID_H]="","",INDEX(NOTA[TANGGAL],MATCH(,INDIRECT(ADDRESS(ROW(NOTA[TANGGAL]),COLUMN(NOTA[TANGGAL]))&amp;":"&amp;ADDRESS(ROW(),COLUMN(NOTA[TANGGAL]))),-1)))</f>
        <v>44862</v>
      </c>
      <c r="AG510" s="40" t="str">
        <f ca="1">IF(NOTA[[#This Row],[NAMA BARANG]]="","",INDEX(NOTA[SUPPLIER],MATCH(,INDIRECT(ADDRESS(ROW(NOTA[ID]),COLUMN(NOTA[ID]))&amp;":"&amp;ADDRESS(ROW(),COLUMN(NOTA[ID]))),-1)))</f>
        <v>DUTA BUANA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111</v>
      </c>
      <c r="E511" s="99"/>
      <c r="F511" s="89"/>
      <c r="G511" s="89"/>
      <c r="H511" s="90"/>
      <c r="I511" s="89"/>
      <c r="J511" s="91"/>
      <c r="K511" s="89"/>
      <c r="L511" s="16" t="s">
        <v>669</v>
      </c>
      <c r="M511" s="92">
        <v>5</v>
      </c>
      <c r="N511" s="89">
        <v>100</v>
      </c>
      <c r="O511" s="16" t="s">
        <v>220</v>
      </c>
      <c r="P511" s="93">
        <v>78975</v>
      </c>
      <c r="Q511" s="161"/>
      <c r="R511" s="98" t="s">
        <v>197</v>
      </c>
      <c r="S511" s="95"/>
      <c r="T511" s="96"/>
      <c r="U511" s="97"/>
      <c r="V511" s="88"/>
      <c r="W511" s="46">
        <f>IF(NOTA[[#This Row],[HARGA/ CTN]]="",NOTA[[#This Row],[JUMLAH_H]],NOTA[[#This Row],[HARGA/ CTN]]*NOTA[[#This Row],[C]])</f>
        <v>7897500</v>
      </c>
      <c r="X511" s="46">
        <f>IF(NOTA[[#This Row],[JUMLAH]]="","",NOTA[[#This Row],[JUMLAH]]*NOTA[[#This Row],[DISC 1]])</f>
        <v>0</v>
      </c>
      <c r="Y511" s="46">
        <f>IF(NOTA[[#This Row],[JUMLAH]]="","",(NOTA[[#This Row],[JUMLAH]]-NOTA[[#This Row],[DISC 1-]])*NOTA[[#This Row],[DISC 2]])</f>
        <v>0</v>
      </c>
      <c r="Z511" s="46">
        <f>IF(NOTA[[#This Row],[JUMLAH]]="","",NOTA[[#This Row],[DISC 1-]]+NOTA[[#This Row],[DISC 2-]])</f>
        <v>0</v>
      </c>
      <c r="AA511" s="46">
        <f>IF(NOTA[[#This Row],[JUMLAH]]="","",NOTA[[#This Row],[JUMLAH]]-NOTA[[#This Row],[DISC]])</f>
        <v>7897500</v>
      </c>
      <c r="AB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1" s="46">
        <f>IF(OR(NOTA[[#This Row],[QTY]]="",NOTA[[#This Row],[HARGA SATUAN]]="",),"",NOTA[[#This Row],[QTY]]*NOTA[[#This Row],[HARGA SATUAN]])</f>
        <v>7897500</v>
      </c>
      <c r="AF511" s="44">
        <f ca="1">IF(NOTA[ID_H]="","",INDEX(NOTA[TANGGAL],MATCH(,INDIRECT(ADDRESS(ROW(NOTA[TANGGAL]),COLUMN(NOTA[TANGGAL]))&amp;":"&amp;ADDRESS(ROW(),COLUMN(NOTA[TANGGAL]))),-1)))</f>
        <v>44862</v>
      </c>
      <c r="AG511" s="40" t="str">
        <f ca="1">IF(NOTA[[#This Row],[NAMA BARANG]]="","",INDEX(NOTA[SUPPLIER],MATCH(,INDIRECT(ADDRESS(ROW(NOTA[ID]),COLUMN(NOTA[ID]))&amp;":"&amp;ADDRESS(ROW(),COLUMN(NOTA[ID]))),-1)))</f>
        <v>DUTA BUANA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111</v>
      </c>
      <c r="E512" s="99"/>
      <c r="F512" s="89"/>
      <c r="G512" s="89"/>
      <c r="H512" s="90"/>
      <c r="I512" s="89"/>
      <c r="J512" s="91"/>
      <c r="K512" s="89"/>
      <c r="L512" s="16" t="s">
        <v>635</v>
      </c>
      <c r="M512" s="92">
        <v>5</v>
      </c>
      <c r="N512" s="89">
        <v>100</v>
      </c>
      <c r="O512" s="16" t="s">
        <v>220</v>
      </c>
      <c r="P512" s="93">
        <v>78975</v>
      </c>
      <c r="Q512" s="161"/>
      <c r="R512" s="98" t="s">
        <v>197</v>
      </c>
      <c r="S512" s="95"/>
      <c r="T512" s="96"/>
      <c r="U512" s="97"/>
      <c r="V512" s="88"/>
      <c r="W512" s="46">
        <f>IF(NOTA[[#This Row],[HARGA/ CTN]]="",NOTA[[#This Row],[JUMLAH_H]],NOTA[[#This Row],[HARGA/ CTN]]*NOTA[[#This Row],[C]])</f>
        <v>7897500</v>
      </c>
      <c r="X512" s="46">
        <f>IF(NOTA[[#This Row],[JUMLAH]]="","",NOTA[[#This Row],[JUMLAH]]*NOTA[[#This Row],[DISC 1]])</f>
        <v>0</v>
      </c>
      <c r="Y512" s="46">
        <f>IF(NOTA[[#This Row],[JUMLAH]]="","",(NOTA[[#This Row],[JUMLAH]]-NOTA[[#This Row],[DISC 1-]])*NOTA[[#This Row],[DISC 2]])</f>
        <v>0</v>
      </c>
      <c r="Z512" s="46">
        <f>IF(NOTA[[#This Row],[JUMLAH]]="","",NOTA[[#This Row],[DISC 1-]]+NOTA[[#This Row],[DISC 2-]])</f>
        <v>0</v>
      </c>
      <c r="AA512" s="46">
        <f>IF(NOTA[[#This Row],[JUMLAH]]="","",NOTA[[#This Row],[JUMLAH]]-NOTA[[#This Row],[DISC]])</f>
        <v>7897500</v>
      </c>
      <c r="AB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51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2" s="46">
        <f>IF(OR(NOTA[[#This Row],[QTY]]="",NOTA[[#This Row],[HARGA SATUAN]]="",),"",NOTA[[#This Row],[QTY]]*NOTA[[#This Row],[HARGA SATUAN]])</f>
        <v>7897500</v>
      </c>
      <c r="AF512" s="44">
        <f ca="1">IF(NOTA[ID_H]="","",INDEX(NOTA[TANGGAL],MATCH(,INDIRECT(ADDRESS(ROW(NOTA[TANGGAL]),COLUMN(NOTA[TANGGAL]))&amp;":"&amp;ADDRESS(ROW(),COLUMN(NOTA[TANGGAL]))),-1)))</f>
        <v>44862</v>
      </c>
      <c r="AG512" s="40" t="str">
        <f ca="1">IF(NOTA[[#This Row],[NAMA BARANG]]="","",INDEX(NOTA[SUPPLIER],MATCH(,INDIRECT(ADDRESS(ROW(NOTA[ID]),COLUMN(NOTA[ID]))&amp;":"&amp;ADDRESS(ROW(),COLUMN(NOTA[ID]))),-1)))</f>
        <v>DUTA BUANA</v>
      </c>
      <c r="AH512" s="16" t="str">
        <f ca="1">IF(NOTA[[#This Row],[ID]]="","",COUNTIF(NOTA[ID_H],NOTA[[#This Row],[ID_H]]))</f>
        <v/>
      </c>
      <c r="AI512" s="16">
        <f ca="1">IF(NOTA[[#This Row],[TGL.NOTA]]="",IF(NOTA[[#This Row],[SUPPLIER_H]]="","",AI511),MONTH(NOTA[[#This Row],[TGL.NOTA]]))</f>
        <v>10</v>
      </c>
      <c r="AJ512" s="16"/>
    </row>
    <row r="513" spans="1:36" ht="20.100000000000001" customHeight="1" x14ac:dyDescent="0.25">
      <c r="A51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 t="str">
        <f ca="1">IF(NOTA[[#This Row],[NAMA BARANG]]="","",INDEX(NOTA[ID],MATCH(,INDIRECT(ADDRESS(ROW(NOTA[ID]),COLUMN(NOTA[ID]))&amp;":"&amp;ADDRESS(ROW(),COLUMN(NOTA[ID]))),-1)))</f>
        <v/>
      </c>
      <c r="E513" s="99"/>
      <c r="H513" s="24"/>
      <c r="I513" s="89"/>
      <c r="J513" s="91"/>
      <c r="K513" s="89"/>
      <c r="M513" s="92"/>
      <c r="N513" s="89"/>
      <c r="P513" s="93"/>
      <c r="Q513" s="161"/>
      <c r="R513" s="98"/>
      <c r="S513" s="95"/>
      <c r="T513" s="96"/>
      <c r="U513" s="97"/>
      <c r="V513" s="88"/>
      <c r="W513" s="46" t="str">
        <f>IF(NOTA[[#This Row],[HARGA/ CTN]]="",NOTA[[#This Row],[JUMLAH_H]],NOTA[[#This Row],[HARGA/ CTN]]*NOTA[[#This Row],[C]])</f>
        <v/>
      </c>
      <c r="X513" s="46" t="str">
        <f>IF(NOTA[[#This Row],[JUMLAH]]="","",NOTA[[#This Row],[JUMLAH]]*NOTA[[#This Row],[DISC 1]])</f>
        <v/>
      </c>
      <c r="Y513" s="46" t="str">
        <f>IF(NOTA[[#This Row],[JUMLAH]]="","",(NOTA[[#This Row],[JUMLAH]]-NOTA[[#This Row],[DISC 1-]])*NOTA[[#This Row],[DISC 2]])</f>
        <v/>
      </c>
      <c r="Z513" s="46" t="str">
        <f>IF(NOTA[[#This Row],[JUMLAH]]="","",NOTA[[#This Row],[DISC 1-]]+NOTA[[#This Row],[DISC 2-]])</f>
        <v/>
      </c>
      <c r="AA513" s="46" t="str">
        <f>IF(NOTA[[#This Row],[JUMLAH]]="","",NOTA[[#This Row],[JUMLAH]]-NOTA[[#This Row],[DISC]])</f>
        <v/>
      </c>
      <c r="AB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6" t="str">
        <f>IF(OR(NOTA[[#This Row],[QTY]]="",NOTA[[#This Row],[HARGA SATUAN]]="",),"",NOTA[[#This Row],[QTY]]*NOTA[[#This Row],[HARGA SATUAN]])</f>
        <v/>
      </c>
      <c r="AF513" s="44" t="str">
        <f ca="1">IF(NOTA[ID_H]="","",INDEX(NOTA[TANGGAL],MATCH(,INDIRECT(ADDRESS(ROW(NOTA[TANGGAL]),COLUMN(NOTA[TANGGAL]))&amp;":"&amp;ADDRESS(ROW(),COLUMN(NOTA[TANGGAL]))),-1)))</f>
        <v/>
      </c>
      <c r="AG513" s="40" t="str">
        <f ca="1">IF(NOTA[[#This Row],[NAMA BARANG]]="","",INDEX(NOTA[SUPPLIER],MATCH(,INDIRECT(ADDRESS(ROW(NOTA[ID]),COLUMN(NOTA[ID]))&amp;":"&amp;ADDRESS(ROW(),COLUMN(NOTA[ID]))),-1)))</f>
        <v/>
      </c>
      <c r="AH513" s="16" t="str">
        <f ca="1">IF(NOTA[[#This Row],[ID]]="","",COUNTIF(NOTA[ID_H],NOTA[[#This Row],[ID_H]]))</f>
        <v/>
      </c>
      <c r="AI513" s="16" t="str">
        <f ca="1">IF(NOTA[[#This Row],[TGL.NOTA]]="",IF(NOTA[[#This Row],[SUPPLIER_H]]="","",AI512),MONTH(NOTA[[#This Row],[TGL.NOTA]]))</f>
        <v/>
      </c>
      <c r="AJ513" s="16"/>
    </row>
    <row r="514" spans="1:36" ht="20.100000000000001" customHeight="1" x14ac:dyDescent="0.25">
      <c r="A514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5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514" s="41" t="e">
        <f ca="1">IF(NOTA[[#This Row],[ID_P]]="","",MATCH(NOTA[[#This Row],[ID_P]],[1]!B_MSK[N_ID],0))</f>
        <v>#REF!</v>
      </c>
      <c r="D514" s="41">
        <f ca="1">IF(NOTA[[#This Row],[NAMA BARANG]]="","",INDEX(NOTA[ID],MATCH(,INDIRECT(ADDRESS(ROW(NOTA[ID]),COLUMN(NOTA[ID]))&amp;":"&amp;ADDRESS(ROW(),COLUMN(NOTA[ID]))),-1)))</f>
        <v>112</v>
      </c>
      <c r="E514" s="99"/>
      <c r="F514" s="16" t="s">
        <v>250</v>
      </c>
      <c r="G514" s="16" t="s">
        <v>87</v>
      </c>
      <c r="H514" s="24" t="s">
        <v>636</v>
      </c>
      <c r="I514" s="89"/>
      <c r="J514" s="91">
        <v>44859</v>
      </c>
      <c r="K514" s="89"/>
      <c r="L514" s="16" t="s">
        <v>637</v>
      </c>
      <c r="M514" s="92">
        <v>5</v>
      </c>
      <c r="N514" s="89">
        <v>480</v>
      </c>
      <c r="O514" s="16" t="s">
        <v>90</v>
      </c>
      <c r="P514" s="93">
        <v>30500</v>
      </c>
      <c r="Q514" s="161"/>
      <c r="R514" s="98" t="s">
        <v>621</v>
      </c>
      <c r="S514" s="157"/>
      <c r="T514" s="96"/>
      <c r="U514" s="97"/>
      <c r="V514" s="88"/>
      <c r="W514" s="46">
        <f>IF(NOTA[[#This Row],[HARGA/ CTN]]="",NOTA[[#This Row],[JUMLAH_H]],NOTA[[#This Row],[HARGA/ CTN]]*NOTA[[#This Row],[C]])</f>
        <v>14640000</v>
      </c>
      <c r="X514" s="46">
        <f>IF(NOTA[[#This Row],[JUMLAH]]="","",NOTA[[#This Row],[JUMLAH]]*NOTA[[#This Row],[DISC 1]])</f>
        <v>0</v>
      </c>
      <c r="Y514" s="46">
        <f>IF(NOTA[[#This Row],[JUMLAH]]="","",(NOTA[[#This Row],[JUMLAH]]-NOTA[[#This Row],[DISC 1-]])*NOTA[[#This Row],[DISC 2]])</f>
        <v>0</v>
      </c>
      <c r="Z514" s="46">
        <f>IF(NOTA[[#This Row],[JUMLAH]]="","",NOTA[[#This Row],[DISC 1-]]+NOTA[[#This Row],[DISC 2-]])</f>
        <v>0</v>
      </c>
      <c r="AA514" s="46">
        <f>IF(NOTA[[#This Row],[JUMLAH]]="","",NOTA[[#This Row],[JUMLAH]]-NOTA[[#This Row],[DISC]])</f>
        <v>14640000</v>
      </c>
      <c r="AB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514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14" s="46">
        <f>IF(OR(NOTA[[#This Row],[QTY]]="",NOTA[[#This Row],[HARGA SATUAN]]="",),"",NOTA[[#This Row],[QTY]]*NOTA[[#This Row],[HARGA SATUAN]])</f>
        <v>14640000</v>
      </c>
      <c r="AF514" s="44">
        <f ca="1">IF(NOTA[ID_H]="","",INDEX(NOTA[TANGGAL],MATCH(,INDIRECT(ADDRESS(ROW(NOTA[TANGGAL]),COLUMN(NOTA[TANGGAL]))&amp;":"&amp;ADDRESS(ROW(),COLUMN(NOTA[TANGGAL]))),-1)))</f>
        <v>44862</v>
      </c>
      <c r="AG514" s="40" t="str">
        <f ca="1">IF(NOTA[[#This Row],[NAMA BARANG]]="","",INDEX(NOTA[SUPPLIER],MATCH(,INDIRECT(ADDRESS(ROW(NOTA[ID]),COLUMN(NOTA[ID]))&amp;":"&amp;ADDRESS(ROW(),COLUMN(NOTA[ID]))),-1)))</f>
        <v>DUTA BUANA</v>
      </c>
      <c r="AH514" s="16">
        <f ca="1">IF(NOTA[[#This Row],[ID]]="","",COUNTIF(NOTA[ID_H],NOTA[[#This Row],[ID_H]]))</f>
        <v>1</v>
      </c>
      <c r="AI514" s="16">
        <f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99"/>
      <c r="H515" s="24"/>
      <c r="I515" s="89"/>
      <c r="J515" s="91"/>
      <c r="K515" s="89"/>
      <c r="M515" s="92"/>
      <c r="N515" s="89"/>
      <c r="P515" s="93"/>
      <c r="Q515" s="161"/>
      <c r="R515" s="98"/>
      <c r="S515" s="95"/>
      <c r="T515" s="96"/>
      <c r="U515" s="97"/>
      <c r="V515" s="88"/>
      <c r="W515" s="46" t="str">
        <f>IF(NOTA[[#This Row],[HARGA/ CTN]]="",NOTA[[#This Row],[JUMLAH_H]],NOTA[[#This Row],[HARGA/ CTN]]*NOTA[[#This Row],[C]])</f>
        <v/>
      </c>
      <c r="X515" s="46" t="str">
        <f>IF(NOTA[[#This Row],[JUMLAH]]="","",NOTA[[#This Row],[JUMLAH]]*NOTA[[#This Row],[DISC 1]])</f>
        <v/>
      </c>
      <c r="Y515" s="46" t="str">
        <f>IF(NOTA[[#This Row],[JUMLAH]]="","",(NOTA[[#This Row],[JUMLAH]]-NOTA[[#This Row],[DISC 1-]])*NOTA[[#This Row],[DISC 2]])</f>
        <v/>
      </c>
      <c r="Z515" s="46" t="str">
        <f>IF(NOTA[[#This Row],[JUMLAH]]="","",NOTA[[#This Row],[DISC 1-]]+NOTA[[#This Row],[DISC 2-]])</f>
        <v/>
      </c>
      <c r="AA515" s="46" t="str">
        <f>IF(NOTA[[#This Row],[JUMLAH]]="","",NOTA[[#This Row],[JUMLAH]]-NOTA[[#This Row],[DISC]])</f>
        <v/>
      </c>
      <c r="AB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46" t="str">
        <f>IF(OR(NOTA[[#This Row],[QTY]]="",NOTA[[#This Row],[HARGA SATUAN]]="",),"",NOTA[[#This Row],[QTY]]*NOTA[[#This Row],[HARGA SATUAN]])</f>
        <v/>
      </c>
      <c r="AF515" s="44" t="str">
        <f ca="1">IF(NOTA[ID_H]="","",INDEX(NOTA[TANGGAL],MATCH(,INDIRECT(ADDRESS(ROW(NOTA[TANGGAL]),COLUMN(NOTA[TANGGAL]))&amp;":"&amp;ADDRESS(ROW(),COLUMN(NOTA[TANGGAL]))),-1)))</f>
        <v/>
      </c>
      <c r="AG515" s="40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 t="str">
        <f ca="1">IF(NOTA[[#This Row],[TGL.NOTA]]="",IF(NOTA[[#This Row],[SUPPLIER_H]]="","",AI514),MONTH(NOTA[[#This Row],[TGL.NOTA]]))</f>
        <v/>
      </c>
      <c r="AJ515" s="16"/>
    </row>
    <row r="516" spans="1:36" ht="20.100000000000001" customHeight="1" x14ac:dyDescent="0.25">
      <c r="A516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113</v>
      </c>
      <c r="E516" s="99"/>
      <c r="F516" s="16" t="s">
        <v>367</v>
      </c>
      <c r="G516" s="16" t="s">
        <v>87</v>
      </c>
      <c r="H516" s="24" t="s">
        <v>638</v>
      </c>
      <c r="J516" s="91">
        <v>44859</v>
      </c>
      <c r="K516" s="89"/>
      <c r="L516" s="16" t="s">
        <v>639</v>
      </c>
      <c r="M516" s="92">
        <v>3</v>
      </c>
      <c r="N516" s="89">
        <v>600</v>
      </c>
      <c r="O516" s="16" t="s">
        <v>90</v>
      </c>
      <c r="P516" s="93">
        <v>8750</v>
      </c>
      <c r="Q516" s="161"/>
      <c r="R516" s="98" t="s">
        <v>628</v>
      </c>
      <c r="S516" s="95"/>
      <c r="T516" s="96"/>
      <c r="U516" s="97"/>
      <c r="V516" s="88"/>
      <c r="W516" s="46">
        <f>IF(NOTA[[#This Row],[HARGA/ CTN]]="",NOTA[[#This Row],[JUMLAH_H]],NOTA[[#This Row],[HARGA/ CTN]]*NOTA[[#This Row],[C]])</f>
        <v>5250000</v>
      </c>
      <c r="X516" s="46">
        <f>IF(NOTA[[#This Row],[JUMLAH]]="","",NOTA[[#This Row],[JUMLAH]]*NOTA[[#This Row],[DISC 1]])</f>
        <v>0</v>
      </c>
      <c r="Y516" s="46">
        <f>IF(NOTA[[#This Row],[JUMLAH]]="","",(NOTA[[#This Row],[JUMLAH]]-NOTA[[#This Row],[DISC 1-]])*NOTA[[#This Row],[DISC 2]])</f>
        <v>0</v>
      </c>
      <c r="Z516" s="46">
        <f>IF(NOTA[[#This Row],[JUMLAH]]="","",NOTA[[#This Row],[DISC 1-]]+NOTA[[#This Row],[DISC 2-]])</f>
        <v>0</v>
      </c>
      <c r="AA516" s="46">
        <f>IF(NOTA[[#This Row],[JUMLAH]]="","",NOTA[[#This Row],[JUMLAH]]-NOTA[[#This Row],[DISC]])</f>
        <v>5250000</v>
      </c>
      <c r="AB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1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16" s="46">
        <f>IF(OR(NOTA[[#This Row],[QTY]]="",NOTA[[#This Row],[HARGA SATUAN]]="",),"",NOTA[[#This Row],[QTY]]*NOTA[[#This Row],[HARGA SATUAN]])</f>
        <v>5250000</v>
      </c>
      <c r="AF516" s="44">
        <f ca="1">IF(NOTA[ID_H]="","",INDEX(NOTA[TANGGAL],MATCH(,INDIRECT(ADDRESS(ROW(NOTA[TANGGAL]),COLUMN(NOTA[TANGGAL]))&amp;":"&amp;ADDRESS(ROW(),COLUMN(NOTA[TANGGAL]))),-1)))</f>
        <v>44862</v>
      </c>
      <c r="AG516" s="40" t="str">
        <f ca="1">IF(NOTA[[#This Row],[NAMA BARANG]]="","",INDEX(NOTA[SUPPLIER],MATCH(,INDIRECT(ADDRESS(ROW(NOTA[ID]),COLUMN(NOTA[ID]))&amp;":"&amp;ADDRESS(ROW(),COLUMN(NOTA[ID]))),-1)))</f>
        <v>ETJ</v>
      </c>
      <c r="AH516" s="16">
        <f ca="1">IF(NOTA[[#This Row],[ID]]="","",COUNTIF(NOTA[ID_H],NOTA[[#This Row],[ID_H]]))</f>
        <v>1</v>
      </c>
      <c r="AI516" s="16">
        <f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 t="str">
        <f ca="1">IF(NOTA[[#This Row],[NAMA BARANG]]="","",INDEX(NOTA[ID],MATCH(,INDIRECT(ADDRESS(ROW(NOTA[ID]),COLUMN(NOTA[ID]))&amp;":"&amp;ADDRESS(ROW(),COLUMN(NOTA[ID]))),-1)))</f>
        <v/>
      </c>
      <c r="E517" s="99"/>
      <c r="F517" s="89"/>
      <c r="G517" s="89"/>
      <c r="H517" s="90"/>
      <c r="J517" s="91"/>
      <c r="K517" s="89"/>
      <c r="M517" s="92"/>
      <c r="N517" s="89"/>
      <c r="O517" s="89"/>
      <c r="P517" s="93"/>
      <c r="Q517" s="161"/>
      <c r="R517" s="98"/>
      <c r="S517" s="95"/>
      <c r="T517" s="96"/>
      <c r="U517" s="97"/>
      <c r="V517" s="88"/>
      <c r="W517" s="46" t="str">
        <f>IF(NOTA[[#This Row],[HARGA/ CTN]]="",NOTA[[#This Row],[JUMLAH_H]],NOTA[[#This Row],[HARGA/ CTN]]*NOTA[[#This Row],[C]])</f>
        <v/>
      </c>
      <c r="X517" s="46" t="str">
        <f>IF(NOTA[[#This Row],[JUMLAH]]="","",NOTA[[#This Row],[JUMLAH]]*NOTA[[#This Row],[DISC 1]])</f>
        <v/>
      </c>
      <c r="Y517" s="46" t="str">
        <f>IF(NOTA[[#This Row],[JUMLAH]]="","",(NOTA[[#This Row],[JUMLAH]]-NOTA[[#This Row],[DISC 1-]])*NOTA[[#This Row],[DISC 2]])</f>
        <v/>
      </c>
      <c r="Z517" s="46" t="str">
        <f>IF(NOTA[[#This Row],[JUMLAH]]="","",NOTA[[#This Row],[DISC 1-]]+NOTA[[#This Row],[DISC 2-]])</f>
        <v/>
      </c>
      <c r="AA517" s="46" t="str">
        <f>IF(NOTA[[#This Row],[JUMLAH]]="","",NOTA[[#This Row],[JUMLAH]]-NOTA[[#This Row],[DISC]])</f>
        <v/>
      </c>
      <c r="AB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46" t="str">
        <f>IF(OR(NOTA[[#This Row],[QTY]]="",NOTA[[#This Row],[HARGA SATUAN]]="",),"",NOTA[[#This Row],[QTY]]*NOTA[[#This Row],[HARGA SATUAN]])</f>
        <v/>
      </c>
      <c r="AF517" s="44" t="str">
        <f ca="1">IF(NOTA[ID_H]="","",INDEX(NOTA[TANGGAL],MATCH(,INDIRECT(ADDRESS(ROW(NOTA[TANGGAL]),COLUMN(NOTA[TANGGAL]))&amp;":"&amp;ADDRESS(ROW(),COLUMN(NOTA[TANGGAL]))),-1)))</f>
        <v/>
      </c>
      <c r="AG517" s="40" t="str">
        <f ca="1">IF(NOTA[[#This Row],[NAMA BARANG]]="","",INDEX(NOTA[SUPPLIER],MATCH(,INDIRECT(ADDRESS(ROW(NOTA[ID]),COLUMN(NOTA[ID]))&amp;":"&amp;ADDRESS(ROW(),COLUMN(NOTA[ID]))),-1)))</f>
        <v/>
      </c>
      <c r="AH517" s="16" t="str">
        <f ca="1">IF(NOTA[[#This Row],[ID]]="","",COUNTIF(NOTA[ID_H],NOTA[[#This Row],[ID_H]]))</f>
        <v/>
      </c>
      <c r="AI517" s="16" t="str">
        <f ca="1">IF(NOTA[[#This Row],[TGL.NOTA]]="",IF(NOTA[[#This Row],[SUPPLIER_H]]="","",AI516),MONTH(NOTA[[#This Row],[TGL.NOTA]]))</f>
        <v/>
      </c>
      <c r="AJ517" s="16"/>
    </row>
    <row r="518" spans="1:36" ht="20.100000000000001" customHeight="1" x14ac:dyDescent="0.25">
      <c r="A518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518" s="41" t="e">
        <f ca="1">IF(NOTA[[#This Row],[ID_P]]="","",MATCH(NOTA[[#This Row],[ID_P]],[1]!B_MSK[N_ID],0))</f>
        <v>#REF!</v>
      </c>
      <c r="D518" s="41">
        <f ca="1">IF(NOTA[[#This Row],[NAMA BARANG]]="","",INDEX(NOTA[ID],MATCH(,INDIRECT(ADDRESS(ROW(NOTA[ID]),COLUMN(NOTA[ID]))&amp;":"&amp;ADDRESS(ROW(),COLUMN(NOTA[ID]))),-1)))</f>
        <v>114</v>
      </c>
      <c r="E518" s="99"/>
      <c r="F518" s="16" t="s">
        <v>555</v>
      </c>
      <c r="G518" s="16" t="s">
        <v>87</v>
      </c>
      <c r="H518" s="24" t="s">
        <v>640</v>
      </c>
      <c r="J518" s="91">
        <v>44859</v>
      </c>
      <c r="K518" s="89"/>
      <c r="L518" s="16" t="s">
        <v>641</v>
      </c>
      <c r="M518" s="92">
        <v>20</v>
      </c>
      <c r="N518" s="89">
        <f>144*20</f>
        <v>2880</v>
      </c>
      <c r="O518" s="16" t="s">
        <v>88</v>
      </c>
      <c r="P518" s="93">
        <v>4750</v>
      </c>
      <c r="Q518" s="161">
        <v>684000</v>
      </c>
      <c r="R518" s="98" t="s">
        <v>558</v>
      </c>
      <c r="S518" s="95">
        <v>0.03</v>
      </c>
      <c r="T518" s="96"/>
      <c r="U518" s="97"/>
      <c r="V518" s="88"/>
      <c r="W518" s="46">
        <f>IF(NOTA[[#This Row],[HARGA/ CTN]]="",NOTA[[#This Row],[JUMLAH_H]],NOTA[[#This Row],[HARGA/ CTN]]*NOTA[[#This Row],[C]])</f>
        <v>13680000</v>
      </c>
      <c r="X518" s="46">
        <f>IF(NOTA[[#This Row],[JUMLAH]]="","",NOTA[[#This Row],[JUMLAH]]*NOTA[[#This Row],[DISC 1]])</f>
        <v>410400</v>
      </c>
      <c r="Y518" s="46">
        <f>IF(NOTA[[#This Row],[JUMLAH]]="","",(NOTA[[#This Row],[JUMLAH]]-NOTA[[#This Row],[DISC 1-]])*NOTA[[#This Row],[DISC 2]])</f>
        <v>0</v>
      </c>
      <c r="Z518" s="46">
        <f>IF(NOTA[[#This Row],[JUMLAH]]="","",NOTA[[#This Row],[DISC 1-]]+NOTA[[#This Row],[DISC 2-]])</f>
        <v>410400</v>
      </c>
      <c r="AA518" s="46">
        <f>IF(NOTA[[#This Row],[JUMLAH]]="","",NOTA[[#This Row],[JUMLAH]]-NOTA[[#This Row],[DISC]])</f>
        <v>13269600</v>
      </c>
      <c r="AB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8" s="46">
        <f>IF(OR(NOTA[[#This Row],[QTY]]="",NOTA[[#This Row],[HARGA SATUAN]]="",),"",NOTA[[#This Row],[QTY]]*NOTA[[#This Row],[HARGA SATUAN]])</f>
        <v>13680000</v>
      </c>
      <c r="AF518" s="44">
        <f ca="1">IF(NOTA[ID_H]="","",INDEX(NOTA[TANGGAL],MATCH(,INDIRECT(ADDRESS(ROW(NOTA[TANGGAL]),COLUMN(NOTA[TANGGAL]))&amp;":"&amp;ADDRESS(ROW(),COLUMN(NOTA[TANGGAL]))),-1)))</f>
        <v>44862</v>
      </c>
      <c r="AG518" s="40" t="str">
        <f ca="1">IF(NOTA[[#This Row],[NAMA BARANG]]="","",INDEX(NOTA[SUPPLIER],MATCH(,INDIRECT(ADDRESS(ROW(NOTA[ID]),COLUMN(NOTA[ID]))&amp;":"&amp;ADDRESS(ROW(),COLUMN(NOTA[ID]))),-1)))</f>
        <v>BINTANG JAYA</v>
      </c>
      <c r="AH518" s="16">
        <f ca="1">IF(NOTA[[#This Row],[ID]]="","",COUNTIF(NOTA[ID_H],NOTA[[#This Row],[ID_H]]))</f>
        <v>2</v>
      </c>
      <c r="AI518" s="16">
        <f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114</v>
      </c>
      <c r="E519" s="99"/>
      <c r="F519" s="89"/>
      <c r="G519" s="89"/>
      <c r="H519" s="90"/>
      <c r="J519" s="91"/>
      <c r="K519" s="89"/>
      <c r="L519" s="16" t="s">
        <v>641</v>
      </c>
      <c r="M519" s="92">
        <v>3</v>
      </c>
      <c r="N519" s="89">
        <f>144*3</f>
        <v>432</v>
      </c>
      <c r="O519" s="16" t="s">
        <v>88</v>
      </c>
      <c r="P519" s="93">
        <v>4750</v>
      </c>
      <c r="Q519" s="161">
        <v>684000</v>
      </c>
      <c r="R519" s="98" t="s">
        <v>558</v>
      </c>
      <c r="S519" s="95"/>
      <c r="T519" s="96"/>
      <c r="U519" s="97">
        <v>2052000</v>
      </c>
      <c r="V519" s="88" t="s">
        <v>559</v>
      </c>
      <c r="W519" s="46">
        <f>IF(NOTA[[#This Row],[HARGA/ CTN]]="",NOTA[[#This Row],[JUMLAH_H]],NOTA[[#This Row],[HARGA/ CTN]]*NOTA[[#This Row],[C]])</f>
        <v>2052000</v>
      </c>
      <c r="X519" s="46">
        <f>IF(NOTA[[#This Row],[JUMLAH]]="","",NOTA[[#This Row],[JUMLAH]]*NOTA[[#This Row],[DISC 1]])</f>
        <v>0</v>
      </c>
      <c r="Y519" s="46">
        <f>IF(NOTA[[#This Row],[JUMLAH]]="","",(NOTA[[#This Row],[JUMLAH]]-NOTA[[#This Row],[DISC 1-]])*NOTA[[#This Row],[DISC 2]])</f>
        <v>0</v>
      </c>
      <c r="Z519" s="46">
        <f>IF(NOTA[[#This Row],[JUMLAH]]="","",NOTA[[#This Row],[DISC 1-]]+NOTA[[#This Row],[DISC 2-]])</f>
        <v>0</v>
      </c>
      <c r="AA519" s="46">
        <f>IF(NOTA[[#This Row],[JUMLAH]]="","",NOTA[[#This Row],[JUMLAH]]-NOTA[[#This Row],[DISC]])</f>
        <v>2052000</v>
      </c>
      <c r="AB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51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9" s="46">
        <f>IF(OR(NOTA[[#This Row],[QTY]]="",NOTA[[#This Row],[HARGA SATUAN]]="",),"",NOTA[[#This Row],[QTY]]*NOTA[[#This Row],[HARGA SATUAN]])</f>
        <v>2052000</v>
      </c>
      <c r="AF519" s="44">
        <f ca="1">IF(NOTA[ID_H]="","",INDEX(NOTA[TANGGAL],MATCH(,INDIRECT(ADDRESS(ROW(NOTA[TANGGAL]),COLUMN(NOTA[TANGGAL]))&amp;":"&amp;ADDRESS(ROW(),COLUMN(NOTA[TANGGAL]))),-1)))</f>
        <v>44862</v>
      </c>
      <c r="AG519" s="40" t="str">
        <f ca="1">IF(NOTA[[#This Row],[NAMA BARANG]]="","",INDEX(NOTA[SUPPLIER],MATCH(,INDIRECT(ADDRESS(ROW(NOTA[ID]),COLUMN(NOTA[ID]))&amp;":"&amp;ADDRESS(ROW(),COLUMN(NOTA[ID]))),-1)))</f>
        <v>BINTANG JAYA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99"/>
      <c r="F520" s="89"/>
      <c r="G520" s="89"/>
      <c r="H520" s="90"/>
      <c r="J520" s="91"/>
      <c r="K520" s="89"/>
      <c r="M520" s="92"/>
      <c r="N520" s="89"/>
      <c r="P520" s="93"/>
      <c r="Q520" s="161"/>
      <c r="R520" s="98"/>
      <c r="S520" s="95"/>
      <c r="T520" s="96"/>
      <c r="U520" s="97"/>
      <c r="V520" s="88"/>
      <c r="W520" s="46" t="str">
        <f>IF(NOTA[[#This Row],[HARGA/ CTN]]="",NOTA[[#This Row],[JUMLAH_H]],NOTA[[#This Row],[HARGA/ CTN]]*NOTA[[#This Row],[C]])</f>
        <v/>
      </c>
      <c r="X520" s="46" t="str">
        <f>IF(NOTA[[#This Row],[JUMLAH]]="","",NOTA[[#This Row],[JUMLAH]]*NOTA[[#This Row],[DISC 1]])</f>
        <v/>
      </c>
      <c r="Y520" s="46" t="str">
        <f>IF(NOTA[[#This Row],[JUMLAH]]="","",(NOTA[[#This Row],[JUMLAH]]-NOTA[[#This Row],[DISC 1-]])*NOTA[[#This Row],[DISC 2]])</f>
        <v/>
      </c>
      <c r="Z520" s="46" t="str">
        <f>IF(NOTA[[#This Row],[JUMLAH]]="","",NOTA[[#This Row],[DISC 1-]]+NOTA[[#This Row],[DISC 2-]])</f>
        <v/>
      </c>
      <c r="AA520" s="46" t="str">
        <f>IF(NOTA[[#This Row],[JUMLAH]]="","",NOTA[[#This Row],[JUMLAH]]-NOTA[[#This Row],[DISC]])</f>
        <v/>
      </c>
      <c r="AB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46" t="str">
        <f>IF(OR(NOTA[[#This Row],[QTY]]="",NOTA[[#This Row],[HARGA SATUAN]]="",),"",NOTA[[#This Row],[QTY]]*NOTA[[#This Row],[HARGA SATUAN]])</f>
        <v/>
      </c>
      <c r="AF520" s="44" t="str">
        <f ca="1">IF(NOTA[ID_H]="","",INDEX(NOTA[TANGGAL],MATCH(,INDIRECT(ADDRESS(ROW(NOTA[TANGGAL]),COLUMN(NOTA[TANGGAL]))&amp;":"&amp;ADDRESS(ROW(),COLUMN(NOTA[TANGGAL]))),-1)))</f>
        <v/>
      </c>
      <c r="AG520" s="40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 t="str">
        <f ca="1">IF(NOTA[[#This Row],[TGL.NOTA]]="",IF(NOTA[[#This Row],[SUPPLIER_H]]="","",AI519),MONTH(NOTA[[#This Row],[TGL.NOTA]]))</f>
        <v/>
      </c>
      <c r="AJ520" s="16"/>
    </row>
    <row r="521" spans="1:36" ht="20.100000000000001" customHeight="1" x14ac:dyDescent="0.25">
      <c r="A521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115</v>
      </c>
      <c r="E521" s="99"/>
      <c r="F521" s="16" t="s">
        <v>555</v>
      </c>
      <c r="G521" s="16" t="s">
        <v>87</v>
      </c>
      <c r="H521" s="90"/>
      <c r="I521" s="16">
        <v>234</v>
      </c>
      <c r="J521" s="91">
        <v>44860</v>
      </c>
      <c r="K521" s="89"/>
      <c r="L521" s="16" t="s">
        <v>557</v>
      </c>
      <c r="M521" s="92"/>
      <c r="N521" s="89">
        <v>12</v>
      </c>
      <c r="O521" s="16" t="s">
        <v>88</v>
      </c>
      <c r="P521" s="93"/>
      <c r="Q521" s="161"/>
      <c r="R521" s="98"/>
      <c r="S521" s="95"/>
      <c r="T521" s="96"/>
      <c r="U521" s="97"/>
      <c r="V521" s="88" t="s">
        <v>642</v>
      </c>
      <c r="W521" s="46" t="str">
        <f>IF(NOTA[[#This Row],[HARGA/ CTN]]="",NOTA[[#This Row],[JUMLAH_H]],NOTA[[#This Row],[HARGA/ CTN]]*NOTA[[#This Row],[C]])</f>
        <v/>
      </c>
      <c r="X521" s="46" t="str">
        <f>IF(NOTA[[#This Row],[JUMLAH]]="","",NOTA[[#This Row],[JUMLAH]]*NOTA[[#This Row],[DISC 1]])</f>
        <v/>
      </c>
      <c r="Y521" s="46" t="str">
        <f>IF(NOTA[[#This Row],[JUMLAH]]="","",(NOTA[[#This Row],[JUMLAH]]-NOTA[[#This Row],[DISC 1-]])*NOTA[[#This Row],[DISC 2]])</f>
        <v/>
      </c>
      <c r="Z521" s="46" t="str">
        <f>IF(NOTA[[#This Row],[JUMLAH]]="","",NOTA[[#This Row],[DISC 1-]]+NOTA[[#This Row],[DISC 2-]])</f>
        <v/>
      </c>
      <c r="AA521" s="46" t="str">
        <f>IF(NOTA[[#This Row],[JUMLAH]]="","",NOTA[[#This Row],[JUMLAH]]-NOTA[[#This Row],[DISC]])</f>
        <v/>
      </c>
      <c r="AB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1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46" t="str">
        <f>IF(OR(NOTA[[#This Row],[QTY]]="",NOTA[[#This Row],[HARGA SATUAN]]="",),"",NOTA[[#This Row],[QTY]]*NOTA[[#This Row],[HARGA SATUAN]])</f>
        <v/>
      </c>
      <c r="AF521" s="44">
        <f ca="1">IF(NOTA[ID_H]="","",INDEX(NOTA[TANGGAL],MATCH(,INDIRECT(ADDRESS(ROW(NOTA[TANGGAL]),COLUMN(NOTA[TANGGAL]))&amp;":"&amp;ADDRESS(ROW(),COLUMN(NOTA[TANGGAL]))),-1)))</f>
        <v>44862</v>
      </c>
      <c r="AG521" s="40" t="str">
        <f ca="1">IF(NOTA[[#This Row],[NAMA BARANG]]="","",INDEX(NOTA[SUPPLIER],MATCH(,INDIRECT(ADDRESS(ROW(NOTA[ID]),COLUMN(NOTA[ID]))&amp;":"&amp;ADDRESS(ROW(),COLUMN(NOTA[ID]))),-1)))</f>
        <v>BINTANG JAYA</v>
      </c>
      <c r="AH521" s="16">
        <f ca="1">IF(NOTA[[#This Row],[ID]]="","",COUNTIF(NOTA[ID_H],NOTA[[#This Row],[ID_H]]))</f>
        <v>1</v>
      </c>
      <c r="AI521" s="16">
        <f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 t="str">
        <f ca="1">IF(NOTA[[#This Row],[NAMA BARANG]]="","",INDEX(NOTA[ID],MATCH(,INDIRECT(ADDRESS(ROW(NOTA[ID]),COLUMN(NOTA[ID]))&amp;":"&amp;ADDRESS(ROW(),COLUMN(NOTA[ID]))),-1)))</f>
        <v/>
      </c>
      <c r="E522" s="99"/>
      <c r="F522" s="89"/>
      <c r="G522" s="89"/>
      <c r="H522" s="90"/>
      <c r="J522" s="91"/>
      <c r="K522" s="89"/>
      <c r="M522" s="92"/>
      <c r="N522" s="89"/>
      <c r="P522" s="93"/>
      <c r="Q522" s="161"/>
      <c r="R522" s="98"/>
      <c r="S522" s="95"/>
      <c r="T522" s="96"/>
      <c r="U522" s="97"/>
      <c r="V522" s="88"/>
      <c r="W522" s="46" t="str">
        <f>IF(NOTA[[#This Row],[HARGA/ CTN]]="",NOTA[[#This Row],[JUMLAH_H]],NOTA[[#This Row],[HARGA/ CTN]]*NOTA[[#This Row],[C]])</f>
        <v/>
      </c>
      <c r="X522" s="46" t="str">
        <f>IF(NOTA[[#This Row],[JUMLAH]]="","",NOTA[[#This Row],[JUMLAH]]*NOTA[[#This Row],[DISC 1]])</f>
        <v/>
      </c>
      <c r="Y522" s="46" t="str">
        <f>IF(NOTA[[#This Row],[JUMLAH]]="","",(NOTA[[#This Row],[JUMLAH]]-NOTA[[#This Row],[DISC 1-]])*NOTA[[#This Row],[DISC 2]])</f>
        <v/>
      </c>
      <c r="Z522" s="46" t="str">
        <f>IF(NOTA[[#This Row],[JUMLAH]]="","",NOTA[[#This Row],[DISC 1-]]+NOTA[[#This Row],[DISC 2-]])</f>
        <v/>
      </c>
      <c r="AA522" s="46" t="str">
        <f>IF(NOTA[[#This Row],[JUMLAH]]="","",NOTA[[#This Row],[JUMLAH]]-NOTA[[#This Row],[DISC]])</f>
        <v/>
      </c>
      <c r="AB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46" t="str">
        <f>IF(OR(NOTA[[#This Row],[QTY]]="",NOTA[[#This Row],[HARGA SATUAN]]="",),"",NOTA[[#This Row],[QTY]]*NOTA[[#This Row],[HARGA SATUAN]])</f>
        <v/>
      </c>
      <c r="AF522" s="44" t="str">
        <f ca="1">IF(NOTA[ID_H]="","",INDEX(NOTA[TANGGAL],MATCH(,INDIRECT(ADDRESS(ROW(NOTA[TANGGAL]),COLUMN(NOTA[TANGGAL]))&amp;":"&amp;ADDRESS(ROW(),COLUMN(NOTA[TANGGAL]))),-1)))</f>
        <v/>
      </c>
      <c r="AG522" s="4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523" s="41" t="e">
        <f ca="1">IF(NOTA[[#This Row],[ID_P]]="","",MATCH(NOTA[[#This Row],[ID_P]],[1]!B_MSK[N_ID],0))</f>
        <v>#REF!</v>
      </c>
      <c r="D523" s="41">
        <f ca="1">IF(NOTA[[#This Row],[NAMA BARANG]]="","",INDEX(NOTA[ID],MATCH(,INDIRECT(ADDRESS(ROW(NOTA[ID]),COLUMN(NOTA[ID]))&amp;":"&amp;ADDRESS(ROW(),COLUMN(NOTA[ID]))),-1)))</f>
        <v>116</v>
      </c>
      <c r="E523" s="99"/>
      <c r="F523" s="16" t="s">
        <v>234</v>
      </c>
      <c r="G523" s="16" t="s">
        <v>87</v>
      </c>
      <c r="H523" s="24" t="s">
        <v>643</v>
      </c>
      <c r="J523" s="91">
        <v>44856</v>
      </c>
      <c r="K523" s="89"/>
      <c r="L523" s="16" t="s">
        <v>309</v>
      </c>
      <c r="M523" s="92">
        <v>5</v>
      </c>
      <c r="N523" s="89">
        <v>500</v>
      </c>
      <c r="O523" s="16" t="s">
        <v>210</v>
      </c>
      <c r="P523" s="93">
        <v>26780</v>
      </c>
      <c r="Q523" s="161"/>
      <c r="R523" s="98" t="s">
        <v>310</v>
      </c>
      <c r="S523" s="95">
        <v>0.2</v>
      </c>
      <c r="T523" s="96">
        <v>0.04</v>
      </c>
      <c r="U523" s="97"/>
      <c r="V523" s="88"/>
      <c r="W523" s="46">
        <f>IF(NOTA[[#This Row],[HARGA/ CTN]]="",NOTA[[#This Row],[JUMLAH_H]],NOTA[[#This Row],[HARGA/ CTN]]*NOTA[[#This Row],[C]])</f>
        <v>13390000</v>
      </c>
      <c r="X523" s="46">
        <f>IF(NOTA[[#This Row],[JUMLAH]]="","",NOTA[[#This Row],[JUMLAH]]*NOTA[[#This Row],[DISC 1]])</f>
        <v>2678000</v>
      </c>
      <c r="Y523" s="46">
        <f>IF(NOTA[[#This Row],[JUMLAH]]="","",(NOTA[[#This Row],[JUMLAH]]-NOTA[[#This Row],[DISC 1-]])*NOTA[[#This Row],[DISC 2]])</f>
        <v>428480</v>
      </c>
      <c r="Z523" s="46">
        <f>IF(NOTA[[#This Row],[JUMLAH]]="","",NOTA[[#This Row],[DISC 1-]]+NOTA[[#This Row],[DISC 2-]])</f>
        <v>3106480</v>
      </c>
      <c r="AA523" s="46">
        <f>IF(NOTA[[#This Row],[JUMLAH]]="","",NOTA[[#This Row],[JUMLAH]]-NOTA[[#This Row],[DISC]])</f>
        <v>10283520</v>
      </c>
      <c r="AB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23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23" s="46">
        <f>IF(OR(NOTA[[#This Row],[QTY]]="",NOTA[[#This Row],[HARGA SATUAN]]="",),"",NOTA[[#This Row],[QTY]]*NOTA[[#This Row],[HARGA SATUAN]])</f>
        <v>13390000</v>
      </c>
      <c r="AF523" s="44">
        <f ca="1">IF(NOTA[ID_H]="","",INDEX(NOTA[TANGGAL],MATCH(,INDIRECT(ADDRESS(ROW(NOTA[TANGGAL]),COLUMN(NOTA[TANGGAL]))&amp;":"&amp;ADDRESS(ROW(),COLUMN(NOTA[TANGGAL]))),-1)))</f>
        <v>44862</v>
      </c>
      <c r="AG523" s="40" t="str">
        <f ca="1">IF(NOTA[[#This Row],[NAMA BARANG]]="","",INDEX(NOTA[SUPPLIER],MATCH(,INDIRECT(ADDRESS(ROW(NOTA[ID]),COLUMN(NOTA[ID]))&amp;":"&amp;ADDRESS(ROW(),COLUMN(NOTA[ID]))),-1)))</f>
        <v>PPW</v>
      </c>
      <c r="AH523" s="16">
        <f ca="1">IF(NOTA[[#This Row],[ID]]="","",COUNTIF(NOTA[ID_H],NOTA[[#This Row],[ID_H]]))</f>
        <v>1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 t="str">
        <f ca="1">IF(NOTA[[#This Row],[NAMA BARANG]]="","",INDEX(NOTA[ID],MATCH(,INDIRECT(ADDRESS(ROW(NOTA[ID]),COLUMN(NOTA[ID]))&amp;":"&amp;ADDRESS(ROW(),COLUMN(NOTA[ID]))),-1)))</f>
        <v/>
      </c>
      <c r="E524" s="99"/>
      <c r="F524" s="89"/>
      <c r="G524" s="89"/>
      <c r="H524" s="90"/>
      <c r="J524" s="91"/>
      <c r="K524" s="89"/>
      <c r="M524" s="92"/>
      <c r="N524" s="89"/>
      <c r="P524" s="93"/>
      <c r="Q524" s="161"/>
      <c r="R524" s="98"/>
      <c r="S524" s="95"/>
      <c r="T524" s="96"/>
      <c r="U524" s="97"/>
      <c r="V524" s="88"/>
      <c r="W524" s="46" t="str">
        <f>IF(NOTA[[#This Row],[HARGA/ CTN]]="",NOTA[[#This Row],[JUMLAH_H]],NOTA[[#This Row],[HARGA/ CTN]]*NOTA[[#This Row],[C]])</f>
        <v/>
      </c>
      <c r="X524" s="46" t="str">
        <f>IF(NOTA[[#This Row],[JUMLAH]]="","",NOTA[[#This Row],[JUMLAH]]*NOTA[[#This Row],[DISC 1]])</f>
        <v/>
      </c>
      <c r="Y524" s="46" t="str">
        <f>IF(NOTA[[#This Row],[JUMLAH]]="","",(NOTA[[#This Row],[JUMLAH]]-NOTA[[#This Row],[DISC 1-]])*NOTA[[#This Row],[DISC 2]])</f>
        <v/>
      </c>
      <c r="Z524" s="46" t="str">
        <f>IF(NOTA[[#This Row],[JUMLAH]]="","",NOTA[[#This Row],[DISC 1-]]+NOTA[[#This Row],[DISC 2-]])</f>
        <v/>
      </c>
      <c r="AA524" s="46" t="str">
        <f>IF(NOTA[[#This Row],[JUMLAH]]="","",NOTA[[#This Row],[JUMLAH]]-NOTA[[#This Row],[DISC]])</f>
        <v/>
      </c>
      <c r="AB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6" t="str">
        <f>IF(OR(NOTA[[#This Row],[QTY]]="",NOTA[[#This Row],[HARGA SATUAN]]="",),"",NOTA[[#This Row],[QTY]]*NOTA[[#This Row],[HARGA SATUAN]])</f>
        <v/>
      </c>
      <c r="AF524" s="44" t="str">
        <f ca="1">IF(NOTA[ID_H]="","",INDEX(NOTA[TANGGAL],MATCH(,INDIRECT(ADDRESS(ROW(NOTA[TANGGAL]),COLUMN(NOTA[TANGGAL]))&amp;":"&amp;ADDRESS(ROW(),COLUMN(NOTA[TANGGAL]))),-1)))</f>
        <v/>
      </c>
      <c r="AG524" s="40" t="str">
        <f ca="1">IF(NOTA[[#This Row],[NAMA BARANG]]="","",INDEX(NOTA[SUPPLIER],MATCH(,INDIRECT(ADDRESS(ROW(NOTA[ID]),COLUMN(NOTA[ID]))&amp;":"&amp;ADDRESS(ROW(),COLUMN(NOTA[ID]))),-1)))</f>
        <v/>
      </c>
      <c r="AH524" s="16" t="str">
        <f ca="1">IF(NOTA[[#This Row],[ID]]="","",COUNTIF(NOTA[ID_H],NOTA[[#This Row],[ID_H]]))</f>
        <v/>
      </c>
      <c r="AI524" s="16" t="str">
        <f ca="1">IF(NOTA[[#This Row],[TGL.NOTA]]="",IF(NOTA[[#This Row],[SUPPLIER_H]]="","",AI523),MONTH(NOTA[[#This Row],[TGL.NOTA]]))</f>
        <v/>
      </c>
      <c r="AJ524" s="16"/>
    </row>
    <row r="525" spans="1:36" ht="20.100000000000001" customHeight="1" x14ac:dyDescent="0.25">
      <c r="A525" s="4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5" s="41" t="e">
        <f ca="1">IF(NOTA[[#This Row],[ID_P]]="","",MATCH(NOTA[[#This Row],[ID_P]],[1]!B_MSK[N_ID],0))</f>
        <v>#REF!</v>
      </c>
      <c r="D525" s="41">
        <f ca="1">IF(NOTA[[#This Row],[NAMA BARANG]]="","",INDEX(NOTA[ID],MATCH(,INDIRECT(ADDRESS(ROW(NOTA[ID]),COLUMN(NOTA[ID]))&amp;":"&amp;ADDRESS(ROW(),COLUMN(NOTA[ID]))),-1)))</f>
        <v>117</v>
      </c>
      <c r="E525" s="99"/>
      <c r="F525" s="16" t="s">
        <v>242</v>
      </c>
      <c r="G525" s="16" t="s">
        <v>87</v>
      </c>
      <c r="H525" s="24"/>
      <c r="I525" s="16" t="s">
        <v>644</v>
      </c>
      <c r="J525" s="91">
        <v>44856</v>
      </c>
      <c r="K525" s="89"/>
      <c r="L525" s="16" t="s">
        <v>645</v>
      </c>
      <c r="M525" s="92">
        <v>3</v>
      </c>
      <c r="N525" s="89">
        <v>7500</v>
      </c>
      <c r="O525" s="16" t="s">
        <v>646</v>
      </c>
      <c r="P525" s="93">
        <v>700</v>
      </c>
      <c r="Q525" s="161"/>
      <c r="R525" s="98" t="s">
        <v>647</v>
      </c>
      <c r="S525" s="95"/>
      <c r="T525" s="96"/>
      <c r="U525" s="97"/>
      <c r="V525" s="88"/>
      <c r="W525" s="46">
        <f>IF(NOTA[[#This Row],[HARGA/ CTN]]="",NOTA[[#This Row],[JUMLAH_H]],NOTA[[#This Row],[HARGA/ CTN]]*NOTA[[#This Row],[C]])</f>
        <v>5250000</v>
      </c>
      <c r="X525" s="46">
        <f>IF(NOTA[[#This Row],[JUMLAH]]="","",NOTA[[#This Row],[JUMLAH]]*NOTA[[#This Row],[DISC 1]])</f>
        <v>0</v>
      </c>
      <c r="Y525" s="46">
        <f>IF(NOTA[[#This Row],[JUMLAH]]="","",(NOTA[[#This Row],[JUMLAH]]-NOTA[[#This Row],[DISC 1-]])*NOTA[[#This Row],[DISC 2]])</f>
        <v>0</v>
      </c>
      <c r="Z525" s="46">
        <f>IF(NOTA[[#This Row],[JUMLAH]]="","",NOTA[[#This Row],[DISC 1-]]+NOTA[[#This Row],[DISC 2-]])</f>
        <v>0</v>
      </c>
      <c r="AA525" s="46">
        <f>IF(NOTA[[#This Row],[JUMLAH]]="","",NOTA[[#This Row],[JUMLAH]]-NOTA[[#This Row],[DISC]])</f>
        <v>5250000</v>
      </c>
      <c r="AB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25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25" s="46">
        <f>IF(OR(NOTA[[#This Row],[QTY]]="",NOTA[[#This Row],[HARGA SATUAN]]="",),"",NOTA[[#This Row],[QTY]]*NOTA[[#This Row],[HARGA SATUAN]])</f>
        <v>5250000</v>
      </c>
      <c r="AF525" s="44">
        <f ca="1">IF(NOTA[ID_H]="","",INDEX(NOTA[TANGGAL],MATCH(,INDIRECT(ADDRESS(ROW(NOTA[TANGGAL]),COLUMN(NOTA[TANGGAL]))&amp;":"&amp;ADDRESS(ROW(),COLUMN(NOTA[TANGGAL]))),-1)))</f>
        <v>44862</v>
      </c>
      <c r="AG525" s="40" t="str">
        <f ca="1">IF(NOTA[[#This Row],[NAMA BARANG]]="","",INDEX(NOTA[SUPPLIER],MATCH(,INDIRECT(ADDRESS(ROW(NOTA[ID]),COLUMN(NOTA[ID]))&amp;":"&amp;ADDRESS(ROW(),COLUMN(NOTA[ID]))),-1)))</f>
        <v>BINTANG SAUDARA</v>
      </c>
      <c r="AH525" s="16">
        <f ca="1">IF(NOTA[[#This Row],[ID]]="","",COUNTIF(NOTA[ID_H],NOTA[[#This Row],[ID_H]]))</f>
        <v>1</v>
      </c>
      <c r="AI525" s="16">
        <f>IF(NOTA[[#This Row],[TGL.NOTA]]="",IF(NOTA[[#This Row],[SUPPLIER_H]]="","",AI524),MONTH(NOTA[[#This Row],[TGL.NOTA]]))</f>
        <v>10</v>
      </c>
      <c r="AJ525" s="16"/>
    </row>
    <row r="526" spans="1:36" ht="20.100000000000001" customHeight="1" x14ac:dyDescent="0.25">
      <c r="A52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 t="str">
        <f ca="1">IF(NOTA[[#This Row],[NAMA BARANG]]="","",INDEX(NOTA[ID],MATCH(,INDIRECT(ADDRESS(ROW(NOTA[ID]),COLUMN(NOTA[ID]))&amp;":"&amp;ADDRESS(ROW(),COLUMN(NOTA[ID]))),-1)))</f>
        <v/>
      </c>
      <c r="E526" s="99"/>
      <c r="H526" s="24"/>
      <c r="I526" s="89"/>
      <c r="J526" s="91"/>
      <c r="K526" s="89"/>
      <c r="M526" s="92"/>
      <c r="N526" s="89"/>
      <c r="P526" s="93"/>
      <c r="Q526" s="161"/>
      <c r="R526" s="98"/>
      <c r="S526" s="95"/>
      <c r="T526" s="96"/>
      <c r="U526" s="97"/>
      <c r="V526" s="88"/>
      <c r="W526" s="46" t="str">
        <f>IF(NOTA[[#This Row],[HARGA/ CTN]]="",NOTA[[#This Row],[JUMLAH_H]],NOTA[[#This Row],[HARGA/ CTN]]*NOTA[[#This Row],[C]])</f>
        <v/>
      </c>
      <c r="X526" s="46" t="str">
        <f>IF(NOTA[[#This Row],[JUMLAH]]="","",NOTA[[#This Row],[JUMLAH]]*NOTA[[#This Row],[DISC 1]])</f>
        <v/>
      </c>
      <c r="Y526" s="46" t="str">
        <f>IF(NOTA[[#This Row],[JUMLAH]]="","",(NOTA[[#This Row],[JUMLAH]]-NOTA[[#This Row],[DISC 1-]])*NOTA[[#This Row],[DISC 2]])</f>
        <v/>
      </c>
      <c r="Z526" s="46" t="str">
        <f>IF(NOTA[[#This Row],[JUMLAH]]="","",NOTA[[#This Row],[DISC 1-]]+NOTA[[#This Row],[DISC 2-]])</f>
        <v/>
      </c>
      <c r="AA526" s="46" t="str">
        <f>IF(NOTA[[#This Row],[JUMLAH]]="","",NOTA[[#This Row],[JUMLAH]]-NOTA[[#This Row],[DISC]])</f>
        <v/>
      </c>
      <c r="AB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46" t="str">
        <f>IF(OR(NOTA[[#This Row],[QTY]]="",NOTA[[#This Row],[HARGA SATUAN]]="",),"",NOTA[[#This Row],[QTY]]*NOTA[[#This Row],[HARGA SATUAN]])</f>
        <v/>
      </c>
      <c r="AF526" s="44" t="str">
        <f ca="1">IF(NOTA[ID_H]="","",INDEX(NOTA[TANGGAL],MATCH(,INDIRECT(ADDRESS(ROW(NOTA[TANGGAL]),COLUMN(NOTA[TANGGAL]))&amp;":"&amp;ADDRESS(ROW(),COLUMN(NOTA[TANGGAL]))),-1)))</f>
        <v/>
      </c>
      <c r="AG526" s="40" t="str">
        <f ca="1">IF(NOTA[[#This Row],[NAMA BARANG]]="","",INDEX(NOTA[SUPPLIER],MATCH(,INDIRECT(ADDRESS(ROW(NOTA[ID]),COLUMN(NOTA[ID]))&amp;":"&amp;ADDRESS(ROW(),COLUMN(NOTA[ID]))),-1)))</f>
        <v/>
      </c>
      <c r="AH526" s="16" t="str">
        <f ca="1">IF(NOTA[[#This Row],[ID]]="","",COUNTIF(NOTA[ID_H],NOTA[[#This Row],[ID_H]]))</f>
        <v/>
      </c>
      <c r="AI526" s="16" t="str">
        <f ca="1">IF(NOTA[[#This Row],[TGL.NOTA]]="",IF(NOTA[[#This Row],[SUPPLIER_H]]="","",AI525),MONTH(NOTA[[#This Row],[TGL.NOTA]]))</f>
        <v/>
      </c>
      <c r="AJ526" s="16"/>
    </row>
    <row r="527" spans="1:36" ht="20.100000000000001" customHeight="1" x14ac:dyDescent="0.25">
      <c r="A527" s="4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527" s="41" t="e">
        <f ca="1">IF(NOTA[[#This Row],[ID_P]]="","",MATCH(NOTA[[#This Row],[ID_P]],[1]!B_MSK[N_ID],0))</f>
        <v>#REF!</v>
      </c>
      <c r="D527" s="41">
        <f ca="1">IF(NOTA[[#This Row],[NAMA BARANG]]="","",INDEX(NOTA[ID],MATCH(,INDIRECT(ADDRESS(ROW(NOTA[ID]),COLUMN(NOTA[ID]))&amp;":"&amp;ADDRESS(ROW(),COLUMN(NOTA[ID]))),-1)))</f>
        <v>118</v>
      </c>
      <c r="E527" s="99"/>
      <c r="F527" s="16" t="s">
        <v>560</v>
      </c>
      <c r="G527" s="16" t="s">
        <v>87</v>
      </c>
      <c r="H527" s="24" t="s">
        <v>648</v>
      </c>
      <c r="I527" s="89"/>
      <c r="J527" s="91">
        <v>44851</v>
      </c>
      <c r="K527" s="89"/>
      <c r="L527" s="16" t="s">
        <v>649</v>
      </c>
      <c r="M527" s="92">
        <v>10</v>
      </c>
      <c r="N527" s="89">
        <v>960</v>
      </c>
      <c r="O527" s="16" t="s">
        <v>88</v>
      </c>
      <c r="P527" s="93">
        <v>23333</v>
      </c>
      <c r="Q527" s="161"/>
      <c r="R527" s="98" t="s">
        <v>410</v>
      </c>
      <c r="S527" s="95"/>
      <c r="T527" s="96"/>
      <c r="U527" s="97"/>
      <c r="V527" s="88"/>
      <c r="W527" s="46">
        <f>IF(NOTA[[#This Row],[HARGA/ CTN]]="",NOTA[[#This Row],[JUMLAH_H]],NOTA[[#This Row],[HARGA/ CTN]]*NOTA[[#This Row],[C]])</f>
        <v>22399680</v>
      </c>
      <c r="X527" s="46">
        <f>IF(NOTA[[#This Row],[JUMLAH]]="","",NOTA[[#This Row],[JUMLAH]]*NOTA[[#This Row],[DISC 1]])</f>
        <v>0</v>
      </c>
      <c r="Y527" s="46">
        <f>IF(NOTA[[#This Row],[JUMLAH]]="","",(NOTA[[#This Row],[JUMLAH]]-NOTA[[#This Row],[DISC 1-]])*NOTA[[#This Row],[DISC 2]])</f>
        <v>0</v>
      </c>
      <c r="Z527" s="46">
        <f>IF(NOTA[[#This Row],[JUMLAH]]="","",NOTA[[#This Row],[DISC 1-]]+NOTA[[#This Row],[DISC 2-]])</f>
        <v>0</v>
      </c>
      <c r="AA527" s="46">
        <f>IF(NOTA[[#This Row],[JUMLAH]]="","",NOTA[[#This Row],[JUMLAH]]-NOTA[[#This Row],[DISC]])</f>
        <v>22399680</v>
      </c>
      <c r="AB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527" s="46">
        <f>IF(OR(NOTA[[#This Row],[QTY]]="",NOTA[[#This Row],[HARGA SATUAN]]="",),"",NOTA[[#This Row],[QTY]]*NOTA[[#This Row],[HARGA SATUAN]])</f>
        <v>22399680</v>
      </c>
      <c r="AF527" s="44">
        <f ca="1">IF(NOTA[ID_H]="","",INDEX(NOTA[TANGGAL],MATCH(,INDIRECT(ADDRESS(ROW(NOTA[TANGGAL]),COLUMN(NOTA[TANGGAL]))&amp;":"&amp;ADDRESS(ROW(),COLUMN(NOTA[TANGGAL]))),-1)))</f>
        <v>44862</v>
      </c>
      <c r="AG527" s="40" t="str">
        <f ca="1">IF(NOTA[[#This Row],[NAMA BARANG]]="","",INDEX(NOTA[SUPPLIER],MATCH(,INDIRECT(ADDRESS(ROW(NOTA[ID]),COLUMN(NOTA[ID]))&amp;":"&amp;ADDRESS(ROW(),COLUMN(NOTA[ID]))),-1)))</f>
        <v>SBS</v>
      </c>
      <c r="AH527" s="16">
        <f ca="1">IF(NOTA[[#This Row],[ID]]="","",COUNTIF(NOTA[ID_H],NOTA[[#This Row],[ID_H]]))</f>
        <v>2</v>
      </c>
      <c r="AI527" s="16">
        <f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118</v>
      </c>
      <c r="E528" s="99"/>
      <c r="H528" s="24"/>
      <c r="I528" s="89"/>
      <c r="K528" s="89"/>
      <c r="L528" s="16" t="s">
        <v>649</v>
      </c>
      <c r="M528" s="92">
        <v>1</v>
      </c>
      <c r="N528" s="89">
        <v>96</v>
      </c>
      <c r="O528" s="16" t="s">
        <v>88</v>
      </c>
      <c r="P528" s="93"/>
      <c r="Q528" s="161"/>
      <c r="R528" s="98" t="s">
        <v>410</v>
      </c>
      <c r="S528" s="95"/>
      <c r="T528" s="96"/>
      <c r="U528" s="97"/>
      <c r="V528" s="88" t="s">
        <v>559</v>
      </c>
      <c r="W528" s="46" t="str">
        <f>IF(NOTA[[#This Row],[HARGA/ CTN]]="",NOTA[[#This Row],[JUMLAH_H]],NOTA[[#This Row],[HARGA/ CTN]]*NOTA[[#This Row],[C]])</f>
        <v/>
      </c>
      <c r="X528" s="46" t="str">
        <f>IF(NOTA[[#This Row],[JUMLAH]]="","",NOTA[[#This Row],[JUMLAH]]*NOTA[[#This Row],[DISC 1]])</f>
        <v/>
      </c>
      <c r="Y528" s="46" t="str">
        <f>IF(NOTA[[#This Row],[JUMLAH]]="","",(NOTA[[#This Row],[JUMLAH]]-NOTA[[#This Row],[DISC 1-]])*NOTA[[#This Row],[DISC 2]])</f>
        <v/>
      </c>
      <c r="Z528" s="46" t="str">
        <f>IF(NOTA[[#This Row],[JUMLAH]]="","",NOTA[[#This Row],[DISC 1-]]+NOTA[[#This Row],[DISC 2-]])</f>
        <v/>
      </c>
      <c r="AA528" s="46" t="str">
        <f>IF(NOTA[[#This Row],[JUMLAH]]="","",NOTA[[#This Row],[JUMLAH]]-NOTA[[#This Row],[DISC]])</f>
        <v/>
      </c>
      <c r="AB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528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46" t="str">
        <f>IF(OR(NOTA[[#This Row],[QTY]]="",NOTA[[#This Row],[HARGA SATUAN]]="",),"",NOTA[[#This Row],[QTY]]*NOTA[[#This Row],[HARGA SATUAN]])</f>
        <v/>
      </c>
      <c r="AF528" s="44">
        <f ca="1">IF(NOTA[ID_H]="","",INDEX(NOTA[TANGGAL],MATCH(,INDIRECT(ADDRESS(ROW(NOTA[TANGGAL]),COLUMN(NOTA[TANGGAL]))&amp;":"&amp;ADDRESS(ROW(),COLUMN(NOTA[TANGGAL]))),-1)))</f>
        <v>44862</v>
      </c>
      <c r="AG528" s="40" t="str">
        <f ca="1">IF(NOTA[[#This Row],[NAMA BARANG]]="","",INDEX(NOTA[SUPPLIER],MATCH(,INDIRECT(ADDRESS(ROW(NOTA[ID]),COLUMN(NOTA[ID]))&amp;":"&amp;ADDRESS(ROW(),COLUMN(NOTA[ID]))),-1)))</f>
        <v>SBS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 t="str">
        <f ca="1">IF(NOTA[[#This Row],[NAMA BARANG]]="","",INDEX(NOTA[ID],MATCH(,INDIRECT(ADDRESS(ROW(NOTA[ID]),COLUMN(NOTA[ID]))&amp;":"&amp;ADDRESS(ROW(),COLUMN(NOTA[ID]))),-1)))</f>
        <v/>
      </c>
      <c r="E529" s="99"/>
      <c r="F529" s="89"/>
      <c r="G529" s="89"/>
      <c r="H529" s="90"/>
      <c r="I529" s="89"/>
      <c r="J529" s="91"/>
      <c r="K529" s="89"/>
      <c r="L529" s="89"/>
      <c r="M529" s="92"/>
      <c r="N529" s="89"/>
      <c r="O529" s="89"/>
      <c r="P529" s="93"/>
      <c r="Q529" s="161"/>
      <c r="R529" s="94"/>
      <c r="S529" s="95"/>
      <c r="T529" s="96"/>
      <c r="U529" s="97"/>
      <c r="V529" s="88"/>
      <c r="W529" s="46" t="str">
        <f>IF(NOTA[[#This Row],[HARGA/ CTN]]="",NOTA[[#This Row],[JUMLAH_H]],NOTA[[#This Row],[HARGA/ CTN]]*NOTA[[#This Row],[C]])</f>
        <v/>
      </c>
      <c r="X529" s="46" t="str">
        <f>IF(NOTA[[#This Row],[JUMLAH]]="","",NOTA[[#This Row],[JUMLAH]]*NOTA[[#This Row],[DISC 1]])</f>
        <v/>
      </c>
      <c r="Y529" s="46" t="str">
        <f>IF(NOTA[[#This Row],[JUMLAH]]="","",(NOTA[[#This Row],[JUMLAH]]-NOTA[[#This Row],[DISC 1-]])*NOTA[[#This Row],[DISC 2]])</f>
        <v/>
      </c>
      <c r="Z529" s="46" t="str">
        <f>IF(NOTA[[#This Row],[JUMLAH]]="","",NOTA[[#This Row],[DISC 1-]]+NOTA[[#This Row],[DISC 2-]])</f>
        <v/>
      </c>
      <c r="AA529" s="46" t="str">
        <f>IF(NOTA[[#This Row],[JUMLAH]]="","",NOTA[[#This Row],[JUMLAH]]-NOTA[[#This Row],[DISC]])</f>
        <v/>
      </c>
      <c r="AB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6" t="str">
        <f>IF(OR(NOTA[[#This Row],[QTY]]="",NOTA[[#This Row],[HARGA SATUAN]]="",),"",NOTA[[#This Row],[QTY]]*NOTA[[#This Row],[HARGA SATUAN]])</f>
        <v/>
      </c>
      <c r="AF529" s="44" t="str">
        <f ca="1">IF(NOTA[ID_H]="","",INDEX(NOTA[TANGGAL],MATCH(,INDIRECT(ADDRESS(ROW(NOTA[TANGGAL]),COLUMN(NOTA[TANGGAL]))&amp;":"&amp;ADDRESS(ROW(),COLUMN(NOTA[TANGGAL]))),-1)))</f>
        <v/>
      </c>
      <c r="AG529" s="40" t="str">
        <f ca="1">IF(NOTA[[#This Row],[NAMA BARANG]]="","",INDEX(NOTA[SUPPLIER],MATCH(,INDIRECT(ADDRESS(ROW(NOTA[ID]),COLUMN(NOTA[ID]))&amp;":"&amp;ADDRESS(ROW(),COLUMN(NOTA[ID]))),-1)))</f>
        <v/>
      </c>
      <c r="AH529" s="16" t="str">
        <f ca="1">IF(NOTA[[#This Row],[ID]]="","",COUNTIF(NOTA[ID_H],NOTA[[#This Row],[ID_H]]))</f>
        <v/>
      </c>
      <c r="AI529" s="16" t="str">
        <f ca="1">IF(NOTA[[#This Row],[TGL.NOTA]]="",IF(NOTA[[#This Row],[SUPPLIER_H]]="","",AI528),MONTH(NOTA[[#This Row],[TGL.NOTA]]))</f>
        <v/>
      </c>
      <c r="AJ529" s="16"/>
    </row>
    <row r="530" spans="1:36" ht="20.100000000000001" customHeight="1" x14ac:dyDescent="0.25">
      <c r="A530" s="4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530" s="41" t="e">
        <f ca="1">IF(NOTA[[#This Row],[ID_P]]="","",MATCH(NOTA[[#This Row],[ID_P]],[1]!B_MSK[N_ID],0))</f>
        <v>#REF!</v>
      </c>
      <c r="D530" s="41">
        <f ca="1">IF(NOTA[[#This Row],[NAMA BARANG]]="","",INDEX(NOTA[ID],MATCH(,INDIRECT(ADDRESS(ROW(NOTA[ID]),COLUMN(NOTA[ID]))&amp;":"&amp;ADDRESS(ROW(),COLUMN(NOTA[ID]))),-1)))</f>
        <v>119</v>
      </c>
      <c r="E530" s="99"/>
      <c r="F530" s="16" t="s">
        <v>560</v>
      </c>
      <c r="G530" s="16" t="s">
        <v>87</v>
      </c>
      <c r="H530" s="24" t="s">
        <v>650</v>
      </c>
      <c r="I530" s="89"/>
      <c r="J530" s="91">
        <v>44838</v>
      </c>
      <c r="K530" s="89"/>
      <c r="L530" s="16" t="s">
        <v>651</v>
      </c>
      <c r="M530" s="92">
        <v>10</v>
      </c>
      <c r="N530" s="89">
        <v>1200</v>
      </c>
      <c r="O530" s="16" t="s">
        <v>287</v>
      </c>
      <c r="P530" s="93">
        <v>10800</v>
      </c>
      <c r="Q530" s="161"/>
      <c r="R530" s="98" t="s">
        <v>652</v>
      </c>
      <c r="S530" s="95"/>
      <c r="T530" s="96"/>
      <c r="U530" s="97"/>
      <c r="V530" s="88" t="s">
        <v>660</v>
      </c>
      <c r="W530" s="46">
        <f>IF(NOTA[[#This Row],[HARGA/ CTN]]="",NOTA[[#This Row],[JUMLAH_H]],NOTA[[#This Row],[HARGA/ CTN]]*NOTA[[#This Row],[C]])</f>
        <v>12960000</v>
      </c>
      <c r="X530" s="46">
        <f>IF(NOTA[[#This Row],[JUMLAH]]="","",NOTA[[#This Row],[JUMLAH]]*NOTA[[#This Row],[DISC 1]])</f>
        <v>0</v>
      </c>
      <c r="Y530" s="46">
        <f>IF(NOTA[[#This Row],[JUMLAH]]="","",(NOTA[[#This Row],[JUMLAH]]-NOTA[[#This Row],[DISC 1-]])*NOTA[[#This Row],[DISC 2]])</f>
        <v>0</v>
      </c>
      <c r="Z530" s="46">
        <f>IF(NOTA[[#This Row],[JUMLAH]]="","",NOTA[[#This Row],[DISC 1-]]+NOTA[[#This Row],[DISC 2-]])</f>
        <v>0</v>
      </c>
      <c r="AA530" s="46">
        <f>IF(NOTA[[#This Row],[JUMLAH]]="","",NOTA[[#This Row],[JUMLAH]]-NOTA[[#This Row],[DISC]])</f>
        <v>12960000</v>
      </c>
      <c r="AB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0" s="46">
        <f>IF(OR(NOTA[[#This Row],[QTY]]="",NOTA[[#This Row],[HARGA SATUAN]]="",),"",NOTA[[#This Row],[QTY]]*NOTA[[#This Row],[HARGA SATUAN]])</f>
        <v>12960000</v>
      </c>
      <c r="AF530" s="44">
        <f ca="1">IF(NOTA[ID_H]="","",INDEX(NOTA[TANGGAL],MATCH(,INDIRECT(ADDRESS(ROW(NOTA[TANGGAL]),COLUMN(NOTA[TANGGAL]))&amp;":"&amp;ADDRESS(ROW(),COLUMN(NOTA[TANGGAL]))),-1)))</f>
        <v>44862</v>
      </c>
      <c r="AG530" s="40" t="str">
        <f ca="1">IF(NOTA[[#This Row],[NAMA BARANG]]="","",INDEX(NOTA[SUPPLIER],MATCH(,INDIRECT(ADDRESS(ROW(NOTA[ID]),COLUMN(NOTA[ID]))&amp;":"&amp;ADDRESS(ROW(),COLUMN(NOTA[ID]))),-1)))</f>
        <v>SBS</v>
      </c>
      <c r="AH530" s="16">
        <f ca="1">IF(NOTA[[#This Row],[ID]]="","",COUNTIF(NOTA[ID_H],NOTA[[#This Row],[ID_H]]))</f>
        <v>8</v>
      </c>
      <c r="AI530" s="16">
        <f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>
        <f ca="1">IF(NOTA[[#This Row],[NAMA BARANG]]="","",INDEX(NOTA[ID],MATCH(,INDIRECT(ADDRESS(ROW(NOTA[ID]),COLUMN(NOTA[ID]))&amp;":"&amp;ADDRESS(ROW(),COLUMN(NOTA[ID]))),-1)))</f>
        <v>119</v>
      </c>
      <c r="E531" s="51"/>
      <c r="F531" s="31"/>
      <c r="G531" s="31"/>
      <c r="H531" s="33"/>
      <c r="I531" s="42"/>
      <c r="J531" s="44"/>
      <c r="K531" s="42"/>
      <c r="L531" s="16" t="s">
        <v>653</v>
      </c>
      <c r="M531" s="92">
        <v>10</v>
      </c>
      <c r="N531" s="89">
        <v>1200</v>
      </c>
      <c r="O531" s="16" t="s">
        <v>287</v>
      </c>
      <c r="P531" s="93">
        <v>10800</v>
      </c>
      <c r="Q531" s="161"/>
      <c r="R531" s="98" t="s">
        <v>652</v>
      </c>
      <c r="S531" s="47"/>
      <c r="T531" s="47"/>
      <c r="U531" s="46"/>
      <c r="V531" s="88" t="s">
        <v>660</v>
      </c>
      <c r="W531" s="46">
        <f>IF(NOTA[[#This Row],[HARGA/ CTN]]="",NOTA[[#This Row],[JUMLAH_H]],NOTA[[#This Row],[HARGA/ CTN]]*NOTA[[#This Row],[C]])</f>
        <v>12960000</v>
      </c>
      <c r="X531" s="46">
        <f>IF(NOTA[[#This Row],[JUMLAH]]="","",NOTA[[#This Row],[JUMLAH]]*NOTA[[#This Row],[DISC 1]])</f>
        <v>0</v>
      </c>
      <c r="Y531" s="46">
        <f>IF(NOTA[[#This Row],[JUMLAH]]="","",(NOTA[[#This Row],[JUMLAH]]-NOTA[[#This Row],[DISC 1-]])*NOTA[[#This Row],[DISC 2]])</f>
        <v>0</v>
      </c>
      <c r="Z531" s="46">
        <f>IF(NOTA[[#This Row],[JUMLAH]]="","",NOTA[[#This Row],[DISC 1-]]+NOTA[[#This Row],[DISC 2-]])</f>
        <v>0</v>
      </c>
      <c r="AA531" s="46">
        <f>IF(NOTA[[#This Row],[JUMLAH]]="","",NOTA[[#This Row],[JUMLAH]]-NOTA[[#This Row],[DISC]])</f>
        <v>12960000</v>
      </c>
      <c r="AB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1" s="46">
        <f>IF(OR(NOTA[[#This Row],[QTY]]="",NOTA[[#This Row],[HARGA SATUAN]]="",),"",NOTA[[#This Row],[QTY]]*NOTA[[#This Row],[HARGA SATUAN]])</f>
        <v>12960000</v>
      </c>
      <c r="AF531" s="44">
        <f ca="1">IF(NOTA[ID_H]="","",INDEX(NOTA[TANGGAL],MATCH(,INDIRECT(ADDRESS(ROW(NOTA[TANGGAL]),COLUMN(NOTA[TANGGAL]))&amp;":"&amp;ADDRESS(ROW(),COLUMN(NOTA[TANGGAL]))),-1)))</f>
        <v>44862</v>
      </c>
      <c r="AG531" s="40" t="str">
        <f ca="1">IF(NOTA[[#This Row],[NAMA BARANG]]="","",INDEX(NOTA[SUPPLIER],MATCH(,INDIRECT(ADDRESS(ROW(NOTA[ID]),COLUMN(NOTA[ID]))&amp;":"&amp;ADDRESS(ROW(),COLUMN(NOTA[ID]))),-1)))</f>
        <v>SBS</v>
      </c>
      <c r="AH531" s="16" t="str">
        <f ca="1">IF(NOTA[[#This Row],[ID]]="","",COUNTIF(NOTA[ID_H],NOTA[[#This Row],[ID_H]]))</f>
        <v/>
      </c>
      <c r="AI531" s="16">
        <f ca="1">IF(NOTA[[#This Row],[TGL.NOTA]]="",IF(NOTA[[#This Row],[SUPPLIER_H]]="","",AI530),MONTH(NOTA[[#This Row],[TGL.NOTA]]))</f>
        <v>10</v>
      </c>
      <c r="AJ531" s="16"/>
    </row>
    <row r="532" spans="1:36" ht="20.100000000000001" customHeight="1" x14ac:dyDescent="0.25">
      <c r="A53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41" t="str">
        <f>IF(NOTA[[#This Row],[ID_P]]="","",MATCH(NOTA[[#This Row],[ID_P]],[1]!B_MSK[N_ID],0))</f>
        <v/>
      </c>
      <c r="D532" s="41">
        <f ca="1">IF(NOTA[[#This Row],[NAMA BARANG]]="","",INDEX(NOTA[ID],MATCH(,INDIRECT(ADDRESS(ROW(NOTA[ID]),COLUMN(NOTA[ID]))&amp;":"&amp;ADDRESS(ROW(),COLUMN(NOTA[ID]))),-1)))</f>
        <v>119</v>
      </c>
      <c r="E532" s="51"/>
      <c r="F532" s="31"/>
      <c r="G532" s="31"/>
      <c r="H532" s="33"/>
      <c r="I532" s="42"/>
      <c r="J532" s="44"/>
      <c r="K532" s="42"/>
      <c r="L532" s="16" t="s">
        <v>654</v>
      </c>
      <c r="M532" s="92">
        <v>10</v>
      </c>
      <c r="N532" s="89">
        <v>1200</v>
      </c>
      <c r="O532" s="16" t="s">
        <v>287</v>
      </c>
      <c r="P532" s="93">
        <v>10800</v>
      </c>
      <c r="Q532" s="161"/>
      <c r="R532" s="98" t="s">
        <v>652</v>
      </c>
      <c r="S532" s="47"/>
      <c r="T532" s="47"/>
      <c r="U532" s="46"/>
      <c r="V532" s="88" t="s">
        <v>660</v>
      </c>
      <c r="W532" s="46">
        <f>IF(NOTA[[#This Row],[HARGA/ CTN]]="",NOTA[[#This Row],[JUMLAH_H]],NOTA[[#This Row],[HARGA/ CTN]]*NOTA[[#This Row],[C]])</f>
        <v>12960000</v>
      </c>
      <c r="X532" s="46">
        <f>IF(NOTA[[#This Row],[JUMLAH]]="","",NOTA[[#This Row],[JUMLAH]]*NOTA[[#This Row],[DISC 1]])</f>
        <v>0</v>
      </c>
      <c r="Y532" s="46">
        <f>IF(NOTA[[#This Row],[JUMLAH]]="","",(NOTA[[#This Row],[JUMLAH]]-NOTA[[#This Row],[DISC 1-]])*NOTA[[#This Row],[DISC 2]])</f>
        <v>0</v>
      </c>
      <c r="Z532" s="46">
        <f>IF(NOTA[[#This Row],[JUMLAH]]="","",NOTA[[#This Row],[DISC 1-]]+NOTA[[#This Row],[DISC 2-]])</f>
        <v>0</v>
      </c>
      <c r="AA532" s="46">
        <f>IF(NOTA[[#This Row],[JUMLAH]]="","",NOTA[[#This Row],[JUMLAH]]-NOTA[[#This Row],[DISC]])</f>
        <v>12960000</v>
      </c>
      <c r="AB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2" s="46">
        <f>IF(OR(NOTA[[#This Row],[QTY]]="",NOTA[[#This Row],[HARGA SATUAN]]="",),"",NOTA[[#This Row],[QTY]]*NOTA[[#This Row],[HARGA SATUAN]])</f>
        <v>12960000</v>
      </c>
      <c r="AF532" s="44">
        <f ca="1">IF(NOTA[ID_H]="","",INDEX(NOTA[TANGGAL],MATCH(,INDIRECT(ADDRESS(ROW(NOTA[TANGGAL]),COLUMN(NOTA[TANGGAL]))&amp;":"&amp;ADDRESS(ROW(),COLUMN(NOTA[TANGGAL]))),-1)))</f>
        <v>44862</v>
      </c>
      <c r="AG532" s="40" t="str">
        <f ca="1">IF(NOTA[[#This Row],[NAMA BARANG]]="","",INDEX(NOTA[SUPPLIER],MATCH(,INDIRECT(ADDRESS(ROW(NOTA[ID]),COLUMN(NOTA[ID]))&amp;":"&amp;ADDRESS(ROW(),COLUMN(NOTA[ID]))),-1)))</f>
        <v>SBS</v>
      </c>
      <c r="AH532" s="16" t="str">
        <f ca="1">IF(NOTA[[#This Row],[ID]]="","",COUNTIF(NOTA[ID_H],NOTA[[#This Row],[ID_H]]))</f>
        <v/>
      </c>
      <c r="AI532" s="16">
        <f ca="1"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119</v>
      </c>
      <c r="E533" s="51"/>
      <c r="F533" s="31"/>
      <c r="G533" s="31"/>
      <c r="H533" s="33"/>
      <c r="I533" s="42"/>
      <c r="J533" s="44"/>
      <c r="K533" s="42"/>
      <c r="L533" s="31" t="s">
        <v>655</v>
      </c>
      <c r="M533" s="45">
        <v>10</v>
      </c>
      <c r="N533" s="42">
        <v>1200</v>
      </c>
      <c r="O533" s="31" t="s">
        <v>287</v>
      </c>
      <c r="P533" s="40">
        <v>10800</v>
      </c>
      <c r="Q533" s="160"/>
      <c r="R533" s="35" t="s">
        <v>652</v>
      </c>
      <c r="S533" s="47"/>
      <c r="T533" s="47"/>
      <c r="U533" s="46"/>
      <c r="V533" s="88" t="s">
        <v>660</v>
      </c>
      <c r="W533" s="46">
        <f>IF(NOTA[[#This Row],[HARGA/ CTN]]="",NOTA[[#This Row],[JUMLAH_H]],NOTA[[#This Row],[HARGA/ CTN]]*NOTA[[#This Row],[C]])</f>
        <v>12960000</v>
      </c>
      <c r="X533" s="46">
        <f>IF(NOTA[[#This Row],[JUMLAH]]="","",NOTA[[#This Row],[JUMLAH]]*NOTA[[#This Row],[DISC 1]])</f>
        <v>0</v>
      </c>
      <c r="Y533" s="46">
        <f>IF(NOTA[[#This Row],[JUMLAH]]="","",(NOTA[[#This Row],[JUMLAH]]-NOTA[[#This Row],[DISC 1-]])*NOTA[[#This Row],[DISC 2]])</f>
        <v>0</v>
      </c>
      <c r="Z533" s="46">
        <f>IF(NOTA[[#This Row],[JUMLAH]]="","",NOTA[[#This Row],[DISC 1-]]+NOTA[[#This Row],[DISC 2-]])</f>
        <v>0</v>
      </c>
      <c r="AA533" s="46">
        <f>IF(NOTA[[#This Row],[JUMLAH]]="","",NOTA[[#This Row],[JUMLAH]]-NOTA[[#This Row],[DISC]])</f>
        <v>12960000</v>
      </c>
      <c r="AB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3" s="46">
        <f>IF(OR(NOTA[[#This Row],[QTY]]="",NOTA[[#This Row],[HARGA SATUAN]]="",),"",NOTA[[#This Row],[QTY]]*NOTA[[#This Row],[HARGA SATUAN]])</f>
        <v>12960000</v>
      </c>
      <c r="AF533" s="44">
        <f ca="1">IF(NOTA[ID_H]="","",INDEX(NOTA[TANGGAL],MATCH(,INDIRECT(ADDRESS(ROW(NOTA[TANGGAL]),COLUMN(NOTA[TANGGAL]))&amp;":"&amp;ADDRESS(ROW(),COLUMN(NOTA[TANGGAL]))),-1)))</f>
        <v>44862</v>
      </c>
      <c r="AG533" s="40" t="str">
        <f ca="1">IF(NOTA[[#This Row],[NAMA BARANG]]="","",INDEX(NOTA[SUPPLIER],MATCH(,INDIRECT(ADDRESS(ROW(NOTA[ID]),COLUMN(NOTA[ID]))&amp;":"&amp;ADDRESS(ROW(),COLUMN(NOTA[ID]))),-1)))</f>
        <v>SBS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>
        <f ca="1">IF(NOTA[[#This Row],[NAMA BARANG]]="","",INDEX(NOTA[ID],MATCH(,INDIRECT(ADDRESS(ROW(NOTA[ID]),COLUMN(NOTA[ID]))&amp;":"&amp;ADDRESS(ROW(),COLUMN(NOTA[ID]))),-1)))</f>
        <v>119</v>
      </c>
      <c r="E534" s="51"/>
      <c r="F534" s="31"/>
      <c r="G534" s="31"/>
      <c r="H534" s="33"/>
      <c r="I534" s="42"/>
      <c r="J534" s="44"/>
      <c r="K534" s="42"/>
      <c r="L534" s="31" t="s">
        <v>656</v>
      </c>
      <c r="M534" s="45">
        <v>10</v>
      </c>
      <c r="N534" s="42">
        <v>1200</v>
      </c>
      <c r="O534" s="31" t="s">
        <v>287</v>
      </c>
      <c r="P534" s="40">
        <v>10800</v>
      </c>
      <c r="Q534" s="160"/>
      <c r="R534" s="35" t="s">
        <v>652</v>
      </c>
      <c r="S534" s="47"/>
      <c r="T534" s="47"/>
      <c r="U534" s="46"/>
      <c r="V534" s="88" t="s">
        <v>660</v>
      </c>
      <c r="W534" s="46">
        <f>IF(NOTA[[#This Row],[HARGA/ CTN]]="",NOTA[[#This Row],[JUMLAH_H]],NOTA[[#This Row],[HARGA/ CTN]]*NOTA[[#This Row],[C]])</f>
        <v>12960000</v>
      </c>
      <c r="X534" s="46">
        <f>IF(NOTA[[#This Row],[JUMLAH]]="","",NOTA[[#This Row],[JUMLAH]]*NOTA[[#This Row],[DISC 1]])</f>
        <v>0</v>
      </c>
      <c r="Y534" s="46">
        <f>IF(NOTA[[#This Row],[JUMLAH]]="","",(NOTA[[#This Row],[JUMLAH]]-NOTA[[#This Row],[DISC 1-]])*NOTA[[#This Row],[DISC 2]])</f>
        <v>0</v>
      </c>
      <c r="Z534" s="46">
        <f>IF(NOTA[[#This Row],[JUMLAH]]="","",NOTA[[#This Row],[DISC 1-]]+NOTA[[#This Row],[DISC 2-]])</f>
        <v>0</v>
      </c>
      <c r="AA534" s="46">
        <f>IF(NOTA[[#This Row],[JUMLAH]]="","",NOTA[[#This Row],[JUMLAH]]-NOTA[[#This Row],[DISC]])</f>
        <v>12960000</v>
      </c>
      <c r="AB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4" s="46">
        <f>IF(OR(NOTA[[#This Row],[QTY]]="",NOTA[[#This Row],[HARGA SATUAN]]="",),"",NOTA[[#This Row],[QTY]]*NOTA[[#This Row],[HARGA SATUAN]])</f>
        <v>12960000</v>
      </c>
      <c r="AF534" s="44">
        <f ca="1">IF(NOTA[ID_H]="","",INDEX(NOTA[TANGGAL],MATCH(,INDIRECT(ADDRESS(ROW(NOTA[TANGGAL]),COLUMN(NOTA[TANGGAL]))&amp;":"&amp;ADDRESS(ROW(),COLUMN(NOTA[TANGGAL]))),-1)))</f>
        <v>44862</v>
      </c>
      <c r="AG534" s="40" t="str">
        <f ca="1">IF(NOTA[[#This Row],[NAMA BARANG]]="","",INDEX(NOTA[SUPPLIER],MATCH(,INDIRECT(ADDRESS(ROW(NOTA[ID]),COLUMN(NOTA[ID]))&amp;":"&amp;ADDRESS(ROW(),COLUMN(NOTA[ID]))),-1)))</f>
        <v>SBS</v>
      </c>
      <c r="AH534" s="16" t="str">
        <f ca="1">IF(NOTA[[#This Row],[ID]]="","",COUNTIF(NOTA[ID_H],NOTA[[#This Row],[ID_H]]))</f>
        <v/>
      </c>
      <c r="AI534" s="16">
        <f ca="1">IF(NOTA[[#This Row],[TGL.NOTA]]="",IF(NOTA[[#This Row],[SUPPLIER_H]]="","",AI533),MONTH(NOTA[[#This Row],[TGL.NOTA]]))</f>
        <v>10</v>
      </c>
      <c r="AJ534" s="16"/>
    </row>
    <row r="535" spans="1:36" ht="20.100000000000001" customHeight="1" x14ac:dyDescent="0.25">
      <c r="A53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1" t="str">
        <f>IF(NOTA[[#This Row],[ID_P]]="","",MATCH(NOTA[[#This Row],[ID_P]],[1]!B_MSK[N_ID],0))</f>
        <v/>
      </c>
      <c r="D535" s="41">
        <f ca="1">IF(NOTA[[#This Row],[NAMA BARANG]]="","",INDEX(NOTA[ID],MATCH(,INDIRECT(ADDRESS(ROW(NOTA[ID]),COLUMN(NOTA[ID]))&amp;":"&amp;ADDRESS(ROW(),COLUMN(NOTA[ID]))),-1)))</f>
        <v>119</v>
      </c>
      <c r="E535" s="51"/>
      <c r="F535" s="31"/>
      <c r="G535" s="31"/>
      <c r="H535" s="33"/>
      <c r="I535" s="42"/>
      <c r="J535" s="44"/>
      <c r="K535" s="31"/>
      <c r="L535" s="31" t="s">
        <v>657</v>
      </c>
      <c r="M535" s="45">
        <v>10</v>
      </c>
      <c r="N535" s="42">
        <v>1200</v>
      </c>
      <c r="O535" s="31" t="s">
        <v>287</v>
      </c>
      <c r="P535" s="40">
        <v>10800</v>
      </c>
      <c r="Q535" s="160"/>
      <c r="R535" s="35" t="s">
        <v>652</v>
      </c>
      <c r="S535" s="47"/>
      <c r="T535" s="47"/>
      <c r="U535" s="46"/>
      <c r="V535" s="88" t="s">
        <v>660</v>
      </c>
      <c r="W535" s="46">
        <f>IF(NOTA[[#This Row],[HARGA/ CTN]]="",NOTA[[#This Row],[JUMLAH_H]],NOTA[[#This Row],[HARGA/ CTN]]*NOTA[[#This Row],[C]])</f>
        <v>12960000</v>
      </c>
      <c r="X535" s="46">
        <f>IF(NOTA[[#This Row],[JUMLAH]]="","",NOTA[[#This Row],[JUMLAH]]*NOTA[[#This Row],[DISC 1]])</f>
        <v>0</v>
      </c>
      <c r="Y535" s="46">
        <f>IF(NOTA[[#This Row],[JUMLAH]]="","",(NOTA[[#This Row],[JUMLAH]]-NOTA[[#This Row],[DISC 1-]])*NOTA[[#This Row],[DISC 2]])</f>
        <v>0</v>
      </c>
      <c r="Z535" s="46">
        <f>IF(NOTA[[#This Row],[JUMLAH]]="","",NOTA[[#This Row],[DISC 1-]]+NOTA[[#This Row],[DISC 2-]])</f>
        <v>0</v>
      </c>
      <c r="AA535" s="46">
        <f>IF(NOTA[[#This Row],[JUMLAH]]="","",NOTA[[#This Row],[JUMLAH]]-NOTA[[#This Row],[DISC]])</f>
        <v>12960000</v>
      </c>
      <c r="AB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5" s="46">
        <f>IF(OR(NOTA[[#This Row],[QTY]]="",NOTA[[#This Row],[HARGA SATUAN]]="",),"",NOTA[[#This Row],[QTY]]*NOTA[[#This Row],[HARGA SATUAN]])</f>
        <v>12960000</v>
      </c>
      <c r="AF535" s="44">
        <f ca="1">IF(NOTA[ID_H]="","",INDEX(NOTA[TANGGAL],MATCH(,INDIRECT(ADDRESS(ROW(NOTA[TANGGAL]),COLUMN(NOTA[TANGGAL]))&amp;":"&amp;ADDRESS(ROW(),COLUMN(NOTA[TANGGAL]))),-1)))</f>
        <v>44862</v>
      </c>
      <c r="AG535" s="40" t="str">
        <f ca="1">IF(NOTA[[#This Row],[NAMA BARANG]]="","",INDEX(NOTA[SUPPLIER],MATCH(,INDIRECT(ADDRESS(ROW(NOTA[ID]),COLUMN(NOTA[ID]))&amp;":"&amp;ADDRESS(ROW(),COLUMN(NOTA[ID]))),-1)))</f>
        <v>SBS</v>
      </c>
      <c r="AH535" s="16" t="str">
        <f ca="1">IF(NOTA[[#This Row],[ID]]="","",COUNTIF(NOTA[ID_H],NOTA[[#This Row],[ID_H]]))</f>
        <v/>
      </c>
      <c r="AI535" s="16">
        <f ca="1"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119</v>
      </c>
      <c r="E536" s="51"/>
      <c r="F536" s="31"/>
      <c r="G536" s="31"/>
      <c r="H536" s="33"/>
      <c r="I536" s="42"/>
      <c r="J536" s="44"/>
      <c r="K536" s="42"/>
      <c r="L536" s="31" t="s">
        <v>658</v>
      </c>
      <c r="M536" s="45">
        <v>10</v>
      </c>
      <c r="N536" s="42">
        <v>1200</v>
      </c>
      <c r="O536" s="31" t="s">
        <v>287</v>
      </c>
      <c r="P536" s="40">
        <v>10800</v>
      </c>
      <c r="Q536" s="160"/>
      <c r="R536" s="35" t="s">
        <v>652</v>
      </c>
      <c r="S536" s="47"/>
      <c r="T536" s="47"/>
      <c r="U536" s="46"/>
      <c r="V536" s="88" t="s">
        <v>660</v>
      </c>
      <c r="W536" s="46">
        <f>IF(NOTA[[#This Row],[HARGA/ CTN]]="",NOTA[[#This Row],[JUMLAH_H]],NOTA[[#This Row],[HARGA/ CTN]]*NOTA[[#This Row],[C]])</f>
        <v>12960000</v>
      </c>
      <c r="X536" s="46">
        <f>IF(NOTA[[#This Row],[JUMLAH]]="","",NOTA[[#This Row],[JUMLAH]]*NOTA[[#This Row],[DISC 1]])</f>
        <v>0</v>
      </c>
      <c r="Y536" s="46">
        <f>IF(NOTA[[#This Row],[JUMLAH]]="","",(NOTA[[#This Row],[JUMLAH]]-NOTA[[#This Row],[DISC 1-]])*NOTA[[#This Row],[DISC 2]])</f>
        <v>0</v>
      </c>
      <c r="Z536" s="46">
        <f>IF(NOTA[[#This Row],[JUMLAH]]="","",NOTA[[#This Row],[DISC 1-]]+NOTA[[#This Row],[DISC 2-]])</f>
        <v>0</v>
      </c>
      <c r="AA536" s="46">
        <f>IF(NOTA[[#This Row],[JUMLAH]]="","",NOTA[[#This Row],[JUMLAH]]-NOTA[[#This Row],[DISC]])</f>
        <v>12960000</v>
      </c>
      <c r="AB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6" s="46">
        <f>IF(OR(NOTA[[#This Row],[QTY]]="",NOTA[[#This Row],[HARGA SATUAN]]="",),"",NOTA[[#This Row],[QTY]]*NOTA[[#This Row],[HARGA SATUAN]])</f>
        <v>12960000</v>
      </c>
      <c r="AF536" s="44">
        <f ca="1">IF(NOTA[ID_H]="","",INDEX(NOTA[TANGGAL],MATCH(,INDIRECT(ADDRESS(ROW(NOTA[TANGGAL]),COLUMN(NOTA[TANGGAL]))&amp;":"&amp;ADDRESS(ROW(),COLUMN(NOTA[TANGGAL]))),-1)))</f>
        <v>44862</v>
      </c>
      <c r="AG536" s="40" t="str">
        <f ca="1">IF(NOTA[[#This Row],[NAMA BARANG]]="","",INDEX(NOTA[SUPPLIER],MATCH(,INDIRECT(ADDRESS(ROW(NOTA[ID]),COLUMN(NOTA[ID]))&amp;":"&amp;ADDRESS(ROW(),COLUMN(NOTA[ID]))),-1)))</f>
        <v>SBS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119</v>
      </c>
      <c r="E537" s="51"/>
      <c r="F537" s="31"/>
      <c r="G537" s="31"/>
      <c r="H537" s="33"/>
      <c r="I537" s="42"/>
      <c r="J537" s="44"/>
      <c r="K537" s="42"/>
      <c r="L537" s="31" t="s">
        <v>659</v>
      </c>
      <c r="M537" s="45">
        <v>10</v>
      </c>
      <c r="N537" s="42">
        <v>1200</v>
      </c>
      <c r="O537" s="31" t="s">
        <v>287</v>
      </c>
      <c r="P537" s="40">
        <v>10800</v>
      </c>
      <c r="Q537" s="160"/>
      <c r="R537" s="35" t="s">
        <v>652</v>
      </c>
      <c r="S537" s="47"/>
      <c r="T537" s="47"/>
      <c r="U537" s="46"/>
      <c r="V537" s="88" t="s">
        <v>660</v>
      </c>
      <c r="W537" s="46">
        <f>IF(NOTA[[#This Row],[HARGA/ CTN]]="",NOTA[[#This Row],[JUMLAH_H]],NOTA[[#This Row],[HARGA/ CTN]]*NOTA[[#This Row],[C]])</f>
        <v>12960000</v>
      </c>
      <c r="X537" s="46">
        <f>IF(NOTA[[#This Row],[JUMLAH]]="","",NOTA[[#This Row],[JUMLAH]]*NOTA[[#This Row],[DISC 1]])</f>
        <v>0</v>
      </c>
      <c r="Y537" s="46">
        <f>IF(NOTA[[#This Row],[JUMLAH]]="","",(NOTA[[#This Row],[JUMLAH]]-NOTA[[#This Row],[DISC 1-]])*NOTA[[#This Row],[DISC 2]])</f>
        <v>0</v>
      </c>
      <c r="Z537" s="46">
        <f>IF(NOTA[[#This Row],[JUMLAH]]="","",NOTA[[#This Row],[DISC 1-]]+NOTA[[#This Row],[DISC 2-]])</f>
        <v>0</v>
      </c>
      <c r="AA537" s="46">
        <f>IF(NOTA[[#This Row],[JUMLAH]]="","",NOTA[[#This Row],[JUMLAH]]-NOTA[[#This Row],[DISC]])</f>
        <v>12960000</v>
      </c>
      <c r="AB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53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7" s="46">
        <f>IF(OR(NOTA[[#This Row],[QTY]]="",NOTA[[#This Row],[HARGA SATUAN]]="",),"",NOTA[[#This Row],[QTY]]*NOTA[[#This Row],[HARGA SATUAN]])</f>
        <v>12960000</v>
      </c>
      <c r="AF537" s="44">
        <f ca="1">IF(NOTA[ID_H]="","",INDEX(NOTA[TANGGAL],MATCH(,INDIRECT(ADDRESS(ROW(NOTA[TANGGAL]),COLUMN(NOTA[TANGGAL]))&amp;":"&amp;ADDRESS(ROW(),COLUMN(NOTA[TANGGAL]))),-1)))</f>
        <v>44862</v>
      </c>
      <c r="AG537" s="40" t="str">
        <f ca="1">IF(NOTA[[#This Row],[NAMA BARANG]]="","",INDEX(NOTA[SUPPLIER],MATCH(,INDIRECT(ADDRESS(ROW(NOTA[ID]),COLUMN(NOTA[ID]))&amp;":"&amp;ADDRESS(ROW(),COLUMN(NOTA[ID]))),-1)))</f>
        <v>SBS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51"/>
      <c r="F538" s="31"/>
      <c r="G538" s="31"/>
      <c r="H538" s="33"/>
      <c r="I538" s="42"/>
      <c r="J538" s="44"/>
      <c r="K538" s="42"/>
      <c r="L538" s="31"/>
      <c r="M538" s="45"/>
      <c r="N538" s="42"/>
      <c r="O538" s="31"/>
      <c r="P538" s="40"/>
      <c r="Q538" s="160"/>
      <c r="R538" s="35"/>
      <c r="S538" s="47"/>
      <c r="T538" s="47"/>
      <c r="U538" s="46"/>
      <c r="V538" s="87"/>
      <c r="W538" s="46" t="str">
        <f>IF(NOTA[[#This Row],[HARGA/ CTN]]="",NOTA[[#This Row],[JUMLAH_H]],NOTA[[#This Row],[HARGA/ CTN]]*NOTA[[#This Row],[C]])</f>
        <v/>
      </c>
      <c r="X538" s="46" t="str">
        <f>IF(NOTA[[#This Row],[JUMLAH]]="","",NOTA[[#This Row],[JUMLAH]]*NOTA[[#This Row],[DISC 1]])</f>
        <v/>
      </c>
      <c r="Y538" s="46" t="str">
        <f>IF(NOTA[[#This Row],[JUMLAH]]="","",(NOTA[[#This Row],[JUMLAH]]-NOTA[[#This Row],[DISC 1-]])*NOTA[[#This Row],[DISC 2]])</f>
        <v/>
      </c>
      <c r="Z538" s="46" t="str">
        <f>IF(NOTA[[#This Row],[JUMLAH]]="","",NOTA[[#This Row],[DISC 1-]]+NOTA[[#This Row],[DISC 2-]])</f>
        <v/>
      </c>
      <c r="AA538" s="46" t="str">
        <f>IF(NOTA[[#This Row],[JUMLAH]]="","",NOTA[[#This Row],[JUMLAH]]-NOTA[[#This Row],[DISC]])</f>
        <v/>
      </c>
      <c r="AB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46" t="str">
        <f>IF(OR(NOTA[[#This Row],[QTY]]="",NOTA[[#This Row],[HARGA SATUAN]]="",),"",NOTA[[#This Row],[QTY]]*NOTA[[#This Row],[HARGA SATUAN]])</f>
        <v/>
      </c>
      <c r="AF538" s="44" t="str">
        <f ca="1">IF(NOTA[ID_H]="","",INDEX(NOTA[TANGGAL],MATCH(,INDIRECT(ADDRESS(ROW(NOTA[TANGGAL]),COLUMN(NOTA[TANGGAL]))&amp;":"&amp;ADDRESS(ROW(),COLUMN(NOTA[TANGGAL]))),-1)))</f>
        <v/>
      </c>
      <c r="AG538" s="40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 t="str">
        <f ca="1">IF(NOTA[[#This Row],[TGL.NOTA]]="",IF(NOTA[[#This Row],[SUPPLIER_H]]="","",AI537),MONTH(NOTA[[#This Row],[TGL.NOTA]]))</f>
        <v/>
      </c>
      <c r="AJ538" s="16"/>
    </row>
    <row r="539" spans="1:36" ht="20.100000000000001" customHeight="1" x14ac:dyDescent="0.25">
      <c r="A539" s="4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120</v>
      </c>
      <c r="E539" s="51"/>
      <c r="F539" s="31" t="s">
        <v>560</v>
      </c>
      <c r="G539" s="31" t="s">
        <v>87</v>
      </c>
      <c r="H539" s="33" t="s">
        <v>661</v>
      </c>
      <c r="I539" s="31"/>
      <c r="J539" s="44">
        <v>44851</v>
      </c>
      <c r="K539" s="42"/>
      <c r="L539" s="31" t="s">
        <v>662</v>
      </c>
      <c r="M539" s="45">
        <v>10</v>
      </c>
      <c r="N539" s="42">
        <v>1200</v>
      </c>
      <c r="O539" s="31" t="s">
        <v>287</v>
      </c>
      <c r="P539" s="40">
        <v>10800</v>
      </c>
      <c r="Q539" s="160"/>
      <c r="R539" s="35" t="s">
        <v>652</v>
      </c>
      <c r="S539" s="47"/>
      <c r="T539" s="47"/>
      <c r="U539" s="46"/>
      <c r="V539" s="88" t="s">
        <v>660</v>
      </c>
      <c r="W539" s="46">
        <f>IF(NOTA[[#This Row],[HARGA/ CTN]]="",NOTA[[#This Row],[JUMLAH_H]],NOTA[[#This Row],[HARGA/ CTN]]*NOTA[[#This Row],[C]])</f>
        <v>12960000</v>
      </c>
      <c r="X539" s="46">
        <f>IF(NOTA[[#This Row],[JUMLAH]]="","",NOTA[[#This Row],[JUMLAH]]*NOTA[[#This Row],[DISC 1]])</f>
        <v>0</v>
      </c>
      <c r="Y539" s="46">
        <f>IF(NOTA[[#This Row],[JUMLAH]]="","",(NOTA[[#This Row],[JUMLAH]]-NOTA[[#This Row],[DISC 1-]])*NOTA[[#This Row],[DISC 2]])</f>
        <v>0</v>
      </c>
      <c r="Z539" s="46">
        <f>IF(NOTA[[#This Row],[JUMLAH]]="","",NOTA[[#This Row],[DISC 1-]]+NOTA[[#This Row],[DISC 2-]])</f>
        <v>0</v>
      </c>
      <c r="AA539" s="46">
        <f>IF(NOTA[[#This Row],[JUMLAH]]="","",NOTA[[#This Row],[JUMLAH]]-NOTA[[#This Row],[DISC]])</f>
        <v>12960000</v>
      </c>
      <c r="AB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9" s="46">
        <f>IF(OR(NOTA[[#This Row],[QTY]]="",NOTA[[#This Row],[HARGA SATUAN]]="",),"",NOTA[[#This Row],[QTY]]*NOTA[[#This Row],[HARGA SATUAN]])</f>
        <v>12960000</v>
      </c>
      <c r="AF539" s="44">
        <f ca="1">IF(NOTA[ID_H]="","",INDEX(NOTA[TANGGAL],MATCH(,INDIRECT(ADDRESS(ROW(NOTA[TANGGAL]),COLUMN(NOTA[TANGGAL]))&amp;":"&amp;ADDRESS(ROW(),COLUMN(NOTA[TANGGAL]))),-1)))</f>
        <v>44862</v>
      </c>
      <c r="AG539" s="40" t="str">
        <f ca="1">IF(NOTA[[#This Row],[NAMA BARANG]]="","",INDEX(NOTA[SUPPLIER],MATCH(,INDIRECT(ADDRESS(ROW(NOTA[ID]),COLUMN(NOTA[ID]))&amp;":"&amp;ADDRESS(ROW(),COLUMN(NOTA[ID]))),-1)))</f>
        <v>SBS</v>
      </c>
      <c r="AH539" s="16">
        <f ca="1">IF(NOTA[[#This Row],[ID]]="","",COUNTIF(NOTA[ID_H],NOTA[[#This Row],[ID_H]]))</f>
        <v>2</v>
      </c>
      <c r="AI539" s="16">
        <f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120</v>
      </c>
      <c r="E540" s="51"/>
      <c r="F540" s="48"/>
      <c r="G540" s="48"/>
      <c r="H540" s="49"/>
      <c r="I540" s="48"/>
      <c r="J540" s="50"/>
      <c r="K540" s="42"/>
      <c r="L540" s="31" t="s">
        <v>663</v>
      </c>
      <c r="M540" s="45">
        <v>10</v>
      </c>
      <c r="N540" s="42">
        <v>1200</v>
      </c>
      <c r="O540" s="31" t="s">
        <v>287</v>
      </c>
      <c r="P540" s="40">
        <v>10800</v>
      </c>
      <c r="Q540" s="160"/>
      <c r="R540" s="35" t="s">
        <v>652</v>
      </c>
      <c r="S540" s="47"/>
      <c r="T540" s="47"/>
      <c r="U540" s="46"/>
      <c r="V540" s="88" t="s">
        <v>660</v>
      </c>
      <c r="W540" s="46">
        <f>IF(NOTA[[#This Row],[HARGA/ CTN]]="",NOTA[[#This Row],[JUMLAH_H]],NOTA[[#This Row],[HARGA/ CTN]]*NOTA[[#This Row],[C]])</f>
        <v>12960000</v>
      </c>
      <c r="X540" s="46">
        <f>IF(NOTA[[#This Row],[JUMLAH]]="","",NOTA[[#This Row],[JUMLAH]]*NOTA[[#This Row],[DISC 1]])</f>
        <v>0</v>
      </c>
      <c r="Y540" s="46">
        <f>IF(NOTA[[#This Row],[JUMLAH]]="","",(NOTA[[#This Row],[JUMLAH]]-NOTA[[#This Row],[DISC 1-]])*NOTA[[#This Row],[DISC 2]])</f>
        <v>0</v>
      </c>
      <c r="Z540" s="46">
        <f>IF(NOTA[[#This Row],[JUMLAH]]="","",NOTA[[#This Row],[DISC 1-]]+NOTA[[#This Row],[DISC 2-]])</f>
        <v>0</v>
      </c>
      <c r="AA540" s="46">
        <f>IF(NOTA[[#This Row],[JUMLAH]]="","",NOTA[[#This Row],[JUMLAH]]-NOTA[[#This Row],[DISC]])</f>
        <v>12960000</v>
      </c>
      <c r="AB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4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40" s="46">
        <f>IF(OR(NOTA[[#This Row],[QTY]]="",NOTA[[#This Row],[HARGA SATUAN]]="",),"",NOTA[[#This Row],[QTY]]*NOTA[[#This Row],[HARGA SATUAN]])</f>
        <v>12960000</v>
      </c>
      <c r="AF540" s="44">
        <f ca="1">IF(NOTA[ID_H]="","",INDEX(NOTA[TANGGAL],MATCH(,INDIRECT(ADDRESS(ROW(NOTA[TANGGAL]),COLUMN(NOTA[TANGGAL]))&amp;":"&amp;ADDRESS(ROW(),COLUMN(NOTA[TANGGAL]))),-1)))</f>
        <v>44862</v>
      </c>
      <c r="AG540" s="40" t="str">
        <f ca="1">IF(NOTA[[#This Row],[NAMA BARANG]]="","",INDEX(NOTA[SUPPLIER],MATCH(,INDIRECT(ADDRESS(ROW(NOTA[ID]),COLUMN(NOTA[ID]))&amp;":"&amp;ADDRESS(ROW(),COLUMN(NOTA[ID]))),-1)))</f>
        <v>SBS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 t="str">
        <f ca="1">IF(NOTA[[#This Row],[NAMA BARANG]]="","",INDEX(NOTA[ID],MATCH(,INDIRECT(ADDRESS(ROW(NOTA[ID]),COLUMN(NOTA[ID]))&amp;":"&amp;ADDRESS(ROW(),COLUMN(NOTA[ID]))),-1)))</f>
        <v/>
      </c>
      <c r="E541" s="51"/>
      <c r="F541" s="31"/>
      <c r="G541" s="31"/>
      <c r="H541" s="33"/>
      <c r="I541" s="42"/>
      <c r="J541" s="44"/>
      <c r="K541" s="42"/>
      <c r="L541" s="31"/>
      <c r="M541" s="45"/>
      <c r="N541" s="42"/>
      <c r="O541" s="31"/>
      <c r="P541" s="40"/>
      <c r="Q541" s="160"/>
      <c r="R541" s="35"/>
      <c r="S541" s="47"/>
      <c r="T541" s="47"/>
      <c r="U541" s="46"/>
      <c r="V541" s="87"/>
      <c r="W541" s="46" t="str">
        <f>IF(NOTA[[#This Row],[HARGA/ CTN]]="",NOTA[[#This Row],[JUMLAH_H]],NOTA[[#This Row],[HARGA/ CTN]]*NOTA[[#This Row],[C]])</f>
        <v/>
      </c>
      <c r="X541" s="46" t="str">
        <f>IF(NOTA[[#This Row],[JUMLAH]]="","",NOTA[[#This Row],[JUMLAH]]*NOTA[[#This Row],[DISC 1]])</f>
        <v/>
      </c>
      <c r="Y541" s="46" t="str">
        <f>IF(NOTA[[#This Row],[JUMLAH]]="","",(NOTA[[#This Row],[JUMLAH]]-NOTA[[#This Row],[DISC 1-]])*NOTA[[#This Row],[DISC 2]])</f>
        <v/>
      </c>
      <c r="Z541" s="46" t="str">
        <f>IF(NOTA[[#This Row],[JUMLAH]]="","",NOTA[[#This Row],[DISC 1-]]+NOTA[[#This Row],[DISC 2-]])</f>
        <v/>
      </c>
      <c r="AA541" s="46" t="str">
        <f>IF(NOTA[[#This Row],[JUMLAH]]="","",NOTA[[#This Row],[JUMLAH]]-NOTA[[#This Row],[DISC]])</f>
        <v/>
      </c>
      <c r="AB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46" t="str">
        <f>IF(OR(NOTA[[#This Row],[QTY]]="",NOTA[[#This Row],[HARGA SATUAN]]="",),"",NOTA[[#This Row],[QTY]]*NOTA[[#This Row],[HARGA SATUAN]])</f>
        <v/>
      </c>
      <c r="AF541" s="44" t="str">
        <f ca="1">IF(NOTA[ID_H]="","",INDEX(NOTA[TANGGAL],MATCH(,INDIRECT(ADDRESS(ROW(NOTA[TANGGAL]),COLUMN(NOTA[TANGGAL]))&amp;":"&amp;ADDRESS(ROW(),COLUMN(NOTA[TANGGAL]))),-1)))</f>
        <v/>
      </c>
      <c r="AG541" s="40" t="str">
        <f ca="1">IF(NOTA[[#This Row],[NAMA BARANG]]="","",INDEX(NOTA[SUPPLIER],MATCH(,INDIRECT(ADDRESS(ROW(NOTA[ID]),COLUMN(NOTA[ID]))&amp;":"&amp;ADDRESS(ROW(),COLUMN(NOTA[ID]))),-1)))</f>
        <v/>
      </c>
      <c r="AH541" s="16" t="str">
        <f ca="1">IF(NOTA[[#This Row],[ID]]="","",COUNTIF(NOTA[ID_H],NOTA[[#This Row],[ID_H]]))</f>
        <v/>
      </c>
      <c r="AI541" s="16" t="str">
        <f ca="1">IF(NOTA[[#This Row],[TGL.NOTA]]="",IF(NOTA[[#This Row],[SUPPLIER_H]]="","",AI540),MONTH(NOTA[[#This Row],[TGL.NOTA]]))</f>
        <v/>
      </c>
      <c r="AJ541" s="16"/>
    </row>
    <row r="542" spans="1:36" ht="20.100000000000001" customHeight="1" x14ac:dyDescent="0.25">
      <c r="A542" s="4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4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42" s="41" t="e">
        <f ca="1">IF(NOTA[[#This Row],[ID_P]]="","",MATCH(NOTA[[#This Row],[ID_P]],[1]!B_MSK[N_ID],0))</f>
        <v>#REF!</v>
      </c>
      <c r="D542" s="41">
        <f ca="1">IF(NOTA[[#This Row],[NAMA BARANG]]="","",INDEX(NOTA[ID],MATCH(,INDIRECT(ADDRESS(ROW(NOTA[ID]),COLUMN(NOTA[ID]))&amp;":"&amp;ADDRESS(ROW(),COLUMN(NOTA[ID]))),-1)))</f>
        <v>121</v>
      </c>
      <c r="E542" s="51"/>
      <c r="F542" s="31" t="s">
        <v>264</v>
      </c>
      <c r="G542" s="31" t="s">
        <v>87</v>
      </c>
      <c r="H542" s="33" t="s">
        <v>664</v>
      </c>
      <c r="I542" s="42"/>
      <c r="J542" s="44">
        <v>44862</v>
      </c>
      <c r="K542" s="42"/>
      <c r="L542" s="31" t="s">
        <v>668</v>
      </c>
      <c r="M542" s="45">
        <v>1</v>
      </c>
      <c r="N542" s="42">
        <v>8</v>
      </c>
      <c r="O542" s="31" t="s">
        <v>210</v>
      </c>
      <c r="P542" s="40">
        <v>273000</v>
      </c>
      <c r="Q542" s="160"/>
      <c r="R542" s="35" t="s">
        <v>665</v>
      </c>
      <c r="S542" s="47"/>
      <c r="T542" s="47"/>
      <c r="U542" s="46"/>
      <c r="V542" s="87" t="s">
        <v>666</v>
      </c>
      <c r="W542" s="46">
        <f>IF(NOTA[[#This Row],[HARGA/ CTN]]="",NOTA[[#This Row],[JUMLAH_H]],NOTA[[#This Row],[HARGA/ CTN]]*NOTA[[#This Row],[C]])</f>
        <v>2184000</v>
      </c>
      <c r="X542" s="46">
        <f>IF(NOTA[[#This Row],[JUMLAH]]="","",NOTA[[#This Row],[JUMLAH]]*NOTA[[#This Row],[DISC 1]])</f>
        <v>0</v>
      </c>
      <c r="Y542" s="46">
        <f>IF(NOTA[[#This Row],[JUMLAH]]="","",(NOTA[[#This Row],[JUMLAH]]-NOTA[[#This Row],[DISC 1-]])*NOTA[[#This Row],[DISC 2]])</f>
        <v>0</v>
      </c>
      <c r="Z542" s="46">
        <f>IF(NOTA[[#This Row],[JUMLAH]]="","",NOTA[[#This Row],[DISC 1-]]+NOTA[[#This Row],[DISC 2-]])</f>
        <v>0</v>
      </c>
      <c r="AA542" s="46">
        <f>IF(NOTA[[#This Row],[JUMLAH]]="","",NOTA[[#This Row],[JUMLAH]]-NOTA[[#This Row],[DISC]])</f>
        <v>2184000</v>
      </c>
      <c r="AB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42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42" s="46">
        <f>IF(OR(NOTA[[#This Row],[QTY]]="",NOTA[[#This Row],[HARGA SATUAN]]="",),"",NOTA[[#This Row],[QTY]]*NOTA[[#This Row],[HARGA SATUAN]])</f>
        <v>2184000</v>
      </c>
      <c r="AF542" s="44">
        <f ca="1">IF(NOTA[ID_H]="","",INDEX(NOTA[TANGGAL],MATCH(,INDIRECT(ADDRESS(ROW(NOTA[TANGGAL]),COLUMN(NOTA[TANGGAL]))&amp;":"&amp;ADDRESS(ROW(),COLUMN(NOTA[TANGGAL]))),-1)))</f>
        <v>44862</v>
      </c>
      <c r="AG542" s="40" t="str">
        <f ca="1">IF(NOTA[[#This Row],[NAMA BARANG]]="","",INDEX(NOTA[SUPPLIER],MATCH(,INDIRECT(ADDRESS(ROW(NOTA[ID]),COLUMN(NOTA[ID]))&amp;":"&amp;ADDRESS(ROW(),COLUMN(NOTA[ID]))),-1)))</f>
        <v>COMBI</v>
      </c>
      <c r="AH542" s="16">
        <f ca="1">IF(NOTA[[#This Row],[ID]]="","",COUNTIF(NOTA[ID_H],NOTA[[#This Row],[ID_H]]))</f>
        <v>1</v>
      </c>
      <c r="AI542" s="16">
        <f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41" t="str">
        <f>IF(NOTA[[#This Row],[ID_P]]="","",MATCH(NOTA[[#This Row],[ID_P]],[1]!B_MSK[N_ID],0))</f>
        <v/>
      </c>
      <c r="D543" s="41" t="str">
        <f ca="1">IF(NOTA[[#This Row],[NAMA BARANG]]="","",INDEX(NOTA[ID],MATCH(,INDIRECT(ADDRESS(ROW(NOTA[ID]),COLUMN(NOTA[ID]))&amp;":"&amp;ADDRESS(ROW(),COLUMN(NOTA[ID]))),-1)))</f>
        <v/>
      </c>
      <c r="E543" s="51"/>
      <c r="F543" s="31"/>
      <c r="G543" s="31"/>
      <c r="H543" s="33"/>
      <c r="I543" s="42"/>
      <c r="J543" s="44"/>
      <c r="K543" s="42"/>
      <c r="L543" s="31"/>
      <c r="M543" s="45"/>
      <c r="N543" s="42"/>
      <c r="O543" s="31"/>
      <c r="P543" s="40"/>
      <c r="Q543" s="160"/>
      <c r="R543" s="35"/>
      <c r="S543" s="47"/>
      <c r="T543" s="47"/>
      <c r="U543" s="46"/>
      <c r="V543" s="87"/>
      <c r="W543" s="46" t="str">
        <f>IF(NOTA[[#This Row],[HARGA/ CTN]]="",NOTA[[#This Row],[JUMLAH_H]],NOTA[[#This Row],[HARGA/ CTN]]*NOTA[[#This Row],[C]])</f>
        <v/>
      </c>
      <c r="X543" s="46" t="str">
        <f>IF(NOTA[[#This Row],[JUMLAH]]="","",NOTA[[#This Row],[JUMLAH]]*NOTA[[#This Row],[DISC 1]])</f>
        <v/>
      </c>
      <c r="Y543" s="46" t="str">
        <f>IF(NOTA[[#This Row],[JUMLAH]]="","",(NOTA[[#This Row],[JUMLAH]]-NOTA[[#This Row],[DISC 1-]])*NOTA[[#This Row],[DISC 2]])</f>
        <v/>
      </c>
      <c r="Z543" s="46" t="str">
        <f>IF(NOTA[[#This Row],[JUMLAH]]="","",NOTA[[#This Row],[DISC 1-]]+NOTA[[#This Row],[DISC 2-]])</f>
        <v/>
      </c>
      <c r="AA543" s="46" t="str">
        <f>IF(NOTA[[#This Row],[JUMLAH]]="","",NOTA[[#This Row],[JUMLAH]]-NOTA[[#This Row],[DISC]])</f>
        <v/>
      </c>
      <c r="AB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46" t="str">
        <f>IF(OR(NOTA[[#This Row],[QTY]]="",NOTA[[#This Row],[HARGA SATUAN]]="",),"",NOTA[[#This Row],[QTY]]*NOTA[[#This Row],[HARGA SATUAN]])</f>
        <v/>
      </c>
      <c r="AF543" s="44" t="str">
        <f ca="1">IF(NOTA[ID_H]="","",INDEX(NOTA[TANGGAL],MATCH(,INDIRECT(ADDRESS(ROW(NOTA[TANGGAL]),COLUMN(NOTA[TANGGAL]))&amp;":"&amp;ADDRESS(ROW(),COLUMN(NOTA[TANGGAL]))),-1)))</f>
        <v/>
      </c>
      <c r="AG543" s="40" t="str">
        <f ca="1">IF(NOTA[[#This Row],[NAMA BARANG]]="","",INDEX(NOTA[SUPPLIER],MATCH(,INDIRECT(ADDRESS(ROW(NOTA[ID]),COLUMN(NOTA[ID]))&amp;":"&amp;ADDRESS(ROW(),COLUMN(NOTA[ID]))),-1)))</f>
        <v/>
      </c>
      <c r="AH543" s="16" t="str">
        <f ca="1">IF(NOTA[[#This Row],[ID]]="","",COUNTIF(NOTA[ID_H],NOTA[[#This Row],[ID_H]]))</f>
        <v/>
      </c>
      <c r="AI543" s="16" t="str">
        <f ca="1">IF(NOTA[[#This Row],[TGL.NOTA]]="",IF(NOTA[[#This Row],[SUPPLIER_H]]="","",AI542),MONTH(NOTA[[#This Row],[TGL.NOTA]]))</f>
        <v/>
      </c>
      <c r="AJ543" s="16"/>
    </row>
    <row r="544" spans="1:36" ht="20.100000000000001" customHeight="1" x14ac:dyDescent="0.25">
      <c r="A544" s="40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44" s="41" t="e">
        <f ca="1">IF(NOTA[[#This Row],[ID_P]]="","",MATCH(NOTA[[#This Row],[ID_P]],[1]!B_MSK[N_ID],0))</f>
        <v>#REF!</v>
      </c>
      <c r="D544" s="41">
        <f ca="1">IF(NOTA[[#This Row],[NAMA BARANG]]="","",INDEX(NOTA[ID],MATCH(,INDIRECT(ADDRESS(ROW(NOTA[ID]),COLUMN(NOTA[ID]))&amp;":"&amp;ADDRESS(ROW(),COLUMN(NOTA[ID]))),-1)))</f>
        <v>122</v>
      </c>
      <c r="E544" s="51">
        <v>44863</v>
      </c>
      <c r="F544" s="31" t="s">
        <v>23</v>
      </c>
      <c r="G544" s="31" t="s">
        <v>24</v>
      </c>
      <c r="H544" s="33" t="s">
        <v>690</v>
      </c>
      <c r="I544" s="31" t="s">
        <v>683</v>
      </c>
      <c r="J544" s="44">
        <v>44859</v>
      </c>
      <c r="K544" s="42"/>
      <c r="L544" s="31" t="s">
        <v>84</v>
      </c>
      <c r="M544" s="45">
        <v>3</v>
      </c>
      <c r="N544" s="42"/>
      <c r="O544" s="42"/>
      <c r="P544" s="40"/>
      <c r="Q544" s="160">
        <v>5616000</v>
      </c>
      <c r="R544" s="35" t="s">
        <v>102</v>
      </c>
      <c r="S544" s="37">
        <v>0.17</v>
      </c>
      <c r="T544" s="47"/>
      <c r="U544" s="46"/>
      <c r="V544" s="87"/>
      <c r="W544" s="46">
        <f>IF(NOTA[[#This Row],[HARGA/ CTN]]="",NOTA[[#This Row],[JUMLAH_H]],NOTA[[#This Row],[HARGA/ CTN]]*NOTA[[#This Row],[C]])</f>
        <v>16848000</v>
      </c>
      <c r="X544" s="46">
        <f>IF(NOTA[[#This Row],[JUMLAH]]="","",NOTA[[#This Row],[JUMLAH]]*NOTA[[#This Row],[DISC 1]])</f>
        <v>2864160</v>
      </c>
      <c r="Y544" s="46">
        <f>IF(NOTA[[#This Row],[JUMLAH]]="","",(NOTA[[#This Row],[JUMLAH]]-NOTA[[#This Row],[DISC 1-]])*NOTA[[#This Row],[DISC 2]])</f>
        <v>0</v>
      </c>
      <c r="Z544" s="46">
        <f>IF(NOTA[[#This Row],[JUMLAH]]="","",NOTA[[#This Row],[DISC 1-]]+NOTA[[#This Row],[DISC 2-]])</f>
        <v>2864160</v>
      </c>
      <c r="AA544" s="46">
        <f>IF(NOTA[[#This Row],[JUMLAH]]="","",NOTA[[#This Row],[JUMLAH]]-NOTA[[#This Row],[DISC]])</f>
        <v>13983840</v>
      </c>
      <c r="AB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44" s="46" t="str">
        <f>IF(OR(NOTA[[#This Row],[QTY]]="",NOTA[[#This Row],[HARGA SATUAN]]="",),"",NOTA[[#This Row],[QTY]]*NOTA[[#This Row],[HARGA SATUAN]])</f>
        <v/>
      </c>
      <c r="AF544" s="44">
        <f ca="1">IF(NOTA[ID_H]="","",INDEX(NOTA[TANGGAL],MATCH(,INDIRECT(ADDRESS(ROW(NOTA[TANGGAL]),COLUMN(NOTA[TANGGAL]))&amp;":"&amp;ADDRESS(ROW(),COLUMN(NOTA[TANGGAL]))),-1)))</f>
        <v>44863</v>
      </c>
      <c r="AG544" s="40" t="str">
        <f ca="1">IF(NOTA[[#This Row],[NAMA BARANG]]="","",INDEX(NOTA[SUPPLIER],MATCH(,INDIRECT(ADDRESS(ROW(NOTA[ID]),COLUMN(NOTA[ID]))&amp;":"&amp;ADDRESS(ROW(),COLUMN(NOTA[ID]))),-1)))</f>
        <v>KENKO SINAR INDONESIA</v>
      </c>
      <c r="AH544" s="16">
        <f ca="1">IF(NOTA[[#This Row],[ID]]="","",COUNTIF(NOTA[ID_H],NOTA[[#This Row],[ID_H]]))</f>
        <v>7</v>
      </c>
      <c r="AI544" s="16">
        <f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>
        <f ca="1">IF(NOTA[[#This Row],[NAMA BARANG]]="","",INDEX(NOTA[ID],MATCH(,INDIRECT(ADDRESS(ROW(NOTA[ID]),COLUMN(NOTA[ID]))&amp;":"&amp;ADDRESS(ROW(),COLUMN(NOTA[ID]))),-1)))</f>
        <v>122</v>
      </c>
      <c r="E545" s="51"/>
      <c r="F545" s="31"/>
      <c r="G545" s="31"/>
      <c r="H545" s="33"/>
      <c r="I545" s="42"/>
      <c r="J545" s="34"/>
      <c r="K545" s="42"/>
      <c r="L545" s="31" t="s">
        <v>684</v>
      </c>
      <c r="M545" s="45">
        <v>1</v>
      </c>
      <c r="N545" s="42"/>
      <c r="O545" s="31"/>
      <c r="P545" s="40"/>
      <c r="Q545" s="160">
        <v>741600</v>
      </c>
      <c r="R545" s="35" t="s">
        <v>685</v>
      </c>
      <c r="S545" s="47">
        <v>0.17</v>
      </c>
      <c r="T545" s="47"/>
      <c r="U545" s="46"/>
      <c r="V545" s="87"/>
      <c r="W545" s="46">
        <f>IF(NOTA[[#This Row],[HARGA/ CTN]]="",NOTA[[#This Row],[JUMLAH_H]],NOTA[[#This Row],[HARGA/ CTN]]*NOTA[[#This Row],[C]])</f>
        <v>741600</v>
      </c>
      <c r="X545" s="46">
        <f>IF(NOTA[[#This Row],[JUMLAH]]="","",NOTA[[#This Row],[JUMLAH]]*NOTA[[#This Row],[DISC 1]])</f>
        <v>126072.00000000001</v>
      </c>
      <c r="Y545" s="46">
        <f>IF(NOTA[[#This Row],[JUMLAH]]="","",(NOTA[[#This Row],[JUMLAH]]-NOTA[[#This Row],[DISC 1-]])*NOTA[[#This Row],[DISC 2]])</f>
        <v>0</v>
      </c>
      <c r="Z545" s="46">
        <f>IF(NOTA[[#This Row],[JUMLAH]]="","",NOTA[[#This Row],[DISC 1-]]+NOTA[[#This Row],[DISC 2-]])</f>
        <v>126072.00000000001</v>
      </c>
      <c r="AA545" s="46">
        <f>IF(NOTA[[#This Row],[JUMLAH]]="","",NOTA[[#This Row],[JUMLAH]]-NOTA[[#This Row],[DISC]])</f>
        <v>615528</v>
      </c>
      <c r="AB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45" s="46" t="str">
        <f>IF(OR(NOTA[[#This Row],[QTY]]="",NOTA[[#This Row],[HARGA SATUAN]]="",),"",NOTA[[#This Row],[QTY]]*NOTA[[#This Row],[HARGA SATUAN]])</f>
        <v/>
      </c>
      <c r="AF545" s="44">
        <f ca="1">IF(NOTA[ID_H]="","",INDEX(NOTA[TANGGAL],MATCH(,INDIRECT(ADDRESS(ROW(NOTA[TANGGAL]),COLUMN(NOTA[TANGGAL]))&amp;":"&amp;ADDRESS(ROW(),COLUMN(NOTA[TANGGAL]))),-1)))</f>
        <v>44863</v>
      </c>
      <c r="AG545" s="40" t="str">
        <f ca="1">IF(NOTA[[#This Row],[NAMA BARANG]]="","",INDEX(NOTA[SUPPLIER],MATCH(,INDIRECT(ADDRESS(ROW(NOTA[ID]),COLUMN(NOTA[ID]))&amp;":"&amp;ADDRESS(ROW(),COLUMN(NOTA[ID]))),-1)))</f>
        <v>KENKO SINAR INDONESIA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41" t="str">
        <f>IF(NOTA[[#This Row],[ID_P]]="","",MATCH(NOTA[[#This Row],[ID_P]],[1]!B_MSK[N_ID],0))</f>
        <v/>
      </c>
      <c r="D546" s="41">
        <f ca="1">IF(NOTA[[#This Row],[NAMA BARANG]]="","",INDEX(NOTA[ID],MATCH(,INDIRECT(ADDRESS(ROW(NOTA[ID]),COLUMN(NOTA[ID]))&amp;":"&amp;ADDRESS(ROW(),COLUMN(NOTA[ID]))),-1)))</f>
        <v>122</v>
      </c>
      <c r="E546" s="51"/>
      <c r="F546" s="31"/>
      <c r="G546" s="31"/>
      <c r="H546" s="33"/>
      <c r="I546" s="42"/>
      <c r="J546" s="44"/>
      <c r="K546" s="42"/>
      <c r="L546" s="31" t="s">
        <v>686</v>
      </c>
      <c r="M546" s="45">
        <v>2</v>
      </c>
      <c r="N546" s="42"/>
      <c r="O546" s="31"/>
      <c r="P546" s="40"/>
      <c r="Q546" s="160">
        <v>1497600</v>
      </c>
      <c r="R546" s="35" t="s">
        <v>115</v>
      </c>
      <c r="S546" s="47">
        <v>0.17</v>
      </c>
      <c r="T546" s="47"/>
      <c r="U546" s="46"/>
      <c r="V546" s="87"/>
      <c r="W546" s="46">
        <f>IF(NOTA[[#This Row],[HARGA/ CTN]]="",NOTA[[#This Row],[JUMLAH_H]],NOTA[[#This Row],[HARGA/ CTN]]*NOTA[[#This Row],[C]])</f>
        <v>2995200</v>
      </c>
      <c r="X546" s="46">
        <f>IF(NOTA[[#This Row],[JUMLAH]]="","",NOTA[[#This Row],[JUMLAH]]*NOTA[[#This Row],[DISC 1]])</f>
        <v>509184.00000000006</v>
      </c>
      <c r="Y546" s="46">
        <f>IF(NOTA[[#This Row],[JUMLAH]]="","",(NOTA[[#This Row],[JUMLAH]]-NOTA[[#This Row],[DISC 1-]])*NOTA[[#This Row],[DISC 2]])</f>
        <v>0</v>
      </c>
      <c r="Z546" s="46">
        <f>IF(NOTA[[#This Row],[JUMLAH]]="","",NOTA[[#This Row],[DISC 1-]]+NOTA[[#This Row],[DISC 2-]])</f>
        <v>509184.00000000006</v>
      </c>
      <c r="AA546" s="46">
        <f>IF(NOTA[[#This Row],[JUMLAH]]="","",NOTA[[#This Row],[JUMLAH]]-NOTA[[#This Row],[DISC]])</f>
        <v>2486016</v>
      </c>
      <c r="AB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46" s="46" t="str">
        <f>IF(OR(NOTA[[#This Row],[QTY]]="",NOTA[[#This Row],[HARGA SATUAN]]="",),"",NOTA[[#This Row],[QTY]]*NOTA[[#This Row],[HARGA SATUAN]])</f>
        <v/>
      </c>
      <c r="AF546" s="44">
        <f ca="1">IF(NOTA[ID_H]="","",INDEX(NOTA[TANGGAL],MATCH(,INDIRECT(ADDRESS(ROW(NOTA[TANGGAL]),COLUMN(NOTA[TANGGAL]))&amp;":"&amp;ADDRESS(ROW(),COLUMN(NOTA[TANGGAL]))),-1)))</f>
        <v>44863</v>
      </c>
      <c r="AG546" s="40" t="str">
        <f ca="1">IF(NOTA[[#This Row],[NAMA BARANG]]="","",INDEX(NOTA[SUPPLIER],MATCH(,INDIRECT(ADDRESS(ROW(NOTA[ID]),COLUMN(NOTA[ID]))&amp;":"&amp;ADDRESS(ROW(),COLUMN(NOTA[ID]))),-1)))</f>
        <v>KENKO SINAR INDONESIA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122</v>
      </c>
      <c r="E547" s="51"/>
      <c r="F547" s="31"/>
      <c r="G547" s="31"/>
      <c r="H547" s="33"/>
      <c r="I547" s="31" t="s">
        <v>691</v>
      </c>
      <c r="J547" s="44"/>
      <c r="K547" s="42"/>
      <c r="L547" s="31" t="s">
        <v>157</v>
      </c>
      <c r="M547" s="45">
        <v>1</v>
      </c>
      <c r="N547" s="42"/>
      <c r="O547" s="31"/>
      <c r="P547" s="40"/>
      <c r="Q547" s="160">
        <v>1245000</v>
      </c>
      <c r="R547" s="35" t="s">
        <v>158</v>
      </c>
      <c r="S547" s="47">
        <v>0.17</v>
      </c>
      <c r="T547" s="47"/>
      <c r="U547" s="46"/>
      <c r="V547" s="87"/>
      <c r="W547" s="46">
        <f>IF(NOTA[[#This Row],[HARGA/ CTN]]="",NOTA[[#This Row],[JUMLAH_H]],NOTA[[#This Row],[HARGA/ CTN]]*NOTA[[#This Row],[C]])</f>
        <v>1245000</v>
      </c>
      <c r="X547" s="46">
        <f>IF(NOTA[[#This Row],[JUMLAH]]="","",NOTA[[#This Row],[JUMLAH]]*NOTA[[#This Row],[DISC 1]])</f>
        <v>211650.00000000003</v>
      </c>
      <c r="Y547" s="46">
        <f>IF(NOTA[[#This Row],[JUMLAH]]="","",(NOTA[[#This Row],[JUMLAH]]-NOTA[[#This Row],[DISC 1-]])*NOTA[[#This Row],[DISC 2]])</f>
        <v>0</v>
      </c>
      <c r="Z547" s="46">
        <f>IF(NOTA[[#This Row],[JUMLAH]]="","",NOTA[[#This Row],[DISC 1-]]+NOTA[[#This Row],[DISC 2-]])</f>
        <v>211650.00000000003</v>
      </c>
      <c r="AA547" s="46">
        <f>IF(NOTA[[#This Row],[JUMLAH]]="","",NOTA[[#This Row],[JUMLAH]]-NOTA[[#This Row],[DISC]])</f>
        <v>1033350</v>
      </c>
      <c r="AB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47" s="46" t="str">
        <f>IF(OR(NOTA[[#This Row],[QTY]]="",NOTA[[#This Row],[HARGA SATUAN]]="",),"",NOTA[[#This Row],[QTY]]*NOTA[[#This Row],[HARGA SATUAN]])</f>
        <v/>
      </c>
      <c r="AF547" s="44">
        <f ca="1">IF(NOTA[ID_H]="","",INDEX(NOTA[TANGGAL],MATCH(,INDIRECT(ADDRESS(ROW(NOTA[TANGGAL]),COLUMN(NOTA[TANGGAL]))&amp;":"&amp;ADDRESS(ROW(),COLUMN(NOTA[TANGGAL]))),-1)))</f>
        <v>44863</v>
      </c>
      <c r="AG547" s="40" t="str">
        <f ca="1">IF(NOTA[[#This Row],[NAMA BARANG]]="","",INDEX(NOTA[SUPPLIER],MATCH(,INDIRECT(ADDRESS(ROW(NOTA[ID]),COLUMN(NOTA[ID]))&amp;":"&amp;ADDRESS(ROW(),COLUMN(NOTA[ID]))),-1)))</f>
        <v>KENKO SINAR INDONESIA</v>
      </c>
      <c r="AH547" s="16" t="str">
        <f ca="1">IF(NOTA[[#This Row],[ID]]="","",COUNTIF(NOTA[ID_H],NOTA[[#This Row],[ID_H]]))</f>
        <v/>
      </c>
      <c r="AI547" s="16">
        <f ca="1">IF(NOTA[[#This Row],[TGL.NOTA]]="",IF(NOTA[[#This Row],[SUPPLIER_H]]="","",AI546),MONTH(NOTA[[#This Row],[TGL.NOTA]]))</f>
        <v>10</v>
      </c>
      <c r="AJ547" s="16"/>
    </row>
    <row r="548" spans="1:36" ht="20.100000000000001" customHeight="1" x14ac:dyDescent="0.25">
      <c r="A54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122</v>
      </c>
      <c r="E548" s="51"/>
      <c r="F548" s="42"/>
      <c r="G548" s="42"/>
      <c r="H548" s="43"/>
      <c r="I548" s="42"/>
      <c r="J548" s="44"/>
      <c r="K548" s="42"/>
      <c r="L548" s="31" t="s">
        <v>687</v>
      </c>
      <c r="M548" s="45">
        <v>2</v>
      </c>
      <c r="N548" s="42"/>
      <c r="O548" s="31"/>
      <c r="P548" s="40"/>
      <c r="Q548" s="160">
        <v>1890000</v>
      </c>
      <c r="R548" s="35" t="s">
        <v>158</v>
      </c>
      <c r="S548" s="47">
        <v>0.17</v>
      </c>
      <c r="T548" s="47"/>
      <c r="U548" s="46"/>
      <c r="V548" s="87"/>
      <c r="W548" s="46">
        <f>IF(NOTA[[#This Row],[HARGA/ CTN]]="",NOTA[[#This Row],[JUMLAH_H]],NOTA[[#This Row],[HARGA/ CTN]]*NOTA[[#This Row],[C]])</f>
        <v>3780000</v>
      </c>
      <c r="X548" s="46">
        <f>IF(NOTA[[#This Row],[JUMLAH]]="","",NOTA[[#This Row],[JUMLAH]]*NOTA[[#This Row],[DISC 1]])</f>
        <v>642600</v>
      </c>
      <c r="Y548" s="46">
        <f>IF(NOTA[[#This Row],[JUMLAH]]="","",(NOTA[[#This Row],[JUMLAH]]-NOTA[[#This Row],[DISC 1-]])*NOTA[[#This Row],[DISC 2]])</f>
        <v>0</v>
      </c>
      <c r="Z548" s="46">
        <f>IF(NOTA[[#This Row],[JUMLAH]]="","",NOTA[[#This Row],[DISC 1-]]+NOTA[[#This Row],[DISC 2-]])</f>
        <v>642600</v>
      </c>
      <c r="AA548" s="46">
        <f>IF(NOTA[[#This Row],[JUMLAH]]="","",NOTA[[#This Row],[JUMLAH]]-NOTA[[#This Row],[DISC]])</f>
        <v>3137400</v>
      </c>
      <c r="AB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48" s="46" t="str">
        <f>IF(OR(NOTA[[#This Row],[QTY]]="",NOTA[[#This Row],[HARGA SATUAN]]="",),"",NOTA[[#This Row],[QTY]]*NOTA[[#This Row],[HARGA SATUAN]])</f>
        <v/>
      </c>
      <c r="AF548" s="44">
        <f ca="1">IF(NOTA[ID_H]="","",INDEX(NOTA[TANGGAL],MATCH(,INDIRECT(ADDRESS(ROW(NOTA[TANGGAL]),COLUMN(NOTA[TANGGAL]))&amp;":"&amp;ADDRESS(ROW(),COLUMN(NOTA[TANGGAL]))),-1)))</f>
        <v>44863</v>
      </c>
      <c r="AG548" s="40" t="str">
        <f ca="1">IF(NOTA[[#This Row],[NAMA BARANG]]="","",INDEX(NOTA[SUPPLIER],MATCH(,INDIRECT(ADDRESS(ROW(NOTA[ID]),COLUMN(NOTA[ID]))&amp;":"&amp;ADDRESS(ROW(),COLUMN(NOTA[ID]))),-1)))</f>
        <v>KENKO SINAR INDONESIA</v>
      </c>
      <c r="AH548" s="16" t="str">
        <f ca="1">IF(NOTA[[#This Row],[ID]]="","",COUNTIF(NOTA[ID_H],NOTA[[#This Row],[ID_H]]))</f>
        <v/>
      </c>
      <c r="AI548" s="16">
        <f ca="1"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122</v>
      </c>
      <c r="E549" s="51"/>
      <c r="F549" s="31"/>
      <c r="G549" s="31"/>
      <c r="H549" s="33"/>
      <c r="I549" s="31"/>
      <c r="J549" s="44"/>
      <c r="K549" s="42"/>
      <c r="L549" s="31" t="s">
        <v>689</v>
      </c>
      <c r="M549" s="45">
        <v>2</v>
      </c>
      <c r="N549" s="42"/>
      <c r="O549" s="31"/>
      <c r="P549" s="40"/>
      <c r="Q549" s="160">
        <v>1122000</v>
      </c>
      <c r="R549" s="35" t="s">
        <v>161</v>
      </c>
      <c r="S549" s="47">
        <v>0.17</v>
      </c>
      <c r="T549" s="47"/>
      <c r="U549" s="100"/>
      <c r="V549" s="102"/>
      <c r="W549" s="46">
        <f>IF(NOTA[[#This Row],[HARGA/ CTN]]="",NOTA[[#This Row],[JUMLAH_H]],NOTA[[#This Row],[HARGA/ CTN]]*NOTA[[#This Row],[C]])</f>
        <v>2244000</v>
      </c>
      <c r="X549" s="46">
        <f>IF(NOTA[[#This Row],[JUMLAH]]="","",NOTA[[#This Row],[JUMLAH]]*NOTA[[#This Row],[DISC 1]])</f>
        <v>381480</v>
      </c>
      <c r="Y549" s="46">
        <f>IF(NOTA[[#This Row],[JUMLAH]]="","",(NOTA[[#This Row],[JUMLAH]]-NOTA[[#This Row],[DISC 1-]])*NOTA[[#This Row],[DISC 2]])</f>
        <v>0</v>
      </c>
      <c r="Z549" s="46">
        <f>IF(NOTA[[#This Row],[JUMLAH]]="","",NOTA[[#This Row],[DISC 1-]]+NOTA[[#This Row],[DISC 2-]])</f>
        <v>381480</v>
      </c>
      <c r="AA549" s="46">
        <f>IF(NOTA[[#This Row],[JUMLAH]]="","",NOTA[[#This Row],[JUMLAH]]-NOTA[[#This Row],[DISC]])</f>
        <v>1862520</v>
      </c>
      <c r="AB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49" s="46" t="str">
        <f>IF(OR(NOTA[[#This Row],[QTY]]="",NOTA[[#This Row],[HARGA SATUAN]]="",),"",NOTA[[#This Row],[QTY]]*NOTA[[#This Row],[HARGA SATUAN]])</f>
        <v/>
      </c>
      <c r="AF549" s="44">
        <f ca="1">IF(NOTA[ID_H]="","",INDEX(NOTA[TANGGAL],MATCH(,INDIRECT(ADDRESS(ROW(NOTA[TANGGAL]),COLUMN(NOTA[TANGGAL]))&amp;":"&amp;ADDRESS(ROW(),COLUMN(NOTA[TANGGAL]))),-1)))</f>
        <v>44863</v>
      </c>
      <c r="AG549" s="40" t="str">
        <f ca="1">IF(NOTA[[#This Row],[NAMA BARANG]]="","",INDEX(NOTA[SUPPLIER],MATCH(,INDIRECT(ADDRESS(ROW(NOTA[ID]),COLUMN(NOTA[ID]))&amp;":"&amp;ADDRESS(ROW(),COLUMN(NOTA[ID]))),-1)))</f>
        <v>KENKO SINAR INDONESIA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9" t="str">
        <f>IF(NOTA[[#This Row],[ID_P]]="","",MATCH(NOTA[[#This Row],[ID_P]],[1]!B_MSK[N_ID],0))</f>
        <v/>
      </c>
      <c r="D550" s="39">
        <f ca="1">IF(NOTA[[#This Row],[NAMA BARANG]]="","",INDEX(NOTA[ID],MATCH(,INDIRECT(ADDRESS(ROW(NOTA[ID]),COLUMN(NOTA[ID]))&amp;":"&amp;ADDRESS(ROW(),COLUMN(NOTA[ID]))),-1)))</f>
        <v>122</v>
      </c>
      <c r="E550" s="32"/>
      <c r="F550" s="31"/>
      <c r="G550" s="31"/>
      <c r="H550" s="33"/>
      <c r="I550" s="31"/>
      <c r="J550" s="34"/>
      <c r="K550" s="31"/>
      <c r="L550" s="31" t="s">
        <v>688</v>
      </c>
      <c r="M550" s="35">
        <v>2</v>
      </c>
      <c r="N550" s="31"/>
      <c r="O550" s="31"/>
      <c r="P550" s="30"/>
      <c r="Q550" s="103">
        <v>1260000</v>
      </c>
      <c r="R550" s="35" t="s">
        <v>161</v>
      </c>
      <c r="S550" s="37">
        <v>0.17</v>
      </c>
      <c r="T550" s="37"/>
      <c r="U550" s="36"/>
      <c r="V550" s="87"/>
      <c r="W550" s="36">
        <f>IF(NOTA[[#This Row],[HARGA/ CTN]]="",NOTA[[#This Row],[JUMLAH_H]],NOTA[[#This Row],[HARGA/ CTN]]*NOTA[[#This Row],[C]])</f>
        <v>2520000</v>
      </c>
      <c r="X550" s="36">
        <f>IF(NOTA[[#This Row],[JUMLAH]]="","",NOTA[[#This Row],[JUMLAH]]*NOTA[[#This Row],[DISC 1]])</f>
        <v>428400.00000000006</v>
      </c>
      <c r="Y550" s="36">
        <f>IF(NOTA[[#This Row],[JUMLAH]]="","",(NOTA[[#This Row],[JUMLAH]]-NOTA[[#This Row],[DISC 1-]])*NOTA[[#This Row],[DISC 2]])</f>
        <v>0</v>
      </c>
      <c r="Z550" s="36">
        <f>IF(NOTA[[#This Row],[JUMLAH]]="","",NOTA[[#This Row],[DISC 1-]]+NOTA[[#This Row],[DISC 2-]])</f>
        <v>428400.00000000006</v>
      </c>
      <c r="AA550" s="36">
        <f>IF(NOTA[[#This Row],[JUMLAH]]="","",NOTA[[#This Row],[JUMLAH]]-NOTA[[#This Row],[DISC]])</f>
        <v>2091600</v>
      </c>
      <c r="AB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50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50" s="36" t="str">
        <f>IF(OR(NOTA[[#This Row],[QTY]]="",NOTA[[#This Row],[HARGA SATUAN]]="",),"",NOTA[[#This Row],[QTY]]*NOTA[[#This Row],[HARGA SATUAN]])</f>
        <v/>
      </c>
      <c r="AF550" s="34">
        <f ca="1">IF(NOTA[ID_H]="","",INDEX(NOTA[TANGGAL],MATCH(,INDIRECT(ADDRESS(ROW(NOTA[TANGGAL]),COLUMN(NOTA[TANGGAL]))&amp;":"&amp;ADDRESS(ROW(),COLUMN(NOTA[TANGGAL]))),-1)))</f>
        <v>44863</v>
      </c>
      <c r="AG550" s="30" t="str">
        <f ca="1">IF(NOTA[[#This Row],[NAMA BARANG]]="","",INDEX(NOTA[SUPPLIER],MATCH(,INDIRECT(ADDRESS(ROW(NOTA[ID]),COLUMN(NOTA[ID]))&amp;":"&amp;ADDRESS(ROW(),COLUMN(NOTA[ID]))),-1)))</f>
        <v>KENKO SINAR INDONESIA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 t="str">
        <f ca="1">IF(NOTA[[#This Row],[NAMA BARANG]]="","",INDEX(NOTA[ID],MATCH(,INDIRECT(ADDRESS(ROW(NOTA[ID]),COLUMN(NOTA[ID]))&amp;":"&amp;ADDRESS(ROW(),COLUMN(NOTA[ID]))),-1)))</f>
        <v/>
      </c>
      <c r="E551" s="32"/>
      <c r="F551" s="31"/>
      <c r="G551" s="31"/>
      <c r="H551" s="33"/>
      <c r="I551" s="31"/>
      <c r="J551" s="34"/>
      <c r="K551" s="31"/>
      <c r="L551" s="31"/>
      <c r="M551" s="35"/>
      <c r="N551" s="31"/>
      <c r="O551" s="31"/>
      <c r="P551" s="30"/>
      <c r="Q551" s="103"/>
      <c r="R551" s="35"/>
      <c r="S551" s="37"/>
      <c r="T551" s="37"/>
      <c r="U551" s="36"/>
      <c r="V551" s="87"/>
      <c r="W551" s="36" t="str">
        <f>IF(NOTA[[#This Row],[HARGA/ CTN]]="",NOTA[[#This Row],[JUMLAH_H]],NOTA[[#This Row],[HARGA/ CTN]]*NOTA[[#This Row],[C]])</f>
        <v/>
      </c>
      <c r="X551" s="36" t="str">
        <f>IF(NOTA[[#This Row],[JUMLAH]]="","",NOTA[[#This Row],[JUMLAH]]*NOTA[[#This Row],[DISC 1]])</f>
        <v/>
      </c>
      <c r="Y551" s="36" t="str">
        <f>IF(NOTA[[#This Row],[JUMLAH]]="","",(NOTA[[#This Row],[JUMLAH]]-NOTA[[#This Row],[DISC 1-]])*NOTA[[#This Row],[DISC 2]])</f>
        <v/>
      </c>
      <c r="Z551" s="36" t="str">
        <f>IF(NOTA[[#This Row],[JUMLAH]]="","",NOTA[[#This Row],[DISC 1-]]+NOTA[[#This Row],[DISC 2-]])</f>
        <v/>
      </c>
      <c r="AA551" s="36" t="str">
        <f>IF(NOTA[[#This Row],[JUMLAH]]="","",NOTA[[#This Row],[JUMLAH]]-NOTA[[#This Row],[DISC]])</f>
        <v/>
      </c>
      <c r="AB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36" t="str">
        <f>IF(OR(NOTA[[#This Row],[QTY]]="",NOTA[[#This Row],[HARGA SATUAN]]="",),"",NOTA[[#This Row],[QTY]]*NOTA[[#This Row],[HARGA SATUAN]])</f>
        <v/>
      </c>
      <c r="AF551" s="34" t="str">
        <f ca="1">IF(NOTA[ID_H]="","",INDEX(NOTA[TANGGAL],MATCH(,INDIRECT(ADDRESS(ROW(NOTA[TANGGAL]),COLUMN(NOTA[TANGGAL]))&amp;":"&amp;ADDRESS(ROW(),COLUMN(NOTA[TANGGAL]))),-1)))</f>
        <v/>
      </c>
      <c r="AG551" s="30" t="str">
        <f ca="1">IF(NOTA[[#This Row],[NAMA BARANG]]="","",INDEX(NOTA[SUPPLIER],MATCH(,INDIRECT(ADDRESS(ROW(NOTA[ID]),COLUMN(NOTA[ID]))&amp;":"&amp;ADDRESS(ROW(),COLUMN(NOTA[ID]))),-1)))</f>
        <v/>
      </c>
      <c r="AH551" s="16" t="str">
        <f ca="1">IF(NOTA[[#This Row],[ID]]="","",COUNTIF(NOTA[ID_H],NOTA[[#This Row],[ID_H]]))</f>
        <v/>
      </c>
      <c r="AI551" s="16" t="str">
        <f ca="1">IF(NOTA[[#This Row],[TGL.NOTA]]="",IF(NOTA[[#This Row],[SUPPLIER_H]]="","",AI550),MONTH(NOTA[[#This Row],[TGL.NOTA]]))</f>
        <v/>
      </c>
      <c r="AJ551" s="16"/>
    </row>
    <row r="552" spans="1:36" ht="20.100000000000001" customHeight="1" x14ac:dyDescent="0.25">
      <c r="A552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52" s="39" t="e">
        <f ca="1">IF(NOTA[[#This Row],[ID_P]]="","",MATCH(NOTA[[#This Row],[ID_P]],[1]!B_MSK[N_ID],0))</f>
        <v>#REF!</v>
      </c>
      <c r="D552" s="39">
        <f ca="1">IF(NOTA[[#This Row],[NAMA BARANG]]="","",INDEX(NOTA[ID],MATCH(,INDIRECT(ADDRESS(ROW(NOTA[ID]),COLUMN(NOTA[ID]))&amp;":"&amp;ADDRESS(ROW(),COLUMN(NOTA[ID]))),-1)))</f>
        <v>123</v>
      </c>
      <c r="E552" s="32"/>
      <c r="F552" s="31" t="s">
        <v>23</v>
      </c>
      <c r="G552" s="31" t="s">
        <v>24</v>
      </c>
      <c r="H552" s="33" t="s">
        <v>692</v>
      </c>
      <c r="I552" s="31" t="s">
        <v>696</v>
      </c>
      <c r="J552" s="34">
        <v>44861</v>
      </c>
      <c r="K552" s="31"/>
      <c r="L552" s="30" t="s">
        <v>101</v>
      </c>
      <c r="M552" s="35">
        <v>1</v>
      </c>
      <c r="N552" s="31"/>
      <c r="O552" s="31"/>
      <c r="P552" s="30"/>
      <c r="Q552" s="103">
        <v>5702400</v>
      </c>
      <c r="R552" s="35" t="s">
        <v>102</v>
      </c>
      <c r="S552" s="37">
        <v>0.17</v>
      </c>
      <c r="T552" s="37"/>
      <c r="U552" s="36"/>
      <c r="V552" s="87"/>
      <c r="W552" s="36">
        <f>IF(NOTA[[#This Row],[HARGA/ CTN]]="",NOTA[[#This Row],[JUMLAH_H]],NOTA[[#This Row],[HARGA/ CTN]]*NOTA[[#This Row],[C]])</f>
        <v>5702400</v>
      </c>
      <c r="X552" s="36">
        <f>IF(NOTA[[#This Row],[JUMLAH]]="","",NOTA[[#This Row],[JUMLAH]]*NOTA[[#This Row],[DISC 1]])</f>
        <v>969408.00000000012</v>
      </c>
      <c r="Y552" s="36">
        <f>IF(NOTA[[#This Row],[JUMLAH]]="","",(NOTA[[#This Row],[JUMLAH]]-NOTA[[#This Row],[DISC 1-]])*NOTA[[#This Row],[DISC 2]])</f>
        <v>0</v>
      </c>
      <c r="Z552" s="36">
        <f>IF(NOTA[[#This Row],[JUMLAH]]="","",NOTA[[#This Row],[DISC 1-]]+NOTA[[#This Row],[DISC 2-]])</f>
        <v>969408.00000000012</v>
      </c>
      <c r="AA552" s="36">
        <f>IF(NOTA[[#This Row],[JUMLAH]]="","",NOTA[[#This Row],[JUMLAH]]-NOTA[[#This Row],[DISC]])</f>
        <v>4732992</v>
      </c>
      <c r="AB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52" s="36" t="str">
        <f>IF(OR(NOTA[[#This Row],[QTY]]="",NOTA[[#This Row],[HARGA SATUAN]]="",),"",NOTA[[#This Row],[QTY]]*NOTA[[#This Row],[HARGA SATUAN]])</f>
        <v/>
      </c>
      <c r="AF552" s="34">
        <f ca="1">IF(NOTA[ID_H]="","",INDEX(NOTA[TANGGAL],MATCH(,INDIRECT(ADDRESS(ROW(NOTA[TANGGAL]),COLUMN(NOTA[TANGGAL]))&amp;":"&amp;ADDRESS(ROW(),COLUMN(NOTA[TANGGAL]))),-1)))</f>
        <v>44863</v>
      </c>
      <c r="AG552" s="30" t="str">
        <f ca="1">IF(NOTA[[#This Row],[NAMA BARANG]]="","",INDEX(NOTA[SUPPLIER],MATCH(,INDIRECT(ADDRESS(ROW(NOTA[ID]),COLUMN(NOTA[ID]))&amp;":"&amp;ADDRESS(ROW(),COLUMN(NOTA[ID]))),-1)))</f>
        <v>KENKO SINAR INDONESIA</v>
      </c>
      <c r="AH552" s="16">
        <f ca="1">IF(NOTA[[#This Row],[ID]]="","",COUNTIF(NOTA[ID_H],NOTA[[#This Row],[ID_H]]))</f>
        <v>9</v>
      </c>
      <c r="AI552" s="16">
        <f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123</v>
      </c>
      <c r="E553" s="32"/>
      <c r="F553" s="31"/>
      <c r="G553" s="31"/>
      <c r="H553" s="33"/>
      <c r="I553" s="31"/>
      <c r="J553" s="34"/>
      <c r="K553" s="31"/>
      <c r="L553" s="31" t="s">
        <v>129</v>
      </c>
      <c r="M553" s="35">
        <v>1</v>
      </c>
      <c r="N553" s="31"/>
      <c r="O553" s="31"/>
      <c r="P553" s="30"/>
      <c r="Q553" s="103">
        <v>3542400</v>
      </c>
      <c r="R553" s="35" t="s">
        <v>102</v>
      </c>
      <c r="S553" s="37">
        <v>0.17</v>
      </c>
      <c r="T553" s="37"/>
      <c r="U553" s="36"/>
      <c r="V553" s="87"/>
      <c r="W553" s="36">
        <f>IF(NOTA[[#This Row],[HARGA/ CTN]]="",NOTA[[#This Row],[JUMLAH_H]],NOTA[[#This Row],[HARGA/ CTN]]*NOTA[[#This Row],[C]])</f>
        <v>3542400</v>
      </c>
      <c r="X553" s="36">
        <f>IF(NOTA[[#This Row],[JUMLAH]]="","",NOTA[[#This Row],[JUMLAH]]*NOTA[[#This Row],[DISC 1]])</f>
        <v>602208</v>
      </c>
      <c r="Y553" s="36">
        <f>IF(NOTA[[#This Row],[JUMLAH]]="","",(NOTA[[#This Row],[JUMLAH]]-NOTA[[#This Row],[DISC 1-]])*NOTA[[#This Row],[DISC 2]])</f>
        <v>0</v>
      </c>
      <c r="Z553" s="36">
        <f>IF(NOTA[[#This Row],[JUMLAH]]="","",NOTA[[#This Row],[DISC 1-]]+NOTA[[#This Row],[DISC 2-]])</f>
        <v>602208</v>
      </c>
      <c r="AA553" s="36">
        <f>IF(NOTA[[#This Row],[JUMLAH]]="","",NOTA[[#This Row],[JUMLAH]]-NOTA[[#This Row],[DISC]])</f>
        <v>2940192</v>
      </c>
      <c r="AB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53" s="36" t="str">
        <f>IF(OR(NOTA[[#This Row],[QTY]]="",NOTA[[#This Row],[HARGA SATUAN]]="",),"",NOTA[[#This Row],[QTY]]*NOTA[[#This Row],[HARGA SATUAN]])</f>
        <v/>
      </c>
      <c r="AF553" s="34">
        <f ca="1">IF(NOTA[ID_H]="","",INDEX(NOTA[TANGGAL],MATCH(,INDIRECT(ADDRESS(ROW(NOTA[TANGGAL]),COLUMN(NOTA[TANGGAL]))&amp;":"&amp;ADDRESS(ROW(),COLUMN(NOTA[TANGGAL]))),-1)))</f>
        <v>44863</v>
      </c>
      <c r="AG553" s="30" t="str">
        <f ca="1">IF(NOTA[[#This Row],[NAMA BARANG]]="","",INDEX(NOTA[SUPPLIER],MATCH(,INDIRECT(ADDRESS(ROW(NOTA[ID]),COLUMN(NOTA[ID]))&amp;":"&amp;ADDRESS(ROW(),COLUMN(NOTA[ID]))),-1)))</f>
        <v>KENKO SINAR INDONESIA</v>
      </c>
      <c r="AH553" s="16" t="str">
        <f ca="1">IF(NOTA[[#This Row],[ID]]="","",COUNTIF(NOTA[ID_H],NOTA[[#This Row],[ID_H]]))</f>
        <v/>
      </c>
      <c r="AI553" s="16">
        <f ca="1">IF(NOTA[[#This Row],[TGL.NOTA]]="",IF(NOTA[[#This Row],[SUPPLIER_H]]="","",AI552),MONTH(NOTA[[#This Row],[TGL.NOTA]]))</f>
        <v>10</v>
      </c>
      <c r="AJ553" s="16"/>
    </row>
    <row r="554" spans="1:36" ht="20.100000000000001" customHeight="1" x14ac:dyDescent="0.25">
      <c r="A5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123</v>
      </c>
      <c r="E554" s="32"/>
      <c r="F554" s="31"/>
      <c r="G554" s="31"/>
      <c r="H554" s="33"/>
      <c r="I554" s="31"/>
      <c r="J554" s="34"/>
      <c r="K554" s="31"/>
      <c r="L554" s="31" t="s">
        <v>103</v>
      </c>
      <c r="M554" s="35">
        <v>1</v>
      </c>
      <c r="N554" s="31"/>
      <c r="O554" s="31"/>
      <c r="P554" s="30"/>
      <c r="Q554" s="103">
        <v>3110400</v>
      </c>
      <c r="R554" s="35" t="s">
        <v>102</v>
      </c>
      <c r="S554" s="37">
        <v>0.17</v>
      </c>
      <c r="T554" s="37"/>
      <c r="U554" s="36"/>
      <c r="V554" s="87"/>
      <c r="W554" s="36">
        <f>IF(NOTA[[#This Row],[HARGA/ CTN]]="",NOTA[[#This Row],[JUMLAH_H]],NOTA[[#This Row],[HARGA/ CTN]]*NOTA[[#This Row],[C]])</f>
        <v>3110400</v>
      </c>
      <c r="X554" s="36">
        <f>IF(NOTA[[#This Row],[JUMLAH]]="","",NOTA[[#This Row],[JUMLAH]]*NOTA[[#This Row],[DISC 1]])</f>
        <v>528768</v>
      </c>
      <c r="Y554" s="36">
        <f>IF(NOTA[[#This Row],[JUMLAH]]="","",(NOTA[[#This Row],[JUMLAH]]-NOTA[[#This Row],[DISC 1-]])*NOTA[[#This Row],[DISC 2]])</f>
        <v>0</v>
      </c>
      <c r="Z554" s="36">
        <f>IF(NOTA[[#This Row],[JUMLAH]]="","",NOTA[[#This Row],[DISC 1-]]+NOTA[[#This Row],[DISC 2-]])</f>
        <v>528768</v>
      </c>
      <c r="AA554" s="36">
        <f>IF(NOTA[[#This Row],[JUMLAH]]="","",NOTA[[#This Row],[JUMLAH]]-NOTA[[#This Row],[DISC]])</f>
        <v>2581632</v>
      </c>
      <c r="AB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54" s="36" t="str">
        <f>IF(OR(NOTA[[#This Row],[QTY]]="",NOTA[[#This Row],[HARGA SATUAN]]="",),"",NOTA[[#This Row],[QTY]]*NOTA[[#This Row],[HARGA SATUAN]])</f>
        <v/>
      </c>
      <c r="AF554" s="34">
        <f ca="1">IF(NOTA[ID_H]="","",INDEX(NOTA[TANGGAL],MATCH(,INDIRECT(ADDRESS(ROW(NOTA[TANGGAL]),COLUMN(NOTA[TANGGAL]))&amp;":"&amp;ADDRESS(ROW(),COLUMN(NOTA[TANGGAL]))),-1)))</f>
        <v>44863</v>
      </c>
      <c r="AG554" s="30" t="str">
        <f ca="1">IF(NOTA[[#This Row],[NAMA BARANG]]="","",INDEX(NOTA[SUPPLIER],MATCH(,INDIRECT(ADDRESS(ROW(NOTA[ID]),COLUMN(NOTA[ID]))&amp;":"&amp;ADDRESS(ROW(),COLUMN(NOTA[ID]))),-1)))</f>
        <v>KENKO SINAR INDONESIA</v>
      </c>
      <c r="AH554" s="16" t="str">
        <f ca="1">IF(NOTA[[#This Row],[ID]]="","",COUNTIF(NOTA[ID_H],NOTA[[#This Row],[ID_H]]))</f>
        <v/>
      </c>
      <c r="AI554" s="16">
        <f ca="1">IF(NOTA[[#This Row],[TGL.NOTA]]="",IF(NOTA[[#This Row],[SUPPLIER_H]]="","",AI553),MONTH(NOTA[[#This Row],[TGL.NOTA]]))</f>
        <v>10</v>
      </c>
      <c r="AJ554" s="16"/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523</v>
      </c>
      <c r="M555" s="35">
        <v>1</v>
      </c>
      <c r="N555" s="31"/>
      <c r="O555" s="31"/>
      <c r="P555" s="30"/>
      <c r="Q555" s="103">
        <v>2280000</v>
      </c>
      <c r="R555" s="35" t="s">
        <v>161</v>
      </c>
      <c r="S555" s="37">
        <v>0.17</v>
      </c>
      <c r="T555" s="37"/>
      <c r="U555" s="36"/>
      <c r="V555" s="87"/>
      <c r="W555" s="36">
        <f>IF(NOTA[[#This Row],[HARGA/ CTN]]="",NOTA[[#This Row],[JUMLAH_H]],NOTA[[#This Row],[HARGA/ CTN]]*NOTA[[#This Row],[C]])</f>
        <v>2280000</v>
      </c>
      <c r="X555" s="36">
        <f>IF(NOTA[[#This Row],[JUMLAH]]="","",NOTA[[#This Row],[JUMLAH]]*NOTA[[#This Row],[DISC 1]])</f>
        <v>387600</v>
      </c>
      <c r="Y555" s="36">
        <f>IF(NOTA[[#This Row],[JUMLAH]]="","",(NOTA[[#This Row],[JUMLAH]]-NOTA[[#This Row],[DISC 1-]])*NOTA[[#This Row],[DISC 2]])</f>
        <v>0</v>
      </c>
      <c r="Z555" s="36">
        <f>IF(NOTA[[#This Row],[JUMLAH]]="","",NOTA[[#This Row],[DISC 1-]]+NOTA[[#This Row],[DISC 2-]])</f>
        <v>387600</v>
      </c>
      <c r="AA555" s="36">
        <f>IF(NOTA[[#This Row],[JUMLAH]]="","",NOTA[[#This Row],[JUMLAH]]-NOTA[[#This Row],[DISC]])</f>
        <v>1892400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55" s="36" t="str">
        <f>IF(OR(NOTA[[#This Row],[QTY]]="",NOTA[[#This Row],[HARGA SATUAN]]="",),"",NOTA[[#This Row],[QTY]]*NOTA[[#This Row],[HARGA SATUAN]])</f>
        <v/>
      </c>
      <c r="AF555" s="34">
        <f ca="1">IF(NOTA[ID_H]="","",INDEX(NOTA[TANGGAL],MATCH(,INDIRECT(ADDRESS(ROW(NOTA[TANGGAL]),COLUMN(NOTA[TANGGAL]))&amp;":"&amp;ADDRESS(ROW(),COLUMN(NOTA[TANGGAL]))),-1)))</f>
        <v>44863</v>
      </c>
      <c r="AG555" s="30" t="str">
        <f ca="1">IF(NOTA[[#This Row],[NAMA BARANG]]="","",INDEX(NOTA[SUPPLIER],MATCH(,INDIRECT(ADDRESS(ROW(NOTA[ID]),COLUMN(NOTA[ID]))&amp;":"&amp;ADDRESS(ROW(),COLUMN(NOTA[ID]))),-1)))</f>
        <v>KENKO SINAR INDONESIA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10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693</v>
      </c>
      <c r="M556" s="35">
        <v>2</v>
      </c>
      <c r="N556" s="31"/>
      <c r="O556" s="31"/>
      <c r="P556" s="30"/>
      <c r="Q556" s="103">
        <v>2052000</v>
      </c>
      <c r="R556" s="35" t="s">
        <v>94</v>
      </c>
      <c r="S556" s="37">
        <v>0.17</v>
      </c>
      <c r="T556" s="37"/>
      <c r="U556" s="36"/>
      <c r="V556" s="87"/>
      <c r="W556" s="36">
        <f>IF(NOTA[[#This Row],[HARGA/ CTN]]="",NOTA[[#This Row],[JUMLAH_H]],NOTA[[#This Row],[HARGA/ CTN]]*NOTA[[#This Row],[C]])</f>
        <v>4104000</v>
      </c>
      <c r="X556" s="36">
        <f>IF(NOTA[[#This Row],[JUMLAH]]="","",NOTA[[#This Row],[JUMLAH]]*NOTA[[#This Row],[DISC 1]])</f>
        <v>697680</v>
      </c>
      <c r="Y556" s="36">
        <f>IF(NOTA[[#This Row],[JUMLAH]]="","",(NOTA[[#This Row],[JUMLAH]]-NOTA[[#This Row],[DISC 1-]])*NOTA[[#This Row],[DISC 2]])</f>
        <v>0</v>
      </c>
      <c r="Z556" s="36">
        <f>IF(NOTA[[#This Row],[JUMLAH]]="","",NOTA[[#This Row],[DISC 1-]]+NOTA[[#This Row],[DISC 2-]])</f>
        <v>697680</v>
      </c>
      <c r="AA556" s="36">
        <f>IF(NOTA[[#This Row],[JUMLAH]]="","",NOTA[[#This Row],[JUMLAH]]-NOTA[[#This Row],[DISC]])</f>
        <v>3406320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56" s="36" t="str">
        <f>IF(OR(NOTA[[#This Row],[QTY]]="",NOTA[[#This Row],[HARGA SATUAN]]="",),"",NOTA[[#This Row],[QTY]]*NOTA[[#This Row],[HARGA SATUAN]])</f>
        <v/>
      </c>
      <c r="AF556" s="34">
        <f ca="1">IF(NOTA[ID_H]="","",INDEX(NOTA[TANGGAL],MATCH(,INDIRECT(ADDRESS(ROW(NOTA[TANGGAL]),COLUMN(NOTA[TANGGAL]))&amp;":"&amp;ADDRESS(ROW(),COLUMN(NOTA[TANGGAL]))),-1)))</f>
        <v>44863</v>
      </c>
      <c r="AG556" s="30" t="str">
        <f ca="1">IF(NOTA[[#This Row],[NAMA BARANG]]="","",INDEX(NOTA[SUPPLIER],MATCH(,INDIRECT(ADDRESS(ROW(NOTA[ID]),COLUMN(NOTA[ID]))&amp;":"&amp;ADDRESS(ROW(),COLUMN(NOTA[ID]))),-1)))</f>
        <v>KENKO SINAR INDONESIA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10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694</v>
      </c>
      <c r="M557" s="35">
        <v>1</v>
      </c>
      <c r="N557" s="31"/>
      <c r="O557" s="31"/>
      <c r="P557" s="30"/>
      <c r="Q557" s="103">
        <v>1590000</v>
      </c>
      <c r="R557" s="35" t="s">
        <v>697</v>
      </c>
      <c r="S557" s="37">
        <v>0.17</v>
      </c>
      <c r="T557" s="37"/>
      <c r="U557" s="36"/>
      <c r="V557" s="87"/>
      <c r="W557" s="36">
        <f>IF(NOTA[[#This Row],[HARGA/ CTN]]="",NOTA[[#This Row],[JUMLAH_H]],NOTA[[#This Row],[HARGA/ CTN]]*NOTA[[#This Row],[C]])</f>
        <v>1590000</v>
      </c>
      <c r="X557" s="36">
        <f>IF(NOTA[[#This Row],[JUMLAH]]="","",NOTA[[#This Row],[JUMLAH]]*NOTA[[#This Row],[DISC 1]])</f>
        <v>270300</v>
      </c>
      <c r="Y557" s="36">
        <f>IF(NOTA[[#This Row],[JUMLAH]]="","",(NOTA[[#This Row],[JUMLAH]]-NOTA[[#This Row],[DISC 1-]])*NOTA[[#This Row],[DISC 2]])</f>
        <v>0</v>
      </c>
      <c r="Z557" s="36">
        <f>IF(NOTA[[#This Row],[JUMLAH]]="","",NOTA[[#This Row],[DISC 1-]]+NOTA[[#This Row],[DISC 2-]])</f>
        <v>270300</v>
      </c>
      <c r="AA557" s="36">
        <f>IF(NOTA[[#This Row],[JUMLAH]]="","",NOTA[[#This Row],[JUMLAH]]-NOTA[[#This Row],[DISC]])</f>
        <v>1319700</v>
      </c>
      <c r="AB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57" s="36" t="str">
        <f>IF(OR(NOTA[[#This Row],[QTY]]="",NOTA[[#This Row],[HARGA SATUAN]]="",),"",NOTA[[#This Row],[QTY]]*NOTA[[#This Row],[HARGA SATUAN]])</f>
        <v/>
      </c>
      <c r="AF557" s="34">
        <f ca="1">IF(NOTA[ID_H]="","",INDEX(NOTA[TANGGAL],MATCH(,INDIRECT(ADDRESS(ROW(NOTA[TANGGAL]),COLUMN(NOTA[TANGGAL]))&amp;":"&amp;ADDRESS(ROW(),COLUMN(NOTA[TANGGAL]))),-1)))</f>
        <v>44863</v>
      </c>
      <c r="AG557" s="30" t="str">
        <f ca="1">IF(NOTA[[#This Row],[NAMA BARANG]]="","",INDEX(NOTA[SUPPLIER],MATCH(,INDIRECT(ADDRESS(ROW(NOTA[ID]),COLUMN(NOTA[ID]))&amp;":"&amp;ADDRESS(ROW(),COLUMN(NOTA[ID]))),-1)))</f>
        <v>KENKO SINAR INDONESIA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10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123</v>
      </c>
      <c r="E558" s="32"/>
      <c r="F558" s="31"/>
      <c r="G558" s="31"/>
      <c r="H558" s="33"/>
      <c r="I558" s="31"/>
      <c r="J558" s="34"/>
      <c r="K558" s="31"/>
      <c r="L558" s="31" t="s">
        <v>196</v>
      </c>
      <c r="M558" s="35">
        <v>2</v>
      </c>
      <c r="N558" s="31"/>
      <c r="O558" s="31"/>
      <c r="P558" s="30"/>
      <c r="Q558" s="103">
        <v>1380000</v>
      </c>
      <c r="R558" s="35" t="s">
        <v>197</v>
      </c>
      <c r="S558" s="37">
        <v>0.17</v>
      </c>
      <c r="T558" s="37"/>
      <c r="U558" s="36"/>
      <c r="V558" s="87"/>
      <c r="W558" s="36">
        <f>IF(NOTA[[#This Row],[HARGA/ CTN]]="",NOTA[[#This Row],[JUMLAH_H]],NOTA[[#This Row],[HARGA/ CTN]]*NOTA[[#This Row],[C]])</f>
        <v>2760000</v>
      </c>
      <c r="X558" s="36">
        <f>IF(NOTA[[#This Row],[JUMLAH]]="","",NOTA[[#This Row],[JUMLAH]]*NOTA[[#This Row],[DISC 1]])</f>
        <v>469200.00000000006</v>
      </c>
      <c r="Y558" s="36">
        <f>IF(NOTA[[#This Row],[JUMLAH]]="","",(NOTA[[#This Row],[JUMLAH]]-NOTA[[#This Row],[DISC 1-]])*NOTA[[#This Row],[DISC 2]])</f>
        <v>0</v>
      </c>
      <c r="Z558" s="36">
        <f>IF(NOTA[[#This Row],[JUMLAH]]="","",NOTA[[#This Row],[DISC 1-]]+NOTA[[#This Row],[DISC 2-]])</f>
        <v>469200.00000000006</v>
      </c>
      <c r="AA558" s="36">
        <f>IF(NOTA[[#This Row],[JUMLAH]]="","",NOTA[[#This Row],[JUMLAH]]-NOTA[[#This Row],[DISC]])</f>
        <v>2290800</v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58" s="36" t="str">
        <f>IF(OR(NOTA[[#This Row],[QTY]]="",NOTA[[#This Row],[HARGA SATUAN]]="",),"",NOTA[[#This Row],[QTY]]*NOTA[[#This Row],[HARGA SATUAN]])</f>
        <v/>
      </c>
      <c r="AF558" s="34">
        <f ca="1">IF(NOTA[ID_H]="","",INDEX(NOTA[TANGGAL],MATCH(,INDIRECT(ADDRESS(ROW(NOTA[TANGGAL]),COLUMN(NOTA[TANGGAL]))&amp;":"&amp;ADDRESS(ROW(),COLUMN(NOTA[TANGGAL]))),-1)))</f>
        <v>44863</v>
      </c>
      <c r="AG558" s="30" t="str">
        <f ca="1">IF(NOTA[[#This Row],[NAMA BARANG]]="","",INDEX(NOTA[SUPPLIER],MATCH(,INDIRECT(ADDRESS(ROW(NOTA[ID]),COLUMN(NOTA[ID]))&amp;":"&amp;ADDRESS(ROW(),COLUMN(NOTA[ID]))),-1)))</f>
        <v>KENKO SINAR INDONESIA</v>
      </c>
      <c r="AH558" s="16" t="str">
        <f ca="1">IF(NOTA[[#This Row],[ID]]="","",COUNTIF(NOTA[ID_H],NOTA[[#This Row],[ID_H]]))</f>
        <v/>
      </c>
      <c r="AI558" s="16">
        <f ca="1">IF(NOTA[[#This Row],[TGL.NOTA]]="",IF(NOTA[[#This Row],[SUPPLIER_H]]="","",AI557),MONTH(NOTA[[#This Row],[TGL.NOTA]]))</f>
        <v>10</v>
      </c>
      <c r="AJ558" s="16"/>
    </row>
    <row r="559" spans="1:36" ht="20.100000000000001" customHeight="1" x14ac:dyDescent="0.25">
      <c r="A5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123</v>
      </c>
      <c r="E559" s="32"/>
      <c r="F559" s="31"/>
      <c r="G559" s="31"/>
      <c r="H559" s="33"/>
      <c r="I559" s="31"/>
      <c r="J559" s="34"/>
      <c r="K559" s="31"/>
      <c r="L559" s="31" t="s">
        <v>695</v>
      </c>
      <c r="M559" s="35">
        <v>2</v>
      </c>
      <c r="N559" s="31"/>
      <c r="O559" s="31"/>
      <c r="P559" s="30"/>
      <c r="Q559" s="103">
        <v>1200000</v>
      </c>
      <c r="R559" s="35" t="s">
        <v>222</v>
      </c>
      <c r="S559" s="37">
        <v>0.17</v>
      </c>
      <c r="T559" s="37"/>
      <c r="U559" s="36"/>
      <c r="V559" s="87"/>
      <c r="W559" s="36">
        <f>IF(NOTA[[#This Row],[HARGA/ CTN]]="",NOTA[[#This Row],[JUMLAH_H]],NOTA[[#This Row],[HARGA/ CTN]]*NOTA[[#This Row],[C]])</f>
        <v>2400000</v>
      </c>
      <c r="X559" s="36">
        <f>IF(NOTA[[#This Row],[JUMLAH]]="","",NOTA[[#This Row],[JUMLAH]]*NOTA[[#This Row],[DISC 1]])</f>
        <v>408000.00000000006</v>
      </c>
      <c r="Y559" s="36">
        <f>IF(NOTA[[#This Row],[JUMLAH]]="","",(NOTA[[#This Row],[JUMLAH]]-NOTA[[#This Row],[DISC 1-]])*NOTA[[#This Row],[DISC 2]])</f>
        <v>0</v>
      </c>
      <c r="Z559" s="36">
        <f>IF(NOTA[[#This Row],[JUMLAH]]="","",NOTA[[#This Row],[DISC 1-]]+NOTA[[#This Row],[DISC 2-]])</f>
        <v>408000.00000000006</v>
      </c>
      <c r="AA559" s="36">
        <f>IF(NOTA[[#This Row],[JUMLAH]]="","",NOTA[[#This Row],[JUMLAH]]-NOTA[[#This Row],[DISC]])</f>
        <v>1992000</v>
      </c>
      <c r="AB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9" s="36" t="str">
        <f>IF(OR(NOTA[[#This Row],[QTY]]="",NOTA[[#This Row],[HARGA SATUAN]]="",),"",NOTA[[#This Row],[QTY]]*NOTA[[#This Row],[HARGA SATUAN]])</f>
        <v/>
      </c>
      <c r="AF559" s="34">
        <f ca="1">IF(NOTA[ID_H]="","",INDEX(NOTA[TANGGAL],MATCH(,INDIRECT(ADDRESS(ROW(NOTA[TANGGAL]),COLUMN(NOTA[TANGGAL]))&amp;":"&amp;ADDRESS(ROW(),COLUMN(NOTA[TANGGAL]))),-1)))</f>
        <v>44863</v>
      </c>
      <c r="AG559" s="30" t="str">
        <f ca="1">IF(NOTA[[#This Row],[NAMA BARANG]]="","",INDEX(NOTA[SUPPLIER],MATCH(,INDIRECT(ADDRESS(ROW(NOTA[ID]),COLUMN(NOTA[ID]))&amp;":"&amp;ADDRESS(ROW(),COLUMN(NOTA[ID]))),-1)))</f>
        <v>KENKO SINAR INDONESIA</v>
      </c>
      <c r="AH559" s="16" t="str">
        <f ca="1">IF(NOTA[[#This Row],[ID]]="","",COUNTIF(NOTA[ID_H],NOTA[[#This Row],[ID_H]]))</f>
        <v/>
      </c>
      <c r="AI559" s="16">
        <f ca="1">IF(NOTA[[#This Row],[TGL.NOTA]]="",IF(NOTA[[#This Row],[SUPPLIER_H]]="","",AI558),MONTH(NOTA[[#This Row],[TGL.NOTA]]))</f>
        <v>10</v>
      </c>
      <c r="AJ559" s="16"/>
    </row>
    <row r="560" spans="1:36" ht="20.100000000000001" customHeight="1" x14ac:dyDescent="0.25">
      <c r="A5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123</v>
      </c>
      <c r="E560" s="32"/>
      <c r="F560" s="31"/>
      <c r="G560" s="31"/>
      <c r="H560" s="33"/>
      <c r="I560" s="31"/>
      <c r="J560" s="34"/>
      <c r="K560" s="31"/>
      <c r="L560" s="31" t="s">
        <v>515</v>
      </c>
      <c r="M560" s="35">
        <v>1</v>
      </c>
      <c r="N560" s="31"/>
      <c r="O560" s="31"/>
      <c r="P560" s="30"/>
      <c r="Q560" s="103">
        <v>800000</v>
      </c>
      <c r="R560" s="35" t="s">
        <v>531</v>
      </c>
      <c r="S560" s="37">
        <v>0.17</v>
      </c>
      <c r="T560" s="37"/>
      <c r="U560" s="36"/>
      <c r="V560" s="87"/>
      <c r="W560" s="36">
        <f>IF(NOTA[[#This Row],[HARGA/ CTN]]="",NOTA[[#This Row],[JUMLAH_H]],NOTA[[#This Row],[HARGA/ CTN]]*NOTA[[#This Row],[C]])</f>
        <v>800000</v>
      </c>
      <c r="X560" s="36">
        <f>IF(NOTA[[#This Row],[JUMLAH]]="","",NOTA[[#This Row],[JUMLAH]]*NOTA[[#This Row],[DISC 1]])</f>
        <v>136000</v>
      </c>
      <c r="Y560" s="36">
        <f>IF(NOTA[[#This Row],[JUMLAH]]="","",(NOTA[[#This Row],[JUMLAH]]-NOTA[[#This Row],[DISC 1-]])*NOTA[[#This Row],[DISC 2]])</f>
        <v>0</v>
      </c>
      <c r="Z560" s="36">
        <f>IF(NOTA[[#This Row],[JUMLAH]]="","",NOTA[[#This Row],[DISC 1-]]+NOTA[[#This Row],[DISC 2-]])</f>
        <v>136000</v>
      </c>
      <c r="AA560" s="36">
        <f>IF(NOTA[[#This Row],[JUMLAH]]="","",NOTA[[#This Row],[JUMLAH]]-NOTA[[#This Row],[DISC]])</f>
        <v>664000</v>
      </c>
      <c r="AB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60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60" s="36" t="str">
        <f>IF(OR(NOTA[[#This Row],[QTY]]="",NOTA[[#This Row],[HARGA SATUAN]]="",),"",NOTA[[#This Row],[QTY]]*NOTA[[#This Row],[HARGA SATUAN]])</f>
        <v/>
      </c>
      <c r="AF560" s="34">
        <f ca="1">IF(NOTA[ID_H]="","",INDEX(NOTA[TANGGAL],MATCH(,INDIRECT(ADDRESS(ROW(NOTA[TANGGAL]),COLUMN(NOTA[TANGGAL]))&amp;":"&amp;ADDRESS(ROW(),COLUMN(NOTA[TANGGAL]))),-1)))</f>
        <v>44863</v>
      </c>
      <c r="AG560" s="30" t="str">
        <f ca="1">IF(NOTA[[#This Row],[NAMA BARANG]]="","",INDEX(NOTA[SUPPLIER],MATCH(,INDIRECT(ADDRESS(ROW(NOTA[ID]),COLUMN(NOTA[ID]))&amp;":"&amp;ADDRESS(ROW(),COLUMN(NOTA[ID]))),-1)))</f>
        <v>KENKO SINAR INDONESIA</v>
      </c>
      <c r="AH560" s="16" t="str">
        <f ca="1">IF(NOTA[[#This Row],[ID]]="","",COUNTIF(NOTA[ID_H],NOTA[[#This Row],[ID_H]]))</f>
        <v/>
      </c>
      <c r="AI560" s="16">
        <f ca="1">IF(NOTA[[#This Row],[TGL.NOTA]]="",IF(NOTA[[#This Row],[SUPPLIER_H]]="","",AI559),MONTH(NOTA[[#This Row],[TGL.NOTA]]))</f>
        <v>10</v>
      </c>
      <c r="AJ560" s="16"/>
    </row>
    <row r="561" spans="1:36" ht="20.100000000000001" customHeight="1" x14ac:dyDescent="0.25">
      <c r="A5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 t="str">
        <f ca="1">IF(NOTA[[#This Row],[NAMA BARANG]]="","",INDEX(NOTA[ID],MATCH(,INDIRECT(ADDRESS(ROW(NOTA[ID]),COLUMN(NOTA[ID]))&amp;":"&amp;ADDRESS(ROW(),COLUMN(NOTA[ID]))),-1)))</f>
        <v/>
      </c>
      <c r="E561" s="32"/>
      <c r="F561" s="31"/>
      <c r="G561" s="31"/>
      <c r="H561" s="33"/>
      <c r="I561" s="31"/>
      <c r="J561" s="34"/>
      <c r="K561" s="31"/>
      <c r="L561" s="31"/>
      <c r="M561" s="35"/>
      <c r="N561" s="31"/>
      <c r="O561" s="31"/>
      <c r="P561" s="30"/>
      <c r="Q561" s="103"/>
      <c r="R561" s="35"/>
      <c r="S561" s="37"/>
      <c r="T561" s="37"/>
      <c r="U561" s="36"/>
      <c r="V561" s="87"/>
      <c r="W561" s="36" t="str">
        <f>IF(NOTA[[#This Row],[HARGA/ CTN]]="",NOTA[[#This Row],[JUMLAH_H]],NOTA[[#This Row],[HARGA/ CTN]]*NOTA[[#This Row],[C]])</f>
        <v/>
      </c>
      <c r="X561" s="36" t="str">
        <f>IF(NOTA[[#This Row],[JUMLAH]]="","",NOTA[[#This Row],[JUMLAH]]*NOTA[[#This Row],[DISC 1]])</f>
        <v/>
      </c>
      <c r="Y561" s="36" t="str">
        <f>IF(NOTA[[#This Row],[JUMLAH]]="","",(NOTA[[#This Row],[JUMLAH]]-NOTA[[#This Row],[DISC 1-]])*NOTA[[#This Row],[DISC 2]])</f>
        <v/>
      </c>
      <c r="Z561" s="36" t="str">
        <f>IF(NOTA[[#This Row],[JUMLAH]]="","",NOTA[[#This Row],[DISC 1-]]+NOTA[[#This Row],[DISC 2-]])</f>
        <v/>
      </c>
      <c r="AA561" s="36" t="str">
        <f>IF(NOTA[[#This Row],[JUMLAH]]="","",NOTA[[#This Row],[JUMLAH]]-NOTA[[#This Row],[DISC]])</f>
        <v/>
      </c>
      <c r="AB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6" t="str">
        <f>IF(OR(NOTA[[#This Row],[QTY]]="",NOTA[[#This Row],[HARGA SATUAN]]="",),"",NOTA[[#This Row],[QTY]]*NOTA[[#This Row],[HARGA SATUAN]])</f>
        <v/>
      </c>
      <c r="AF561" s="34" t="str">
        <f ca="1">IF(NOTA[ID_H]="","",INDEX(NOTA[TANGGAL],MATCH(,INDIRECT(ADDRESS(ROW(NOTA[TANGGAL]),COLUMN(NOTA[TANGGAL]))&amp;":"&amp;ADDRESS(ROW(),COLUMN(NOTA[TANGGAL]))),-1)))</f>
        <v/>
      </c>
      <c r="AG561" s="30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 t="str">
        <f ca="1">IF(NOTA[[#This Row],[TGL.NOTA]]="",IF(NOTA[[#This Row],[SUPPLIER_H]]="","",AI560),MONTH(NOTA[[#This Row],[TGL.NOTA]]))</f>
        <v/>
      </c>
      <c r="AJ561" s="16"/>
    </row>
    <row r="562" spans="1:36" ht="20.100000000000001" customHeight="1" x14ac:dyDescent="0.25">
      <c r="A562" s="30">
        <f ca="1">IF(INDIRECT(ADDRESS(ROW()-1,COLUMN(NOTA[[#Headers],[ID]])))="ID",1,IF(NOTA[[#This Row],[FAKTUR]]="","",COUNT(INDIRECT(ADDRESS(ROW(NOTA[ID]),COLUMN(NOTA[ID]))&amp;":"&amp;ADDRESS(ROW()-1,COLUMN(NOTA[ID]))))+1))</f>
        <v>124</v>
      </c>
      <c r="B5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62" s="39" t="e">
        <f ca="1">IF(NOTA[[#This Row],[ID_P]]="","",MATCH(NOTA[[#This Row],[ID_P]],[1]!B_MSK[N_ID],0))</f>
        <v>#REF!</v>
      </c>
      <c r="D562" s="39">
        <f ca="1">IF(NOTA[[#This Row],[NAMA BARANG]]="","",INDEX(NOTA[ID],MATCH(,INDIRECT(ADDRESS(ROW(NOTA[ID]),COLUMN(NOTA[ID]))&amp;":"&amp;ADDRESS(ROW(),COLUMN(NOTA[ID]))),-1)))</f>
        <v>124</v>
      </c>
      <c r="E562" s="32"/>
      <c r="F562" s="31" t="s">
        <v>25</v>
      </c>
      <c r="G562" s="31" t="s">
        <v>24</v>
      </c>
      <c r="H562" s="33" t="s">
        <v>698</v>
      </c>
      <c r="I562" s="31"/>
      <c r="J562" s="34">
        <v>44860</v>
      </c>
      <c r="K562" s="31"/>
      <c r="L562" s="31" t="s">
        <v>699</v>
      </c>
      <c r="M562" s="35">
        <v>5</v>
      </c>
      <c r="N562" s="31">
        <v>720</v>
      </c>
      <c r="O562" s="31" t="s">
        <v>204</v>
      </c>
      <c r="P562" s="30">
        <v>11600</v>
      </c>
      <c r="Q562" s="103"/>
      <c r="R562" s="35" t="s">
        <v>284</v>
      </c>
      <c r="S562" s="37">
        <v>0.125</v>
      </c>
      <c r="T562" s="37">
        <v>0.05</v>
      </c>
      <c r="U562" s="36"/>
      <c r="V562" s="87"/>
      <c r="W562" s="36">
        <f>IF(NOTA[[#This Row],[HARGA/ CTN]]="",NOTA[[#This Row],[JUMLAH_H]],NOTA[[#This Row],[HARGA/ CTN]]*NOTA[[#This Row],[C]])</f>
        <v>8352000</v>
      </c>
      <c r="X562" s="36">
        <f>IF(NOTA[[#This Row],[JUMLAH]]="","",NOTA[[#This Row],[JUMLAH]]*NOTA[[#This Row],[DISC 1]])</f>
        <v>1044000</v>
      </c>
      <c r="Y562" s="36">
        <f>IF(NOTA[[#This Row],[JUMLAH]]="","",(NOTA[[#This Row],[JUMLAH]]-NOTA[[#This Row],[DISC 1-]])*NOTA[[#This Row],[DISC 2]])</f>
        <v>365400</v>
      </c>
      <c r="Z562" s="36">
        <f>IF(NOTA[[#This Row],[JUMLAH]]="","",NOTA[[#This Row],[DISC 1-]]+NOTA[[#This Row],[DISC 2-]])</f>
        <v>1409400</v>
      </c>
      <c r="AA562" s="36">
        <f>IF(NOTA[[#This Row],[JUMLAH]]="","",NOTA[[#This Row],[JUMLAH]]-NOTA[[#This Row],[DISC]])</f>
        <v>6942600</v>
      </c>
      <c r="AB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62" s="36">
        <f>IF(OR(NOTA[[#This Row],[QTY]]="",NOTA[[#This Row],[HARGA SATUAN]]="",),"",NOTA[[#This Row],[QTY]]*NOTA[[#This Row],[HARGA SATUAN]])</f>
        <v>8352000</v>
      </c>
      <c r="AF562" s="34">
        <f ca="1">IF(NOTA[ID_H]="","",INDEX(NOTA[TANGGAL],MATCH(,INDIRECT(ADDRESS(ROW(NOTA[TANGGAL]),COLUMN(NOTA[TANGGAL]))&amp;":"&amp;ADDRESS(ROW(),COLUMN(NOTA[TANGGAL]))),-1)))</f>
        <v>44863</v>
      </c>
      <c r="AG562" s="30" t="str">
        <f ca="1">IF(NOTA[[#This Row],[NAMA BARANG]]="","",INDEX(NOTA[SUPPLIER],MATCH(,INDIRECT(ADDRESS(ROW(NOTA[ID]),COLUMN(NOTA[ID]))&amp;":"&amp;ADDRESS(ROW(),COLUMN(NOTA[ID]))),-1)))</f>
        <v>ATALI MAKMUR</v>
      </c>
      <c r="AH562" s="16">
        <f ca="1">IF(NOTA[[#This Row],[ID]]="","",COUNTIF(NOTA[ID_H],NOTA[[#This Row],[ID_H]]))</f>
        <v>2</v>
      </c>
      <c r="AI562" s="16">
        <f>IF(NOTA[[#This Row],[TGL.NOTA]]="",IF(NOTA[[#This Row],[SUPPLIER_H]]="","",AI561),MONTH(NOTA[[#This Row],[TGL.NOTA]]))</f>
        <v>10</v>
      </c>
      <c r="AJ562" s="16"/>
    </row>
    <row r="563" spans="1:36" ht="20.100000000000001" customHeight="1" x14ac:dyDescent="0.25">
      <c r="A5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124</v>
      </c>
      <c r="E563" s="32"/>
      <c r="F563" s="31"/>
      <c r="G563" s="31"/>
      <c r="H563" s="33"/>
      <c r="I563" s="31"/>
      <c r="J563" s="34"/>
      <c r="K563" s="31"/>
      <c r="L563" s="31" t="s">
        <v>595</v>
      </c>
      <c r="M563" s="35">
        <v>4</v>
      </c>
      <c r="N563" s="31">
        <v>3456</v>
      </c>
      <c r="O563" s="31" t="s">
        <v>88</v>
      </c>
      <c r="P563" s="30">
        <v>2450</v>
      </c>
      <c r="Q563" s="103"/>
      <c r="R563" s="35" t="s">
        <v>700</v>
      </c>
      <c r="S563" s="37">
        <v>0.125</v>
      </c>
      <c r="T563" s="37">
        <v>0.05</v>
      </c>
      <c r="U563" s="36"/>
      <c r="V563" s="87"/>
      <c r="W563" s="36">
        <f>IF(NOTA[[#This Row],[HARGA/ CTN]]="",NOTA[[#This Row],[JUMLAH_H]],NOTA[[#This Row],[HARGA/ CTN]]*NOTA[[#This Row],[C]])</f>
        <v>8467200</v>
      </c>
      <c r="X563" s="36">
        <f>IF(NOTA[[#This Row],[JUMLAH]]="","",NOTA[[#This Row],[JUMLAH]]*NOTA[[#This Row],[DISC 1]])</f>
        <v>1058400</v>
      </c>
      <c r="Y563" s="36">
        <f>IF(NOTA[[#This Row],[JUMLAH]]="","",(NOTA[[#This Row],[JUMLAH]]-NOTA[[#This Row],[DISC 1-]])*NOTA[[#This Row],[DISC 2]])</f>
        <v>370440</v>
      </c>
      <c r="Z563" s="36">
        <f>IF(NOTA[[#This Row],[JUMLAH]]="","",NOTA[[#This Row],[DISC 1-]]+NOTA[[#This Row],[DISC 2-]])</f>
        <v>1428840</v>
      </c>
      <c r="AA563" s="36">
        <f>IF(NOTA[[#This Row],[JUMLAH]]="","",NOTA[[#This Row],[JUMLAH]]-NOTA[[#This Row],[DISC]])</f>
        <v>7038360</v>
      </c>
      <c r="AB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63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63" s="36">
        <f>IF(OR(NOTA[[#This Row],[QTY]]="",NOTA[[#This Row],[HARGA SATUAN]]="",),"",NOTA[[#This Row],[QTY]]*NOTA[[#This Row],[HARGA SATUAN]])</f>
        <v>8467200</v>
      </c>
      <c r="AF563" s="34">
        <f ca="1">IF(NOTA[ID_H]="","",INDEX(NOTA[TANGGAL],MATCH(,INDIRECT(ADDRESS(ROW(NOTA[TANGGAL]),COLUMN(NOTA[TANGGAL]))&amp;":"&amp;ADDRESS(ROW(),COLUMN(NOTA[TANGGAL]))),-1)))</f>
        <v>44863</v>
      </c>
      <c r="AG563" s="30" t="str">
        <f ca="1">IF(NOTA[[#This Row],[NAMA BARANG]]="","",INDEX(NOTA[SUPPLIER],MATCH(,INDIRECT(ADDRESS(ROW(NOTA[ID]),COLUMN(NOTA[ID]))&amp;":"&amp;ADDRESS(ROW(),COLUMN(NOTA[ID]))),-1)))</f>
        <v>ATALI MAKMUR</v>
      </c>
      <c r="AH563" s="16" t="str">
        <f ca="1">IF(NOTA[[#This Row],[ID]]="","",COUNTIF(NOTA[ID_H],NOTA[[#This Row],[ID_H]]))</f>
        <v/>
      </c>
      <c r="AI563" s="16">
        <f ca="1">IF(NOTA[[#This Row],[TGL.NOTA]]="",IF(NOTA[[#This Row],[SUPPLIER_H]]="","",AI562),MONTH(NOTA[[#This Row],[TGL.NOTA]]))</f>
        <v>10</v>
      </c>
      <c r="AJ563" s="16"/>
    </row>
    <row r="564" spans="1:36" ht="20.100000000000001" customHeight="1" x14ac:dyDescent="0.25">
      <c r="A5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32"/>
      <c r="F564" s="31"/>
      <c r="G564" s="31"/>
      <c r="H564" s="33"/>
      <c r="I564" s="31"/>
      <c r="J564" s="34"/>
      <c r="K564" s="31"/>
      <c r="L564" s="31"/>
      <c r="M564" s="35"/>
      <c r="N564" s="31"/>
      <c r="O564" s="31"/>
      <c r="P564" s="30"/>
      <c r="Q564" s="103"/>
      <c r="R564" s="35"/>
      <c r="S564" s="37"/>
      <c r="T564" s="37"/>
      <c r="U564" s="36"/>
      <c r="V564" s="87"/>
      <c r="W564" s="36" t="str">
        <f>IF(NOTA[[#This Row],[HARGA/ CTN]]="",NOTA[[#This Row],[JUMLAH_H]],NOTA[[#This Row],[HARGA/ CTN]]*NOTA[[#This Row],[C]])</f>
        <v/>
      </c>
      <c r="X564" s="36" t="str">
        <f>IF(NOTA[[#This Row],[JUMLAH]]="","",NOTA[[#This Row],[JUMLAH]]*NOTA[[#This Row],[DISC 1]])</f>
        <v/>
      </c>
      <c r="Y564" s="36" t="str">
        <f>IF(NOTA[[#This Row],[JUMLAH]]="","",(NOTA[[#This Row],[JUMLAH]]-NOTA[[#This Row],[DISC 1-]])*NOTA[[#This Row],[DISC 2]])</f>
        <v/>
      </c>
      <c r="Z564" s="36" t="str">
        <f>IF(NOTA[[#This Row],[JUMLAH]]="","",NOTA[[#This Row],[DISC 1-]]+NOTA[[#This Row],[DISC 2-]])</f>
        <v/>
      </c>
      <c r="AA564" s="36" t="str">
        <f>IF(NOTA[[#This Row],[JUMLAH]]="","",NOTA[[#This Row],[JUMLAH]]-NOTA[[#This Row],[DISC]])</f>
        <v/>
      </c>
      <c r="AB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36" t="str">
        <f>IF(OR(NOTA[[#This Row],[QTY]]="",NOTA[[#This Row],[HARGA SATUAN]]="",),"",NOTA[[#This Row],[QTY]]*NOTA[[#This Row],[HARGA SATUAN]])</f>
        <v/>
      </c>
      <c r="AF564" s="34" t="str">
        <f ca="1">IF(NOTA[ID_H]="","",INDEX(NOTA[TANGGAL],MATCH(,INDIRECT(ADDRESS(ROW(NOTA[TANGGAL]),COLUMN(NOTA[TANGGAL]))&amp;":"&amp;ADDRESS(ROW(),COLUMN(NOTA[TANGGAL]))),-1)))</f>
        <v/>
      </c>
      <c r="AG564" s="30" t="str">
        <f ca="1">IF(NOTA[[#This Row],[NAMA BARANG]]="","",INDEX(NOTA[SUPPLIER],MATCH(,INDIRECT(ADDRESS(ROW(NOTA[ID]),COLUMN(NOTA[ID]))&amp;":"&amp;ADDRESS(ROW(),COLUMN(NOTA[ID]))),-1)))</f>
        <v/>
      </c>
      <c r="AH564" s="16" t="str">
        <f ca="1">IF(NOTA[[#This Row],[ID]]="","",COUNTIF(NOTA[ID_H],NOTA[[#This Row],[ID_H]]))</f>
        <v/>
      </c>
      <c r="AI564" s="16" t="str">
        <f ca="1">IF(NOTA[[#This Row],[TGL.NOTA]]="",IF(NOTA[[#This Row],[SUPPLIER_H]]="","",AI563),MONTH(NOTA[[#This Row],[TGL.NOTA]]))</f>
        <v/>
      </c>
      <c r="AJ564" s="16"/>
    </row>
    <row r="565" spans="1:36" ht="20.100000000000001" customHeight="1" x14ac:dyDescent="0.25">
      <c r="A565" s="30">
        <f ca="1">IF(INDIRECT(ADDRESS(ROW()-1,COLUMN(NOTA[[#Headers],[ID]])))="ID",1,IF(NOTA[[#This Row],[FAKTUR]]="","",COUNT(INDIRECT(ADDRESS(ROW(NOTA[ID]),COLUMN(NOTA[ID]))&amp;":"&amp;ADDRESS(ROW()-1,COLUMN(NOTA[ID]))))+1))</f>
        <v>125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125</v>
      </c>
      <c r="E565" s="32"/>
      <c r="F565" s="31" t="s">
        <v>25</v>
      </c>
      <c r="G565" s="31" t="s">
        <v>24</v>
      </c>
      <c r="H565" s="33" t="s">
        <v>701</v>
      </c>
      <c r="I565" s="31"/>
      <c r="J565" s="34">
        <v>44859</v>
      </c>
      <c r="K565" s="31"/>
      <c r="L565" s="31" t="s">
        <v>702</v>
      </c>
      <c r="M565" s="35">
        <v>1</v>
      </c>
      <c r="N565" s="31">
        <v>576</v>
      </c>
      <c r="O565" s="31" t="s">
        <v>88</v>
      </c>
      <c r="P565" s="30">
        <v>3300</v>
      </c>
      <c r="Q565" s="103"/>
      <c r="R565" s="35" t="s">
        <v>411</v>
      </c>
      <c r="S565" s="37">
        <v>0.125</v>
      </c>
      <c r="T565" s="37">
        <v>0.05</v>
      </c>
      <c r="U565" s="36"/>
      <c r="V565" s="87"/>
      <c r="W565" s="36">
        <f>IF(NOTA[[#This Row],[HARGA/ CTN]]="",NOTA[[#This Row],[JUMLAH_H]],NOTA[[#This Row],[HARGA/ CTN]]*NOTA[[#This Row],[C]])</f>
        <v>1900800</v>
      </c>
      <c r="X565" s="36">
        <f>IF(NOTA[[#This Row],[JUMLAH]]="","",NOTA[[#This Row],[JUMLAH]]*NOTA[[#This Row],[DISC 1]])</f>
        <v>237600</v>
      </c>
      <c r="Y565" s="36">
        <f>IF(NOTA[[#This Row],[JUMLAH]]="","",(NOTA[[#This Row],[JUMLAH]]-NOTA[[#This Row],[DISC 1-]])*NOTA[[#This Row],[DISC 2]])</f>
        <v>83160</v>
      </c>
      <c r="Z565" s="36">
        <f>IF(NOTA[[#This Row],[JUMLAH]]="","",NOTA[[#This Row],[DISC 1-]]+NOTA[[#This Row],[DISC 2-]])</f>
        <v>320760</v>
      </c>
      <c r="AA565" s="36">
        <f>IF(NOTA[[#This Row],[JUMLAH]]="","",NOTA[[#This Row],[JUMLAH]]-NOTA[[#This Row],[DISC]])</f>
        <v>1580040</v>
      </c>
      <c r="AB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65" s="36">
        <f>IF(OR(NOTA[[#This Row],[QTY]]="",NOTA[[#This Row],[HARGA SATUAN]]="",),"",NOTA[[#This Row],[QTY]]*NOTA[[#This Row],[HARGA SATUAN]])</f>
        <v>1900800</v>
      </c>
      <c r="AF565" s="34">
        <f ca="1">IF(NOTA[ID_H]="","",INDEX(NOTA[TANGGAL],MATCH(,INDIRECT(ADDRESS(ROW(NOTA[TANGGAL]),COLUMN(NOTA[TANGGAL]))&amp;":"&amp;ADDRESS(ROW(),COLUMN(NOTA[TANGGAL]))),-1)))</f>
        <v>44863</v>
      </c>
      <c r="AG565" s="30" t="str">
        <f ca="1">IF(NOTA[[#This Row],[NAMA BARANG]]="","",INDEX(NOTA[SUPPLIER],MATCH(,INDIRECT(ADDRESS(ROW(NOTA[ID]),COLUMN(NOTA[ID]))&amp;":"&amp;ADDRESS(ROW(),COLUMN(NOTA[ID]))),-1)))</f>
        <v>ATALI MAKMUR</v>
      </c>
      <c r="AH565" s="16">
        <f ca="1">IF(NOTA[[#This Row],[ID]]="","",COUNTIF(NOTA[ID_H],NOTA[[#This Row],[ID_H]]))</f>
        <v>5</v>
      </c>
      <c r="AI565" s="16">
        <f>IF(NOTA[[#This Row],[TGL.NOTA]]="",IF(NOTA[[#This Row],[SUPPLIER_H]]="","",AI564),MONTH(NOTA[[#This Row],[TGL.NOTA]]))</f>
        <v>10</v>
      </c>
      <c r="AJ565" s="16"/>
    </row>
    <row r="566" spans="1:36" ht="20.100000000000001" customHeight="1" x14ac:dyDescent="0.25">
      <c r="A5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125</v>
      </c>
      <c r="E566" s="32"/>
      <c r="F566" s="31"/>
      <c r="G566" s="31"/>
      <c r="H566" s="33"/>
      <c r="I566" s="31"/>
      <c r="J566" s="34"/>
      <c r="K566" s="31"/>
      <c r="L566" s="31" t="s">
        <v>703</v>
      </c>
      <c r="M566" s="35">
        <v>1</v>
      </c>
      <c r="N566" s="31">
        <v>500</v>
      </c>
      <c r="O566" s="31" t="s">
        <v>287</v>
      </c>
      <c r="P566" s="30">
        <v>1625</v>
      </c>
      <c r="Q566" s="103"/>
      <c r="R566" s="35" t="s">
        <v>288</v>
      </c>
      <c r="S566" s="37">
        <v>0.125</v>
      </c>
      <c r="T566" s="37">
        <v>0.05</v>
      </c>
      <c r="U566" s="36"/>
      <c r="V566" s="87"/>
      <c r="W566" s="36">
        <f>IF(NOTA[[#This Row],[HARGA/ CTN]]="",NOTA[[#This Row],[JUMLAH_H]],NOTA[[#This Row],[HARGA/ CTN]]*NOTA[[#This Row],[C]])</f>
        <v>812500</v>
      </c>
      <c r="X566" s="36">
        <f>IF(NOTA[[#This Row],[JUMLAH]]="","",NOTA[[#This Row],[JUMLAH]]*NOTA[[#This Row],[DISC 1]])</f>
        <v>101562.5</v>
      </c>
      <c r="Y566" s="36">
        <f>IF(NOTA[[#This Row],[JUMLAH]]="","",(NOTA[[#This Row],[JUMLAH]]-NOTA[[#This Row],[DISC 1-]])*NOTA[[#This Row],[DISC 2]])</f>
        <v>35546.875</v>
      </c>
      <c r="Z566" s="36">
        <f>IF(NOTA[[#This Row],[JUMLAH]]="","",NOTA[[#This Row],[DISC 1-]]+NOTA[[#This Row],[DISC 2-]])</f>
        <v>137109.375</v>
      </c>
      <c r="AA566" s="36">
        <f>IF(NOTA[[#This Row],[JUMLAH]]="","",NOTA[[#This Row],[JUMLAH]]-NOTA[[#This Row],[DISC]])</f>
        <v>675390.625</v>
      </c>
      <c r="AB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66" s="36">
        <f>IF(OR(NOTA[[#This Row],[QTY]]="",NOTA[[#This Row],[HARGA SATUAN]]="",),"",NOTA[[#This Row],[QTY]]*NOTA[[#This Row],[HARGA SATUAN]])</f>
        <v>812500</v>
      </c>
      <c r="AF566" s="34">
        <f ca="1">IF(NOTA[ID_H]="","",INDEX(NOTA[TANGGAL],MATCH(,INDIRECT(ADDRESS(ROW(NOTA[TANGGAL]),COLUMN(NOTA[TANGGAL]))&amp;":"&amp;ADDRESS(ROW(),COLUMN(NOTA[TANGGAL]))),-1)))</f>
        <v>44863</v>
      </c>
      <c r="AG566" s="30" t="str">
        <f ca="1">IF(NOTA[[#This Row],[NAMA BARANG]]="","",INDEX(NOTA[SUPPLIER],MATCH(,INDIRECT(ADDRESS(ROW(NOTA[ID]),COLUMN(NOTA[ID]))&amp;":"&amp;ADDRESS(ROW(),COLUMN(NOTA[ID]))),-1)))</f>
        <v>ATALI MAKMUR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10</v>
      </c>
      <c r="AJ566" s="16"/>
    </row>
    <row r="567" spans="1:36" ht="20.100000000000001" customHeight="1" x14ac:dyDescent="0.25">
      <c r="A5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125</v>
      </c>
      <c r="E567" s="32"/>
      <c r="F567" s="31"/>
      <c r="G567" s="31"/>
      <c r="H567" s="33"/>
      <c r="I567" s="31"/>
      <c r="J567" s="34"/>
      <c r="K567" s="31"/>
      <c r="L567" s="31" t="s">
        <v>466</v>
      </c>
      <c r="M567" s="35">
        <v>2</v>
      </c>
      <c r="N567" s="31">
        <v>1000</v>
      </c>
      <c r="O567" s="31" t="s">
        <v>104</v>
      </c>
      <c r="P567" s="30">
        <v>3050</v>
      </c>
      <c r="Q567" s="103"/>
      <c r="R567" s="35" t="s">
        <v>332</v>
      </c>
      <c r="S567" s="37">
        <v>0.125</v>
      </c>
      <c r="T567" s="37">
        <v>0.05</v>
      </c>
      <c r="U567" s="36"/>
      <c r="V567" s="87"/>
      <c r="W567" s="36">
        <f>IF(NOTA[[#This Row],[HARGA/ CTN]]="",NOTA[[#This Row],[JUMLAH_H]],NOTA[[#This Row],[HARGA/ CTN]]*NOTA[[#This Row],[C]])</f>
        <v>3050000</v>
      </c>
      <c r="X567" s="36">
        <f>IF(NOTA[[#This Row],[JUMLAH]]="","",NOTA[[#This Row],[JUMLAH]]*NOTA[[#This Row],[DISC 1]])</f>
        <v>381250</v>
      </c>
      <c r="Y567" s="36">
        <f>IF(NOTA[[#This Row],[JUMLAH]]="","",(NOTA[[#This Row],[JUMLAH]]-NOTA[[#This Row],[DISC 1-]])*NOTA[[#This Row],[DISC 2]])</f>
        <v>133437.5</v>
      </c>
      <c r="Z567" s="36">
        <f>IF(NOTA[[#This Row],[JUMLAH]]="","",NOTA[[#This Row],[DISC 1-]]+NOTA[[#This Row],[DISC 2-]])</f>
        <v>514687.5</v>
      </c>
      <c r="AA567" s="36">
        <f>IF(NOTA[[#This Row],[JUMLAH]]="","",NOTA[[#This Row],[JUMLAH]]-NOTA[[#This Row],[DISC]])</f>
        <v>2535312.5</v>
      </c>
      <c r="AB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67" s="36">
        <f>IF(OR(NOTA[[#This Row],[QTY]]="",NOTA[[#This Row],[HARGA SATUAN]]="",),"",NOTA[[#This Row],[QTY]]*NOTA[[#This Row],[HARGA SATUAN]])</f>
        <v>3050000</v>
      </c>
      <c r="AF567" s="34">
        <f ca="1">IF(NOTA[ID_H]="","",INDEX(NOTA[TANGGAL],MATCH(,INDIRECT(ADDRESS(ROW(NOTA[TANGGAL]),COLUMN(NOTA[TANGGAL]))&amp;":"&amp;ADDRESS(ROW(),COLUMN(NOTA[TANGGAL]))),-1)))</f>
        <v>44863</v>
      </c>
      <c r="AG567" s="30" t="str">
        <f ca="1">IF(NOTA[[#This Row],[NAMA BARANG]]="","",INDEX(NOTA[SUPPLIER],MATCH(,INDIRECT(ADDRESS(ROW(NOTA[ID]),COLUMN(NOTA[ID]))&amp;":"&amp;ADDRESS(ROW(),COLUMN(NOTA[ID]))),-1)))</f>
        <v>ATALI MAKMUR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10</v>
      </c>
      <c r="AJ567" s="16"/>
    </row>
    <row r="568" spans="1:36" ht="20.100000000000001" customHeight="1" x14ac:dyDescent="0.25">
      <c r="A5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125</v>
      </c>
      <c r="E568" s="32"/>
      <c r="F568" s="31"/>
      <c r="G568" s="31"/>
      <c r="H568" s="33"/>
      <c r="I568" s="31"/>
      <c r="J568" s="34"/>
      <c r="K568" s="31"/>
      <c r="L568" s="31" t="s">
        <v>328</v>
      </c>
      <c r="M568" s="35">
        <v>2</v>
      </c>
      <c r="N568" s="31">
        <v>2000</v>
      </c>
      <c r="O568" s="31" t="s">
        <v>104</v>
      </c>
      <c r="P568" s="30">
        <v>2050</v>
      </c>
      <c r="Q568" s="103"/>
      <c r="R568" s="35" t="s">
        <v>329</v>
      </c>
      <c r="S568" s="37">
        <v>0.125</v>
      </c>
      <c r="T568" s="37">
        <v>0.05</v>
      </c>
      <c r="U568" s="36"/>
      <c r="V568" s="87"/>
      <c r="W568" s="36">
        <f>IF(NOTA[[#This Row],[HARGA/ CTN]]="",NOTA[[#This Row],[JUMLAH_H]],NOTA[[#This Row],[HARGA/ CTN]]*NOTA[[#This Row],[C]])</f>
        <v>4100000</v>
      </c>
      <c r="X568" s="36">
        <f>IF(NOTA[[#This Row],[JUMLAH]]="","",NOTA[[#This Row],[JUMLAH]]*NOTA[[#This Row],[DISC 1]])</f>
        <v>512500</v>
      </c>
      <c r="Y568" s="36">
        <f>IF(NOTA[[#This Row],[JUMLAH]]="","",(NOTA[[#This Row],[JUMLAH]]-NOTA[[#This Row],[DISC 1-]])*NOTA[[#This Row],[DISC 2]])</f>
        <v>179375</v>
      </c>
      <c r="Z568" s="36">
        <f>IF(NOTA[[#This Row],[JUMLAH]]="","",NOTA[[#This Row],[DISC 1-]]+NOTA[[#This Row],[DISC 2-]])</f>
        <v>691875</v>
      </c>
      <c r="AA568" s="36">
        <f>IF(NOTA[[#This Row],[JUMLAH]]="","",NOTA[[#This Row],[JUMLAH]]-NOTA[[#This Row],[DISC]])</f>
        <v>3408125</v>
      </c>
      <c r="AB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68" s="36">
        <f>IF(OR(NOTA[[#This Row],[QTY]]="",NOTA[[#This Row],[HARGA SATUAN]]="",),"",NOTA[[#This Row],[QTY]]*NOTA[[#This Row],[HARGA SATUAN]])</f>
        <v>4100000</v>
      </c>
      <c r="AF568" s="34">
        <f ca="1">IF(NOTA[ID_H]="","",INDEX(NOTA[TANGGAL],MATCH(,INDIRECT(ADDRESS(ROW(NOTA[TANGGAL]),COLUMN(NOTA[TANGGAL]))&amp;":"&amp;ADDRESS(ROW(),COLUMN(NOTA[TANGGAL]))),-1)))</f>
        <v>44863</v>
      </c>
      <c r="AG568" s="30" t="str">
        <f ca="1">IF(NOTA[[#This Row],[NAMA BARANG]]="","",INDEX(NOTA[SUPPLIER],MATCH(,INDIRECT(ADDRESS(ROW(NOTA[ID]),COLUMN(NOTA[ID]))&amp;":"&amp;ADDRESS(ROW(),COLUMN(NOTA[ID]))),-1)))</f>
        <v>ATALI MAKMUR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10</v>
      </c>
      <c r="AJ568" s="16"/>
    </row>
    <row r="569" spans="1:36" ht="20.100000000000001" customHeight="1" x14ac:dyDescent="0.25">
      <c r="A5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125</v>
      </c>
      <c r="E569" s="32"/>
      <c r="F569" s="31"/>
      <c r="G569" s="31"/>
      <c r="H569" s="33"/>
      <c r="I569" s="31"/>
      <c r="J569" s="34"/>
      <c r="K569" s="31"/>
      <c r="L569" s="31" t="s">
        <v>326</v>
      </c>
      <c r="M569" s="35">
        <v>5</v>
      </c>
      <c r="N569" s="31">
        <v>3600</v>
      </c>
      <c r="O569" s="31" t="s">
        <v>88</v>
      </c>
      <c r="P569" s="30">
        <v>4800</v>
      </c>
      <c r="Q569" s="103"/>
      <c r="R569" s="35" t="s">
        <v>327</v>
      </c>
      <c r="S569" s="37">
        <v>0.125</v>
      </c>
      <c r="T569" s="37">
        <v>0.05</v>
      </c>
      <c r="U569" s="36"/>
      <c r="V569" s="87"/>
      <c r="W569" s="36">
        <f>IF(NOTA[[#This Row],[HARGA/ CTN]]="",NOTA[[#This Row],[JUMLAH_H]],NOTA[[#This Row],[HARGA/ CTN]]*NOTA[[#This Row],[C]])</f>
        <v>17280000</v>
      </c>
      <c r="X569" s="36">
        <f>IF(NOTA[[#This Row],[JUMLAH]]="","",NOTA[[#This Row],[JUMLAH]]*NOTA[[#This Row],[DISC 1]])</f>
        <v>2160000</v>
      </c>
      <c r="Y569" s="36">
        <f>IF(NOTA[[#This Row],[JUMLAH]]="","",(NOTA[[#This Row],[JUMLAH]]-NOTA[[#This Row],[DISC 1-]])*NOTA[[#This Row],[DISC 2]])</f>
        <v>756000</v>
      </c>
      <c r="Z569" s="36">
        <f>IF(NOTA[[#This Row],[JUMLAH]]="","",NOTA[[#This Row],[DISC 1-]]+NOTA[[#This Row],[DISC 2-]])</f>
        <v>2916000</v>
      </c>
      <c r="AA569" s="36">
        <f>IF(NOTA[[#This Row],[JUMLAH]]="","",NOTA[[#This Row],[JUMLAH]]-NOTA[[#This Row],[DISC]])</f>
        <v>14364000</v>
      </c>
      <c r="AB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69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69" s="36">
        <f>IF(OR(NOTA[[#This Row],[QTY]]="",NOTA[[#This Row],[HARGA SATUAN]]="",),"",NOTA[[#This Row],[QTY]]*NOTA[[#This Row],[HARGA SATUAN]])</f>
        <v>17280000</v>
      </c>
      <c r="AF569" s="34">
        <f ca="1">IF(NOTA[ID_H]="","",INDEX(NOTA[TANGGAL],MATCH(,INDIRECT(ADDRESS(ROW(NOTA[TANGGAL]),COLUMN(NOTA[TANGGAL]))&amp;":"&amp;ADDRESS(ROW(),COLUMN(NOTA[TANGGAL]))),-1)))</f>
        <v>44863</v>
      </c>
      <c r="AG569" s="30" t="str">
        <f ca="1">IF(NOTA[[#This Row],[NAMA BARANG]]="","",INDEX(NOTA[SUPPLIER],MATCH(,INDIRECT(ADDRESS(ROW(NOTA[ID]),COLUMN(NOTA[ID]))&amp;":"&amp;ADDRESS(ROW(),COLUMN(NOTA[ID]))),-1)))</f>
        <v>ATALI MAKMUR</v>
      </c>
      <c r="AH569" s="16" t="str">
        <f ca="1">IF(NOTA[[#This Row],[ID]]="","",COUNTIF(NOTA[ID_H],NOTA[[#This Row],[ID_H]]))</f>
        <v/>
      </c>
      <c r="AI569" s="16">
        <f ca="1">IF(NOTA[[#This Row],[TGL.NOTA]]="",IF(NOTA[[#This Row],[SUPPLIER_H]]="","",AI568),MONTH(NOTA[[#This Row],[TGL.NOTA]]))</f>
        <v>10</v>
      </c>
      <c r="AJ569" s="16"/>
    </row>
    <row r="570" spans="1:36" ht="20.100000000000001" customHeight="1" x14ac:dyDescent="0.25">
      <c r="A5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 t="str">
        <f ca="1">IF(NOTA[[#This Row],[NAMA BARANG]]="","",INDEX(NOTA[ID],MATCH(,INDIRECT(ADDRESS(ROW(NOTA[ID]),COLUMN(NOTA[ID]))&amp;":"&amp;ADDRESS(ROW(),COLUMN(NOTA[ID]))),-1)))</f>
        <v/>
      </c>
      <c r="E570" s="32"/>
      <c r="F570" s="31"/>
      <c r="G570" s="31"/>
      <c r="H570" s="33"/>
      <c r="I570" s="31"/>
      <c r="J570" s="34"/>
      <c r="K570" s="31"/>
      <c r="L570" s="31"/>
      <c r="M570" s="35"/>
      <c r="N570" s="31"/>
      <c r="O570" s="31"/>
      <c r="P570" s="30"/>
      <c r="Q570" s="103"/>
      <c r="R570" s="35"/>
      <c r="S570" s="37"/>
      <c r="T570" s="37"/>
      <c r="U570" s="36"/>
      <c r="V570" s="87"/>
      <c r="W570" s="36" t="str">
        <f>IF(NOTA[[#This Row],[HARGA/ CTN]]="",NOTA[[#This Row],[JUMLAH_H]],NOTA[[#This Row],[HARGA/ CTN]]*NOTA[[#This Row],[C]])</f>
        <v/>
      </c>
      <c r="X570" s="36" t="str">
        <f>IF(NOTA[[#This Row],[JUMLAH]]="","",NOTA[[#This Row],[JUMLAH]]*NOTA[[#This Row],[DISC 1]])</f>
        <v/>
      </c>
      <c r="Y570" s="36" t="str">
        <f>IF(NOTA[[#This Row],[JUMLAH]]="","",(NOTA[[#This Row],[JUMLAH]]-NOTA[[#This Row],[DISC 1-]])*NOTA[[#This Row],[DISC 2]])</f>
        <v/>
      </c>
      <c r="Z570" s="36" t="str">
        <f>IF(NOTA[[#This Row],[JUMLAH]]="","",NOTA[[#This Row],[DISC 1-]]+NOTA[[#This Row],[DISC 2-]])</f>
        <v/>
      </c>
      <c r="AA570" s="36" t="str">
        <f>IF(NOTA[[#This Row],[JUMLAH]]="","",NOTA[[#This Row],[JUMLAH]]-NOTA[[#This Row],[DISC]])</f>
        <v/>
      </c>
      <c r="AB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36" t="str">
        <f>IF(OR(NOTA[[#This Row],[QTY]]="",NOTA[[#This Row],[HARGA SATUAN]]="",),"",NOTA[[#This Row],[QTY]]*NOTA[[#This Row],[HARGA SATUAN]])</f>
        <v/>
      </c>
      <c r="AF570" s="34" t="str">
        <f ca="1">IF(NOTA[ID_H]="","",INDEX(NOTA[TANGGAL],MATCH(,INDIRECT(ADDRESS(ROW(NOTA[TANGGAL]),COLUMN(NOTA[TANGGAL]))&amp;":"&amp;ADDRESS(ROW(),COLUMN(NOTA[TANGGAL]))),-1)))</f>
        <v/>
      </c>
      <c r="AG570" s="30" t="str">
        <f ca="1">IF(NOTA[[#This Row],[NAMA BARANG]]="","",INDEX(NOTA[SUPPLIER],MATCH(,INDIRECT(ADDRESS(ROW(NOTA[ID]),COLUMN(NOTA[ID]))&amp;":"&amp;ADDRESS(ROW(),COLUMN(NOTA[ID]))),-1)))</f>
        <v/>
      </c>
      <c r="AH570" s="16" t="str">
        <f ca="1">IF(NOTA[[#This Row],[ID]]="","",COUNTIF(NOTA[ID_H],NOTA[[#This Row],[ID_H]]))</f>
        <v/>
      </c>
      <c r="AI570" s="16" t="str">
        <f ca="1">IF(NOTA[[#This Row],[TGL.NOTA]]="",IF(NOTA[[#This Row],[SUPPLIER_H]]="","",AI569),MONTH(NOTA[[#This Row],[TGL.NOTA]]))</f>
        <v/>
      </c>
      <c r="AJ570" s="16"/>
    </row>
    <row r="571" spans="1:36" ht="20.100000000000001" customHeight="1" x14ac:dyDescent="0.25">
      <c r="A571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5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71" s="39" t="e">
        <f ca="1">IF(NOTA[[#This Row],[ID_P]]="","",MATCH(NOTA[[#This Row],[ID_P]],[1]!B_MSK[N_ID],0))</f>
        <v>#REF!</v>
      </c>
      <c r="D571" s="39">
        <f ca="1">IF(NOTA[[#This Row],[NAMA BARANG]]="","",INDEX(NOTA[ID],MATCH(,INDIRECT(ADDRESS(ROW(NOTA[ID]),COLUMN(NOTA[ID]))&amp;":"&amp;ADDRESS(ROW(),COLUMN(NOTA[ID]))),-1)))</f>
        <v>126</v>
      </c>
      <c r="E571" s="32"/>
      <c r="F571" s="31" t="s">
        <v>707</v>
      </c>
      <c r="G571" s="31" t="s">
        <v>87</v>
      </c>
      <c r="H571" s="33" t="s">
        <v>708</v>
      </c>
      <c r="I571" s="31"/>
      <c r="J571" s="34">
        <v>44860</v>
      </c>
      <c r="K571" s="31"/>
      <c r="L571" s="31" t="s">
        <v>709</v>
      </c>
      <c r="M571" s="35">
        <v>11</v>
      </c>
      <c r="N571" s="31">
        <v>550</v>
      </c>
      <c r="O571" s="31" t="s">
        <v>90</v>
      </c>
      <c r="P571" s="30">
        <v>26500</v>
      </c>
      <c r="Q571" s="103"/>
      <c r="R571" s="35" t="s">
        <v>257</v>
      </c>
      <c r="S571" s="37"/>
      <c r="T571" s="37"/>
      <c r="U571" s="36"/>
      <c r="V571" s="87" t="s">
        <v>711</v>
      </c>
      <c r="W571" s="36">
        <f>IF(NOTA[[#This Row],[HARGA/ CTN]]="",NOTA[[#This Row],[JUMLAH_H]],NOTA[[#This Row],[HARGA/ CTN]]*NOTA[[#This Row],[C]])</f>
        <v>14575000</v>
      </c>
      <c r="X571" s="36">
        <f>IF(NOTA[[#This Row],[JUMLAH]]="","",NOTA[[#This Row],[JUMLAH]]*NOTA[[#This Row],[DISC 1]])</f>
        <v>0</v>
      </c>
      <c r="Y571" s="36">
        <f>IF(NOTA[[#This Row],[JUMLAH]]="","",(NOTA[[#This Row],[JUMLAH]]-NOTA[[#This Row],[DISC 1-]])*NOTA[[#This Row],[DISC 2]])</f>
        <v>0</v>
      </c>
      <c r="Z571" s="36">
        <f>IF(NOTA[[#This Row],[JUMLAH]]="","",NOTA[[#This Row],[DISC 1-]]+NOTA[[#This Row],[DISC 2-]])</f>
        <v>0</v>
      </c>
      <c r="AA571" s="36">
        <f>IF(NOTA[[#This Row],[JUMLAH]]="","",NOTA[[#This Row],[JUMLAH]]-NOTA[[#This Row],[DISC]])</f>
        <v>14575000</v>
      </c>
      <c r="AB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71" s="36">
        <f>IF(OR(NOTA[[#This Row],[QTY]]="",NOTA[[#This Row],[HARGA SATUAN]]="",),"",NOTA[[#This Row],[QTY]]*NOTA[[#This Row],[HARGA SATUAN]])</f>
        <v>14575000</v>
      </c>
      <c r="AF571" s="34">
        <f ca="1">IF(NOTA[ID_H]="","",INDEX(NOTA[TANGGAL],MATCH(,INDIRECT(ADDRESS(ROW(NOTA[TANGGAL]),COLUMN(NOTA[TANGGAL]))&amp;":"&amp;ADDRESS(ROW(),COLUMN(NOTA[TANGGAL]))),-1)))</f>
        <v>44863</v>
      </c>
      <c r="AG571" s="30" t="str">
        <f ca="1">IF(NOTA[[#This Row],[NAMA BARANG]]="","",INDEX(NOTA[SUPPLIER],MATCH(,INDIRECT(ADDRESS(ROW(NOTA[ID]),COLUMN(NOTA[ID]))&amp;":"&amp;ADDRESS(ROW(),COLUMN(NOTA[ID]))),-1)))</f>
        <v>ALPINDO</v>
      </c>
      <c r="AH571" s="16">
        <f ca="1">IF(NOTA[[#This Row],[ID]]="","",COUNTIF(NOTA[ID_H],NOTA[[#This Row],[ID_H]]))</f>
        <v>2</v>
      </c>
      <c r="AI571" s="16">
        <f>IF(NOTA[[#This Row],[TGL.NOTA]]="",IF(NOTA[[#This Row],[SUPPLIER_H]]="","",AI570),MONTH(NOTA[[#This Row],[TGL.NOTA]]))</f>
        <v>10</v>
      </c>
      <c r="AJ571" s="16"/>
    </row>
    <row r="572" spans="1:36" ht="20.100000000000001" customHeight="1" x14ac:dyDescent="0.25">
      <c r="A5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126</v>
      </c>
      <c r="E572" s="32"/>
      <c r="F572" s="31"/>
      <c r="G572" s="31"/>
      <c r="H572" s="33"/>
      <c r="I572" s="31"/>
      <c r="J572" s="34"/>
      <c r="K572" s="31"/>
      <c r="L572" s="31" t="s">
        <v>710</v>
      </c>
      <c r="M572" s="35">
        <v>8</v>
      </c>
      <c r="N572" s="31">
        <v>400</v>
      </c>
      <c r="O572" s="31" t="s">
        <v>90</v>
      </c>
      <c r="P572" s="30">
        <v>22500</v>
      </c>
      <c r="Q572" s="103"/>
      <c r="R572" s="35" t="s">
        <v>257</v>
      </c>
      <c r="S572" s="37"/>
      <c r="T572" s="37"/>
      <c r="U572" s="36"/>
      <c r="V572" s="87" t="s">
        <v>712</v>
      </c>
      <c r="W572" s="36">
        <f>IF(NOTA[[#This Row],[HARGA/ CTN]]="",NOTA[[#This Row],[JUMLAH_H]],NOTA[[#This Row],[HARGA/ CTN]]*NOTA[[#This Row],[C]])</f>
        <v>9000000</v>
      </c>
      <c r="X572" s="36">
        <f>IF(NOTA[[#This Row],[JUMLAH]]="","",NOTA[[#This Row],[JUMLAH]]*NOTA[[#This Row],[DISC 1]])</f>
        <v>0</v>
      </c>
      <c r="Y572" s="36">
        <f>IF(NOTA[[#This Row],[JUMLAH]]="","",(NOTA[[#This Row],[JUMLAH]]-NOTA[[#This Row],[DISC 1-]])*NOTA[[#This Row],[DISC 2]])</f>
        <v>0</v>
      </c>
      <c r="Z572" s="36">
        <f>IF(NOTA[[#This Row],[JUMLAH]]="","",NOTA[[#This Row],[DISC 1-]]+NOTA[[#This Row],[DISC 2-]])</f>
        <v>0</v>
      </c>
      <c r="AA572" s="36">
        <f>IF(NOTA[[#This Row],[JUMLAH]]="","",NOTA[[#This Row],[JUMLAH]]-NOTA[[#This Row],[DISC]])</f>
        <v>9000000</v>
      </c>
      <c r="AB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7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72" s="36">
        <f>IF(OR(NOTA[[#This Row],[QTY]]="",NOTA[[#This Row],[HARGA SATUAN]]="",),"",NOTA[[#This Row],[QTY]]*NOTA[[#This Row],[HARGA SATUAN]])</f>
        <v>9000000</v>
      </c>
      <c r="AF572" s="34">
        <f ca="1">IF(NOTA[ID_H]="","",INDEX(NOTA[TANGGAL],MATCH(,INDIRECT(ADDRESS(ROW(NOTA[TANGGAL]),COLUMN(NOTA[TANGGAL]))&amp;":"&amp;ADDRESS(ROW(),COLUMN(NOTA[TANGGAL]))),-1)))</f>
        <v>44863</v>
      </c>
      <c r="AG572" s="30" t="str">
        <f ca="1">IF(NOTA[[#This Row],[NAMA BARANG]]="","",INDEX(NOTA[SUPPLIER],MATCH(,INDIRECT(ADDRESS(ROW(NOTA[ID]),COLUMN(NOTA[ID]))&amp;":"&amp;ADDRESS(ROW(),COLUMN(NOTA[ID]))),-1)))</f>
        <v>ALPINDO</v>
      </c>
      <c r="AH572" s="16" t="str">
        <f ca="1">IF(NOTA[[#This Row],[ID]]="","",COUNTIF(NOTA[ID_H],NOTA[[#This Row],[ID_H]]))</f>
        <v/>
      </c>
      <c r="AI572" s="16">
        <f ca="1">IF(NOTA[[#This Row],[TGL.NOTA]]="",IF(NOTA[[#This Row],[SUPPLIER_H]]="","",AI571),MONTH(NOTA[[#This Row],[TGL.NOTA]]))</f>
        <v>10</v>
      </c>
      <c r="AJ572" s="16"/>
    </row>
    <row r="573" spans="1:36" ht="20.100000000000001" customHeight="1" x14ac:dyDescent="0.25">
      <c r="A5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 t="str">
        <f ca="1">IF(NOTA[[#This Row],[NAMA BARANG]]="","",INDEX(NOTA[ID],MATCH(,INDIRECT(ADDRESS(ROW(NOTA[ID]),COLUMN(NOTA[ID]))&amp;":"&amp;ADDRESS(ROW(),COLUMN(NOTA[ID]))),-1)))</f>
        <v/>
      </c>
      <c r="E573" s="32"/>
      <c r="F573" s="31"/>
      <c r="G573" s="31"/>
      <c r="H573" s="33"/>
      <c r="I573" s="31"/>
      <c r="J573" s="34"/>
      <c r="K573" s="31"/>
      <c r="L573" s="31"/>
      <c r="M573" s="35"/>
      <c r="N573" s="31"/>
      <c r="O573" s="31"/>
      <c r="P573" s="30"/>
      <c r="Q573" s="103"/>
      <c r="R573" s="35"/>
      <c r="S573" s="37"/>
      <c r="T573" s="37"/>
      <c r="U573" s="36"/>
      <c r="V573" s="87"/>
      <c r="W573" s="36" t="str">
        <f>IF(NOTA[[#This Row],[HARGA/ CTN]]="",NOTA[[#This Row],[JUMLAH_H]],NOTA[[#This Row],[HARGA/ CTN]]*NOTA[[#This Row],[C]])</f>
        <v/>
      </c>
      <c r="X573" s="36" t="str">
        <f>IF(NOTA[[#This Row],[JUMLAH]]="","",NOTA[[#This Row],[JUMLAH]]*NOTA[[#This Row],[DISC 1]])</f>
        <v/>
      </c>
      <c r="Y573" s="36" t="str">
        <f>IF(NOTA[[#This Row],[JUMLAH]]="","",(NOTA[[#This Row],[JUMLAH]]-NOTA[[#This Row],[DISC 1-]])*NOTA[[#This Row],[DISC 2]])</f>
        <v/>
      </c>
      <c r="Z573" s="36" t="str">
        <f>IF(NOTA[[#This Row],[JUMLAH]]="","",NOTA[[#This Row],[DISC 1-]]+NOTA[[#This Row],[DISC 2-]])</f>
        <v/>
      </c>
      <c r="AA573" s="36" t="str">
        <f>IF(NOTA[[#This Row],[JUMLAH]]="","",NOTA[[#This Row],[JUMLAH]]-NOTA[[#This Row],[DISC]])</f>
        <v/>
      </c>
      <c r="AB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36" t="str">
        <f>IF(OR(NOTA[[#This Row],[QTY]]="",NOTA[[#This Row],[HARGA SATUAN]]="",),"",NOTA[[#This Row],[QTY]]*NOTA[[#This Row],[HARGA SATUAN]])</f>
        <v/>
      </c>
      <c r="AF573" s="34" t="str">
        <f ca="1">IF(NOTA[ID_H]="","",INDEX(NOTA[TANGGAL],MATCH(,INDIRECT(ADDRESS(ROW(NOTA[TANGGAL]),COLUMN(NOTA[TANGGAL]))&amp;":"&amp;ADDRESS(ROW(),COLUMN(NOTA[TANGGAL]))),-1)))</f>
        <v/>
      </c>
      <c r="AG573" s="30" t="str">
        <f ca="1">IF(NOTA[[#This Row],[NAMA BARANG]]="","",INDEX(NOTA[SUPPLIER],MATCH(,INDIRECT(ADDRESS(ROW(NOTA[ID]),COLUMN(NOTA[ID]))&amp;":"&amp;ADDRESS(ROW(),COLUMN(NOTA[ID]))),-1)))</f>
        <v/>
      </c>
      <c r="AH573" s="16" t="str">
        <f ca="1">IF(NOTA[[#This Row],[ID]]="","",COUNTIF(NOTA[ID_H],NOTA[[#This Row],[ID_H]]))</f>
        <v/>
      </c>
      <c r="AI573" s="16" t="str">
        <f ca="1">IF(NOTA[[#This Row],[TGL.NOTA]]="",IF(NOTA[[#This Row],[SUPPLIER_H]]="","",AI572),MONTH(NOTA[[#This Row],[TGL.NOTA]]))</f>
        <v/>
      </c>
      <c r="AJ573" s="16"/>
    </row>
    <row r="574" spans="1:36" ht="20.100000000000001" customHeight="1" x14ac:dyDescent="0.25">
      <c r="A574" s="30">
        <f ca="1">IF(INDIRECT(ADDRESS(ROW()-1,COLUMN(NOTA[[#Headers],[ID]])))="ID",1,IF(NOTA[[#This Row],[FAKTUR]]="","",COUNT(INDIRECT(ADDRESS(ROW(NOTA[ID]),COLUMN(NOTA[ID]))&amp;":"&amp;ADDRESS(ROW()-1,COLUMN(NOTA[ID]))))+1))</f>
        <v>127</v>
      </c>
      <c r="B5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74" s="39" t="e">
        <f ca="1">IF(NOTA[[#This Row],[ID_P]]="","",MATCH(NOTA[[#This Row],[ID_P]],[1]!B_MSK[N_ID],0))</f>
        <v>#REF!</v>
      </c>
      <c r="D574" s="39">
        <f ca="1">IF(NOTA[[#This Row],[NAMA BARANG]]="","",INDEX(NOTA[ID],MATCH(,INDIRECT(ADDRESS(ROW(NOTA[ID]),COLUMN(NOTA[ID]))&amp;":"&amp;ADDRESS(ROW(),COLUMN(NOTA[ID]))),-1)))</f>
        <v>127</v>
      </c>
      <c r="E574" s="32"/>
      <c r="F574" s="31" t="s">
        <v>713</v>
      </c>
      <c r="G574" s="31" t="s">
        <v>87</v>
      </c>
      <c r="H574" s="33" t="s">
        <v>714</v>
      </c>
      <c r="I574" s="31"/>
      <c r="J574" s="34">
        <v>44860</v>
      </c>
      <c r="K574" s="31"/>
      <c r="L574" s="31" t="s">
        <v>715</v>
      </c>
      <c r="M574" s="35">
        <v>1</v>
      </c>
      <c r="N574" s="31">
        <v>60</v>
      </c>
      <c r="O574" s="31" t="s">
        <v>287</v>
      </c>
      <c r="P574" s="30">
        <v>20000</v>
      </c>
      <c r="Q574" s="103"/>
      <c r="R574" s="35" t="s">
        <v>114</v>
      </c>
      <c r="S574" s="37">
        <v>0.03</v>
      </c>
      <c r="T574" s="37"/>
      <c r="U574" s="36"/>
      <c r="V574" s="87"/>
      <c r="W574" s="36">
        <f>IF(NOTA[[#This Row],[HARGA/ CTN]]="",NOTA[[#This Row],[JUMLAH_H]],NOTA[[#This Row],[HARGA/ CTN]]*NOTA[[#This Row],[C]])</f>
        <v>1200000</v>
      </c>
      <c r="X574" s="36">
        <f>IF(NOTA[[#This Row],[JUMLAH]]="","",NOTA[[#This Row],[JUMLAH]]*NOTA[[#This Row],[DISC 1]])</f>
        <v>36000</v>
      </c>
      <c r="Y574" s="36">
        <f>IF(NOTA[[#This Row],[JUMLAH]]="","",(NOTA[[#This Row],[JUMLAH]]-NOTA[[#This Row],[DISC 1-]])*NOTA[[#This Row],[DISC 2]])</f>
        <v>0</v>
      </c>
      <c r="Z574" s="36">
        <f>IF(NOTA[[#This Row],[JUMLAH]]="","",NOTA[[#This Row],[DISC 1-]]+NOTA[[#This Row],[DISC 2-]])</f>
        <v>36000</v>
      </c>
      <c r="AA574" s="36">
        <f>IF(NOTA[[#This Row],[JUMLAH]]="","",NOTA[[#This Row],[JUMLAH]]-NOTA[[#This Row],[DISC]])</f>
        <v>1164000</v>
      </c>
      <c r="AB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4" s="36">
        <f>IF(OR(NOTA[[#This Row],[QTY]]="",NOTA[[#This Row],[HARGA SATUAN]]="",),"",NOTA[[#This Row],[QTY]]*NOTA[[#This Row],[HARGA SATUAN]])</f>
        <v>1200000</v>
      </c>
      <c r="AF574" s="34">
        <f ca="1">IF(NOTA[ID_H]="","",INDEX(NOTA[TANGGAL],MATCH(,INDIRECT(ADDRESS(ROW(NOTA[TANGGAL]),COLUMN(NOTA[TANGGAL]))&amp;":"&amp;ADDRESS(ROW(),COLUMN(NOTA[TANGGAL]))),-1)))</f>
        <v>44863</v>
      </c>
      <c r="AG574" s="30" t="str">
        <f ca="1">IF(NOTA[[#This Row],[NAMA BARANG]]="","",INDEX(NOTA[SUPPLIER],MATCH(,INDIRECT(ADDRESS(ROW(NOTA[ID]),COLUMN(NOTA[ID]))&amp;":"&amp;ADDRESS(ROW(),COLUMN(NOTA[ID]))),-1)))</f>
        <v>SAHABAT REJEKI</v>
      </c>
      <c r="AH574" s="16">
        <f ca="1">IF(NOTA[[#This Row],[ID]]="","",COUNTIF(NOTA[ID_H],NOTA[[#This Row],[ID_H]]))</f>
        <v>12</v>
      </c>
      <c r="AI574" s="16">
        <f>IF(NOTA[[#This Row],[TGL.NOTA]]="",IF(NOTA[[#This Row],[SUPPLIER_H]]="","",AI573),MONTH(NOTA[[#This Row],[TGL.NOTA]]))</f>
        <v>10</v>
      </c>
      <c r="AJ574" s="16"/>
    </row>
    <row r="575" spans="1:36" ht="20.100000000000001" customHeight="1" x14ac:dyDescent="0.25">
      <c r="A5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>
        <f ca="1">IF(NOTA[[#This Row],[NAMA BARANG]]="","",INDEX(NOTA[ID],MATCH(,INDIRECT(ADDRESS(ROW(NOTA[ID]),COLUMN(NOTA[ID]))&amp;":"&amp;ADDRESS(ROW(),COLUMN(NOTA[ID]))),-1)))</f>
        <v>127</v>
      </c>
      <c r="E575" s="32"/>
      <c r="F575" s="31"/>
      <c r="G575" s="31"/>
      <c r="H575" s="33"/>
      <c r="I575" s="31"/>
      <c r="J575" s="34"/>
      <c r="K575" s="31"/>
      <c r="L575" s="31" t="s">
        <v>716</v>
      </c>
      <c r="M575" s="35"/>
      <c r="N575" s="31">
        <v>33</v>
      </c>
      <c r="O575" s="31" t="s">
        <v>287</v>
      </c>
      <c r="P575" s="30">
        <v>20000</v>
      </c>
      <c r="Q575" s="103"/>
      <c r="R575" s="35" t="s">
        <v>114</v>
      </c>
      <c r="S575" s="37">
        <v>0.03</v>
      </c>
      <c r="T575" s="37"/>
      <c r="U575" s="36"/>
      <c r="V575" s="87"/>
      <c r="W575" s="36">
        <f>IF(NOTA[[#This Row],[HARGA/ CTN]]="",NOTA[[#This Row],[JUMLAH_H]],NOTA[[#This Row],[HARGA/ CTN]]*NOTA[[#This Row],[C]])</f>
        <v>660000</v>
      </c>
      <c r="X575" s="36">
        <f>IF(NOTA[[#This Row],[JUMLAH]]="","",NOTA[[#This Row],[JUMLAH]]*NOTA[[#This Row],[DISC 1]])</f>
        <v>19800</v>
      </c>
      <c r="Y575" s="36">
        <f>IF(NOTA[[#This Row],[JUMLAH]]="","",(NOTA[[#This Row],[JUMLAH]]-NOTA[[#This Row],[DISC 1-]])*NOTA[[#This Row],[DISC 2]])</f>
        <v>0</v>
      </c>
      <c r="Z575" s="36">
        <f>IF(NOTA[[#This Row],[JUMLAH]]="","",NOTA[[#This Row],[DISC 1-]]+NOTA[[#This Row],[DISC 2-]])</f>
        <v>19800</v>
      </c>
      <c r="AA575" s="36">
        <f>IF(NOTA[[#This Row],[JUMLAH]]="","",NOTA[[#This Row],[JUMLAH]]-NOTA[[#This Row],[DISC]])</f>
        <v>640200</v>
      </c>
      <c r="AB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75" s="36">
        <f>IF(OR(NOTA[[#This Row],[QTY]]="",NOTA[[#This Row],[HARGA SATUAN]]="",),"",NOTA[[#This Row],[QTY]]*NOTA[[#This Row],[HARGA SATUAN]])</f>
        <v>660000</v>
      </c>
      <c r="AF575" s="34">
        <f ca="1">IF(NOTA[ID_H]="","",INDEX(NOTA[TANGGAL],MATCH(,INDIRECT(ADDRESS(ROW(NOTA[TANGGAL]),COLUMN(NOTA[TANGGAL]))&amp;":"&amp;ADDRESS(ROW(),COLUMN(NOTA[TANGGAL]))),-1)))</f>
        <v>44863</v>
      </c>
      <c r="AG575" s="30" t="str">
        <f ca="1">IF(NOTA[[#This Row],[NAMA BARANG]]="","",INDEX(NOTA[SUPPLIER],MATCH(,INDIRECT(ADDRESS(ROW(NOTA[ID]),COLUMN(NOTA[ID]))&amp;":"&amp;ADDRESS(ROW(),COLUMN(NOTA[ID]))),-1)))</f>
        <v>SAHABAT REJEKI</v>
      </c>
      <c r="AH575" s="16" t="str">
        <f ca="1">IF(NOTA[[#This Row],[ID]]="","",COUNTIF(NOTA[ID_H],NOTA[[#This Row],[ID_H]]))</f>
        <v/>
      </c>
      <c r="AI575" s="16">
        <f ca="1">IF(NOTA[[#This Row],[TGL.NOTA]]="",IF(NOTA[[#This Row],[SUPPLIER_H]]="","",AI574),MONTH(NOTA[[#This Row],[TGL.NOTA]]))</f>
        <v>10</v>
      </c>
      <c r="AJ575" s="16"/>
    </row>
    <row r="576" spans="1:36" ht="20.100000000000001" customHeight="1" x14ac:dyDescent="0.25">
      <c r="A5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39" t="str">
        <f>IF(NOTA[[#This Row],[ID_P]]="","",MATCH(NOTA[[#This Row],[ID_P]],[1]!B_MSK[N_ID],0))</f>
        <v/>
      </c>
      <c r="D576" s="39">
        <f ca="1">IF(NOTA[[#This Row],[NAMA BARANG]]="","",INDEX(NOTA[ID],MATCH(,INDIRECT(ADDRESS(ROW(NOTA[ID]),COLUMN(NOTA[ID]))&amp;":"&amp;ADDRESS(ROW(),COLUMN(NOTA[ID]))),-1)))</f>
        <v>127</v>
      </c>
      <c r="E576" s="32"/>
      <c r="F576" s="31"/>
      <c r="G576" s="31"/>
      <c r="H576" s="33"/>
      <c r="I576" s="31"/>
      <c r="J576" s="34"/>
      <c r="K576" s="31"/>
      <c r="L576" s="31" t="s">
        <v>717</v>
      </c>
      <c r="M576" s="35"/>
      <c r="N576" s="31">
        <v>52</v>
      </c>
      <c r="O576" s="31" t="s">
        <v>287</v>
      </c>
      <c r="P576" s="30">
        <v>20000</v>
      </c>
      <c r="Q576" s="103"/>
      <c r="R576" s="35" t="s">
        <v>114</v>
      </c>
      <c r="S576" s="37">
        <v>0.03</v>
      </c>
      <c r="T576" s="37"/>
      <c r="U576" s="36"/>
      <c r="V576" s="87"/>
      <c r="W576" s="36">
        <f>IF(NOTA[[#This Row],[HARGA/ CTN]]="",NOTA[[#This Row],[JUMLAH_H]],NOTA[[#This Row],[HARGA/ CTN]]*NOTA[[#This Row],[C]])</f>
        <v>1040000</v>
      </c>
      <c r="X576" s="36">
        <f>IF(NOTA[[#This Row],[JUMLAH]]="","",NOTA[[#This Row],[JUMLAH]]*NOTA[[#This Row],[DISC 1]])</f>
        <v>31200</v>
      </c>
      <c r="Y576" s="36">
        <f>IF(NOTA[[#This Row],[JUMLAH]]="","",(NOTA[[#This Row],[JUMLAH]]-NOTA[[#This Row],[DISC 1-]])*NOTA[[#This Row],[DISC 2]])</f>
        <v>0</v>
      </c>
      <c r="Z576" s="36">
        <f>IF(NOTA[[#This Row],[JUMLAH]]="","",NOTA[[#This Row],[DISC 1-]]+NOTA[[#This Row],[DISC 2-]])</f>
        <v>31200</v>
      </c>
      <c r="AA576" s="36">
        <f>IF(NOTA[[#This Row],[JUMLAH]]="","",NOTA[[#This Row],[JUMLAH]]-NOTA[[#This Row],[DISC]])</f>
        <v>1008800</v>
      </c>
      <c r="AB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76" s="36">
        <f>IF(OR(NOTA[[#This Row],[QTY]]="",NOTA[[#This Row],[HARGA SATUAN]]="",),"",NOTA[[#This Row],[QTY]]*NOTA[[#This Row],[HARGA SATUAN]])</f>
        <v>1040000</v>
      </c>
      <c r="AF576" s="34">
        <f ca="1">IF(NOTA[ID_H]="","",INDEX(NOTA[TANGGAL],MATCH(,INDIRECT(ADDRESS(ROW(NOTA[TANGGAL]),COLUMN(NOTA[TANGGAL]))&amp;":"&amp;ADDRESS(ROW(),COLUMN(NOTA[TANGGAL]))),-1)))</f>
        <v>44863</v>
      </c>
      <c r="AG576" s="30" t="str">
        <f ca="1">IF(NOTA[[#This Row],[NAMA BARANG]]="","",INDEX(NOTA[SUPPLIER],MATCH(,INDIRECT(ADDRESS(ROW(NOTA[ID]),COLUMN(NOTA[ID]))&amp;":"&amp;ADDRESS(ROW(),COLUMN(NOTA[ID]))),-1)))</f>
        <v>SAHABAT REJEKI</v>
      </c>
      <c r="AH576" s="16" t="str">
        <f ca="1">IF(NOTA[[#This Row],[ID]]="","",COUNTIF(NOTA[ID_H],NOTA[[#This Row],[ID_H]]))</f>
        <v/>
      </c>
      <c r="AI576" s="16">
        <f ca="1">IF(NOTA[[#This Row],[TGL.NOTA]]="",IF(NOTA[[#This Row],[SUPPLIER_H]]="","",AI575),MONTH(NOTA[[#This Row],[TGL.NOTA]]))</f>
        <v>10</v>
      </c>
      <c r="AJ576" s="16"/>
    </row>
    <row r="577" spans="1:36" ht="20.100000000000001" customHeight="1" x14ac:dyDescent="0.25">
      <c r="A5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127</v>
      </c>
      <c r="E577" s="32"/>
      <c r="F577" s="31"/>
      <c r="G577" s="31"/>
      <c r="H577" s="33"/>
      <c r="I577" s="31"/>
      <c r="J577" s="34"/>
      <c r="K577" s="31"/>
      <c r="L577" s="31" t="s">
        <v>718</v>
      </c>
      <c r="M577" s="35"/>
      <c r="N577" s="31">
        <v>39</v>
      </c>
      <c r="O577" s="31" t="s">
        <v>287</v>
      </c>
      <c r="P577" s="30">
        <v>20000</v>
      </c>
      <c r="Q577" s="103"/>
      <c r="R577" s="35" t="s">
        <v>114</v>
      </c>
      <c r="S577" s="37">
        <v>0.03</v>
      </c>
      <c r="T577" s="37"/>
      <c r="U577" s="36"/>
      <c r="V577" s="87"/>
      <c r="W577" s="36">
        <f>IF(NOTA[[#This Row],[HARGA/ CTN]]="",NOTA[[#This Row],[JUMLAH_H]],NOTA[[#This Row],[HARGA/ CTN]]*NOTA[[#This Row],[C]])</f>
        <v>780000</v>
      </c>
      <c r="X577" s="36">
        <f>IF(NOTA[[#This Row],[JUMLAH]]="","",NOTA[[#This Row],[JUMLAH]]*NOTA[[#This Row],[DISC 1]])</f>
        <v>23400</v>
      </c>
      <c r="Y577" s="36">
        <f>IF(NOTA[[#This Row],[JUMLAH]]="","",(NOTA[[#This Row],[JUMLAH]]-NOTA[[#This Row],[DISC 1-]])*NOTA[[#This Row],[DISC 2]])</f>
        <v>0</v>
      </c>
      <c r="Z577" s="36">
        <f>IF(NOTA[[#This Row],[JUMLAH]]="","",NOTA[[#This Row],[DISC 1-]]+NOTA[[#This Row],[DISC 2-]])</f>
        <v>23400</v>
      </c>
      <c r="AA577" s="36">
        <f>IF(NOTA[[#This Row],[JUMLAH]]="","",NOTA[[#This Row],[JUMLAH]]-NOTA[[#This Row],[DISC]])</f>
        <v>756600</v>
      </c>
      <c r="AB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77" s="36">
        <f>IF(OR(NOTA[[#This Row],[QTY]]="",NOTA[[#This Row],[HARGA SATUAN]]="",),"",NOTA[[#This Row],[QTY]]*NOTA[[#This Row],[HARGA SATUAN]])</f>
        <v>780000</v>
      </c>
      <c r="AF577" s="34">
        <f ca="1">IF(NOTA[ID_H]="","",INDEX(NOTA[TANGGAL],MATCH(,INDIRECT(ADDRESS(ROW(NOTA[TANGGAL]),COLUMN(NOTA[TANGGAL]))&amp;":"&amp;ADDRESS(ROW(),COLUMN(NOTA[TANGGAL]))),-1)))</f>
        <v>44863</v>
      </c>
      <c r="AG577" s="30" t="str">
        <f ca="1">IF(NOTA[[#This Row],[NAMA BARANG]]="","",INDEX(NOTA[SUPPLIER],MATCH(,INDIRECT(ADDRESS(ROW(NOTA[ID]),COLUMN(NOTA[ID]))&amp;":"&amp;ADDRESS(ROW(),COLUMN(NOTA[ID]))),-1)))</f>
        <v>SAHABAT REJEKI</v>
      </c>
      <c r="AH577" s="16" t="str">
        <f ca="1">IF(NOTA[[#This Row],[ID]]="","",COUNTIF(NOTA[ID_H],NOTA[[#This Row],[ID_H]]))</f>
        <v/>
      </c>
      <c r="AI577" s="16">
        <f ca="1">IF(NOTA[[#This Row],[TGL.NOTA]]="",IF(NOTA[[#This Row],[SUPPLIER_H]]="","",AI576),MONTH(NOTA[[#This Row],[TGL.NOTA]]))</f>
        <v>10</v>
      </c>
      <c r="AJ577" s="16"/>
    </row>
    <row r="578" spans="1:36" ht="20.100000000000001" customHeight="1" x14ac:dyDescent="0.25">
      <c r="A5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>
        <f ca="1">IF(NOTA[[#This Row],[NAMA BARANG]]="","",INDEX(NOTA[ID],MATCH(,INDIRECT(ADDRESS(ROW(NOTA[ID]),COLUMN(NOTA[ID]))&amp;":"&amp;ADDRESS(ROW(),COLUMN(NOTA[ID]))),-1)))</f>
        <v>127</v>
      </c>
      <c r="E578" s="32"/>
      <c r="F578" s="31"/>
      <c r="G578" s="31"/>
      <c r="H578" s="33"/>
      <c r="I578" s="31"/>
      <c r="J578" s="34"/>
      <c r="K578" s="31"/>
      <c r="L578" s="31" t="s">
        <v>719</v>
      </c>
      <c r="M578" s="35">
        <v>1</v>
      </c>
      <c r="N578" s="31">
        <v>60</v>
      </c>
      <c r="O578" s="31" t="s">
        <v>287</v>
      </c>
      <c r="P578" s="30">
        <v>20000</v>
      </c>
      <c r="Q578" s="103"/>
      <c r="R578" s="35" t="s">
        <v>114</v>
      </c>
      <c r="S578" s="37">
        <v>0.03</v>
      </c>
      <c r="T578" s="37"/>
      <c r="U578" s="36"/>
      <c r="V578" s="87"/>
      <c r="W578" s="36">
        <f>IF(NOTA[[#This Row],[HARGA/ CTN]]="",NOTA[[#This Row],[JUMLAH_H]],NOTA[[#This Row],[HARGA/ CTN]]*NOTA[[#This Row],[C]])</f>
        <v>1200000</v>
      </c>
      <c r="X578" s="36">
        <f>IF(NOTA[[#This Row],[JUMLAH]]="","",NOTA[[#This Row],[JUMLAH]]*NOTA[[#This Row],[DISC 1]])</f>
        <v>36000</v>
      </c>
      <c r="Y578" s="36">
        <f>IF(NOTA[[#This Row],[JUMLAH]]="","",(NOTA[[#This Row],[JUMLAH]]-NOTA[[#This Row],[DISC 1-]])*NOTA[[#This Row],[DISC 2]])</f>
        <v>0</v>
      </c>
      <c r="Z578" s="36">
        <f>IF(NOTA[[#This Row],[JUMLAH]]="","",NOTA[[#This Row],[DISC 1-]]+NOTA[[#This Row],[DISC 2-]])</f>
        <v>36000</v>
      </c>
      <c r="AA578" s="36">
        <f>IF(NOTA[[#This Row],[JUMLAH]]="","",NOTA[[#This Row],[JUMLAH]]-NOTA[[#This Row],[DISC]])</f>
        <v>1164000</v>
      </c>
      <c r="AB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8" s="36">
        <f>IF(OR(NOTA[[#This Row],[QTY]]="",NOTA[[#This Row],[HARGA SATUAN]]="",),"",NOTA[[#This Row],[QTY]]*NOTA[[#This Row],[HARGA SATUAN]])</f>
        <v>1200000</v>
      </c>
      <c r="AF578" s="34">
        <f ca="1">IF(NOTA[ID_H]="","",INDEX(NOTA[TANGGAL],MATCH(,INDIRECT(ADDRESS(ROW(NOTA[TANGGAL]),COLUMN(NOTA[TANGGAL]))&amp;":"&amp;ADDRESS(ROW(),COLUMN(NOTA[TANGGAL]))),-1)))</f>
        <v>44863</v>
      </c>
      <c r="AG578" s="30" t="str">
        <f ca="1">IF(NOTA[[#This Row],[NAMA BARANG]]="","",INDEX(NOTA[SUPPLIER],MATCH(,INDIRECT(ADDRESS(ROW(NOTA[ID]),COLUMN(NOTA[ID]))&amp;":"&amp;ADDRESS(ROW(),COLUMN(NOTA[ID]))),-1)))</f>
        <v>SAHABAT REJEKI</v>
      </c>
      <c r="AH578" s="16" t="str">
        <f ca="1">IF(NOTA[[#This Row],[ID]]="","",COUNTIF(NOTA[ID_H],NOTA[[#This Row],[ID_H]]))</f>
        <v/>
      </c>
      <c r="AI578" s="16">
        <f ca="1">IF(NOTA[[#This Row],[TGL.NOTA]]="",IF(NOTA[[#This Row],[SUPPLIER_H]]="","",AI577),MONTH(NOTA[[#This Row],[TGL.NOTA]]))</f>
        <v>10</v>
      </c>
      <c r="AJ578" s="16"/>
    </row>
    <row r="579" spans="1:36" ht="20.100000000000001" customHeight="1" x14ac:dyDescent="0.25">
      <c r="A5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39" t="str">
        <f>IF(NOTA[[#This Row],[ID_P]]="","",MATCH(NOTA[[#This Row],[ID_P]],[1]!B_MSK[N_ID],0))</f>
        <v/>
      </c>
      <c r="D579" s="39">
        <f ca="1">IF(NOTA[[#This Row],[NAMA BARANG]]="","",INDEX(NOTA[ID],MATCH(,INDIRECT(ADDRESS(ROW(NOTA[ID]),COLUMN(NOTA[ID]))&amp;":"&amp;ADDRESS(ROW(),COLUMN(NOTA[ID]))),-1)))</f>
        <v>127</v>
      </c>
      <c r="E579" s="32"/>
      <c r="F579" s="31"/>
      <c r="G579" s="31"/>
      <c r="H579" s="33"/>
      <c r="I579" s="31"/>
      <c r="J579" s="34"/>
      <c r="K579" s="31"/>
      <c r="L579" s="31" t="s">
        <v>720</v>
      </c>
      <c r="M579" s="35">
        <v>1</v>
      </c>
      <c r="N579" s="31">
        <v>60</v>
      </c>
      <c r="O579" s="31" t="s">
        <v>287</v>
      </c>
      <c r="P579" s="30">
        <v>20000</v>
      </c>
      <c r="Q579" s="103"/>
      <c r="R579" s="35" t="s">
        <v>114</v>
      </c>
      <c r="S579" s="37">
        <v>0.03</v>
      </c>
      <c r="T579" s="37"/>
      <c r="U579" s="36"/>
      <c r="V579" s="87"/>
      <c r="W579" s="36">
        <f>IF(NOTA[[#This Row],[HARGA/ CTN]]="",NOTA[[#This Row],[JUMLAH_H]],NOTA[[#This Row],[HARGA/ CTN]]*NOTA[[#This Row],[C]])</f>
        <v>1200000</v>
      </c>
      <c r="X579" s="36">
        <f>IF(NOTA[[#This Row],[JUMLAH]]="","",NOTA[[#This Row],[JUMLAH]]*NOTA[[#This Row],[DISC 1]])</f>
        <v>36000</v>
      </c>
      <c r="Y579" s="36">
        <f>IF(NOTA[[#This Row],[JUMLAH]]="","",(NOTA[[#This Row],[JUMLAH]]-NOTA[[#This Row],[DISC 1-]])*NOTA[[#This Row],[DISC 2]])</f>
        <v>0</v>
      </c>
      <c r="Z579" s="36">
        <f>IF(NOTA[[#This Row],[JUMLAH]]="","",NOTA[[#This Row],[DISC 1-]]+NOTA[[#This Row],[DISC 2-]])</f>
        <v>36000</v>
      </c>
      <c r="AA579" s="36">
        <f>IF(NOTA[[#This Row],[JUMLAH]]="","",NOTA[[#This Row],[JUMLAH]]-NOTA[[#This Row],[DISC]])</f>
        <v>1164000</v>
      </c>
      <c r="AB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9" s="36">
        <f>IF(OR(NOTA[[#This Row],[QTY]]="",NOTA[[#This Row],[HARGA SATUAN]]="",),"",NOTA[[#This Row],[QTY]]*NOTA[[#This Row],[HARGA SATUAN]])</f>
        <v>1200000</v>
      </c>
      <c r="AF579" s="34">
        <f ca="1">IF(NOTA[ID_H]="","",INDEX(NOTA[TANGGAL],MATCH(,INDIRECT(ADDRESS(ROW(NOTA[TANGGAL]),COLUMN(NOTA[TANGGAL]))&amp;":"&amp;ADDRESS(ROW(),COLUMN(NOTA[TANGGAL]))),-1)))</f>
        <v>44863</v>
      </c>
      <c r="AG579" s="30" t="str">
        <f ca="1">IF(NOTA[[#This Row],[NAMA BARANG]]="","",INDEX(NOTA[SUPPLIER],MATCH(,INDIRECT(ADDRESS(ROW(NOTA[ID]),COLUMN(NOTA[ID]))&amp;":"&amp;ADDRESS(ROW(),COLUMN(NOTA[ID]))),-1)))</f>
        <v>SAHABAT REJEKI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10</v>
      </c>
      <c r="AJ579" s="16"/>
    </row>
    <row r="580" spans="1:36" ht="20.100000000000001" customHeight="1" x14ac:dyDescent="0.25">
      <c r="A5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127</v>
      </c>
      <c r="E580" s="32"/>
      <c r="F580" s="31"/>
      <c r="G580" s="31"/>
      <c r="H580" s="33"/>
      <c r="I580" s="31"/>
      <c r="J580" s="34"/>
      <c r="K580" s="31"/>
      <c r="L580" s="31" t="s">
        <v>721</v>
      </c>
      <c r="M580" s="35">
        <v>1</v>
      </c>
      <c r="N580" s="31">
        <v>60</v>
      </c>
      <c r="O580" s="31" t="s">
        <v>287</v>
      </c>
      <c r="P580" s="30">
        <v>20000</v>
      </c>
      <c r="Q580" s="103"/>
      <c r="R580" s="35" t="s">
        <v>114</v>
      </c>
      <c r="S580" s="37">
        <v>0.03</v>
      </c>
      <c r="T580" s="37"/>
      <c r="U580" s="36"/>
      <c r="V580" s="87"/>
      <c r="W580" s="36">
        <f>IF(NOTA[[#This Row],[HARGA/ CTN]]="",NOTA[[#This Row],[JUMLAH_H]],NOTA[[#This Row],[HARGA/ CTN]]*NOTA[[#This Row],[C]])</f>
        <v>1200000</v>
      </c>
      <c r="X580" s="36">
        <f>IF(NOTA[[#This Row],[JUMLAH]]="","",NOTA[[#This Row],[JUMLAH]]*NOTA[[#This Row],[DISC 1]])</f>
        <v>36000</v>
      </c>
      <c r="Y580" s="36">
        <f>IF(NOTA[[#This Row],[JUMLAH]]="","",(NOTA[[#This Row],[JUMLAH]]-NOTA[[#This Row],[DISC 1-]])*NOTA[[#This Row],[DISC 2]])</f>
        <v>0</v>
      </c>
      <c r="Z580" s="36">
        <f>IF(NOTA[[#This Row],[JUMLAH]]="","",NOTA[[#This Row],[DISC 1-]]+NOTA[[#This Row],[DISC 2-]])</f>
        <v>36000</v>
      </c>
      <c r="AA580" s="36">
        <f>IF(NOTA[[#This Row],[JUMLAH]]="","",NOTA[[#This Row],[JUMLAH]]-NOTA[[#This Row],[DISC]])</f>
        <v>1164000</v>
      </c>
      <c r="AB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0" s="36">
        <f>IF(OR(NOTA[[#This Row],[QTY]]="",NOTA[[#This Row],[HARGA SATUAN]]="",),"",NOTA[[#This Row],[QTY]]*NOTA[[#This Row],[HARGA SATUAN]])</f>
        <v>1200000</v>
      </c>
      <c r="AF580" s="34">
        <f ca="1">IF(NOTA[ID_H]="","",INDEX(NOTA[TANGGAL],MATCH(,INDIRECT(ADDRESS(ROW(NOTA[TANGGAL]),COLUMN(NOTA[TANGGAL]))&amp;":"&amp;ADDRESS(ROW(),COLUMN(NOTA[TANGGAL]))),-1)))</f>
        <v>44863</v>
      </c>
      <c r="AG580" s="30" t="str">
        <f ca="1">IF(NOTA[[#This Row],[NAMA BARANG]]="","",INDEX(NOTA[SUPPLIER],MATCH(,INDIRECT(ADDRESS(ROW(NOTA[ID]),COLUMN(NOTA[ID]))&amp;":"&amp;ADDRESS(ROW(),COLUMN(NOTA[ID]))),-1)))</f>
        <v>SAHABAT REJEKI</v>
      </c>
      <c r="AH580" s="16" t="str">
        <f ca="1">IF(NOTA[[#This Row],[ID]]="","",COUNTIF(NOTA[ID_H],NOTA[[#This Row],[ID_H]]))</f>
        <v/>
      </c>
      <c r="AI580" s="16">
        <f ca="1">IF(NOTA[[#This Row],[TGL.NOTA]]="",IF(NOTA[[#This Row],[SUPPLIER_H]]="","",AI579),MONTH(NOTA[[#This Row],[TGL.NOTA]]))</f>
        <v>10</v>
      </c>
      <c r="AJ580" s="16"/>
    </row>
    <row r="581" spans="1:36" ht="20.100000000000001" customHeight="1" x14ac:dyDescent="0.25">
      <c r="A5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127</v>
      </c>
      <c r="E581" s="32"/>
      <c r="F581" s="31"/>
      <c r="G581" s="31"/>
      <c r="H581" s="33"/>
      <c r="I581" s="31"/>
      <c r="J581" s="34"/>
      <c r="K581" s="31"/>
      <c r="L581" s="31" t="s">
        <v>722</v>
      </c>
      <c r="M581" s="35">
        <v>1</v>
      </c>
      <c r="N581" s="31">
        <v>60</v>
      </c>
      <c r="O581" s="31" t="s">
        <v>287</v>
      </c>
      <c r="P581" s="30">
        <v>20000</v>
      </c>
      <c r="Q581" s="103"/>
      <c r="R581" s="35" t="s">
        <v>114</v>
      </c>
      <c r="S581" s="37">
        <v>0.03</v>
      </c>
      <c r="T581" s="37"/>
      <c r="U581" s="36"/>
      <c r="V581" s="87"/>
      <c r="W581" s="36">
        <f>IF(NOTA[[#This Row],[HARGA/ CTN]]="",NOTA[[#This Row],[JUMLAH_H]],NOTA[[#This Row],[HARGA/ CTN]]*NOTA[[#This Row],[C]])</f>
        <v>1200000</v>
      </c>
      <c r="X581" s="36">
        <f>IF(NOTA[[#This Row],[JUMLAH]]="","",NOTA[[#This Row],[JUMLAH]]*NOTA[[#This Row],[DISC 1]])</f>
        <v>36000</v>
      </c>
      <c r="Y581" s="36">
        <f>IF(NOTA[[#This Row],[JUMLAH]]="","",(NOTA[[#This Row],[JUMLAH]]-NOTA[[#This Row],[DISC 1-]])*NOTA[[#This Row],[DISC 2]])</f>
        <v>0</v>
      </c>
      <c r="Z581" s="36">
        <f>IF(NOTA[[#This Row],[JUMLAH]]="","",NOTA[[#This Row],[DISC 1-]]+NOTA[[#This Row],[DISC 2-]])</f>
        <v>36000</v>
      </c>
      <c r="AA581" s="36">
        <f>IF(NOTA[[#This Row],[JUMLAH]]="","",NOTA[[#This Row],[JUMLAH]]-NOTA[[#This Row],[DISC]])</f>
        <v>1164000</v>
      </c>
      <c r="AB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1" s="36">
        <f>IF(OR(NOTA[[#This Row],[QTY]]="",NOTA[[#This Row],[HARGA SATUAN]]="",),"",NOTA[[#This Row],[QTY]]*NOTA[[#This Row],[HARGA SATUAN]])</f>
        <v>1200000</v>
      </c>
      <c r="AF581" s="34">
        <f ca="1">IF(NOTA[ID_H]="","",INDEX(NOTA[TANGGAL],MATCH(,INDIRECT(ADDRESS(ROW(NOTA[TANGGAL]),COLUMN(NOTA[TANGGAL]))&amp;":"&amp;ADDRESS(ROW(),COLUMN(NOTA[TANGGAL]))),-1)))</f>
        <v>44863</v>
      </c>
      <c r="AG581" s="30" t="str">
        <f ca="1">IF(NOTA[[#This Row],[NAMA BARANG]]="","",INDEX(NOTA[SUPPLIER],MATCH(,INDIRECT(ADDRESS(ROW(NOTA[ID]),COLUMN(NOTA[ID]))&amp;":"&amp;ADDRESS(ROW(),COLUMN(NOTA[ID]))),-1)))</f>
        <v>SAHABAT REJEKI</v>
      </c>
      <c r="AH581" s="16" t="str">
        <f ca="1">IF(NOTA[[#This Row],[ID]]="","",COUNTIF(NOTA[ID_H],NOTA[[#This Row],[ID_H]]))</f>
        <v/>
      </c>
      <c r="AI581" s="16">
        <f ca="1"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127</v>
      </c>
      <c r="E582" s="32"/>
      <c r="F582" s="31"/>
      <c r="G582" s="31"/>
      <c r="H582" s="33"/>
      <c r="I582" s="31"/>
      <c r="J582" s="34"/>
      <c r="K582" s="31"/>
      <c r="L582" s="31" t="s">
        <v>723</v>
      </c>
      <c r="M582" s="35">
        <v>1</v>
      </c>
      <c r="N582" s="31">
        <v>60</v>
      </c>
      <c r="O582" s="31" t="s">
        <v>287</v>
      </c>
      <c r="P582" s="30">
        <v>20000</v>
      </c>
      <c r="Q582" s="103"/>
      <c r="R582" s="35" t="s">
        <v>114</v>
      </c>
      <c r="S582" s="37">
        <v>0.03</v>
      </c>
      <c r="T582" s="37"/>
      <c r="U582" s="36"/>
      <c r="V582" s="87"/>
      <c r="W582" s="36">
        <f>IF(NOTA[[#This Row],[HARGA/ CTN]]="",NOTA[[#This Row],[JUMLAH_H]],NOTA[[#This Row],[HARGA/ CTN]]*NOTA[[#This Row],[C]])</f>
        <v>1200000</v>
      </c>
      <c r="X582" s="36">
        <f>IF(NOTA[[#This Row],[JUMLAH]]="","",NOTA[[#This Row],[JUMLAH]]*NOTA[[#This Row],[DISC 1]])</f>
        <v>36000</v>
      </c>
      <c r="Y582" s="36">
        <f>IF(NOTA[[#This Row],[JUMLAH]]="","",(NOTA[[#This Row],[JUMLAH]]-NOTA[[#This Row],[DISC 1-]])*NOTA[[#This Row],[DISC 2]])</f>
        <v>0</v>
      </c>
      <c r="Z582" s="36">
        <f>IF(NOTA[[#This Row],[JUMLAH]]="","",NOTA[[#This Row],[DISC 1-]]+NOTA[[#This Row],[DISC 2-]])</f>
        <v>36000</v>
      </c>
      <c r="AA582" s="36">
        <f>IF(NOTA[[#This Row],[JUMLAH]]="","",NOTA[[#This Row],[JUMLAH]]-NOTA[[#This Row],[DISC]])</f>
        <v>1164000</v>
      </c>
      <c r="AB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2" s="36">
        <f>IF(OR(NOTA[[#This Row],[QTY]]="",NOTA[[#This Row],[HARGA SATUAN]]="",),"",NOTA[[#This Row],[QTY]]*NOTA[[#This Row],[HARGA SATUAN]])</f>
        <v>1200000</v>
      </c>
      <c r="AF582" s="34">
        <f ca="1">IF(NOTA[ID_H]="","",INDEX(NOTA[TANGGAL],MATCH(,INDIRECT(ADDRESS(ROW(NOTA[TANGGAL]),COLUMN(NOTA[TANGGAL]))&amp;":"&amp;ADDRESS(ROW(),COLUMN(NOTA[TANGGAL]))),-1)))</f>
        <v>44863</v>
      </c>
      <c r="AG582" s="30" t="str">
        <f ca="1">IF(NOTA[[#This Row],[NAMA BARANG]]="","",INDEX(NOTA[SUPPLIER],MATCH(,INDIRECT(ADDRESS(ROW(NOTA[ID]),COLUMN(NOTA[ID]))&amp;":"&amp;ADDRESS(ROW(),COLUMN(NOTA[ID]))),-1)))</f>
        <v>SAHABAT REJEKI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127</v>
      </c>
      <c r="E583" s="32"/>
      <c r="F583" s="31"/>
      <c r="G583" s="31"/>
      <c r="H583" s="33"/>
      <c r="I583" s="31"/>
      <c r="J583" s="34"/>
      <c r="K583" s="31"/>
      <c r="L583" s="31" t="s">
        <v>724</v>
      </c>
      <c r="M583" s="35">
        <v>1</v>
      </c>
      <c r="N583" s="31">
        <v>60</v>
      </c>
      <c r="O583" s="31" t="s">
        <v>287</v>
      </c>
      <c r="P583" s="30">
        <v>20000</v>
      </c>
      <c r="Q583" s="103"/>
      <c r="R583" s="35" t="s">
        <v>114</v>
      </c>
      <c r="S583" s="37">
        <v>0.03</v>
      </c>
      <c r="T583" s="37"/>
      <c r="U583" s="36"/>
      <c r="V583" s="87"/>
      <c r="W583" s="36">
        <f>IF(NOTA[[#This Row],[HARGA/ CTN]]="",NOTA[[#This Row],[JUMLAH_H]],NOTA[[#This Row],[HARGA/ CTN]]*NOTA[[#This Row],[C]])</f>
        <v>1200000</v>
      </c>
      <c r="X583" s="36">
        <f>IF(NOTA[[#This Row],[JUMLAH]]="","",NOTA[[#This Row],[JUMLAH]]*NOTA[[#This Row],[DISC 1]])</f>
        <v>36000</v>
      </c>
      <c r="Y583" s="36">
        <f>IF(NOTA[[#This Row],[JUMLAH]]="","",(NOTA[[#This Row],[JUMLAH]]-NOTA[[#This Row],[DISC 1-]])*NOTA[[#This Row],[DISC 2]])</f>
        <v>0</v>
      </c>
      <c r="Z583" s="36">
        <f>IF(NOTA[[#This Row],[JUMLAH]]="","",NOTA[[#This Row],[DISC 1-]]+NOTA[[#This Row],[DISC 2-]])</f>
        <v>36000</v>
      </c>
      <c r="AA583" s="36">
        <f>IF(NOTA[[#This Row],[JUMLAH]]="","",NOTA[[#This Row],[JUMLAH]]-NOTA[[#This Row],[DISC]])</f>
        <v>1164000</v>
      </c>
      <c r="AB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3" s="36">
        <f>IF(OR(NOTA[[#This Row],[QTY]]="",NOTA[[#This Row],[HARGA SATUAN]]="",),"",NOTA[[#This Row],[QTY]]*NOTA[[#This Row],[HARGA SATUAN]])</f>
        <v>1200000</v>
      </c>
      <c r="AF583" s="34">
        <f ca="1">IF(NOTA[ID_H]="","",INDEX(NOTA[TANGGAL],MATCH(,INDIRECT(ADDRESS(ROW(NOTA[TANGGAL]),COLUMN(NOTA[TANGGAL]))&amp;":"&amp;ADDRESS(ROW(),COLUMN(NOTA[TANGGAL]))),-1)))</f>
        <v>44863</v>
      </c>
      <c r="AG583" s="30" t="str">
        <f ca="1">IF(NOTA[[#This Row],[NAMA BARANG]]="","",INDEX(NOTA[SUPPLIER],MATCH(,INDIRECT(ADDRESS(ROW(NOTA[ID]),COLUMN(NOTA[ID]))&amp;":"&amp;ADDRESS(ROW(),COLUMN(NOTA[ID]))),-1)))</f>
        <v>SAHABAT REJEKI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127</v>
      </c>
      <c r="E584" s="32"/>
      <c r="F584" s="31"/>
      <c r="G584" s="31"/>
      <c r="H584" s="33"/>
      <c r="I584" s="31"/>
      <c r="J584" s="34"/>
      <c r="K584" s="31"/>
      <c r="L584" s="31" t="s">
        <v>725</v>
      </c>
      <c r="M584" s="35">
        <v>1</v>
      </c>
      <c r="N584" s="31">
        <v>60</v>
      </c>
      <c r="O584" s="31" t="s">
        <v>287</v>
      </c>
      <c r="P584" s="30">
        <v>20000</v>
      </c>
      <c r="Q584" s="103"/>
      <c r="R584" s="35" t="s">
        <v>114</v>
      </c>
      <c r="S584" s="37">
        <v>0.03</v>
      </c>
      <c r="T584" s="37"/>
      <c r="U584" s="36"/>
      <c r="V584" s="87"/>
      <c r="W584" s="36">
        <f>IF(NOTA[[#This Row],[HARGA/ CTN]]="",NOTA[[#This Row],[JUMLAH_H]],NOTA[[#This Row],[HARGA/ CTN]]*NOTA[[#This Row],[C]])</f>
        <v>1200000</v>
      </c>
      <c r="X584" s="36">
        <f>IF(NOTA[[#This Row],[JUMLAH]]="","",NOTA[[#This Row],[JUMLAH]]*NOTA[[#This Row],[DISC 1]])</f>
        <v>36000</v>
      </c>
      <c r="Y584" s="36">
        <f>IF(NOTA[[#This Row],[JUMLAH]]="","",(NOTA[[#This Row],[JUMLAH]]-NOTA[[#This Row],[DISC 1-]])*NOTA[[#This Row],[DISC 2]])</f>
        <v>0</v>
      </c>
      <c r="Z584" s="36">
        <f>IF(NOTA[[#This Row],[JUMLAH]]="","",NOTA[[#This Row],[DISC 1-]]+NOTA[[#This Row],[DISC 2-]])</f>
        <v>36000</v>
      </c>
      <c r="AA584" s="36">
        <f>IF(NOTA[[#This Row],[JUMLAH]]="","",NOTA[[#This Row],[JUMLAH]]-NOTA[[#This Row],[DISC]])</f>
        <v>1164000</v>
      </c>
      <c r="AB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4" s="36">
        <f>IF(OR(NOTA[[#This Row],[QTY]]="",NOTA[[#This Row],[HARGA SATUAN]]="",),"",NOTA[[#This Row],[QTY]]*NOTA[[#This Row],[HARGA SATUAN]])</f>
        <v>1200000</v>
      </c>
      <c r="AF584" s="34">
        <f ca="1">IF(NOTA[ID_H]="","",INDEX(NOTA[TANGGAL],MATCH(,INDIRECT(ADDRESS(ROW(NOTA[TANGGAL]),COLUMN(NOTA[TANGGAL]))&amp;":"&amp;ADDRESS(ROW(),COLUMN(NOTA[TANGGAL]))),-1)))</f>
        <v>44863</v>
      </c>
      <c r="AG584" s="30" t="str">
        <f ca="1">IF(NOTA[[#This Row],[NAMA BARANG]]="","",INDEX(NOTA[SUPPLIER],MATCH(,INDIRECT(ADDRESS(ROW(NOTA[ID]),COLUMN(NOTA[ID]))&amp;":"&amp;ADDRESS(ROW(),COLUMN(NOTA[ID]))),-1)))</f>
        <v>SAHABAT REJEKI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3" t="str">
        <f>IF(NOTA[[#This Row],[ID_P]]="","",MATCH(NOTA[[#This Row],[ID_P]],[1]!B_MSK[N_ID],0))</f>
        <v/>
      </c>
      <c r="D585" s="53">
        <f ca="1">IF(NOTA[[#This Row],[NAMA BARANG]]="","",INDEX(NOTA[ID],MATCH(,INDIRECT(ADDRESS(ROW(NOTA[ID]),COLUMN(NOTA[ID]))&amp;":"&amp;ADDRESS(ROW(),COLUMN(NOTA[ID]))),-1)))</f>
        <v>127</v>
      </c>
      <c r="E585" s="60"/>
      <c r="F585" s="31"/>
      <c r="G585" s="31"/>
      <c r="H585" s="33"/>
      <c r="I585" s="54"/>
      <c r="J585" s="56"/>
      <c r="K585" s="31"/>
      <c r="L585" s="31" t="s">
        <v>726</v>
      </c>
      <c r="M585" s="57"/>
      <c r="N585" s="31">
        <v>30</v>
      </c>
      <c r="O585" s="31" t="s">
        <v>287</v>
      </c>
      <c r="P585" s="52">
        <v>20000</v>
      </c>
      <c r="Q585" s="162"/>
      <c r="R585" s="35" t="s">
        <v>114</v>
      </c>
      <c r="S585" s="37">
        <v>0.03</v>
      </c>
      <c r="T585" s="59"/>
      <c r="U585" s="58"/>
      <c r="V585" s="87"/>
      <c r="W585" s="58">
        <f>IF(NOTA[[#This Row],[HARGA/ CTN]]="",NOTA[[#This Row],[JUMLAH_H]],NOTA[[#This Row],[HARGA/ CTN]]*NOTA[[#This Row],[C]])</f>
        <v>600000</v>
      </c>
      <c r="X585" s="58">
        <f>IF(NOTA[[#This Row],[JUMLAH]]="","",NOTA[[#This Row],[JUMLAH]]*NOTA[[#This Row],[DISC 1]])</f>
        <v>18000</v>
      </c>
      <c r="Y585" s="58">
        <f>IF(NOTA[[#This Row],[JUMLAH]]="","",(NOTA[[#This Row],[JUMLAH]]-NOTA[[#This Row],[DISC 1-]])*NOTA[[#This Row],[DISC 2]])</f>
        <v>0</v>
      </c>
      <c r="Z585" s="58">
        <f>IF(NOTA[[#This Row],[JUMLAH]]="","",NOTA[[#This Row],[DISC 1-]]+NOTA[[#This Row],[DISC 2-]])</f>
        <v>18000</v>
      </c>
      <c r="AA585" s="58">
        <f>IF(NOTA[[#This Row],[JUMLAH]]="","",NOTA[[#This Row],[JUMLAH]]-NOTA[[#This Row],[DISC]])</f>
        <v>582000</v>
      </c>
      <c r="AB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85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85" s="58">
        <f>IF(OR(NOTA[[#This Row],[QTY]]="",NOTA[[#This Row],[HARGA SATUAN]]="",),"",NOTA[[#This Row],[QTY]]*NOTA[[#This Row],[HARGA SATUAN]])</f>
        <v>600000</v>
      </c>
      <c r="AF585" s="56">
        <f ca="1">IF(NOTA[ID_H]="","",INDEX(NOTA[TANGGAL],MATCH(,INDIRECT(ADDRESS(ROW(NOTA[TANGGAL]),COLUMN(NOTA[TANGGAL]))&amp;":"&amp;ADDRESS(ROW(),COLUMN(NOTA[TANGGAL]))),-1)))</f>
        <v>44863</v>
      </c>
      <c r="AG585" s="52" t="str">
        <f ca="1">IF(NOTA[[#This Row],[NAMA BARANG]]="","",INDEX(NOTA[SUPPLIER],MATCH(,INDIRECT(ADDRESS(ROW(NOTA[ID]),COLUMN(NOTA[ID]))&amp;":"&amp;ADDRESS(ROW(),COLUMN(NOTA[ID]))),-1)))</f>
        <v>SAHABAT REJEKI</v>
      </c>
      <c r="AH585" s="16" t="str">
        <f ca="1">IF(NOTA[[#This Row],[ID]]="","",COUNTIF(NOTA[ID_H],NOTA[[#This Row],[ID_H]]))</f>
        <v/>
      </c>
      <c r="AI585" s="16">
        <f ca="1">IF(NOTA[[#This Row],[TGL.NOTA]]="",IF(NOTA[[#This Row],[SUPPLIER_H]]="","",AI584),MONTH(NOTA[[#This Row],[TGL.NOTA]]))</f>
        <v>10</v>
      </c>
      <c r="AJ585" s="16"/>
    </row>
    <row r="586" spans="1:36" ht="20.100000000000001" customHeight="1" x14ac:dyDescent="0.25">
      <c r="A5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3" t="str">
        <f>IF(NOTA[[#This Row],[ID_P]]="","",MATCH(NOTA[[#This Row],[ID_P]],[1]!B_MSK[N_ID],0))</f>
        <v/>
      </c>
      <c r="D586" s="53" t="str">
        <f ca="1">IF(NOTA[[#This Row],[NAMA BARANG]]="","",INDEX(NOTA[ID],MATCH(,INDIRECT(ADDRESS(ROW(NOTA[ID]),COLUMN(NOTA[ID]))&amp;":"&amp;ADDRESS(ROW(),COLUMN(NOTA[ID]))),-1)))</f>
        <v/>
      </c>
      <c r="E586" s="60"/>
      <c r="F586" s="54"/>
      <c r="G586" s="54"/>
      <c r="H586" s="55"/>
      <c r="I586" s="54"/>
      <c r="J586" s="56"/>
      <c r="K586" s="54"/>
      <c r="L586" s="31"/>
      <c r="M586" s="57"/>
      <c r="N586" s="54"/>
      <c r="O586" s="31"/>
      <c r="P586" s="52"/>
      <c r="Q586" s="162"/>
      <c r="R586" s="57"/>
      <c r="S586" s="59"/>
      <c r="T586" s="59"/>
      <c r="U586" s="58"/>
      <c r="V586" s="87"/>
      <c r="W586" s="58" t="str">
        <f>IF(NOTA[[#This Row],[HARGA/ CTN]]="",NOTA[[#This Row],[JUMLAH_H]],NOTA[[#This Row],[HARGA/ CTN]]*NOTA[[#This Row],[C]])</f>
        <v/>
      </c>
      <c r="X586" s="58" t="str">
        <f>IF(NOTA[[#This Row],[JUMLAH]]="","",NOTA[[#This Row],[JUMLAH]]*NOTA[[#This Row],[DISC 1]])</f>
        <v/>
      </c>
      <c r="Y586" s="58" t="str">
        <f>IF(NOTA[[#This Row],[JUMLAH]]="","",(NOTA[[#This Row],[JUMLAH]]-NOTA[[#This Row],[DISC 1-]])*NOTA[[#This Row],[DISC 2]])</f>
        <v/>
      </c>
      <c r="Z586" s="58" t="str">
        <f>IF(NOTA[[#This Row],[JUMLAH]]="","",NOTA[[#This Row],[DISC 1-]]+NOTA[[#This Row],[DISC 2-]])</f>
        <v/>
      </c>
      <c r="AA586" s="58" t="str">
        <f>IF(NOTA[[#This Row],[JUMLAH]]="","",NOTA[[#This Row],[JUMLAH]]-NOTA[[#This Row],[DISC]])</f>
        <v/>
      </c>
      <c r="AB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8" t="str">
        <f>IF(OR(NOTA[[#This Row],[QTY]]="",NOTA[[#This Row],[HARGA SATUAN]]="",),"",NOTA[[#This Row],[QTY]]*NOTA[[#This Row],[HARGA SATUAN]])</f>
        <v/>
      </c>
      <c r="AF586" s="56" t="str">
        <f ca="1">IF(NOTA[ID_H]="","",INDEX(NOTA[TANGGAL],MATCH(,INDIRECT(ADDRESS(ROW(NOTA[TANGGAL]),COLUMN(NOTA[TANGGAL]))&amp;":"&amp;ADDRESS(ROW(),COLUMN(NOTA[TANGGAL]))),-1)))</f>
        <v/>
      </c>
      <c r="AG586" s="52" t="str">
        <f ca="1">IF(NOTA[[#This Row],[NAMA BARANG]]="","",INDEX(NOTA[SUPPLIER],MATCH(,INDIRECT(ADDRESS(ROW(NOTA[ID]),COLUMN(NOTA[ID]))&amp;":"&amp;ADDRESS(ROW(),COLUMN(NOTA[ID]))),-1)))</f>
        <v/>
      </c>
      <c r="AH586" s="16" t="str">
        <f ca="1">IF(NOTA[[#This Row],[ID]]="","",COUNTIF(NOTA[ID_H],NOTA[[#This Row],[ID_H]]))</f>
        <v/>
      </c>
      <c r="AI586" s="16" t="str">
        <f ca="1">IF(NOTA[[#This Row],[TGL.NOTA]]="",IF(NOTA[[#This Row],[SUPPLIER_H]]="","",AI585),MONTH(NOTA[[#This Row],[TGL.NOTA]]))</f>
        <v/>
      </c>
      <c r="AJ586" s="16"/>
    </row>
    <row r="587" spans="1:36" ht="20.100000000000001" customHeight="1" x14ac:dyDescent="0.25">
      <c r="A587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87" s="53" t="e">
        <f ca="1">IF(NOTA[[#This Row],[ID_P]]="","",MATCH(NOTA[[#This Row],[ID_P]],[1]!B_MSK[N_ID],0))</f>
        <v>#REF!</v>
      </c>
      <c r="D587" s="53">
        <f ca="1">IF(NOTA[[#This Row],[NAMA BARANG]]="","",INDEX(NOTA[ID],MATCH(,INDIRECT(ADDRESS(ROW(NOTA[ID]),COLUMN(NOTA[ID]))&amp;":"&amp;ADDRESS(ROW(),COLUMN(NOTA[ID]))),-1)))</f>
        <v>128</v>
      </c>
      <c r="E587" s="60"/>
      <c r="F587" s="31" t="s">
        <v>713</v>
      </c>
      <c r="G587" s="31" t="s">
        <v>87</v>
      </c>
      <c r="H587" s="33" t="s">
        <v>727</v>
      </c>
      <c r="I587" s="54"/>
      <c r="J587" s="56">
        <v>44860</v>
      </c>
      <c r="K587" s="54"/>
      <c r="L587" s="31" t="s">
        <v>728</v>
      </c>
      <c r="M587" s="57">
        <v>1</v>
      </c>
      <c r="N587" s="54">
        <v>60</v>
      </c>
      <c r="O587" s="31" t="s">
        <v>287</v>
      </c>
      <c r="P587" s="52">
        <v>20000</v>
      </c>
      <c r="Q587" s="162"/>
      <c r="R587" s="35" t="s">
        <v>114</v>
      </c>
      <c r="S587" s="59">
        <v>0.03</v>
      </c>
      <c r="T587" s="59"/>
      <c r="U587" s="58"/>
      <c r="V587" s="87"/>
      <c r="W587" s="58">
        <f>IF(NOTA[[#This Row],[HARGA/ CTN]]="",NOTA[[#This Row],[JUMLAH_H]],NOTA[[#This Row],[HARGA/ CTN]]*NOTA[[#This Row],[C]])</f>
        <v>1200000</v>
      </c>
      <c r="X587" s="58">
        <f>IF(NOTA[[#This Row],[JUMLAH]]="","",NOTA[[#This Row],[JUMLAH]]*NOTA[[#This Row],[DISC 1]])</f>
        <v>36000</v>
      </c>
      <c r="Y587" s="58">
        <f>IF(NOTA[[#This Row],[JUMLAH]]="","",(NOTA[[#This Row],[JUMLAH]]-NOTA[[#This Row],[DISC 1-]])*NOTA[[#This Row],[DISC 2]])</f>
        <v>0</v>
      </c>
      <c r="Z587" s="58">
        <f>IF(NOTA[[#This Row],[JUMLAH]]="","",NOTA[[#This Row],[DISC 1-]]+NOTA[[#This Row],[DISC 2-]])</f>
        <v>36000</v>
      </c>
      <c r="AA587" s="58">
        <f>IF(NOTA[[#This Row],[JUMLAH]]="","",NOTA[[#This Row],[JUMLAH]]-NOTA[[#This Row],[DISC]])</f>
        <v>1164000</v>
      </c>
      <c r="AB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7" s="58">
        <f>IF(OR(NOTA[[#This Row],[QTY]]="",NOTA[[#This Row],[HARGA SATUAN]]="",),"",NOTA[[#This Row],[QTY]]*NOTA[[#This Row],[HARGA SATUAN]])</f>
        <v>1200000</v>
      </c>
      <c r="AF587" s="56">
        <f ca="1">IF(NOTA[ID_H]="","",INDEX(NOTA[TANGGAL],MATCH(,INDIRECT(ADDRESS(ROW(NOTA[TANGGAL]),COLUMN(NOTA[TANGGAL]))&amp;":"&amp;ADDRESS(ROW(),COLUMN(NOTA[TANGGAL]))),-1)))</f>
        <v>44863</v>
      </c>
      <c r="AG587" s="52" t="str">
        <f ca="1">IF(NOTA[[#This Row],[NAMA BARANG]]="","",INDEX(NOTA[SUPPLIER],MATCH(,INDIRECT(ADDRESS(ROW(NOTA[ID]),COLUMN(NOTA[ID]))&amp;":"&amp;ADDRESS(ROW(),COLUMN(NOTA[ID]))),-1)))</f>
        <v>SAHABAT REJEKI</v>
      </c>
      <c r="AH587" s="16">
        <f ca="1">IF(NOTA[[#This Row],[ID]]="","",COUNTIF(NOTA[ID_H],NOTA[[#This Row],[ID_H]]))</f>
        <v>5</v>
      </c>
      <c r="AI587" s="16">
        <f>IF(NOTA[[#This Row],[TGL.NOTA]]="",IF(NOTA[[#This Row],[SUPPLIER_H]]="","",AI586),MONTH(NOTA[[#This Row],[TGL.NOTA]]))</f>
        <v>10</v>
      </c>
      <c r="AJ587" s="16"/>
    </row>
    <row r="588" spans="1:36" ht="20.100000000000001" customHeight="1" x14ac:dyDescent="0.25">
      <c r="A5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3" t="str">
        <f>IF(NOTA[[#This Row],[ID_P]]="","",MATCH(NOTA[[#This Row],[ID_P]],[1]!B_MSK[N_ID],0))</f>
        <v/>
      </c>
      <c r="D588" s="53">
        <f ca="1">IF(NOTA[[#This Row],[NAMA BARANG]]="","",INDEX(NOTA[ID],MATCH(,INDIRECT(ADDRESS(ROW(NOTA[ID]),COLUMN(NOTA[ID]))&amp;":"&amp;ADDRESS(ROW(),COLUMN(NOTA[ID]))),-1)))</f>
        <v>128</v>
      </c>
      <c r="E588" s="60"/>
      <c r="F588" s="54"/>
      <c r="G588" s="54"/>
      <c r="H588" s="55"/>
      <c r="I588" s="54"/>
      <c r="J588" s="56"/>
      <c r="K588" s="54"/>
      <c r="L588" s="31" t="s">
        <v>729</v>
      </c>
      <c r="M588" s="57">
        <v>1</v>
      </c>
      <c r="N588" s="54">
        <v>60</v>
      </c>
      <c r="O588" s="31" t="s">
        <v>287</v>
      </c>
      <c r="P588" s="52">
        <v>20000</v>
      </c>
      <c r="Q588" s="162"/>
      <c r="R588" s="35" t="s">
        <v>114</v>
      </c>
      <c r="S588" s="59">
        <v>0.03</v>
      </c>
      <c r="T588" s="59"/>
      <c r="U588" s="58"/>
      <c r="V588" s="87"/>
      <c r="W588" s="58">
        <f>IF(NOTA[[#This Row],[HARGA/ CTN]]="",NOTA[[#This Row],[JUMLAH_H]],NOTA[[#This Row],[HARGA/ CTN]]*NOTA[[#This Row],[C]])</f>
        <v>1200000</v>
      </c>
      <c r="X588" s="58">
        <f>IF(NOTA[[#This Row],[JUMLAH]]="","",NOTA[[#This Row],[JUMLAH]]*NOTA[[#This Row],[DISC 1]])</f>
        <v>36000</v>
      </c>
      <c r="Y588" s="58">
        <f>IF(NOTA[[#This Row],[JUMLAH]]="","",(NOTA[[#This Row],[JUMLAH]]-NOTA[[#This Row],[DISC 1-]])*NOTA[[#This Row],[DISC 2]])</f>
        <v>0</v>
      </c>
      <c r="Z588" s="58">
        <f>IF(NOTA[[#This Row],[JUMLAH]]="","",NOTA[[#This Row],[DISC 1-]]+NOTA[[#This Row],[DISC 2-]])</f>
        <v>36000</v>
      </c>
      <c r="AA588" s="58">
        <f>IF(NOTA[[#This Row],[JUMLAH]]="","",NOTA[[#This Row],[JUMLAH]]-NOTA[[#This Row],[DISC]])</f>
        <v>1164000</v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8" s="58">
        <f>IF(OR(NOTA[[#This Row],[QTY]]="",NOTA[[#This Row],[HARGA SATUAN]]="",),"",NOTA[[#This Row],[QTY]]*NOTA[[#This Row],[HARGA SATUAN]])</f>
        <v>1200000</v>
      </c>
      <c r="AF588" s="56">
        <f ca="1">IF(NOTA[ID_H]="","",INDEX(NOTA[TANGGAL],MATCH(,INDIRECT(ADDRESS(ROW(NOTA[TANGGAL]),COLUMN(NOTA[TANGGAL]))&amp;":"&amp;ADDRESS(ROW(),COLUMN(NOTA[TANGGAL]))),-1)))</f>
        <v>44863</v>
      </c>
      <c r="AG588" s="52" t="str">
        <f ca="1">IF(NOTA[[#This Row],[NAMA BARANG]]="","",INDEX(NOTA[SUPPLIER],MATCH(,INDIRECT(ADDRESS(ROW(NOTA[ID]),COLUMN(NOTA[ID]))&amp;":"&amp;ADDRESS(ROW(),COLUMN(NOTA[ID]))),-1)))</f>
        <v>SAHABAT REJEKI</v>
      </c>
      <c r="AH588" s="16" t="str">
        <f ca="1">IF(NOTA[[#This Row],[ID]]="","",COUNTIF(NOTA[ID_H],NOTA[[#This Row],[ID_H]]))</f>
        <v/>
      </c>
      <c r="AI588" s="16">
        <f ca="1">IF(NOTA[[#This Row],[TGL.NOTA]]="",IF(NOTA[[#This Row],[SUPPLIER_H]]="","",AI587),MONTH(NOTA[[#This Row],[TGL.NOTA]]))</f>
        <v>10</v>
      </c>
      <c r="AJ588" s="16"/>
    </row>
    <row r="589" spans="1:36" ht="20.100000000000001" customHeight="1" x14ac:dyDescent="0.25">
      <c r="A5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3" t="str">
        <f>IF(NOTA[[#This Row],[ID_P]]="","",MATCH(NOTA[[#This Row],[ID_P]],[1]!B_MSK[N_ID],0))</f>
        <v/>
      </c>
      <c r="D589" s="53">
        <f ca="1">IF(NOTA[[#This Row],[NAMA BARANG]]="","",INDEX(NOTA[ID],MATCH(,INDIRECT(ADDRESS(ROW(NOTA[ID]),COLUMN(NOTA[ID]))&amp;":"&amp;ADDRESS(ROW(),COLUMN(NOTA[ID]))),-1)))</f>
        <v>128</v>
      </c>
      <c r="E589" s="60"/>
      <c r="F589" s="31"/>
      <c r="G589" s="31"/>
      <c r="H589" s="33"/>
      <c r="I589" s="54"/>
      <c r="J589" s="56"/>
      <c r="K589" s="54"/>
      <c r="L589" s="31" t="s">
        <v>730</v>
      </c>
      <c r="M589" s="57">
        <v>1</v>
      </c>
      <c r="N589" s="54">
        <v>60</v>
      </c>
      <c r="O589" s="31" t="s">
        <v>287</v>
      </c>
      <c r="P589" s="52">
        <v>20000</v>
      </c>
      <c r="Q589" s="162"/>
      <c r="R589" s="35" t="s">
        <v>114</v>
      </c>
      <c r="S589" s="59">
        <v>0.03</v>
      </c>
      <c r="T589" s="59"/>
      <c r="U589" s="58"/>
      <c r="V589" s="87"/>
      <c r="W589" s="58">
        <f>IF(NOTA[[#This Row],[HARGA/ CTN]]="",NOTA[[#This Row],[JUMLAH_H]],NOTA[[#This Row],[HARGA/ CTN]]*NOTA[[#This Row],[C]])</f>
        <v>1200000</v>
      </c>
      <c r="X589" s="58">
        <f>IF(NOTA[[#This Row],[JUMLAH]]="","",NOTA[[#This Row],[JUMLAH]]*NOTA[[#This Row],[DISC 1]])</f>
        <v>36000</v>
      </c>
      <c r="Y589" s="58">
        <f>IF(NOTA[[#This Row],[JUMLAH]]="","",(NOTA[[#This Row],[JUMLAH]]-NOTA[[#This Row],[DISC 1-]])*NOTA[[#This Row],[DISC 2]])</f>
        <v>0</v>
      </c>
      <c r="Z589" s="58">
        <f>IF(NOTA[[#This Row],[JUMLAH]]="","",NOTA[[#This Row],[DISC 1-]]+NOTA[[#This Row],[DISC 2-]])</f>
        <v>36000</v>
      </c>
      <c r="AA589" s="58">
        <f>IF(NOTA[[#This Row],[JUMLAH]]="","",NOTA[[#This Row],[JUMLAH]]-NOTA[[#This Row],[DISC]])</f>
        <v>1164000</v>
      </c>
      <c r="AB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9" s="58">
        <f>IF(OR(NOTA[[#This Row],[QTY]]="",NOTA[[#This Row],[HARGA SATUAN]]="",),"",NOTA[[#This Row],[QTY]]*NOTA[[#This Row],[HARGA SATUAN]])</f>
        <v>1200000</v>
      </c>
      <c r="AF589" s="56">
        <f ca="1">IF(NOTA[ID_H]="","",INDEX(NOTA[TANGGAL],MATCH(,INDIRECT(ADDRESS(ROW(NOTA[TANGGAL]),COLUMN(NOTA[TANGGAL]))&amp;":"&amp;ADDRESS(ROW(),COLUMN(NOTA[TANGGAL]))),-1)))</f>
        <v>44863</v>
      </c>
      <c r="AG589" s="52" t="str">
        <f ca="1">IF(NOTA[[#This Row],[NAMA BARANG]]="","",INDEX(NOTA[SUPPLIER],MATCH(,INDIRECT(ADDRESS(ROW(NOTA[ID]),COLUMN(NOTA[ID]))&amp;":"&amp;ADDRESS(ROW(),COLUMN(NOTA[ID]))),-1)))</f>
        <v>SAHABAT REJEKI</v>
      </c>
      <c r="AH589" s="16" t="str">
        <f ca="1">IF(NOTA[[#This Row],[ID]]="","",COUNTIF(NOTA[ID_H],NOTA[[#This Row],[ID_H]]))</f>
        <v/>
      </c>
      <c r="AI589" s="16">
        <f ca="1">IF(NOTA[[#This Row],[TGL.NOTA]]="",IF(NOTA[[#This Row],[SUPPLIER_H]]="","",AI588),MONTH(NOTA[[#This Row],[TGL.NOTA]]))</f>
        <v>10</v>
      </c>
      <c r="AJ589" s="16"/>
    </row>
    <row r="590" spans="1:36" ht="20.100000000000001" customHeight="1" x14ac:dyDescent="0.25">
      <c r="A5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3" t="str">
        <f>IF(NOTA[[#This Row],[ID_P]]="","",MATCH(NOTA[[#This Row],[ID_P]],[1]!B_MSK[N_ID],0))</f>
        <v/>
      </c>
      <c r="D590" s="53">
        <f ca="1">IF(NOTA[[#This Row],[NAMA BARANG]]="","",INDEX(NOTA[ID],MATCH(,INDIRECT(ADDRESS(ROW(NOTA[ID]),COLUMN(NOTA[ID]))&amp;":"&amp;ADDRESS(ROW(),COLUMN(NOTA[ID]))),-1)))</f>
        <v>128</v>
      </c>
      <c r="E590" s="60"/>
      <c r="F590" s="54"/>
      <c r="G590" s="54"/>
      <c r="H590" s="55"/>
      <c r="I590" s="54"/>
      <c r="J590" s="56"/>
      <c r="K590" s="54"/>
      <c r="L590" s="31" t="s">
        <v>731</v>
      </c>
      <c r="M590" s="57">
        <v>1</v>
      </c>
      <c r="N590" s="54">
        <v>60</v>
      </c>
      <c r="O590" s="31" t="s">
        <v>287</v>
      </c>
      <c r="P590" s="52">
        <v>20000</v>
      </c>
      <c r="Q590" s="162"/>
      <c r="R590" s="35" t="s">
        <v>114</v>
      </c>
      <c r="S590" s="59">
        <v>0.03</v>
      </c>
      <c r="T590" s="59"/>
      <c r="U590" s="58"/>
      <c r="V590" s="87"/>
      <c r="W590" s="58">
        <f>IF(NOTA[[#This Row],[HARGA/ CTN]]="",NOTA[[#This Row],[JUMLAH_H]],NOTA[[#This Row],[HARGA/ CTN]]*NOTA[[#This Row],[C]])</f>
        <v>1200000</v>
      </c>
      <c r="X590" s="58">
        <f>IF(NOTA[[#This Row],[JUMLAH]]="","",NOTA[[#This Row],[JUMLAH]]*NOTA[[#This Row],[DISC 1]])</f>
        <v>36000</v>
      </c>
      <c r="Y590" s="58">
        <f>IF(NOTA[[#This Row],[JUMLAH]]="","",(NOTA[[#This Row],[JUMLAH]]-NOTA[[#This Row],[DISC 1-]])*NOTA[[#This Row],[DISC 2]])</f>
        <v>0</v>
      </c>
      <c r="Z590" s="58">
        <f>IF(NOTA[[#This Row],[JUMLAH]]="","",NOTA[[#This Row],[DISC 1-]]+NOTA[[#This Row],[DISC 2-]])</f>
        <v>36000</v>
      </c>
      <c r="AA590" s="58">
        <f>IF(NOTA[[#This Row],[JUMLAH]]="","",NOTA[[#This Row],[JUMLAH]]-NOTA[[#This Row],[DISC]])</f>
        <v>1164000</v>
      </c>
      <c r="AB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0" s="58">
        <f>IF(OR(NOTA[[#This Row],[QTY]]="",NOTA[[#This Row],[HARGA SATUAN]]="",),"",NOTA[[#This Row],[QTY]]*NOTA[[#This Row],[HARGA SATUAN]])</f>
        <v>1200000</v>
      </c>
      <c r="AF590" s="56">
        <f ca="1">IF(NOTA[ID_H]="","",INDEX(NOTA[TANGGAL],MATCH(,INDIRECT(ADDRESS(ROW(NOTA[TANGGAL]),COLUMN(NOTA[TANGGAL]))&amp;":"&amp;ADDRESS(ROW(),COLUMN(NOTA[TANGGAL]))),-1)))</f>
        <v>44863</v>
      </c>
      <c r="AG590" s="52" t="str">
        <f ca="1">IF(NOTA[[#This Row],[NAMA BARANG]]="","",INDEX(NOTA[SUPPLIER],MATCH(,INDIRECT(ADDRESS(ROW(NOTA[ID]),COLUMN(NOTA[ID]))&amp;":"&amp;ADDRESS(ROW(),COLUMN(NOTA[ID]))),-1)))</f>
        <v>SAHABAT REJEKI</v>
      </c>
      <c r="AH590" s="16" t="str">
        <f ca="1">IF(NOTA[[#This Row],[ID]]="","",COUNTIF(NOTA[ID_H],NOTA[[#This Row],[ID_H]]))</f>
        <v/>
      </c>
      <c r="AI590" s="16">
        <f ca="1">IF(NOTA[[#This Row],[TGL.NOTA]]="",IF(NOTA[[#This Row],[SUPPLIER_H]]="","",AI589),MONTH(NOTA[[#This Row],[TGL.NOTA]]))</f>
        <v>10</v>
      </c>
      <c r="AJ590" s="16"/>
    </row>
    <row r="591" spans="1:36" ht="20.100000000000001" customHeight="1" x14ac:dyDescent="0.25">
      <c r="A5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3" t="str">
        <f>IF(NOTA[[#This Row],[ID_P]]="","",MATCH(NOTA[[#This Row],[ID_P]],[1]!B_MSK[N_ID],0))</f>
        <v/>
      </c>
      <c r="D591" s="53">
        <f ca="1">IF(NOTA[[#This Row],[NAMA BARANG]]="","",INDEX(NOTA[ID],MATCH(,INDIRECT(ADDRESS(ROW(NOTA[ID]),COLUMN(NOTA[ID]))&amp;":"&amp;ADDRESS(ROW(),COLUMN(NOTA[ID]))),-1)))</f>
        <v>128</v>
      </c>
      <c r="E591" s="60"/>
      <c r="F591" s="31"/>
      <c r="G591" s="31"/>
      <c r="H591" s="33"/>
      <c r="I591" s="54"/>
      <c r="J591" s="56"/>
      <c r="K591" s="54"/>
      <c r="L591" s="31" t="s">
        <v>732</v>
      </c>
      <c r="M591" s="57">
        <v>1</v>
      </c>
      <c r="N591" s="54">
        <v>60</v>
      </c>
      <c r="O591" s="31" t="s">
        <v>287</v>
      </c>
      <c r="P591" s="52">
        <v>20000</v>
      </c>
      <c r="Q591" s="162"/>
      <c r="R591" s="35" t="s">
        <v>114</v>
      </c>
      <c r="S591" s="59">
        <v>0.03</v>
      </c>
      <c r="T591" s="59"/>
      <c r="U591" s="58"/>
      <c r="V591" s="87"/>
      <c r="W591" s="58">
        <f>IF(NOTA[[#This Row],[HARGA/ CTN]]="",NOTA[[#This Row],[JUMLAH_H]],NOTA[[#This Row],[HARGA/ CTN]]*NOTA[[#This Row],[C]])</f>
        <v>1200000</v>
      </c>
      <c r="X591" s="58">
        <f>IF(NOTA[[#This Row],[JUMLAH]]="","",NOTA[[#This Row],[JUMLAH]]*NOTA[[#This Row],[DISC 1]])</f>
        <v>36000</v>
      </c>
      <c r="Y591" s="58">
        <f>IF(NOTA[[#This Row],[JUMLAH]]="","",(NOTA[[#This Row],[JUMLAH]]-NOTA[[#This Row],[DISC 1-]])*NOTA[[#This Row],[DISC 2]])</f>
        <v>0</v>
      </c>
      <c r="Z591" s="58">
        <f>IF(NOTA[[#This Row],[JUMLAH]]="","",NOTA[[#This Row],[DISC 1-]]+NOTA[[#This Row],[DISC 2-]])</f>
        <v>36000</v>
      </c>
      <c r="AA591" s="58">
        <f>IF(NOTA[[#This Row],[JUMLAH]]="","",NOTA[[#This Row],[JUMLAH]]-NOTA[[#This Row],[DISC]])</f>
        <v>1164000</v>
      </c>
      <c r="AB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9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1" s="58">
        <f>IF(OR(NOTA[[#This Row],[QTY]]="",NOTA[[#This Row],[HARGA SATUAN]]="",),"",NOTA[[#This Row],[QTY]]*NOTA[[#This Row],[HARGA SATUAN]])</f>
        <v>1200000</v>
      </c>
      <c r="AF591" s="56">
        <f ca="1">IF(NOTA[ID_H]="","",INDEX(NOTA[TANGGAL],MATCH(,INDIRECT(ADDRESS(ROW(NOTA[TANGGAL]),COLUMN(NOTA[TANGGAL]))&amp;":"&amp;ADDRESS(ROW(),COLUMN(NOTA[TANGGAL]))),-1)))</f>
        <v>44863</v>
      </c>
      <c r="AG591" s="52" t="str">
        <f ca="1">IF(NOTA[[#This Row],[NAMA BARANG]]="","",INDEX(NOTA[SUPPLIER],MATCH(,INDIRECT(ADDRESS(ROW(NOTA[ID]),COLUMN(NOTA[ID]))&amp;":"&amp;ADDRESS(ROW(),COLUMN(NOTA[ID]))),-1)))</f>
        <v>SAHABAT REJEKI</v>
      </c>
      <c r="AH591" s="16" t="str">
        <f ca="1">IF(NOTA[[#This Row],[ID]]="","",COUNTIF(NOTA[ID_H],NOTA[[#This Row],[ID_H]]))</f>
        <v/>
      </c>
      <c r="AI591" s="16">
        <f ca="1">IF(NOTA[[#This Row],[TGL.NOTA]]="",IF(NOTA[[#This Row],[SUPPLIER_H]]="","",AI590),MONTH(NOTA[[#This Row],[TGL.NOTA]]))</f>
        <v>10</v>
      </c>
      <c r="AJ591" s="16"/>
    </row>
    <row r="592" spans="1:36" ht="20.100000000000001" customHeight="1" x14ac:dyDescent="0.25">
      <c r="A5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3" t="str">
        <f>IF(NOTA[[#This Row],[ID_P]]="","",MATCH(NOTA[[#This Row],[ID_P]],[1]!B_MSK[N_ID],0))</f>
        <v/>
      </c>
      <c r="D592" s="53" t="str">
        <f ca="1">IF(NOTA[[#This Row],[NAMA BARANG]]="","",INDEX(NOTA[ID],MATCH(,INDIRECT(ADDRESS(ROW(NOTA[ID]),COLUMN(NOTA[ID]))&amp;":"&amp;ADDRESS(ROW(),COLUMN(NOTA[ID]))),-1)))</f>
        <v/>
      </c>
      <c r="E592" s="60"/>
      <c r="F592" s="54"/>
      <c r="G592" s="54"/>
      <c r="H592" s="55"/>
      <c r="I592" s="54"/>
      <c r="J592" s="56"/>
      <c r="K592" s="54"/>
      <c r="L592" s="31"/>
      <c r="M592" s="57"/>
      <c r="N592" s="54"/>
      <c r="O592" s="31"/>
      <c r="P592" s="52"/>
      <c r="Q592" s="162"/>
      <c r="R592" s="35"/>
      <c r="S592" s="59"/>
      <c r="T592" s="59"/>
      <c r="U592" s="58"/>
      <c r="V592" s="87"/>
      <c r="W592" s="58" t="str">
        <f>IF(NOTA[[#This Row],[HARGA/ CTN]]="",NOTA[[#This Row],[JUMLAH_H]],NOTA[[#This Row],[HARGA/ CTN]]*NOTA[[#This Row],[C]])</f>
        <v/>
      </c>
      <c r="X592" s="58" t="str">
        <f>IF(NOTA[[#This Row],[JUMLAH]]="","",NOTA[[#This Row],[JUMLAH]]*NOTA[[#This Row],[DISC 1]])</f>
        <v/>
      </c>
      <c r="Y592" s="58" t="str">
        <f>IF(NOTA[[#This Row],[JUMLAH]]="","",(NOTA[[#This Row],[JUMLAH]]-NOTA[[#This Row],[DISC 1-]])*NOTA[[#This Row],[DISC 2]])</f>
        <v/>
      </c>
      <c r="Z592" s="58" t="str">
        <f>IF(NOTA[[#This Row],[JUMLAH]]="","",NOTA[[#This Row],[DISC 1-]]+NOTA[[#This Row],[DISC 2-]])</f>
        <v/>
      </c>
      <c r="AA592" s="58" t="str">
        <f>IF(NOTA[[#This Row],[JUMLAH]]="","",NOTA[[#This Row],[JUMLAH]]-NOTA[[#This Row],[DISC]])</f>
        <v/>
      </c>
      <c r="AB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58" t="str">
        <f>IF(OR(NOTA[[#This Row],[QTY]]="",NOTA[[#This Row],[HARGA SATUAN]]="",),"",NOTA[[#This Row],[QTY]]*NOTA[[#This Row],[HARGA SATUAN]])</f>
        <v/>
      </c>
      <c r="AF592" s="56" t="str">
        <f ca="1">IF(NOTA[ID_H]="","",INDEX(NOTA[TANGGAL],MATCH(,INDIRECT(ADDRESS(ROW(NOTA[TANGGAL]),COLUMN(NOTA[TANGGAL]))&amp;":"&amp;ADDRESS(ROW(),COLUMN(NOTA[TANGGAL]))),-1)))</f>
        <v/>
      </c>
      <c r="AG592" s="52" t="str">
        <f ca="1">IF(NOTA[[#This Row],[NAMA BARANG]]="","",INDEX(NOTA[SUPPLIER],MATCH(,INDIRECT(ADDRESS(ROW(NOTA[ID]),COLUMN(NOTA[ID]))&amp;":"&amp;ADDRESS(ROW(),COLUMN(NOTA[ID]))),-1)))</f>
        <v/>
      </c>
      <c r="AH592" s="16" t="str">
        <f ca="1">IF(NOTA[[#This Row],[ID]]="","",COUNTIF(NOTA[ID_H],NOTA[[#This Row],[ID_H]]))</f>
        <v/>
      </c>
      <c r="AI592" s="16" t="str">
        <f ca="1">IF(NOTA[[#This Row],[TGL.NOTA]]="",IF(NOTA[[#This Row],[SUPPLIER_H]]="","",AI591),MONTH(NOTA[[#This Row],[TGL.NOTA]]))</f>
        <v/>
      </c>
      <c r="AJ592" s="16"/>
    </row>
    <row r="593" spans="1:36" ht="20.100000000000001" customHeight="1" x14ac:dyDescent="0.25">
      <c r="A593" s="30">
        <f ca="1">IF(INDIRECT(ADDRESS(ROW()-1,COLUMN(NOTA[[#Headers],[ID]])))="ID",1,IF(NOTA[[#This Row],[FAKTUR]]="","",COUNT(INDIRECT(ADDRESS(ROW(NOTA[ID]),COLUMN(NOTA[ID]))&amp;":"&amp;ADDRESS(ROW()-1,COLUMN(NOTA[ID]))))+1))</f>
        <v>129</v>
      </c>
      <c r="B5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ATA_3110_097-4</v>
      </c>
      <c r="C593" s="39" t="e">
        <f ca="1">IF(NOTA[[#This Row],[ID_P]]="","",MATCH(NOTA[[#This Row],[ID_P]],[1]!B_MSK[N_ID],0))</f>
        <v>#REF!</v>
      </c>
      <c r="D593" s="39">
        <f ca="1">IF(NOTA[[#This Row],[NAMA BARANG]]="","",INDEX(NOTA[ID],MATCH(,INDIRECT(ADDRESS(ROW(NOTA[ID]),COLUMN(NOTA[ID]))&amp;":"&amp;ADDRESS(ROW(),COLUMN(NOTA[ID]))),-1)))</f>
        <v>129</v>
      </c>
      <c r="E593" s="32">
        <v>44865</v>
      </c>
      <c r="F593" s="31" t="s">
        <v>25</v>
      </c>
      <c r="G593" s="31" t="s">
        <v>24</v>
      </c>
      <c r="H593" s="33" t="s">
        <v>778</v>
      </c>
      <c r="I593" s="31"/>
      <c r="J593" s="34">
        <v>44861</v>
      </c>
      <c r="K593" s="31"/>
      <c r="L593" s="31" t="s">
        <v>431</v>
      </c>
      <c r="M593" s="35">
        <v>1</v>
      </c>
      <c r="N593" s="31">
        <v>144</v>
      </c>
      <c r="O593" s="31" t="s">
        <v>88</v>
      </c>
      <c r="P593" s="30">
        <v>4100</v>
      </c>
      <c r="Q593" s="103"/>
      <c r="R593" s="35" t="s">
        <v>432</v>
      </c>
      <c r="S593" s="37">
        <v>0.125</v>
      </c>
      <c r="T593" s="37">
        <v>0.05</v>
      </c>
      <c r="U593" s="36"/>
      <c r="V593" s="87"/>
      <c r="W593" s="36">
        <f>IF(NOTA[[#This Row],[HARGA/ CTN]]="",NOTA[[#This Row],[JUMLAH_H]],NOTA[[#This Row],[HARGA/ CTN]]*NOTA[[#This Row],[C]])</f>
        <v>590400</v>
      </c>
      <c r="X593" s="36">
        <f>IF(NOTA[[#This Row],[JUMLAH]]="","",NOTA[[#This Row],[JUMLAH]]*NOTA[[#This Row],[DISC 1]])</f>
        <v>73800</v>
      </c>
      <c r="Y593" s="36">
        <f>IF(NOTA[[#This Row],[JUMLAH]]="","",(NOTA[[#This Row],[JUMLAH]]-NOTA[[#This Row],[DISC 1-]])*NOTA[[#This Row],[DISC 2]])</f>
        <v>25830</v>
      </c>
      <c r="Z593" s="36">
        <f>IF(NOTA[[#This Row],[JUMLAH]]="","",NOTA[[#This Row],[DISC 1-]]+NOTA[[#This Row],[DISC 2-]])</f>
        <v>99630</v>
      </c>
      <c r="AA593" s="36">
        <f>IF(NOTA[[#This Row],[JUMLAH]]="","",NOTA[[#This Row],[JUMLAH]]-NOTA[[#This Row],[DISC]])</f>
        <v>490770</v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93" s="36">
        <f>IF(OR(NOTA[[#This Row],[QTY]]="",NOTA[[#This Row],[HARGA SATUAN]]="",),"",NOTA[[#This Row],[QTY]]*NOTA[[#This Row],[HARGA SATUAN]])</f>
        <v>590400</v>
      </c>
      <c r="AF593" s="34">
        <f ca="1">IF(NOTA[ID_H]="","",INDEX(NOTA[TANGGAL],MATCH(,INDIRECT(ADDRESS(ROW(NOTA[TANGGAL]),COLUMN(NOTA[TANGGAL]))&amp;":"&amp;ADDRESS(ROW(),COLUMN(NOTA[TANGGAL]))),-1)))</f>
        <v>44865</v>
      </c>
      <c r="AG593" s="30" t="str">
        <f ca="1">IF(NOTA[[#This Row],[NAMA BARANG]]="","",INDEX(NOTA[SUPPLIER],MATCH(,INDIRECT(ADDRESS(ROW(NOTA[ID]),COLUMN(NOTA[ID]))&amp;":"&amp;ADDRESS(ROW(),COLUMN(NOTA[ID]))),-1)))</f>
        <v>ATALI MAKMUR</v>
      </c>
      <c r="AH593" s="16">
        <f ca="1">IF(NOTA[[#This Row],[ID]]="","",COUNTIF(NOTA[ID_H],NOTA[[#This Row],[ID_H]]))</f>
        <v>4</v>
      </c>
      <c r="AI593" s="16">
        <f>IF(NOTA[[#This Row],[TGL.NOTA]]="",IF(NOTA[[#This Row],[SUPPLIER_H]]="","",#REF!),MONTH(NOTA[[#This Row],[TGL.NOTA]]))</f>
        <v>10</v>
      </c>
      <c r="AJ593" s="16"/>
    </row>
    <row r="594" spans="1:36" ht="20.100000000000001" customHeight="1" x14ac:dyDescent="0.25">
      <c r="A5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129</v>
      </c>
      <c r="E594" s="32"/>
      <c r="F594" s="31"/>
      <c r="G594" s="31"/>
      <c r="H594" s="33"/>
      <c r="I594" s="31"/>
      <c r="J594" s="34"/>
      <c r="K594" s="31"/>
      <c r="L594" s="31" t="s">
        <v>471</v>
      </c>
      <c r="M594" s="35">
        <v>2</v>
      </c>
      <c r="N594" s="31">
        <v>288</v>
      </c>
      <c r="O594" s="31" t="s">
        <v>88</v>
      </c>
      <c r="P594" s="30">
        <v>6300</v>
      </c>
      <c r="Q594" s="103"/>
      <c r="R594" s="35" t="s">
        <v>432</v>
      </c>
      <c r="S594" s="37">
        <v>0.125</v>
      </c>
      <c r="T594" s="37">
        <v>0.05</v>
      </c>
      <c r="U594" s="36"/>
      <c r="V594" s="87"/>
      <c r="W594" s="36">
        <f>IF(NOTA[[#This Row],[HARGA/ CTN]]="",NOTA[[#This Row],[JUMLAH_H]],NOTA[[#This Row],[HARGA/ CTN]]*NOTA[[#This Row],[C]])</f>
        <v>1814400</v>
      </c>
      <c r="X594" s="36">
        <f>IF(NOTA[[#This Row],[JUMLAH]]="","",NOTA[[#This Row],[JUMLAH]]*NOTA[[#This Row],[DISC 1]])</f>
        <v>226800</v>
      </c>
      <c r="Y594" s="36">
        <f>IF(NOTA[[#This Row],[JUMLAH]]="","",(NOTA[[#This Row],[JUMLAH]]-NOTA[[#This Row],[DISC 1-]])*NOTA[[#This Row],[DISC 2]])</f>
        <v>79380</v>
      </c>
      <c r="Z594" s="36">
        <f>IF(NOTA[[#This Row],[JUMLAH]]="","",NOTA[[#This Row],[DISC 1-]]+NOTA[[#This Row],[DISC 2-]])</f>
        <v>306180</v>
      </c>
      <c r="AA594" s="36">
        <f>IF(NOTA[[#This Row],[JUMLAH]]="","",NOTA[[#This Row],[JUMLAH]]-NOTA[[#This Row],[DISC]])</f>
        <v>1508220</v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94" s="36">
        <f>IF(OR(NOTA[[#This Row],[QTY]]="",NOTA[[#This Row],[HARGA SATUAN]]="",),"",NOTA[[#This Row],[QTY]]*NOTA[[#This Row],[HARGA SATUAN]])</f>
        <v>1814400</v>
      </c>
      <c r="AF594" s="34">
        <f ca="1">IF(NOTA[ID_H]="","",INDEX(NOTA[TANGGAL],MATCH(,INDIRECT(ADDRESS(ROW(NOTA[TANGGAL]),COLUMN(NOTA[TANGGAL]))&amp;":"&amp;ADDRESS(ROW(),COLUMN(NOTA[TANGGAL]))),-1)))</f>
        <v>44865</v>
      </c>
      <c r="AG594" s="30" t="str">
        <f ca="1">IF(NOTA[[#This Row],[NAMA BARANG]]="","",INDEX(NOTA[SUPPLIER],MATCH(,INDIRECT(ADDRESS(ROW(NOTA[ID]),COLUMN(NOTA[ID]))&amp;":"&amp;ADDRESS(ROW(),COLUMN(NOTA[ID]))),-1)))</f>
        <v>ATALI MAKMUR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129</v>
      </c>
      <c r="E595" s="32"/>
      <c r="F595" s="31"/>
      <c r="G595" s="31"/>
      <c r="H595" s="33"/>
      <c r="I595" s="31"/>
      <c r="J595" s="34"/>
      <c r="K595" s="31"/>
      <c r="L595" s="31" t="s">
        <v>704</v>
      </c>
      <c r="M595" s="35">
        <v>1</v>
      </c>
      <c r="N595" s="31">
        <v>48</v>
      </c>
      <c r="O595" s="31" t="s">
        <v>287</v>
      </c>
      <c r="P595" s="30">
        <v>31200</v>
      </c>
      <c r="Q595" s="103"/>
      <c r="R595" s="35" t="s">
        <v>705</v>
      </c>
      <c r="S595" s="37">
        <v>0.125</v>
      </c>
      <c r="T595" s="37">
        <v>0.05</v>
      </c>
      <c r="U595" s="36"/>
      <c r="V595" s="87"/>
      <c r="W595" s="36">
        <f>IF(NOTA[[#This Row],[HARGA/ CTN]]="",NOTA[[#This Row],[JUMLAH_H]],NOTA[[#This Row],[HARGA/ CTN]]*NOTA[[#This Row],[C]])</f>
        <v>1497600</v>
      </c>
      <c r="X595" s="36">
        <f>IF(NOTA[[#This Row],[JUMLAH]]="","",NOTA[[#This Row],[JUMLAH]]*NOTA[[#This Row],[DISC 1]])</f>
        <v>187200</v>
      </c>
      <c r="Y595" s="36">
        <f>IF(NOTA[[#This Row],[JUMLAH]]="","",(NOTA[[#This Row],[JUMLAH]]-NOTA[[#This Row],[DISC 1-]])*NOTA[[#This Row],[DISC 2]])</f>
        <v>65520</v>
      </c>
      <c r="Z595" s="36">
        <f>IF(NOTA[[#This Row],[JUMLAH]]="","",NOTA[[#This Row],[DISC 1-]]+NOTA[[#This Row],[DISC 2-]])</f>
        <v>252720</v>
      </c>
      <c r="AA595" s="36">
        <f>IF(NOTA[[#This Row],[JUMLAH]]="","",NOTA[[#This Row],[JUMLAH]]-NOTA[[#This Row],[DISC]])</f>
        <v>1244880</v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95" s="36">
        <f>IF(OR(NOTA[[#This Row],[QTY]]="",NOTA[[#This Row],[HARGA SATUAN]]="",),"",NOTA[[#This Row],[QTY]]*NOTA[[#This Row],[HARGA SATUAN]])</f>
        <v>1497600</v>
      </c>
      <c r="AF595" s="34">
        <f ca="1">IF(NOTA[ID_H]="","",INDEX(NOTA[TANGGAL],MATCH(,INDIRECT(ADDRESS(ROW(NOTA[TANGGAL]),COLUMN(NOTA[TANGGAL]))&amp;":"&amp;ADDRESS(ROW(),COLUMN(NOTA[TANGGAL]))),-1)))</f>
        <v>44865</v>
      </c>
      <c r="AG595" s="30" t="str">
        <f ca="1">IF(NOTA[[#This Row],[NAMA BARANG]]="","",INDEX(NOTA[SUPPLIER],MATCH(,INDIRECT(ADDRESS(ROW(NOTA[ID]),COLUMN(NOTA[ID]))&amp;":"&amp;ADDRESS(ROW(),COLUMN(NOTA[ID]))),-1)))</f>
        <v>ATALI MAKMUR</v>
      </c>
      <c r="AH595" s="16" t="str">
        <f ca="1">IF(NOTA[[#This Row],[ID]]="","",COUNTIF(NOTA[ID_H],NOTA[[#This Row],[ID_H]]))</f>
        <v/>
      </c>
      <c r="AI595" s="16">
        <f ca="1">IF(NOTA[[#This Row],[TGL.NOTA]]="",IF(NOTA[[#This Row],[SUPPLIER_H]]="","",AI594),MONTH(NOTA[[#This Row],[TGL.NOTA]]))</f>
        <v>10</v>
      </c>
      <c r="AJ595" s="16"/>
    </row>
    <row r="596" spans="1:36" ht="20.100000000000001" customHeight="1" x14ac:dyDescent="0.25">
      <c r="A5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129</v>
      </c>
      <c r="E596" s="32"/>
      <c r="F596" s="31"/>
      <c r="G596" s="31"/>
      <c r="H596" s="33"/>
      <c r="I596" s="31"/>
      <c r="J596" s="34"/>
      <c r="K596" s="31"/>
      <c r="L596" s="31" t="s">
        <v>706</v>
      </c>
      <c r="M596" s="35">
        <v>1</v>
      </c>
      <c r="N596" s="31">
        <v>144</v>
      </c>
      <c r="O596" s="31" t="s">
        <v>204</v>
      </c>
      <c r="P596" s="30">
        <v>10600</v>
      </c>
      <c r="Q596" s="103"/>
      <c r="R596" s="35" t="s">
        <v>284</v>
      </c>
      <c r="S596" s="37">
        <v>0.125</v>
      </c>
      <c r="T596" s="37">
        <v>0.05</v>
      </c>
      <c r="U596" s="36"/>
      <c r="V596" s="87"/>
      <c r="W596" s="36">
        <f>IF(NOTA[[#This Row],[HARGA/ CTN]]="",NOTA[[#This Row],[JUMLAH_H]],NOTA[[#This Row],[HARGA/ CTN]]*NOTA[[#This Row],[C]])</f>
        <v>1526400</v>
      </c>
      <c r="X596" s="36">
        <f>IF(NOTA[[#This Row],[JUMLAH]]="","",NOTA[[#This Row],[JUMLAH]]*NOTA[[#This Row],[DISC 1]])</f>
        <v>190800</v>
      </c>
      <c r="Y596" s="36">
        <f>IF(NOTA[[#This Row],[JUMLAH]]="","",(NOTA[[#This Row],[JUMLAH]]-NOTA[[#This Row],[DISC 1-]])*NOTA[[#This Row],[DISC 2]])</f>
        <v>66780</v>
      </c>
      <c r="Z596" s="36">
        <f>IF(NOTA[[#This Row],[JUMLAH]]="","",NOTA[[#This Row],[DISC 1-]]+NOTA[[#This Row],[DISC 2-]])</f>
        <v>257580</v>
      </c>
      <c r="AA596" s="36">
        <f>IF(NOTA[[#This Row],[JUMLAH]]="","",NOTA[[#This Row],[JUMLAH]]-NOTA[[#This Row],[DISC]])</f>
        <v>1268820</v>
      </c>
      <c r="AB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9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96" s="36">
        <f>IF(OR(NOTA[[#This Row],[QTY]]="",NOTA[[#This Row],[HARGA SATUAN]]="",),"",NOTA[[#This Row],[QTY]]*NOTA[[#This Row],[HARGA SATUAN]])</f>
        <v>1526400</v>
      </c>
      <c r="AF596" s="34">
        <f ca="1">IF(NOTA[ID_H]="","",INDEX(NOTA[TANGGAL],MATCH(,INDIRECT(ADDRESS(ROW(NOTA[TANGGAL]),COLUMN(NOTA[TANGGAL]))&amp;":"&amp;ADDRESS(ROW(),COLUMN(NOTA[TANGGAL]))),-1)))</f>
        <v>44865</v>
      </c>
      <c r="AG596" s="30" t="str">
        <f ca="1">IF(NOTA[[#This Row],[NAMA BARANG]]="","",INDEX(NOTA[SUPPLIER],MATCH(,INDIRECT(ADDRESS(ROW(NOTA[ID]),COLUMN(NOTA[ID]))&amp;":"&amp;ADDRESS(ROW(),COLUMN(NOTA[ID]))),-1)))</f>
        <v>ATALI MAKMUR</v>
      </c>
      <c r="AH596" s="16" t="str">
        <f ca="1">IF(NOTA[[#This Row],[ID]]="","",COUNTIF(NOTA[ID_H],NOTA[[#This Row],[ID_H]]))</f>
        <v/>
      </c>
      <c r="AI596" s="16">
        <f ca="1">IF(NOTA[[#This Row],[TGL.NOTA]]="",IF(NOTA[[#This Row],[SUPPLIER_H]]="","",AI595),MONTH(NOTA[[#This Row],[TGL.NOTA]]))</f>
        <v>10</v>
      </c>
      <c r="AJ596" s="16"/>
    </row>
    <row r="597" spans="1:36" ht="20.100000000000001" customHeight="1" x14ac:dyDescent="0.25">
      <c r="A5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 t="str">
        <f ca="1">IF(NOTA[[#This Row],[NAMA BARANG]]="","",INDEX(NOTA[ID],MATCH(,INDIRECT(ADDRESS(ROW(NOTA[ID]),COLUMN(NOTA[ID]))&amp;":"&amp;ADDRESS(ROW(),COLUMN(NOTA[ID]))),-1)))</f>
        <v/>
      </c>
      <c r="E597" s="32"/>
      <c r="F597" s="31"/>
      <c r="G597" s="31"/>
      <c r="H597" s="33"/>
      <c r="I597" s="31"/>
      <c r="J597" s="34"/>
      <c r="K597" s="31"/>
      <c r="L597" s="31"/>
      <c r="M597" s="35"/>
      <c r="N597" s="31"/>
      <c r="O597" s="31"/>
      <c r="P597" s="30"/>
      <c r="Q597" s="103"/>
      <c r="R597" s="35"/>
      <c r="S597" s="37"/>
      <c r="T597" s="37"/>
      <c r="U597" s="36"/>
      <c r="V597" s="87"/>
      <c r="W597" s="36" t="str">
        <f>IF(NOTA[[#This Row],[HARGA/ CTN]]="",NOTA[[#This Row],[JUMLAH_H]],NOTA[[#This Row],[HARGA/ CTN]]*NOTA[[#This Row],[C]])</f>
        <v/>
      </c>
      <c r="X597" s="36" t="str">
        <f>IF(NOTA[[#This Row],[JUMLAH]]="","",NOTA[[#This Row],[JUMLAH]]*NOTA[[#This Row],[DISC 1]])</f>
        <v/>
      </c>
      <c r="Y597" s="36" t="str">
        <f>IF(NOTA[[#This Row],[JUMLAH]]="","",(NOTA[[#This Row],[JUMLAH]]-NOTA[[#This Row],[DISC 1-]])*NOTA[[#This Row],[DISC 2]])</f>
        <v/>
      </c>
      <c r="Z597" s="36" t="str">
        <f>IF(NOTA[[#This Row],[JUMLAH]]="","",NOTA[[#This Row],[DISC 1-]]+NOTA[[#This Row],[DISC 2-]])</f>
        <v/>
      </c>
      <c r="AA597" s="36" t="str">
        <f>IF(NOTA[[#This Row],[JUMLAH]]="","",NOTA[[#This Row],[JUMLAH]]-NOTA[[#This Row],[DISC]])</f>
        <v/>
      </c>
      <c r="AB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36" t="str">
        <f>IF(OR(NOTA[[#This Row],[QTY]]="",NOTA[[#This Row],[HARGA SATUAN]]="",),"",NOTA[[#This Row],[QTY]]*NOTA[[#This Row],[HARGA SATUAN]])</f>
        <v/>
      </c>
      <c r="AF597" s="34" t="str">
        <f ca="1">IF(NOTA[ID_H]="","",INDEX(NOTA[TANGGAL],MATCH(,INDIRECT(ADDRESS(ROW(NOTA[TANGGAL]),COLUMN(NOTA[TANGGAL]))&amp;":"&amp;ADDRESS(ROW(),COLUMN(NOTA[TANGGAL]))),-1)))</f>
        <v/>
      </c>
      <c r="AG597" s="30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 t="str">
        <f ca="1">IF(NOTA[[#This Row],[TGL.NOTA]]="",IF(NOTA[[#This Row],[SUPPLIER_H]]="","",AI596),MONTH(NOTA[[#This Row],[TGL.NOTA]]))</f>
        <v/>
      </c>
      <c r="AJ597" s="16"/>
    </row>
    <row r="598" spans="1:36" ht="20.100000000000001" customHeight="1" x14ac:dyDescent="0.25">
      <c r="A598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9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98" s="53" t="e">
        <f ca="1">IF(NOTA[[#This Row],[ID_P]]="","",MATCH(NOTA[[#This Row],[ID_P]],[1]!B_MSK[N_ID],0))</f>
        <v>#REF!</v>
      </c>
      <c r="D598" s="53">
        <f ca="1">IF(NOTA[[#This Row],[NAMA BARANG]]="","",INDEX(NOTA[ID],MATCH(,INDIRECT(ADDRESS(ROW(NOTA[ID]),COLUMN(NOTA[ID]))&amp;":"&amp;ADDRESS(ROW(),COLUMN(NOTA[ID]))),-1)))</f>
        <v>130</v>
      </c>
      <c r="E598" s="60">
        <v>44866</v>
      </c>
      <c r="F598" s="31" t="s">
        <v>733</v>
      </c>
      <c r="G598" s="31" t="s">
        <v>87</v>
      </c>
      <c r="H598" s="33" t="s">
        <v>734</v>
      </c>
      <c r="I598" s="54"/>
      <c r="J598" s="56">
        <v>44861</v>
      </c>
      <c r="K598" s="54"/>
      <c r="L598" s="31" t="s">
        <v>735</v>
      </c>
      <c r="M598" s="57">
        <v>1</v>
      </c>
      <c r="N598" s="54">
        <v>240</v>
      </c>
      <c r="O598" s="31" t="s">
        <v>88</v>
      </c>
      <c r="P598" s="52">
        <v>12000</v>
      </c>
      <c r="Q598" s="162"/>
      <c r="R598" s="35" t="s">
        <v>92</v>
      </c>
      <c r="S598" s="59"/>
      <c r="T598" s="59"/>
      <c r="U598" s="58"/>
      <c r="V598" s="87"/>
      <c r="W598" s="58">
        <f>IF(NOTA[[#This Row],[HARGA/ CTN]]="",NOTA[[#This Row],[JUMLAH_H]],NOTA[[#This Row],[HARGA/ CTN]]*NOTA[[#This Row],[C]])</f>
        <v>2880000</v>
      </c>
      <c r="X598" s="58">
        <f>IF(NOTA[[#This Row],[JUMLAH]]="","",NOTA[[#This Row],[JUMLAH]]*NOTA[[#This Row],[DISC 1]])</f>
        <v>0</v>
      </c>
      <c r="Y598" s="58">
        <f>IF(NOTA[[#This Row],[JUMLAH]]="","",(NOTA[[#This Row],[JUMLAH]]-NOTA[[#This Row],[DISC 1-]])*NOTA[[#This Row],[DISC 2]])</f>
        <v>0</v>
      </c>
      <c r="Z598" s="58">
        <f>IF(NOTA[[#This Row],[JUMLAH]]="","",NOTA[[#This Row],[DISC 1-]]+NOTA[[#This Row],[DISC 2-]])</f>
        <v>0</v>
      </c>
      <c r="AA598" s="58">
        <f>IF(NOTA[[#This Row],[JUMLAH]]="","",NOTA[[#This Row],[JUMLAH]]-NOTA[[#This Row],[DISC]])</f>
        <v>2880000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98" s="58">
        <f>IF(OR(NOTA[[#This Row],[QTY]]="",NOTA[[#This Row],[HARGA SATUAN]]="",),"",NOTA[[#This Row],[QTY]]*NOTA[[#This Row],[HARGA SATUAN]])</f>
        <v>2880000</v>
      </c>
      <c r="AF598" s="56">
        <f ca="1">IF(NOTA[ID_H]="","",INDEX(NOTA[TANGGAL],MATCH(,INDIRECT(ADDRESS(ROW(NOTA[TANGGAL]),COLUMN(NOTA[TANGGAL]))&amp;":"&amp;ADDRESS(ROW(),COLUMN(NOTA[TANGGAL]))),-1)))</f>
        <v>44866</v>
      </c>
      <c r="AG598" s="52" t="str">
        <f ca="1">IF(NOTA[[#This Row],[NAMA BARANG]]="","",INDEX(NOTA[SUPPLIER],MATCH(,INDIRECT(ADDRESS(ROW(NOTA[ID]),COLUMN(NOTA[ID]))&amp;":"&amp;ADDRESS(ROW(),COLUMN(NOTA[ID]))),-1)))</f>
        <v>DUTA BAHAGIA</v>
      </c>
      <c r="AH598" s="16">
        <f ca="1">IF(NOTA[[#This Row],[ID]]="","",COUNTIF(NOTA[ID_H],NOTA[[#This Row],[ID_H]]))</f>
        <v>1</v>
      </c>
      <c r="AI598" s="16">
        <f>IF(NOTA[[#This Row],[TGL.NOTA]]="",IF(NOTA[[#This Row],[SUPPLIER_H]]="","",AI597),MONTH(NOTA[[#This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54"/>
      <c r="G599" s="54"/>
      <c r="H599" s="55"/>
      <c r="I599" s="54"/>
      <c r="J599" s="56"/>
      <c r="K599" s="54"/>
      <c r="L599" s="31"/>
      <c r="M599" s="57"/>
      <c r="N599" s="54"/>
      <c r="O599" s="31"/>
      <c r="P599" s="52"/>
      <c r="Q599" s="162"/>
      <c r="R599" s="35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131</v>
      </c>
      <c r="E600" s="60"/>
      <c r="F600" s="31" t="s">
        <v>736</v>
      </c>
      <c r="G600" s="31" t="s">
        <v>87</v>
      </c>
      <c r="H600" s="33" t="s">
        <v>737</v>
      </c>
      <c r="I600" s="54"/>
      <c r="J600" s="56">
        <v>44859</v>
      </c>
      <c r="K600" s="54"/>
      <c r="L600" s="31" t="s">
        <v>738</v>
      </c>
      <c r="M600" s="57">
        <v>1</v>
      </c>
      <c r="N600" s="54">
        <v>96</v>
      </c>
      <c r="O600" s="31" t="s">
        <v>88</v>
      </c>
      <c r="P600" s="52">
        <v>8400</v>
      </c>
      <c r="Q600" s="162"/>
      <c r="R600" s="35" t="s">
        <v>410</v>
      </c>
      <c r="S600" s="59"/>
      <c r="T600" s="59"/>
      <c r="U600" s="58"/>
      <c r="V600" s="87"/>
      <c r="W600" s="58">
        <f>IF(NOTA[[#This Row],[HARGA/ CTN]]="",NOTA[[#This Row],[JUMLAH_H]],NOTA[[#This Row],[HARGA/ CTN]]*NOTA[[#This Row],[C]])</f>
        <v>806400</v>
      </c>
      <c r="X600" s="58">
        <f>IF(NOTA[[#This Row],[JUMLAH]]="","",NOTA[[#This Row],[JUMLAH]]*NOTA[[#This Row],[DISC 1]])</f>
        <v>0</v>
      </c>
      <c r="Y600" s="58">
        <f>IF(NOTA[[#This Row],[JUMLAH]]="","",(NOTA[[#This Row],[JUMLAH]]-NOTA[[#This Row],[DISC 1-]])*NOTA[[#This Row],[DISC 2]])</f>
        <v>0</v>
      </c>
      <c r="Z600" s="58">
        <f>IF(NOTA[[#This Row],[JUMLAH]]="","",NOTA[[#This Row],[DISC 1-]]+NOTA[[#This Row],[DISC 2-]])</f>
        <v>0</v>
      </c>
      <c r="AA600" s="58">
        <f>IF(NOTA[[#This Row],[JUMLAH]]="","",NOTA[[#This Row],[JUMLAH]]-NOTA[[#This Row],[DISC]])</f>
        <v>806400</v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600" s="58">
        <f>IF(OR(NOTA[[#This Row],[QTY]]="",NOTA[[#This Row],[HARGA SATUAN]]="",),"",NOTA[[#This Row],[QTY]]*NOTA[[#This Row],[HARGA SATUAN]])</f>
        <v>806400</v>
      </c>
      <c r="AF600" s="56">
        <f ca="1">IF(NOTA[ID_H]="","",INDEX(NOTA[TANGGAL],MATCH(,INDIRECT(ADDRESS(ROW(NOTA[TANGGAL]),COLUMN(NOTA[TANGGAL]))&amp;":"&amp;ADDRESS(ROW(),COLUMN(NOTA[TANGGAL]))),-1)))</f>
        <v>44866</v>
      </c>
      <c r="AG600" s="52" t="str">
        <f ca="1">IF(NOTA[[#This Row],[NAMA BARANG]]="","",INDEX(NOTA[SUPPLIER],MATCH(,INDIRECT(ADDRESS(ROW(NOTA[ID]),COLUMN(NOTA[ID]))&amp;":"&amp;ADDRESS(ROW(),COLUMN(NOTA[ID]))),-1)))</f>
        <v>GM TDS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s="114" customFormat="1" ht="20.100000000000001" customHeight="1" x14ac:dyDescent="0.25">
      <c r="A601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105" t="str">
        <f>IF(NOTA[[#This Row],[ID_P]]="","",MATCH(NOTA[[#This Row],[ID_P]],[1]!B_MSK[N_ID],0))</f>
        <v/>
      </c>
      <c r="D601" s="105">
        <f ca="1">IF(NOTA[[#This Row],[NAMA BARANG]]="","",INDEX(NOTA[ID],MATCH(,INDIRECT(ADDRESS(ROW(NOTA[ID]),COLUMN(NOTA[ID]))&amp;":"&amp;ADDRESS(ROW(),COLUMN(NOTA[ID]))),-1)))</f>
        <v>131</v>
      </c>
      <c r="E601" s="106"/>
      <c r="F601" s="66"/>
      <c r="G601" s="66"/>
      <c r="H601" s="107"/>
      <c r="I601" s="108"/>
      <c r="J601" s="109"/>
      <c r="K601" s="108"/>
      <c r="L601" s="66" t="s">
        <v>739</v>
      </c>
      <c r="M601" s="110">
        <v>1</v>
      </c>
      <c r="N601" s="108">
        <v>48</v>
      </c>
      <c r="O601" s="66" t="s">
        <v>88</v>
      </c>
      <c r="P601" s="104">
        <v>25300</v>
      </c>
      <c r="Q601" s="163"/>
      <c r="R601" s="115" t="s">
        <v>740</v>
      </c>
      <c r="S601" s="111"/>
      <c r="T601" s="111"/>
      <c r="U601" s="112"/>
      <c r="V601" s="113"/>
      <c r="W601" s="112">
        <f>IF(NOTA[[#This Row],[HARGA/ CTN]]="",NOTA[[#This Row],[JUMLAH_H]],NOTA[[#This Row],[HARGA/ CTN]]*NOTA[[#This Row],[C]])</f>
        <v>1214400</v>
      </c>
      <c r="X601" s="112">
        <f>IF(NOTA[[#This Row],[JUMLAH]]="","",NOTA[[#This Row],[JUMLAH]]*NOTA[[#This Row],[DISC 1]])</f>
        <v>0</v>
      </c>
      <c r="Y601" s="112">
        <f>IF(NOTA[[#This Row],[JUMLAH]]="","",(NOTA[[#This Row],[JUMLAH]]-NOTA[[#This Row],[DISC 1-]])*NOTA[[#This Row],[DISC 2]])</f>
        <v>0</v>
      </c>
      <c r="Z601" s="112">
        <f>IF(NOTA[[#This Row],[JUMLAH]]="","",NOTA[[#This Row],[DISC 1-]]+NOTA[[#This Row],[DISC 2-]])</f>
        <v>0</v>
      </c>
      <c r="AA601" s="112">
        <f>IF(NOTA[[#This Row],[JUMLAH]]="","",NOTA[[#This Row],[JUMLAH]]-NOTA[[#This Row],[DISC]])</f>
        <v>1214400</v>
      </c>
      <c r="AB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601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601" s="112">
        <f>IF(OR(NOTA[[#This Row],[QTY]]="",NOTA[[#This Row],[HARGA SATUAN]]="",),"",NOTA[[#This Row],[QTY]]*NOTA[[#This Row],[HARGA SATUAN]])</f>
        <v>1214400</v>
      </c>
      <c r="AF601" s="109">
        <f ca="1">IF(NOTA[ID_H]="","",INDEX(NOTA[TANGGAL],MATCH(,INDIRECT(ADDRESS(ROW(NOTA[TANGGAL]),COLUMN(NOTA[TANGGAL]))&amp;":"&amp;ADDRESS(ROW(),COLUMN(NOTA[TANGGAL]))),-1)))</f>
        <v>44866</v>
      </c>
      <c r="AG601" s="104" t="str">
        <f ca="1">IF(NOTA[[#This Row],[NAMA BARANG]]="","",INDEX(NOTA[SUPPLIER],MATCH(,INDIRECT(ADDRESS(ROW(NOTA[ID]),COLUMN(NOTA[ID]))&amp;":"&amp;ADDRESS(ROW(),COLUMN(NOTA[ID]))),-1)))</f>
        <v>GM TDS</v>
      </c>
      <c r="AH601" s="114" t="str">
        <f ca="1">IF(NOTA[[#This Row],[ID]]="","",COUNTIF(NOTA[ID_H],NOTA[[#This Row],[ID_H]]))</f>
        <v/>
      </c>
      <c r="AI601" s="114">
        <f ca="1">IF(NOTA[[#This Row],[TGL.NOTA]]="",IF(NOTA[[#This Row],[SUPPLIER_H]]="","",AI600),MONTH(NOTA[[#This Row],[TGL.NOTA]]))</f>
        <v>10</v>
      </c>
    </row>
    <row r="602" spans="1:36" s="114" customFormat="1" ht="20.100000000000001" customHeight="1" x14ac:dyDescent="0.25">
      <c r="A60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105" t="str">
        <f>IF(NOTA[[#This Row],[ID_P]]="","",MATCH(NOTA[[#This Row],[ID_P]],[1]!B_MSK[N_ID],0))</f>
        <v/>
      </c>
      <c r="D602" s="105" t="str">
        <f ca="1">IF(NOTA[[#This Row],[NAMA BARANG]]="","",INDEX(NOTA[ID],MATCH(,INDIRECT(ADDRESS(ROW(NOTA[ID]),COLUMN(NOTA[ID]))&amp;":"&amp;ADDRESS(ROW(),COLUMN(NOTA[ID]))),-1)))</f>
        <v/>
      </c>
      <c r="E602" s="106"/>
      <c r="F602" s="66"/>
      <c r="G602" s="66"/>
      <c r="H602" s="107"/>
      <c r="I602" s="108"/>
      <c r="J602" s="109"/>
      <c r="K602" s="108"/>
      <c r="L602" s="66"/>
      <c r="M602" s="110"/>
      <c r="N602" s="108"/>
      <c r="O602" s="66"/>
      <c r="P602" s="104"/>
      <c r="Q602" s="163"/>
      <c r="R602" s="115"/>
      <c r="S602" s="111"/>
      <c r="T602" s="111"/>
      <c r="U602" s="112"/>
      <c r="V602" s="113"/>
      <c r="W602" s="112" t="str">
        <f>IF(NOTA[[#This Row],[HARGA/ CTN]]="",NOTA[[#This Row],[JUMLAH_H]],NOTA[[#This Row],[HARGA/ CTN]]*NOTA[[#This Row],[C]])</f>
        <v/>
      </c>
      <c r="X602" s="112" t="str">
        <f>IF(NOTA[[#This Row],[JUMLAH]]="","",NOTA[[#This Row],[JUMLAH]]*NOTA[[#This Row],[DISC 1]])</f>
        <v/>
      </c>
      <c r="Y602" s="112" t="str">
        <f>IF(NOTA[[#This Row],[JUMLAH]]="","",(NOTA[[#This Row],[JUMLAH]]-NOTA[[#This Row],[DISC 1-]])*NOTA[[#This Row],[DISC 2]])</f>
        <v/>
      </c>
      <c r="Z602" s="112" t="str">
        <f>IF(NOTA[[#This Row],[JUMLAH]]="","",NOTA[[#This Row],[DISC 1-]]+NOTA[[#This Row],[DISC 2-]])</f>
        <v/>
      </c>
      <c r="AA602" s="112" t="str">
        <f>IF(NOTA[[#This Row],[JUMLAH]]="","",NOTA[[#This Row],[JUMLAH]]-NOTA[[#This Row],[DISC]])</f>
        <v/>
      </c>
      <c r="AB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112" t="str">
        <f>IF(OR(NOTA[[#This Row],[QTY]]="",NOTA[[#This Row],[HARGA SATUAN]]="",),"",NOTA[[#This Row],[QTY]]*NOTA[[#This Row],[HARGA SATUAN]])</f>
        <v/>
      </c>
      <c r="AF602" s="109" t="str">
        <f ca="1">IF(NOTA[ID_H]="","",INDEX(NOTA[TANGGAL],MATCH(,INDIRECT(ADDRESS(ROW(NOTA[TANGGAL]),COLUMN(NOTA[TANGGAL]))&amp;":"&amp;ADDRESS(ROW(),COLUMN(NOTA[TANGGAL]))),-1)))</f>
        <v/>
      </c>
      <c r="AG602" s="104" t="str">
        <f ca="1">IF(NOTA[[#This Row],[NAMA BARANG]]="","",INDEX(NOTA[SUPPLIER],MATCH(,INDIRECT(ADDRESS(ROW(NOTA[ID]),COLUMN(NOTA[ID]))&amp;":"&amp;ADDRESS(ROW(),COLUMN(NOTA[ID]))),-1)))</f>
        <v/>
      </c>
      <c r="AH602" s="114" t="str">
        <f ca="1">IF(NOTA[[#This Row],[ID]]="","",COUNTIF(NOTA[ID_H],NOTA[[#This Row],[ID_H]]))</f>
        <v/>
      </c>
      <c r="AI602" s="114" t="str">
        <f ca="1">IF(NOTA[[#This Row],[TGL.NOTA]]="",IF(NOTA[[#This Row],[SUPPLIER_H]]="","",AI601),MONTH(NOTA[[#This Row],[TGL.NOTA]]))</f>
        <v/>
      </c>
    </row>
    <row r="603" spans="1:36" s="114" customFormat="1" ht="20.100000000000001" customHeight="1" x14ac:dyDescent="0.25">
      <c r="A603" s="104">
        <f ca="1">IF(INDIRECT(ADDRESS(ROW()-1,COLUMN(NOTA[[#Headers],[ID]])))="ID",1,IF(NOTA[[#This Row],[FAKTUR]]="","",COUNT(INDIRECT(ADDRESS(ROW(NOTA[ID]),COLUMN(NOTA[ID]))&amp;":"&amp;ADDRESS(ROW()-1,COLUMN(NOTA[ID]))))+1))</f>
        <v>132</v>
      </c>
      <c r="B603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603" s="105" t="e">
        <f ca="1">IF(NOTA[[#This Row],[ID_P]]="","",MATCH(NOTA[[#This Row],[ID_P]],[1]!B_MSK[N_ID],0))</f>
        <v>#REF!</v>
      </c>
      <c r="D603" s="105">
        <f ca="1">IF(NOTA[[#This Row],[NAMA BARANG]]="","",INDEX(NOTA[ID],MATCH(,INDIRECT(ADDRESS(ROW(NOTA[ID]),COLUMN(NOTA[ID]))&amp;":"&amp;ADDRESS(ROW(),COLUMN(NOTA[ID]))),-1)))</f>
        <v>132</v>
      </c>
      <c r="E603" s="106">
        <v>44867</v>
      </c>
      <c r="F603" s="66" t="s">
        <v>25</v>
      </c>
      <c r="G603" s="66" t="s">
        <v>24</v>
      </c>
      <c r="H603" s="107" t="s">
        <v>741</v>
      </c>
      <c r="I603" s="108"/>
      <c r="J603" s="109">
        <v>44863</v>
      </c>
      <c r="K603" s="108"/>
      <c r="L603" s="66" t="s">
        <v>742</v>
      </c>
      <c r="M603" s="110">
        <v>1</v>
      </c>
      <c r="N603" s="108">
        <v>720</v>
      </c>
      <c r="O603" s="66" t="s">
        <v>88</v>
      </c>
      <c r="P603" s="104">
        <v>3700</v>
      </c>
      <c r="Q603" s="163"/>
      <c r="R603" s="115" t="s">
        <v>743</v>
      </c>
      <c r="S603" s="111">
        <v>0.125</v>
      </c>
      <c r="T603" s="111">
        <v>0.05</v>
      </c>
      <c r="U603" s="112"/>
      <c r="V603" s="113"/>
      <c r="W603" s="112">
        <f>IF(NOTA[[#This Row],[HARGA/ CTN]]="",NOTA[[#This Row],[JUMLAH_H]],NOTA[[#This Row],[HARGA/ CTN]]*NOTA[[#This Row],[C]])</f>
        <v>2664000</v>
      </c>
      <c r="X603" s="112">
        <f>IF(NOTA[[#This Row],[JUMLAH]]="","",NOTA[[#This Row],[JUMLAH]]*NOTA[[#This Row],[DISC 1]])</f>
        <v>333000</v>
      </c>
      <c r="Y603" s="112">
        <f>IF(NOTA[[#This Row],[JUMLAH]]="","",(NOTA[[#This Row],[JUMLAH]]-NOTA[[#This Row],[DISC 1-]])*NOTA[[#This Row],[DISC 2]])</f>
        <v>116550</v>
      </c>
      <c r="Z603" s="112">
        <f>IF(NOTA[[#This Row],[JUMLAH]]="","",NOTA[[#This Row],[DISC 1-]]+NOTA[[#This Row],[DISC 2-]])</f>
        <v>449550</v>
      </c>
      <c r="AA603" s="112">
        <f>IF(NOTA[[#This Row],[JUMLAH]]="","",NOTA[[#This Row],[JUMLAH]]-NOTA[[#This Row],[DISC]])</f>
        <v>2214450</v>
      </c>
      <c r="AB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03" s="112">
        <f>IF(OR(NOTA[[#This Row],[QTY]]="",NOTA[[#This Row],[HARGA SATUAN]]="",),"",NOTA[[#This Row],[QTY]]*NOTA[[#This Row],[HARGA SATUAN]])</f>
        <v>2664000</v>
      </c>
      <c r="AF603" s="109">
        <f ca="1">IF(NOTA[ID_H]="","",INDEX(NOTA[TANGGAL],MATCH(,INDIRECT(ADDRESS(ROW(NOTA[TANGGAL]),COLUMN(NOTA[TANGGAL]))&amp;":"&amp;ADDRESS(ROW(),COLUMN(NOTA[TANGGAL]))),-1)))</f>
        <v>44867</v>
      </c>
      <c r="AG603" s="104" t="str">
        <f ca="1">IF(NOTA[[#This Row],[NAMA BARANG]]="","",INDEX(NOTA[SUPPLIER],MATCH(,INDIRECT(ADDRESS(ROW(NOTA[ID]),COLUMN(NOTA[ID]))&amp;":"&amp;ADDRESS(ROW(),COLUMN(NOTA[ID]))),-1)))</f>
        <v>ATALI MAKMUR</v>
      </c>
      <c r="AH603" s="114">
        <f ca="1">IF(NOTA[[#This Row],[ID]]="","",COUNTIF(NOTA[ID_H],NOTA[[#This Row],[ID_H]]))</f>
        <v>5</v>
      </c>
      <c r="AI603" s="114">
        <f>IF(NOTA[[#This Row],[TGL.NOTA]]="",IF(NOTA[[#This Row],[SUPPLIER_H]]="","",AI602),MONTH(NOTA[[#This Row],[TGL.NOTA]]))</f>
        <v>10</v>
      </c>
    </row>
    <row r="604" spans="1:36" s="114" customFormat="1" ht="20.100000000000001" customHeight="1" x14ac:dyDescent="0.25">
      <c r="A604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105" t="str">
        <f>IF(NOTA[[#This Row],[ID_P]]="","",MATCH(NOTA[[#This Row],[ID_P]],[1]!B_MSK[N_ID],0))</f>
        <v/>
      </c>
      <c r="D604" s="105">
        <f ca="1">IF(NOTA[[#This Row],[NAMA BARANG]]="","",INDEX(NOTA[ID],MATCH(,INDIRECT(ADDRESS(ROW(NOTA[ID]),COLUMN(NOTA[ID]))&amp;":"&amp;ADDRESS(ROW(),COLUMN(NOTA[ID]))),-1)))</f>
        <v>132</v>
      </c>
      <c r="E604" s="106"/>
      <c r="F604" s="66"/>
      <c r="G604" s="66"/>
      <c r="H604" s="107"/>
      <c r="I604" s="108"/>
      <c r="J604" s="109"/>
      <c r="K604" s="108"/>
      <c r="L604" s="66" t="s">
        <v>744</v>
      </c>
      <c r="M604" s="110"/>
      <c r="N604" s="108">
        <v>180</v>
      </c>
      <c r="O604" s="66" t="s">
        <v>88</v>
      </c>
      <c r="P604" s="104">
        <v>3700</v>
      </c>
      <c r="Q604" s="163"/>
      <c r="R604" s="115" t="s">
        <v>743</v>
      </c>
      <c r="S604" s="111">
        <v>0.125</v>
      </c>
      <c r="T604" s="111">
        <v>0.05</v>
      </c>
      <c r="U604" s="112"/>
      <c r="V604" s="113"/>
      <c r="W604" s="112">
        <f>IF(NOTA[[#This Row],[HARGA/ CTN]]="",NOTA[[#This Row],[JUMLAH_H]],NOTA[[#This Row],[HARGA/ CTN]]*NOTA[[#This Row],[C]])</f>
        <v>666000</v>
      </c>
      <c r="X604" s="112">
        <f>IF(NOTA[[#This Row],[JUMLAH]]="","",NOTA[[#This Row],[JUMLAH]]*NOTA[[#This Row],[DISC 1]])</f>
        <v>83250</v>
      </c>
      <c r="Y604" s="112">
        <f>IF(NOTA[[#This Row],[JUMLAH]]="","",(NOTA[[#This Row],[JUMLAH]]-NOTA[[#This Row],[DISC 1-]])*NOTA[[#This Row],[DISC 2]])</f>
        <v>29137.5</v>
      </c>
      <c r="Z604" s="112">
        <f>IF(NOTA[[#This Row],[JUMLAH]]="","",NOTA[[#This Row],[DISC 1-]]+NOTA[[#This Row],[DISC 2-]])</f>
        <v>112387.5</v>
      </c>
      <c r="AA604" s="112">
        <f>IF(NOTA[[#This Row],[JUMLAH]]="","",NOTA[[#This Row],[JUMLAH]]-NOTA[[#This Row],[DISC]])</f>
        <v>553612.5</v>
      </c>
      <c r="AB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4" s="112">
        <f>IF(OR(NOTA[[#This Row],[QTY]]="",NOTA[[#This Row],[HARGA SATUAN]]="",),"",NOTA[[#This Row],[QTY]]*NOTA[[#This Row],[HARGA SATUAN]])</f>
        <v>666000</v>
      </c>
      <c r="AF604" s="109">
        <f ca="1">IF(NOTA[ID_H]="","",INDEX(NOTA[TANGGAL],MATCH(,INDIRECT(ADDRESS(ROW(NOTA[TANGGAL]),COLUMN(NOTA[TANGGAL]))&amp;":"&amp;ADDRESS(ROW(),COLUMN(NOTA[TANGGAL]))),-1)))</f>
        <v>44867</v>
      </c>
      <c r="AG604" s="104" t="str">
        <f ca="1">IF(NOTA[[#This Row],[NAMA BARANG]]="","",INDEX(NOTA[SUPPLIER],MATCH(,INDIRECT(ADDRESS(ROW(NOTA[ID]),COLUMN(NOTA[ID]))&amp;":"&amp;ADDRESS(ROW(),COLUMN(NOTA[ID]))),-1)))</f>
        <v>ATALI MAKMUR</v>
      </c>
      <c r="AH604" s="114" t="str">
        <f ca="1">IF(NOTA[[#This Row],[ID]]="","",COUNTIF(NOTA[ID_H],NOTA[[#This Row],[ID_H]]))</f>
        <v/>
      </c>
      <c r="AI604" s="114">
        <f ca="1">IF(NOTA[[#This Row],[TGL.NOTA]]="",IF(NOTA[[#This Row],[SUPPLIER_H]]="","",AI603),MONTH(NOTA[[#This Row],[TGL.NOTA]]))</f>
        <v>10</v>
      </c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>
        <f ca="1">IF(NOTA[[#This Row],[NAMA BARANG]]="","",INDEX(NOTA[ID],MATCH(,INDIRECT(ADDRESS(ROW(NOTA[ID]),COLUMN(NOTA[ID]))&amp;":"&amp;ADDRESS(ROW(),COLUMN(NOTA[ID]))),-1)))</f>
        <v>132</v>
      </c>
      <c r="E605" s="60"/>
      <c r="F605" s="54"/>
      <c r="G605" s="54"/>
      <c r="H605" s="55"/>
      <c r="I605" s="54"/>
      <c r="J605" s="56"/>
      <c r="K605" s="54"/>
      <c r="L605" s="66" t="s">
        <v>745</v>
      </c>
      <c r="M605" s="57"/>
      <c r="N605" s="54">
        <v>180</v>
      </c>
      <c r="O605" s="31" t="s">
        <v>88</v>
      </c>
      <c r="P605" s="52">
        <v>3700</v>
      </c>
      <c r="Q605" s="162"/>
      <c r="R605" s="35" t="s">
        <v>743</v>
      </c>
      <c r="S605" s="59">
        <v>0.125</v>
      </c>
      <c r="T605" s="59">
        <v>0.05</v>
      </c>
      <c r="U605" s="58"/>
      <c r="V605" s="87"/>
      <c r="W605" s="58">
        <f>IF(NOTA[[#This Row],[HARGA/ CTN]]="",NOTA[[#This Row],[JUMLAH_H]],NOTA[[#This Row],[HARGA/ CTN]]*NOTA[[#This Row],[C]])</f>
        <v>666000</v>
      </c>
      <c r="X605" s="58">
        <f>IF(NOTA[[#This Row],[JUMLAH]]="","",NOTA[[#This Row],[JUMLAH]]*NOTA[[#This Row],[DISC 1]])</f>
        <v>83250</v>
      </c>
      <c r="Y605" s="58">
        <f>IF(NOTA[[#This Row],[JUMLAH]]="","",(NOTA[[#This Row],[JUMLAH]]-NOTA[[#This Row],[DISC 1-]])*NOTA[[#This Row],[DISC 2]])</f>
        <v>29137.5</v>
      </c>
      <c r="Z605" s="58">
        <f>IF(NOTA[[#This Row],[JUMLAH]]="","",NOTA[[#This Row],[DISC 1-]]+NOTA[[#This Row],[DISC 2-]])</f>
        <v>112387.5</v>
      </c>
      <c r="AA605" s="58">
        <f>IF(NOTA[[#This Row],[JUMLAH]]="","",NOTA[[#This Row],[JUMLAH]]-NOTA[[#This Row],[DISC]])</f>
        <v>553612.5</v>
      </c>
      <c r="AB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5" s="58">
        <f>IF(OR(NOTA[[#This Row],[QTY]]="",NOTA[[#This Row],[HARGA SATUAN]]="",),"",NOTA[[#This Row],[QTY]]*NOTA[[#This Row],[HARGA SATUAN]])</f>
        <v>666000</v>
      </c>
      <c r="AF605" s="56">
        <f ca="1">IF(NOTA[ID_H]="","",INDEX(NOTA[TANGGAL],MATCH(,INDIRECT(ADDRESS(ROW(NOTA[TANGGAL]),COLUMN(NOTA[TANGGAL]))&amp;":"&amp;ADDRESS(ROW(),COLUMN(NOTA[TANGGAL]))),-1)))</f>
        <v>44867</v>
      </c>
      <c r="AG605" s="52" t="str">
        <f ca="1">IF(NOTA[[#This Row],[NAMA BARANG]]="","",INDEX(NOTA[SUPPLIER],MATCH(,INDIRECT(ADDRESS(ROW(NOTA[ID]),COLUMN(NOTA[ID]))&amp;":"&amp;ADDRESS(ROW(),COLUMN(NOTA[ID]))),-1)))</f>
        <v>ATALI MAKMUR</v>
      </c>
      <c r="AH605" s="16" t="str">
        <f ca="1">IF(NOTA[[#This Row],[ID]]="","",COUNTIF(NOTA[ID_H],NOTA[[#This Row],[ID_H]]))</f>
        <v/>
      </c>
      <c r="AI605" s="16">
        <f ca="1">IF(NOTA[[#This Row],[TGL.NOTA]]="",IF(NOTA[[#This Row],[SUPPLIER_H]]="","",AI604),MONTH(NOTA[[#This Row],[TGL.NOTA]]))</f>
        <v>10</v>
      </c>
      <c r="AJ605" s="16"/>
    </row>
    <row r="606" spans="1:36" ht="20.100000000000001" customHeight="1" x14ac:dyDescent="0.25">
      <c r="A6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3" t="str">
        <f>IF(NOTA[[#This Row],[ID_P]]="","",MATCH(NOTA[[#This Row],[ID_P]],[1]!B_MSK[N_ID],0))</f>
        <v/>
      </c>
      <c r="D606" s="53">
        <f ca="1">IF(NOTA[[#This Row],[NAMA BARANG]]="","",INDEX(NOTA[ID],MATCH(,INDIRECT(ADDRESS(ROW(NOTA[ID]),COLUMN(NOTA[ID]))&amp;":"&amp;ADDRESS(ROW(),COLUMN(NOTA[ID]))),-1)))</f>
        <v>132</v>
      </c>
      <c r="E606" s="60"/>
      <c r="F606" s="31"/>
      <c r="G606" s="31"/>
      <c r="H606" s="33"/>
      <c r="I606" s="54"/>
      <c r="J606" s="56"/>
      <c r="K606" s="54"/>
      <c r="L606" s="66" t="s">
        <v>746</v>
      </c>
      <c r="M606" s="57"/>
      <c r="N606" s="54">
        <v>180</v>
      </c>
      <c r="O606" s="31" t="s">
        <v>88</v>
      </c>
      <c r="P606" s="52">
        <v>3700</v>
      </c>
      <c r="Q606" s="162"/>
      <c r="R606" s="35" t="s">
        <v>743</v>
      </c>
      <c r="S606" s="59">
        <v>0.125</v>
      </c>
      <c r="T606" s="59">
        <v>0.05</v>
      </c>
      <c r="U606" s="58"/>
      <c r="V606" s="87"/>
      <c r="W606" s="58">
        <f>IF(NOTA[[#This Row],[HARGA/ CTN]]="",NOTA[[#This Row],[JUMLAH_H]],NOTA[[#This Row],[HARGA/ CTN]]*NOTA[[#This Row],[C]])</f>
        <v>666000</v>
      </c>
      <c r="X606" s="58">
        <f>IF(NOTA[[#This Row],[JUMLAH]]="","",NOTA[[#This Row],[JUMLAH]]*NOTA[[#This Row],[DISC 1]])</f>
        <v>83250</v>
      </c>
      <c r="Y606" s="58">
        <f>IF(NOTA[[#This Row],[JUMLAH]]="","",(NOTA[[#This Row],[JUMLAH]]-NOTA[[#This Row],[DISC 1-]])*NOTA[[#This Row],[DISC 2]])</f>
        <v>29137.5</v>
      </c>
      <c r="Z606" s="58">
        <f>IF(NOTA[[#This Row],[JUMLAH]]="","",NOTA[[#This Row],[DISC 1-]]+NOTA[[#This Row],[DISC 2-]])</f>
        <v>112387.5</v>
      </c>
      <c r="AA606" s="58">
        <f>IF(NOTA[[#This Row],[JUMLAH]]="","",NOTA[[#This Row],[JUMLAH]]-NOTA[[#This Row],[DISC]])</f>
        <v>553612.5</v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6" s="58">
        <f>IF(OR(NOTA[[#This Row],[QTY]]="",NOTA[[#This Row],[HARGA SATUAN]]="",),"",NOTA[[#This Row],[QTY]]*NOTA[[#This Row],[HARGA SATUAN]])</f>
        <v>666000</v>
      </c>
      <c r="AF606" s="56">
        <f ca="1">IF(NOTA[ID_H]="","",INDEX(NOTA[TANGGAL],MATCH(,INDIRECT(ADDRESS(ROW(NOTA[TANGGAL]),COLUMN(NOTA[TANGGAL]))&amp;":"&amp;ADDRESS(ROW(),COLUMN(NOTA[TANGGAL]))),-1)))</f>
        <v>44867</v>
      </c>
      <c r="AG606" s="52" t="str">
        <f ca="1">IF(NOTA[[#This Row],[NAMA BARANG]]="","",INDEX(NOTA[SUPPLIER],MATCH(,INDIRECT(ADDRESS(ROW(NOTA[ID]),COLUMN(NOTA[ID]))&amp;":"&amp;ADDRESS(ROW(),COLUMN(NOTA[ID]))),-1)))</f>
        <v>ATALI MAKMUR</v>
      </c>
      <c r="AH606" s="16" t="str">
        <f ca="1">IF(NOTA[[#This Row],[ID]]="","",COUNTIF(NOTA[ID_H],NOTA[[#This Row],[ID_H]]))</f>
        <v/>
      </c>
      <c r="AI606" s="16">
        <f ca="1">IF(NOTA[[#This Row],[TGL.NOTA]]="",IF(NOTA[[#This Row],[SUPPLIER_H]]="","",AI605),MONTH(NOTA[[#This Row],[TGL.NOTA]]))</f>
        <v>10</v>
      </c>
      <c r="AJ606" s="16"/>
    </row>
    <row r="607" spans="1:36" ht="20.100000000000001" customHeight="1" x14ac:dyDescent="0.25">
      <c r="A6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3" t="str">
        <f>IF(NOTA[[#This Row],[ID_P]]="","",MATCH(NOTA[[#This Row],[ID_P]],[1]!B_MSK[N_ID],0))</f>
        <v/>
      </c>
      <c r="D607" s="53">
        <f ca="1">IF(NOTA[[#This Row],[NAMA BARANG]]="","",INDEX(NOTA[ID],MATCH(,INDIRECT(ADDRESS(ROW(NOTA[ID]),COLUMN(NOTA[ID]))&amp;":"&amp;ADDRESS(ROW(),COLUMN(NOTA[ID]))),-1)))</f>
        <v>132</v>
      </c>
      <c r="E607" s="60"/>
      <c r="F607" s="54"/>
      <c r="G607" s="54"/>
      <c r="H607" s="55"/>
      <c r="I607" s="54"/>
      <c r="J607" s="56"/>
      <c r="K607" s="54"/>
      <c r="L607" s="66" t="s">
        <v>747</v>
      </c>
      <c r="M607" s="57"/>
      <c r="N607" s="54">
        <v>180</v>
      </c>
      <c r="O607" s="31" t="s">
        <v>88</v>
      </c>
      <c r="P607" s="52">
        <v>3700</v>
      </c>
      <c r="Q607" s="162"/>
      <c r="R607" s="35" t="s">
        <v>743</v>
      </c>
      <c r="S607" s="59">
        <v>0.125</v>
      </c>
      <c r="T607" s="59">
        <v>0.05</v>
      </c>
      <c r="U607" s="58"/>
      <c r="V607" s="87"/>
      <c r="W607" s="58">
        <f>IF(NOTA[[#This Row],[HARGA/ CTN]]="",NOTA[[#This Row],[JUMLAH_H]],NOTA[[#This Row],[HARGA/ CTN]]*NOTA[[#This Row],[C]])</f>
        <v>666000</v>
      </c>
      <c r="X607" s="58">
        <f>IF(NOTA[[#This Row],[JUMLAH]]="","",NOTA[[#This Row],[JUMLAH]]*NOTA[[#This Row],[DISC 1]])</f>
        <v>83250</v>
      </c>
      <c r="Y607" s="58">
        <f>IF(NOTA[[#This Row],[JUMLAH]]="","",(NOTA[[#This Row],[JUMLAH]]-NOTA[[#This Row],[DISC 1-]])*NOTA[[#This Row],[DISC 2]])</f>
        <v>29137.5</v>
      </c>
      <c r="Z607" s="58">
        <f>IF(NOTA[[#This Row],[JUMLAH]]="","",NOTA[[#This Row],[DISC 1-]]+NOTA[[#This Row],[DISC 2-]])</f>
        <v>112387.5</v>
      </c>
      <c r="AA607" s="58">
        <f>IF(NOTA[[#This Row],[JUMLAH]]="","",NOTA[[#This Row],[JUMLAH]]-NOTA[[#This Row],[DISC]])</f>
        <v>553612.5</v>
      </c>
      <c r="AB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607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7" s="58">
        <f>IF(OR(NOTA[[#This Row],[QTY]]="",NOTA[[#This Row],[HARGA SATUAN]]="",),"",NOTA[[#This Row],[QTY]]*NOTA[[#This Row],[HARGA SATUAN]])</f>
        <v>666000</v>
      </c>
      <c r="AF607" s="56">
        <f ca="1">IF(NOTA[ID_H]="","",INDEX(NOTA[TANGGAL],MATCH(,INDIRECT(ADDRESS(ROW(NOTA[TANGGAL]),COLUMN(NOTA[TANGGAL]))&amp;":"&amp;ADDRESS(ROW(),COLUMN(NOTA[TANGGAL]))),-1)))</f>
        <v>44867</v>
      </c>
      <c r="AG607" s="52" t="str">
        <f ca="1">IF(NOTA[[#This Row],[NAMA BARANG]]="","",INDEX(NOTA[SUPPLIER],MATCH(,INDIRECT(ADDRESS(ROW(NOTA[ID]),COLUMN(NOTA[ID]))&amp;":"&amp;ADDRESS(ROW(),COLUMN(NOTA[ID]))),-1)))</f>
        <v>ATALI MAKMUR</v>
      </c>
      <c r="AH607" s="16" t="str">
        <f ca="1">IF(NOTA[[#This Row],[ID]]="","",COUNTIF(NOTA[ID_H],NOTA[[#This Row],[ID_H]]))</f>
        <v/>
      </c>
      <c r="AI607" s="16">
        <f ca="1">IF(NOTA[[#This Row],[TGL.NOTA]]="",IF(NOTA[[#This Row],[SUPPLIER_H]]="","",AI606),MONTH(NOTA[[#This Row],[TGL.NOTA]]))</f>
        <v>10</v>
      </c>
      <c r="AJ607" s="16"/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 t="str">
        <f ca="1">IF(NOTA[[#This Row],[NAMA BARANG]]="","",INDEX(NOTA[ID],MATCH(,INDIRECT(ADDRESS(ROW(NOTA[ID]),COLUMN(NOTA[ID]))&amp;":"&amp;ADDRESS(ROW(),COLUMN(NOTA[ID]))),-1)))</f>
        <v/>
      </c>
      <c r="E608" s="60"/>
      <c r="F608" s="54"/>
      <c r="G608" s="54"/>
      <c r="H608" s="55"/>
      <c r="I608" s="54"/>
      <c r="J608" s="56"/>
      <c r="K608" s="54"/>
      <c r="L608" s="31"/>
      <c r="M608" s="57"/>
      <c r="N608" s="54"/>
      <c r="O608" s="31"/>
      <c r="P608" s="52"/>
      <c r="Q608" s="162"/>
      <c r="R608" s="57"/>
      <c r="S608" s="59"/>
      <c r="T608" s="59"/>
      <c r="U608" s="58"/>
      <c r="V608" s="87"/>
      <c r="W608" s="58" t="str">
        <f>IF(NOTA[[#This Row],[HARGA/ CTN]]="",NOTA[[#This Row],[JUMLAH_H]],NOTA[[#This Row],[HARGA/ CTN]]*NOTA[[#This Row],[C]])</f>
        <v/>
      </c>
      <c r="X608" s="58" t="str">
        <f>IF(NOTA[[#This Row],[JUMLAH]]="","",NOTA[[#This Row],[JUMLAH]]*NOTA[[#This Row],[DISC 1]])</f>
        <v/>
      </c>
      <c r="Y608" s="58" t="str">
        <f>IF(NOTA[[#This Row],[JUMLAH]]="","",(NOTA[[#This Row],[JUMLAH]]-NOTA[[#This Row],[DISC 1-]])*NOTA[[#This Row],[DISC 2]])</f>
        <v/>
      </c>
      <c r="Z608" s="58" t="str">
        <f>IF(NOTA[[#This Row],[JUMLAH]]="","",NOTA[[#This Row],[DISC 1-]]+NOTA[[#This Row],[DISC 2-]])</f>
        <v/>
      </c>
      <c r="AA608" s="58" t="str">
        <f>IF(NOTA[[#This Row],[JUMLAH]]="","",NOTA[[#This Row],[JUMLAH]]-NOTA[[#This Row],[DISC]])</f>
        <v/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8" t="str">
        <f>IF(OR(NOTA[[#This Row],[QTY]]="",NOTA[[#This Row],[HARGA SATUAN]]="",),"",NOTA[[#This Row],[QTY]]*NOTA[[#This Row],[HARGA SATUAN]])</f>
        <v/>
      </c>
      <c r="AF608" s="56" t="str">
        <f ca="1">IF(NOTA[ID_H]="","",INDEX(NOTA[TANGGAL],MATCH(,INDIRECT(ADDRESS(ROW(NOTA[TANGGAL]),COLUMN(NOTA[TANGGAL]))&amp;":"&amp;ADDRESS(ROW(),COLUMN(NOTA[TANGGAL]))),-1)))</f>
        <v/>
      </c>
      <c r="AG608" s="52" t="str">
        <f ca="1">IF(NOTA[[#This Row],[NAMA BARANG]]="","",INDEX(NOTA[SUPPLIER],MATCH(,INDIRECT(ADDRESS(ROW(NOTA[ID]),COLUMN(NOTA[ID]))&amp;":"&amp;ADDRESS(ROW(),COLUMN(NOTA[ID]))),-1)))</f>
        <v/>
      </c>
      <c r="AH608" s="16" t="str">
        <f ca="1">IF(NOTA[[#This Row],[ID]]="","",COUNTIF(NOTA[ID_H],NOTA[[#This Row],[ID_H]]))</f>
        <v/>
      </c>
      <c r="AI608" s="16" t="str">
        <f ca="1">IF(NOTA[[#This Row],[TGL.NOTA]]="",IF(NOTA[[#This Row],[SUPPLIER_H]]="","",AI607),MONTH(NOTA[[#This Row],[TGL.NOTA]]))</f>
        <v/>
      </c>
      <c r="AJ608" s="16"/>
    </row>
    <row r="609" spans="1:36" ht="20.100000000000001" customHeight="1" x14ac:dyDescent="0.25">
      <c r="A609" s="5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0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609" s="53" t="e">
        <f ca="1">IF(NOTA[[#This Row],[ID_P]]="","",MATCH(NOTA[[#This Row],[ID_P]],[1]!B_MSK[N_ID],0))</f>
        <v>#REF!</v>
      </c>
      <c r="D609" s="53">
        <f ca="1">IF(NOTA[[#This Row],[NAMA BARANG]]="","",INDEX(NOTA[ID],MATCH(,INDIRECT(ADDRESS(ROW(NOTA[ID]),COLUMN(NOTA[ID]))&amp;":"&amp;ADDRESS(ROW(),COLUMN(NOTA[ID]))),-1)))</f>
        <v>133</v>
      </c>
      <c r="E609" s="60"/>
      <c r="F609" s="31" t="s">
        <v>52</v>
      </c>
      <c r="G609" s="31" t="s">
        <v>24</v>
      </c>
      <c r="H609" s="33" t="s">
        <v>748</v>
      </c>
      <c r="I609" s="54"/>
      <c r="J609" s="34">
        <v>44863</v>
      </c>
      <c r="K609" s="54"/>
      <c r="L609" s="31" t="s">
        <v>779</v>
      </c>
      <c r="M609" s="57">
        <v>1</v>
      </c>
      <c r="N609" s="54">
        <v>80</v>
      </c>
      <c r="O609" s="31" t="s">
        <v>88</v>
      </c>
      <c r="P609" s="52">
        <v>50000</v>
      </c>
      <c r="Q609" s="162"/>
      <c r="R609" s="35" t="s">
        <v>463</v>
      </c>
      <c r="S609" s="59">
        <v>0.125</v>
      </c>
      <c r="T609" s="59">
        <v>0.05</v>
      </c>
      <c r="U609" s="58"/>
      <c r="V609" s="87"/>
      <c r="W609" s="58">
        <f>IF(NOTA[[#This Row],[HARGA/ CTN]]="",NOTA[[#This Row],[JUMLAH_H]],NOTA[[#This Row],[HARGA/ CTN]]*NOTA[[#This Row],[C]])</f>
        <v>4000000</v>
      </c>
      <c r="X609" s="58">
        <f>IF(NOTA[[#This Row],[JUMLAH]]="","",NOTA[[#This Row],[JUMLAH]]*NOTA[[#This Row],[DISC 1]])</f>
        <v>500000</v>
      </c>
      <c r="Y609" s="58">
        <f>IF(NOTA[[#This Row],[JUMLAH]]="","",(NOTA[[#This Row],[JUMLAH]]-NOTA[[#This Row],[DISC 1-]])*NOTA[[#This Row],[DISC 2]])</f>
        <v>175000</v>
      </c>
      <c r="Z609" s="58">
        <f>IF(NOTA[[#This Row],[JUMLAH]]="","",NOTA[[#This Row],[DISC 1-]]+NOTA[[#This Row],[DISC 2-]])</f>
        <v>675000</v>
      </c>
      <c r="AA609" s="58">
        <f>IF(NOTA[[#This Row],[JUMLAH]]="","",NOTA[[#This Row],[JUMLAH]]-NOTA[[#This Row],[DISC]])</f>
        <v>3325000</v>
      </c>
      <c r="AB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609" s="58">
        <f>IF(OR(NOTA[[#This Row],[QTY]]="",NOTA[[#This Row],[HARGA SATUAN]]="",),"",NOTA[[#This Row],[QTY]]*NOTA[[#This Row],[HARGA SATUAN]])</f>
        <v>4000000</v>
      </c>
      <c r="AF609" s="56">
        <f ca="1">IF(NOTA[ID_H]="","",INDEX(NOTA[TANGGAL],MATCH(,INDIRECT(ADDRESS(ROW(NOTA[TANGGAL]),COLUMN(NOTA[TANGGAL]))&amp;":"&amp;ADDRESS(ROW(),COLUMN(NOTA[TANGGAL]))),-1)))</f>
        <v>44867</v>
      </c>
      <c r="AG609" s="52" t="str">
        <f ca="1">IF(NOTA[[#This Row],[NAMA BARANG]]="","",INDEX(NOTA[SUPPLIER],MATCH(,INDIRECT(ADDRESS(ROW(NOTA[ID]),COLUMN(NOTA[ID]))&amp;":"&amp;ADDRESS(ROW(),COLUMN(NOTA[ID]))),-1)))</f>
        <v>KALINDO SUKSES</v>
      </c>
      <c r="AH609" s="16">
        <f ca="1">IF(NOTA[[#This Row],[ID]]="","",COUNTIF(NOTA[ID_H],NOTA[[#This Row],[ID_H]]))</f>
        <v>2</v>
      </c>
      <c r="AI609" s="16">
        <f>IF(NOTA[[#This Row],[TGL.NOTA]]="",IF(NOTA[[#This Row],[SUPPLIER_H]]="","",AI608),MONTH(NOTA[[#This Row],[TGL.NOTA]]))</f>
        <v>10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>
        <f ca="1">IF(NOTA[[#This Row],[NAMA BARANG]]="","",INDEX(NOTA[ID],MATCH(,INDIRECT(ADDRESS(ROW(NOTA[ID]),COLUMN(NOTA[ID]))&amp;":"&amp;ADDRESS(ROW(),COLUMN(NOTA[ID]))),-1)))</f>
        <v>133</v>
      </c>
      <c r="E610" s="60"/>
      <c r="F610" s="54"/>
      <c r="G610" s="54"/>
      <c r="H610" s="55"/>
      <c r="I610" s="54"/>
      <c r="J610" s="56"/>
      <c r="K610" s="54"/>
      <c r="L610" s="31" t="s">
        <v>749</v>
      </c>
      <c r="M610" s="57">
        <v>1</v>
      </c>
      <c r="N610" s="54">
        <v>80</v>
      </c>
      <c r="O610" s="31" t="s">
        <v>88</v>
      </c>
      <c r="P610" s="52">
        <v>67000</v>
      </c>
      <c r="Q610" s="162"/>
      <c r="R610" s="35" t="s">
        <v>463</v>
      </c>
      <c r="S610" s="59">
        <v>0.125</v>
      </c>
      <c r="T610" s="59">
        <v>0.05</v>
      </c>
      <c r="U610" s="58"/>
      <c r="V610" s="87"/>
      <c r="W610" s="58">
        <f>IF(NOTA[[#This Row],[HARGA/ CTN]]="",NOTA[[#This Row],[JUMLAH_H]],NOTA[[#This Row],[HARGA/ CTN]]*NOTA[[#This Row],[C]])</f>
        <v>5360000</v>
      </c>
      <c r="X610" s="58">
        <f>IF(NOTA[[#This Row],[JUMLAH]]="","",NOTA[[#This Row],[JUMLAH]]*NOTA[[#This Row],[DISC 1]])</f>
        <v>670000</v>
      </c>
      <c r="Y610" s="58">
        <f>IF(NOTA[[#This Row],[JUMLAH]]="","",(NOTA[[#This Row],[JUMLAH]]-NOTA[[#This Row],[DISC 1-]])*NOTA[[#This Row],[DISC 2]])</f>
        <v>234500</v>
      </c>
      <c r="Z610" s="58">
        <f>IF(NOTA[[#This Row],[JUMLAH]]="","",NOTA[[#This Row],[DISC 1-]]+NOTA[[#This Row],[DISC 2-]])</f>
        <v>904500</v>
      </c>
      <c r="AA610" s="58">
        <f>IF(NOTA[[#This Row],[JUMLAH]]="","",NOTA[[#This Row],[JUMLAH]]-NOTA[[#This Row],[DISC]])</f>
        <v>4455500</v>
      </c>
      <c r="AB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610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610" s="58">
        <f>IF(OR(NOTA[[#This Row],[QTY]]="",NOTA[[#This Row],[HARGA SATUAN]]="",),"",NOTA[[#This Row],[QTY]]*NOTA[[#This Row],[HARGA SATUAN]])</f>
        <v>5360000</v>
      </c>
      <c r="AF610" s="56">
        <f ca="1">IF(NOTA[ID_H]="","",INDEX(NOTA[TANGGAL],MATCH(,INDIRECT(ADDRESS(ROW(NOTA[TANGGAL]),COLUMN(NOTA[TANGGAL]))&amp;":"&amp;ADDRESS(ROW(),COLUMN(NOTA[TANGGAL]))),-1)))</f>
        <v>44867</v>
      </c>
      <c r="AG610" s="52" t="str">
        <f ca="1">IF(NOTA[[#This Row],[NAMA BARANG]]="","",INDEX(NOTA[SUPPLIER],MATCH(,INDIRECT(ADDRESS(ROW(NOTA[ID]),COLUMN(NOTA[ID]))&amp;":"&amp;ADDRESS(ROW(),COLUMN(NOTA[ID]))),-1)))</f>
        <v>KALINDO SUKSES</v>
      </c>
      <c r="AH610" s="16" t="str">
        <f ca="1">IF(NOTA[[#This Row],[ID]]="","",COUNTIF(NOTA[ID_H],NOTA[[#This Row],[ID_H]]))</f>
        <v/>
      </c>
      <c r="AI610" s="16">
        <f ca="1">IF(NOTA[[#This Row],[TGL.NOTA]]="",IF(NOTA[[#This Row],[SUPPLIER_H]]="","",AI609),MONTH(NOTA[[#This Row],[TGL.NOTA]]))</f>
        <v>10</v>
      </c>
      <c r="AJ610" s="16"/>
    </row>
    <row r="611" spans="1:36" ht="20.100000000000001" customHeight="1" x14ac:dyDescent="0.25">
      <c r="A6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3" t="str">
        <f>IF(NOTA[[#This Row],[ID_P]]="","",MATCH(NOTA[[#This Row],[ID_P]],[1]!B_MSK[N_ID],0))</f>
        <v/>
      </c>
      <c r="D611" s="53" t="str">
        <f ca="1">IF(NOTA[[#This Row],[NAMA BARANG]]="","",INDEX(NOTA[ID],MATCH(,INDIRECT(ADDRESS(ROW(NOTA[ID]),COLUMN(NOTA[ID]))&amp;":"&amp;ADDRESS(ROW(),COLUMN(NOTA[ID]))),-1)))</f>
        <v/>
      </c>
      <c r="E611" s="60"/>
      <c r="F611" s="54"/>
      <c r="G611" s="54"/>
      <c r="H611" s="55"/>
      <c r="I611" s="54"/>
      <c r="J611" s="56"/>
      <c r="K611" s="54"/>
      <c r="L611" s="31"/>
      <c r="M611" s="57"/>
      <c r="N611" s="54"/>
      <c r="O611" s="31"/>
      <c r="P611" s="52"/>
      <c r="Q611" s="162"/>
      <c r="R611" s="57"/>
      <c r="S611" s="59"/>
      <c r="T611" s="59"/>
      <c r="U611" s="58"/>
      <c r="V611" s="87"/>
      <c r="W611" s="58" t="str">
        <f>IF(NOTA[[#This Row],[HARGA/ CTN]]="",NOTA[[#This Row],[JUMLAH_H]],NOTA[[#This Row],[HARGA/ CTN]]*NOTA[[#This Row],[C]])</f>
        <v/>
      </c>
      <c r="X611" s="58" t="str">
        <f>IF(NOTA[[#This Row],[JUMLAH]]="","",NOTA[[#This Row],[JUMLAH]]*NOTA[[#This Row],[DISC 1]])</f>
        <v/>
      </c>
      <c r="Y611" s="58" t="str">
        <f>IF(NOTA[[#This Row],[JUMLAH]]="","",(NOTA[[#This Row],[JUMLAH]]-NOTA[[#This Row],[DISC 1-]])*NOTA[[#This Row],[DISC 2]])</f>
        <v/>
      </c>
      <c r="Z611" s="58" t="str">
        <f>IF(NOTA[[#This Row],[JUMLAH]]="","",NOTA[[#This Row],[DISC 1-]]+NOTA[[#This Row],[DISC 2-]])</f>
        <v/>
      </c>
      <c r="AA611" s="58" t="str">
        <f>IF(NOTA[[#This Row],[JUMLAH]]="","",NOTA[[#This Row],[JUMLAH]]-NOTA[[#This Row],[DISC]])</f>
        <v/>
      </c>
      <c r="AB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8" t="str">
        <f>IF(OR(NOTA[[#This Row],[QTY]]="",NOTA[[#This Row],[HARGA SATUAN]]="",),"",NOTA[[#This Row],[QTY]]*NOTA[[#This Row],[HARGA SATUAN]])</f>
        <v/>
      </c>
      <c r="AF611" s="56" t="str">
        <f ca="1">IF(NOTA[ID_H]="","",INDEX(NOTA[TANGGAL],MATCH(,INDIRECT(ADDRESS(ROW(NOTA[TANGGAL]),COLUMN(NOTA[TANGGAL]))&amp;":"&amp;ADDRESS(ROW(),COLUMN(NOTA[TANGGAL]))),-1)))</f>
        <v/>
      </c>
      <c r="AG611" s="52" t="str">
        <f ca="1">IF(NOTA[[#This Row],[NAMA BARANG]]="","",INDEX(NOTA[SUPPLIER],MATCH(,INDIRECT(ADDRESS(ROW(NOTA[ID]),COLUMN(NOTA[ID]))&amp;":"&amp;ADDRESS(ROW(),COLUMN(NOTA[ID]))),-1)))</f>
        <v/>
      </c>
      <c r="AH611" s="16" t="str">
        <f ca="1">IF(NOTA[[#This Row],[ID]]="","",COUNTIF(NOTA[ID_H],NOTA[[#This Row],[ID_H]]))</f>
        <v/>
      </c>
      <c r="AI611" s="16" t="str">
        <f ca="1">IF(NOTA[[#This Row],[TGL.NOTA]]="",IF(NOTA[[#This Row],[SUPPLIER_H]]="","",AI610),MONTH(NOTA[[#This Row],[TGL.NOTA]]))</f>
        <v/>
      </c>
      <c r="AJ611" s="16"/>
    </row>
    <row r="612" spans="1:36" ht="20.100000000000001" customHeight="1" x14ac:dyDescent="0.25">
      <c r="A612" s="52">
        <f ca="1">IF(INDIRECT(ADDRESS(ROW()-1,COLUMN(NOTA[[#Headers],[ID]])))="ID",1,IF(NOTA[[#This Row],[FAKTUR]]="","",COUNT(INDIRECT(ADDRESS(ROW(NOTA[ID]),COLUMN(NOTA[ID]))&amp;":"&amp;ADDRESS(ROW()-1,COLUMN(NOTA[ID]))))+1))</f>
        <v>134</v>
      </c>
      <c r="B6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612" s="53" t="e">
        <f ca="1">IF(NOTA[[#This Row],[ID_P]]="","",MATCH(NOTA[[#This Row],[ID_P]],[1]!B_MSK[N_ID],0))</f>
        <v>#REF!</v>
      </c>
      <c r="D612" s="53">
        <f ca="1">IF(NOTA[[#This Row],[NAMA BARANG]]="","",INDEX(NOTA[ID],MATCH(,INDIRECT(ADDRESS(ROW(NOTA[ID]),COLUMN(NOTA[ID]))&amp;":"&amp;ADDRESS(ROW(),COLUMN(NOTA[ID]))),-1)))</f>
        <v>134</v>
      </c>
      <c r="E612" s="60"/>
      <c r="F612" s="31" t="s">
        <v>25</v>
      </c>
      <c r="G612" s="31" t="s">
        <v>24</v>
      </c>
      <c r="H612" s="33" t="s">
        <v>750</v>
      </c>
      <c r="I612" s="54"/>
      <c r="J612" s="56">
        <v>44865</v>
      </c>
      <c r="K612" s="54"/>
      <c r="L612" s="31" t="s">
        <v>706</v>
      </c>
      <c r="M612" s="57">
        <v>5</v>
      </c>
      <c r="N612" s="54">
        <v>720</v>
      </c>
      <c r="O612" s="31" t="s">
        <v>204</v>
      </c>
      <c r="P612" s="52">
        <v>10600</v>
      </c>
      <c r="Q612" s="162"/>
      <c r="R612" s="35" t="s">
        <v>284</v>
      </c>
      <c r="S612" s="59">
        <v>0.125</v>
      </c>
      <c r="T612" s="59">
        <v>0.05</v>
      </c>
      <c r="U612" s="58"/>
      <c r="V612" s="87"/>
      <c r="W612" s="58">
        <f>IF(NOTA[[#This Row],[HARGA/ CTN]]="",NOTA[[#This Row],[JUMLAH_H]],NOTA[[#This Row],[HARGA/ CTN]]*NOTA[[#This Row],[C]])</f>
        <v>7632000</v>
      </c>
      <c r="X612" s="58">
        <f>IF(NOTA[[#This Row],[JUMLAH]]="","",NOTA[[#This Row],[JUMLAH]]*NOTA[[#This Row],[DISC 1]])</f>
        <v>954000</v>
      </c>
      <c r="Y612" s="58">
        <f>IF(NOTA[[#This Row],[JUMLAH]]="","",(NOTA[[#This Row],[JUMLAH]]-NOTA[[#This Row],[DISC 1-]])*NOTA[[#This Row],[DISC 2]])</f>
        <v>333900</v>
      </c>
      <c r="Z612" s="58">
        <f>IF(NOTA[[#This Row],[JUMLAH]]="","",NOTA[[#This Row],[DISC 1-]]+NOTA[[#This Row],[DISC 2-]])</f>
        <v>1287900</v>
      </c>
      <c r="AA612" s="58">
        <f>IF(NOTA[[#This Row],[JUMLAH]]="","",NOTA[[#This Row],[JUMLAH]]-NOTA[[#This Row],[DISC]])</f>
        <v>6344100</v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2" s="58">
        <f>IF(OR(NOTA[[#This Row],[QTY]]="",NOTA[[#This Row],[HARGA SATUAN]]="",),"",NOTA[[#This Row],[QTY]]*NOTA[[#This Row],[HARGA SATUAN]])</f>
        <v>7632000</v>
      </c>
      <c r="AF612" s="56">
        <f ca="1">IF(NOTA[ID_H]="","",INDEX(NOTA[TANGGAL],MATCH(,INDIRECT(ADDRESS(ROW(NOTA[TANGGAL]),COLUMN(NOTA[TANGGAL]))&amp;":"&amp;ADDRESS(ROW(),COLUMN(NOTA[TANGGAL]))),-1)))</f>
        <v>44867</v>
      </c>
      <c r="AG612" s="52" t="str">
        <f ca="1">IF(NOTA[[#This Row],[NAMA BARANG]]="","",INDEX(NOTA[SUPPLIER],MATCH(,INDIRECT(ADDRESS(ROW(NOTA[ID]),COLUMN(NOTA[ID]))&amp;":"&amp;ADDRESS(ROW(),COLUMN(NOTA[ID]))),-1)))</f>
        <v>ATALI MAKMUR</v>
      </c>
      <c r="AH612" s="16">
        <f ca="1">IF(NOTA[[#This Row],[ID]]="","",COUNTIF(NOTA[ID_H],NOTA[[#This Row],[ID_H]]))</f>
        <v>2</v>
      </c>
      <c r="AI612" s="16">
        <f>IF(NOTA[[#This Row],[TGL.NOTA]]="",IF(NOTA[[#This Row],[SUPPLIER_H]]="","",AI611),MONTH(NOTA[[#This Row],[TGL.NOTA]]))</f>
        <v>10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134</v>
      </c>
      <c r="E613" s="60"/>
      <c r="F613" s="54"/>
      <c r="G613" s="54"/>
      <c r="H613" s="55"/>
      <c r="I613" s="54"/>
      <c r="J613" s="56"/>
      <c r="K613" s="54"/>
      <c r="L613" s="31" t="s">
        <v>473</v>
      </c>
      <c r="M613" s="57">
        <v>5</v>
      </c>
      <c r="N613" s="31">
        <v>360</v>
      </c>
      <c r="O613" s="31" t="s">
        <v>204</v>
      </c>
      <c r="P613" s="52">
        <v>21200</v>
      </c>
      <c r="Q613" s="162"/>
      <c r="R613" s="35" t="s">
        <v>450</v>
      </c>
      <c r="S613" s="59">
        <v>0.125</v>
      </c>
      <c r="T613" s="59">
        <v>0.05</v>
      </c>
      <c r="U613" s="58"/>
      <c r="V613" s="87"/>
      <c r="W613" s="58">
        <f>IF(NOTA[[#This Row],[HARGA/ CTN]]="",NOTA[[#This Row],[JUMLAH_H]],NOTA[[#This Row],[HARGA/ CTN]]*NOTA[[#This Row],[C]])</f>
        <v>7632000</v>
      </c>
      <c r="X613" s="58">
        <f>IF(NOTA[[#This Row],[JUMLAH]]="","",NOTA[[#This Row],[JUMLAH]]*NOTA[[#This Row],[DISC 1]])</f>
        <v>954000</v>
      </c>
      <c r="Y613" s="58">
        <f>IF(NOTA[[#This Row],[JUMLAH]]="","",(NOTA[[#This Row],[JUMLAH]]-NOTA[[#This Row],[DISC 1-]])*NOTA[[#This Row],[DISC 2]])</f>
        <v>333900</v>
      </c>
      <c r="Z613" s="58">
        <f>IF(NOTA[[#This Row],[JUMLAH]]="","",NOTA[[#This Row],[DISC 1-]]+NOTA[[#This Row],[DISC 2-]])</f>
        <v>1287900</v>
      </c>
      <c r="AA613" s="58">
        <f>IF(NOTA[[#This Row],[JUMLAH]]="","",NOTA[[#This Row],[JUMLAH]]-NOTA[[#This Row],[DISC]])</f>
        <v>6344100</v>
      </c>
      <c r="AB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3" s="58">
        <f>IF(OR(NOTA[[#This Row],[QTY]]="",NOTA[[#This Row],[HARGA SATUAN]]="",),"",NOTA[[#This Row],[QTY]]*NOTA[[#This Row],[HARGA SATUAN]])</f>
        <v>7632000</v>
      </c>
      <c r="AF613" s="56">
        <f ca="1">IF(NOTA[ID_H]="","",INDEX(NOTA[TANGGAL],MATCH(,INDIRECT(ADDRESS(ROW(NOTA[TANGGAL]),COLUMN(NOTA[TANGGAL]))&amp;":"&amp;ADDRESS(ROW(),COLUMN(NOTA[TANGGAL]))),-1)))</f>
        <v>44867</v>
      </c>
      <c r="AG613" s="52" t="str">
        <f ca="1">IF(NOTA[[#This Row],[NAMA BARANG]]="","",INDEX(NOTA[SUPPLIER],MATCH(,INDIRECT(ADDRESS(ROW(NOTA[ID]),COLUMN(NOTA[ID]))&amp;":"&amp;ADDRESS(ROW(),COLUMN(NOTA[ID]))),-1)))</f>
        <v>ATALI MAKMUR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10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 t="str">
        <f ca="1">IF(NOTA[[#This Row],[NAMA BARANG]]="","",INDEX(NOTA[ID],MATCH(,INDIRECT(ADDRESS(ROW(NOTA[ID]),COLUMN(NOTA[ID]))&amp;":"&amp;ADDRESS(ROW(),COLUMN(NOTA[ID]))),-1)))</f>
        <v/>
      </c>
      <c r="E614" s="60"/>
      <c r="F614" s="54"/>
      <c r="G614" s="54"/>
      <c r="H614" s="55"/>
      <c r="I614" s="54"/>
      <c r="J614" s="56"/>
      <c r="K614" s="54"/>
      <c r="L614" s="31"/>
      <c r="M614" s="57"/>
      <c r="N614" s="54"/>
      <c r="O614" s="31"/>
      <c r="P614" s="52"/>
      <c r="Q614" s="162"/>
      <c r="R614" s="57"/>
      <c r="S614" s="59"/>
      <c r="T614" s="59"/>
      <c r="U614" s="58"/>
      <c r="V614" s="87"/>
      <c r="W614" s="58" t="str">
        <f>IF(NOTA[[#This Row],[HARGA/ CTN]]="",NOTA[[#This Row],[JUMLAH_H]],NOTA[[#This Row],[HARGA/ CTN]]*NOTA[[#This Row],[C]])</f>
        <v/>
      </c>
      <c r="X614" s="58" t="str">
        <f>IF(NOTA[[#This Row],[JUMLAH]]="","",NOTA[[#This Row],[JUMLAH]]*NOTA[[#This Row],[DISC 1]])</f>
        <v/>
      </c>
      <c r="Y614" s="58" t="str">
        <f>IF(NOTA[[#This Row],[JUMLAH]]="","",(NOTA[[#This Row],[JUMLAH]]-NOTA[[#This Row],[DISC 1-]])*NOTA[[#This Row],[DISC 2]])</f>
        <v/>
      </c>
      <c r="Z614" s="58" t="str">
        <f>IF(NOTA[[#This Row],[JUMLAH]]="","",NOTA[[#This Row],[DISC 1-]]+NOTA[[#This Row],[DISC 2-]])</f>
        <v/>
      </c>
      <c r="AA614" s="58" t="str">
        <f>IF(NOTA[[#This Row],[JUMLAH]]="","",NOTA[[#This Row],[JUMLAH]]-NOTA[[#This Row],[DISC]])</f>
        <v/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8" t="str">
        <f>IF(OR(NOTA[[#This Row],[QTY]]="",NOTA[[#This Row],[HARGA SATUAN]]="",),"",NOTA[[#This Row],[QTY]]*NOTA[[#This Row],[HARGA SATUAN]])</f>
        <v/>
      </c>
      <c r="AF614" s="56" t="str">
        <f ca="1">IF(NOTA[ID_H]="","",INDEX(NOTA[TANGGAL],MATCH(,INDIRECT(ADDRESS(ROW(NOTA[TANGGAL]),COLUMN(NOTA[TANGGAL]))&amp;":"&amp;ADDRESS(ROW(),COLUMN(NOTA[TANGGAL]))),-1)))</f>
        <v/>
      </c>
      <c r="AG614" s="52" t="str">
        <f ca="1">IF(NOTA[[#This Row],[NAMA BARANG]]="","",INDEX(NOTA[SUPPLIER],MATCH(,INDIRECT(ADDRESS(ROW(NOTA[ID]),COLUMN(NOTA[ID]))&amp;":"&amp;ADDRESS(ROW(),COLUMN(NOTA[ID]))),-1)))</f>
        <v/>
      </c>
      <c r="AH614" s="16" t="str">
        <f ca="1">IF(NOTA[[#This Row],[ID]]="","",COUNTIF(NOTA[ID_H],NOTA[[#This Row],[ID_H]]))</f>
        <v/>
      </c>
      <c r="AI614" s="16" t="str">
        <f ca="1">IF(NOTA[[#This Row],[TGL.NOTA]]="",IF(NOTA[[#This Row],[SUPPLIER_H]]="","",AI613),MONTH(NOTA[[#This Row],[TGL.NOTA]]))</f>
        <v/>
      </c>
      <c r="AJ614" s="16"/>
    </row>
    <row r="615" spans="1:36" ht="20.100000000000001" customHeight="1" x14ac:dyDescent="0.25">
      <c r="A615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615" s="53" t="e">
        <f ca="1">IF(NOTA[[#This Row],[ID_P]]="","",MATCH(NOTA[[#This Row],[ID_P]],[1]!B_MSK[N_ID],0))</f>
        <v>#REF!</v>
      </c>
      <c r="D615" s="53">
        <f ca="1">IF(NOTA[[#This Row],[NAMA BARANG]]="","",INDEX(NOTA[ID],MATCH(,INDIRECT(ADDRESS(ROW(NOTA[ID]),COLUMN(NOTA[ID]))&amp;":"&amp;ADDRESS(ROW(),COLUMN(NOTA[ID]))),-1)))</f>
        <v>135</v>
      </c>
      <c r="E615" s="60"/>
      <c r="F615" s="31" t="s">
        <v>751</v>
      </c>
      <c r="G615" s="31" t="s">
        <v>87</v>
      </c>
      <c r="H615" s="33" t="s">
        <v>752</v>
      </c>
      <c r="I615" s="31" t="s">
        <v>753</v>
      </c>
      <c r="J615" s="56">
        <v>44863</v>
      </c>
      <c r="K615" s="54"/>
      <c r="L615" s="31" t="s">
        <v>754</v>
      </c>
      <c r="M615" s="57">
        <v>50</v>
      </c>
      <c r="N615" s="54">
        <v>500</v>
      </c>
      <c r="O615" s="31" t="s">
        <v>88</v>
      </c>
      <c r="P615" s="52">
        <v>48000</v>
      </c>
      <c r="Q615" s="162"/>
      <c r="R615" s="35" t="s">
        <v>313</v>
      </c>
      <c r="S615" s="59"/>
      <c r="T615" s="59"/>
      <c r="U615" s="58"/>
      <c r="V615" s="87"/>
      <c r="W615" s="58">
        <f>IF(NOTA[[#This Row],[HARGA/ CTN]]="",NOTA[[#This Row],[JUMLAH_H]],NOTA[[#This Row],[HARGA/ CTN]]*NOTA[[#This Row],[C]])</f>
        <v>24000000</v>
      </c>
      <c r="X615" s="58">
        <f>IF(NOTA[[#This Row],[JUMLAH]]="","",NOTA[[#This Row],[JUMLAH]]*NOTA[[#This Row],[DISC 1]])</f>
        <v>0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0</v>
      </c>
      <c r="AA615" s="58">
        <f>IF(NOTA[[#This Row],[JUMLAH]]="","",NOTA[[#This Row],[JUMLAH]]-NOTA[[#This Row],[DISC]])</f>
        <v>24000000</v>
      </c>
      <c r="AB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615" s="58">
        <f>IF(OR(NOTA[[#This Row],[QTY]]="",NOTA[[#This Row],[HARGA SATUAN]]="",),"",NOTA[[#This Row],[QTY]]*NOTA[[#This Row],[HARGA SATUAN]])</f>
        <v>24000000</v>
      </c>
      <c r="AF615" s="56">
        <f ca="1">IF(NOTA[ID_H]="","",INDEX(NOTA[TANGGAL],MATCH(,INDIRECT(ADDRESS(ROW(NOTA[TANGGAL]),COLUMN(NOTA[TANGGAL]))&amp;":"&amp;ADDRESS(ROW(),COLUMN(NOTA[TANGGAL]))),-1)))</f>
        <v>44867</v>
      </c>
      <c r="AG615" s="52" t="str">
        <f ca="1">IF(NOTA[[#This Row],[NAMA BARANG]]="","",INDEX(NOTA[SUPPLIER],MATCH(,INDIRECT(ADDRESS(ROW(NOTA[ID]),COLUMN(NOTA[ID]))&amp;":"&amp;ADDRESS(ROW(),COLUMN(NOTA[ID]))),-1)))</f>
        <v>SAPUTRO OFFICE</v>
      </c>
      <c r="AH615" s="16">
        <f ca="1">IF(NOTA[[#This Row],[ID]]="","",COUNTIF(NOTA[ID_H],NOTA[[#This Row],[ID_H]]))</f>
        <v>1</v>
      </c>
      <c r="AI615" s="16">
        <f>IF(NOTA[[#This Row],[TGL.NOTA]]="",IF(NOTA[[#This Row],[SUPPLIER_H]]="","",#REF!),MONTH(NOTA[[#This Row],[TGL.NOTA]]))</f>
        <v>10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 t="str">
        <f ca="1">IF(NOTA[[#This Row],[NAMA BARANG]]="","",INDEX(NOTA[ID],MATCH(,INDIRECT(ADDRESS(ROW(NOTA[ID]),COLUMN(NOTA[ID]))&amp;":"&amp;ADDRESS(ROW(),COLUMN(NOTA[ID]))),-1)))</f>
        <v/>
      </c>
      <c r="E616" s="60"/>
      <c r="F616" s="54"/>
      <c r="G616" s="54"/>
      <c r="H616" s="55"/>
      <c r="I616" s="54"/>
      <c r="J616" s="56"/>
      <c r="K616" s="54"/>
      <c r="L616" s="54"/>
      <c r="M616" s="57"/>
      <c r="N616" s="54"/>
      <c r="O616" s="54"/>
      <c r="P616" s="52"/>
      <c r="Q616" s="162"/>
      <c r="R616" s="57"/>
      <c r="S616" s="59"/>
      <c r="T616" s="59"/>
      <c r="U616" s="58"/>
      <c r="V616" s="87"/>
      <c r="W616" s="58" t="str">
        <f>IF(NOTA[[#This Row],[HARGA/ CTN]]="",NOTA[[#This Row],[JUMLAH_H]],NOTA[[#This Row],[HARGA/ CTN]]*NOTA[[#This Row],[C]])</f>
        <v/>
      </c>
      <c r="X616" s="58" t="str">
        <f>IF(NOTA[[#This Row],[JUMLAH]]="","",NOTA[[#This Row],[JUMLAH]]*NOTA[[#This Row],[DISC 1]])</f>
        <v/>
      </c>
      <c r="Y616" s="58" t="str">
        <f>IF(NOTA[[#This Row],[JUMLAH]]="","",(NOTA[[#This Row],[JUMLAH]]-NOTA[[#This Row],[DISC 1-]])*NOTA[[#This Row],[DISC 2]])</f>
        <v/>
      </c>
      <c r="Z616" s="58" t="str">
        <f>IF(NOTA[[#This Row],[JUMLAH]]="","",NOTA[[#This Row],[DISC 1-]]+NOTA[[#This Row],[DISC 2-]])</f>
        <v/>
      </c>
      <c r="AA616" s="58" t="str">
        <f>IF(NOTA[[#This Row],[JUMLAH]]="","",NOTA[[#This Row],[JUMLAH]]-NOTA[[#This Row],[DISC]])</f>
        <v/>
      </c>
      <c r="AB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8" t="str">
        <f>IF(OR(NOTA[[#This Row],[QTY]]="",NOTA[[#This Row],[HARGA SATUAN]]="",),"",NOTA[[#This Row],[QTY]]*NOTA[[#This Row],[HARGA SATUAN]])</f>
        <v/>
      </c>
      <c r="AF616" s="56" t="str">
        <f ca="1">IF(NOTA[ID_H]="","",INDEX(NOTA[TANGGAL],MATCH(,INDIRECT(ADDRESS(ROW(NOTA[TANGGAL]),COLUMN(NOTA[TANGGAL]))&amp;":"&amp;ADDRESS(ROW(),COLUMN(NOTA[TANGGAL]))),-1)))</f>
        <v/>
      </c>
      <c r="AG616" s="52" t="str">
        <f ca="1">IF(NOTA[[#This Row],[NAMA BARANG]]="","",INDEX(NOTA[SUPPLIER],MATCH(,INDIRECT(ADDRESS(ROW(NOTA[ID]),COLUMN(NOTA[ID]))&amp;":"&amp;ADDRESS(ROW(),COLUMN(NOTA[ID]))),-1)))</f>
        <v/>
      </c>
      <c r="AH616" s="16" t="str">
        <f ca="1">IF(NOTA[[#This Row],[ID]]="","",COUNTIF(NOTA[ID_H],NOTA[[#This Row],[ID_H]]))</f>
        <v/>
      </c>
      <c r="AI616" s="16" t="str">
        <f ca="1">IF(NOTA[[#This Row],[TGL.NOTA]]="",IF(NOTA[[#This Row],[SUPPLIER_H]]="","",AI615),MONTH(NOTA[[#This Row],[TGL.NOTA]]))</f>
        <v/>
      </c>
      <c r="AJ616" s="16"/>
    </row>
    <row r="617" spans="1:36" ht="20.100000000000001" customHeight="1" x14ac:dyDescent="0.25">
      <c r="A617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1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617" s="53" t="e">
        <f ca="1">IF(NOTA[[#This Row],[ID_P]]="","",MATCH(NOTA[[#This Row],[ID_P]],[1]!B_MSK[N_ID],0))</f>
        <v>#REF!</v>
      </c>
      <c r="D617" s="53">
        <f ca="1">IF(NOTA[[#This Row],[NAMA BARANG]]="","",INDEX(NOTA[ID],MATCH(,INDIRECT(ADDRESS(ROW(NOTA[ID]),COLUMN(NOTA[ID]))&amp;":"&amp;ADDRESS(ROW(),COLUMN(NOTA[ID]))),-1)))</f>
        <v>136</v>
      </c>
      <c r="E617" s="60"/>
      <c r="F617" s="31" t="s">
        <v>555</v>
      </c>
      <c r="G617" s="31" t="s">
        <v>87</v>
      </c>
      <c r="H617" s="33"/>
      <c r="I617" s="31" t="s">
        <v>755</v>
      </c>
      <c r="J617" s="56">
        <v>44862</v>
      </c>
      <c r="K617" s="54"/>
      <c r="L617" s="31" t="s">
        <v>756</v>
      </c>
      <c r="M617" s="57">
        <v>20</v>
      </c>
      <c r="N617" s="54">
        <f>144*20</f>
        <v>2880</v>
      </c>
      <c r="O617" s="31" t="s">
        <v>88</v>
      </c>
      <c r="P617" s="52"/>
      <c r="Q617" s="162"/>
      <c r="R617" s="35" t="s">
        <v>558</v>
      </c>
      <c r="S617" s="59"/>
      <c r="T617" s="59"/>
      <c r="U617" s="58"/>
      <c r="V617" s="87" t="s">
        <v>237</v>
      </c>
      <c r="W617" s="58" t="str">
        <f>IF(NOTA[[#This Row],[HARGA/ CTN]]="",NOTA[[#This Row],[JUMLAH_H]],NOTA[[#This Row],[HARGA/ CTN]]*NOTA[[#This Row],[C]])</f>
        <v/>
      </c>
      <c r="X617" s="58" t="str">
        <f>IF(NOTA[[#This Row],[JUMLAH]]="","",NOTA[[#This Row],[JUMLAH]]*NOTA[[#This Row],[DISC 1]])</f>
        <v/>
      </c>
      <c r="Y617" s="58" t="str">
        <f>IF(NOTA[[#This Row],[JUMLAH]]="","",(NOTA[[#This Row],[JUMLAH]]-NOTA[[#This Row],[DISC 1-]])*NOTA[[#This Row],[DISC 2]])</f>
        <v/>
      </c>
      <c r="Z617" s="58" t="str">
        <f>IF(NOTA[[#This Row],[JUMLAH]]="","",NOTA[[#This Row],[DISC 1-]]+NOTA[[#This Row],[DISC 2-]])</f>
        <v/>
      </c>
      <c r="AA617" s="58" t="str">
        <f>IF(NOTA[[#This Row],[JUMLAH]]="","",NOTA[[#This Row],[JUMLAH]]-NOTA[[#This Row],[DISC]])</f>
        <v/>
      </c>
      <c r="AB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7" s="58" t="str">
        <f>IF(OR(NOTA[[#This Row],[QTY]]="",NOTA[[#This Row],[HARGA SATUAN]]="",),"",NOTA[[#This Row],[QTY]]*NOTA[[#This Row],[HARGA SATUAN]])</f>
        <v/>
      </c>
      <c r="AF617" s="56">
        <f ca="1">IF(NOTA[ID_H]="","",INDEX(NOTA[TANGGAL],MATCH(,INDIRECT(ADDRESS(ROW(NOTA[TANGGAL]),COLUMN(NOTA[TANGGAL]))&amp;":"&amp;ADDRESS(ROW(),COLUMN(NOTA[TANGGAL]))),-1)))</f>
        <v>44867</v>
      </c>
      <c r="AG617" s="52" t="str">
        <f ca="1">IF(NOTA[[#This Row],[NAMA BARANG]]="","",INDEX(NOTA[SUPPLIER],MATCH(,INDIRECT(ADDRESS(ROW(NOTA[ID]),COLUMN(NOTA[ID]))&amp;":"&amp;ADDRESS(ROW(),COLUMN(NOTA[ID]))),-1)))</f>
        <v>BINTANG JAYA</v>
      </c>
      <c r="AH617" s="16">
        <f ca="1">IF(NOTA[[#This Row],[ID]]="","",COUNTIF(NOTA[ID_H],NOTA[[#This Row],[ID_H]]))</f>
        <v>2</v>
      </c>
      <c r="AI617" s="16">
        <f>IF(NOTA[[#This Row],[TGL.NOTA]]="",IF(NOTA[[#This Row],[SUPPLIER_H]]="","",AI616),MONTH(NOTA[[#This Row],[TGL.NOTA]]))</f>
        <v>10</v>
      </c>
      <c r="AJ617" s="16"/>
    </row>
    <row r="618" spans="1:36" ht="20.100000000000001" customHeight="1" x14ac:dyDescent="0.25">
      <c r="A6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3" t="str">
        <f>IF(NOTA[[#This Row],[ID_P]]="","",MATCH(NOTA[[#This Row],[ID_P]],[1]!B_MSK[N_ID],0))</f>
        <v/>
      </c>
      <c r="D618" s="53">
        <f ca="1">IF(NOTA[[#This Row],[NAMA BARANG]]="","",INDEX(NOTA[ID],MATCH(,INDIRECT(ADDRESS(ROW(NOTA[ID]),COLUMN(NOTA[ID]))&amp;":"&amp;ADDRESS(ROW(),COLUMN(NOTA[ID]))),-1)))</f>
        <v>136</v>
      </c>
      <c r="E618" s="60"/>
      <c r="F618" s="54"/>
      <c r="G618" s="54"/>
      <c r="H618" s="55"/>
      <c r="I618" s="54"/>
      <c r="J618" s="56"/>
      <c r="K618" s="54"/>
      <c r="L618" s="31" t="s">
        <v>641</v>
      </c>
      <c r="M618" s="57">
        <v>3</v>
      </c>
      <c r="N618" s="31">
        <f>144*3</f>
        <v>432</v>
      </c>
      <c r="O618" s="31" t="s">
        <v>88</v>
      </c>
      <c r="P618" s="52"/>
      <c r="Q618" s="162"/>
      <c r="R618" s="35" t="s">
        <v>558</v>
      </c>
      <c r="S618" s="59"/>
      <c r="T618" s="59"/>
      <c r="U618" s="58"/>
      <c r="V618" s="87" t="s">
        <v>237</v>
      </c>
      <c r="W618" s="58" t="str">
        <f>IF(NOTA[[#This Row],[HARGA/ CTN]]="",NOTA[[#This Row],[JUMLAH_H]],NOTA[[#This Row],[HARGA/ CTN]]*NOTA[[#This Row],[C]])</f>
        <v/>
      </c>
      <c r="X618" s="58" t="str">
        <f>IF(NOTA[[#This Row],[JUMLAH]]="","",NOTA[[#This Row],[JUMLAH]]*NOTA[[#This Row],[DISC 1]])</f>
        <v/>
      </c>
      <c r="Y618" s="58" t="str">
        <f>IF(NOTA[[#This Row],[JUMLAH]]="","",(NOTA[[#This Row],[JUMLAH]]-NOTA[[#This Row],[DISC 1-]])*NOTA[[#This Row],[DISC 2]])</f>
        <v/>
      </c>
      <c r="Z618" s="58" t="str">
        <f>IF(NOTA[[#This Row],[JUMLAH]]="","",NOTA[[#This Row],[DISC 1-]]+NOTA[[#This Row],[DISC 2-]])</f>
        <v/>
      </c>
      <c r="AA618" s="58" t="str">
        <f>IF(NOTA[[#This Row],[JUMLAH]]="","",NOTA[[#This Row],[JUMLAH]]-NOTA[[#This Row],[DISC]])</f>
        <v/>
      </c>
      <c r="AB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1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8" s="58" t="str">
        <f>IF(OR(NOTA[[#This Row],[QTY]]="",NOTA[[#This Row],[HARGA SATUAN]]="",),"",NOTA[[#This Row],[QTY]]*NOTA[[#This Row],[HARGA SATUAN]])</f>
        <v/>
      </c>
      <c r="AF618" s="56">
        <f ca="1">IF(NOTA[ID_H]="","",INDEX(NOTA[TANGGAL],MATCH(,INDIRECT(ADDRESS(ROW(NOTA[TANGGAL]),COLUMN(NOTA[TANGGAL]))&amp;":"&amp;ADDRESS(ROW(),COLUMN(NOTA[TANGGAL]))),-1)))</f>
        <v>44867</v>
      </c>
      <c r="AG618" s="52" t="str">
        <f ca="1">IF(NOTA[[#This Row],[NAMA BARANG]]="","",INDEX(NOTA[SUPPLIER],MATCH(,INDIRECT(ADDRESS(ROW(NOTA[ID]),COLUMN(NOTA[ID]))&amp;":"&amp;ADDRESS(ROW(),COLUMN(NOTA[ID]))),-1)))</f>
        <v>BINTANG JAYA</v>
      </c>
      <c r="AH618" s="16" t="str">
        <f ca="1">IF(NOTA[[#This Row],[ID]]="","",COUNTIF(NOTA[ID_H],NOTA[[#This Row],[ID_H]]))</f>
        <v/>
      </c>
      <c r="AI618" s="16">
        <f ca="1">IF(NOTA[[#This Row],[TGL.NOTA]]="",IF(NOTA[[#This Row],[SUPPLIER_H]]="","",AI617),MONTH(NOTA[[#This Row],[TGL.NOTA]]))</f>
        <v>10</v>
      </c>
      <c r="AJ618" s="16"/>
    </row>
    <row r="619" spans="1:36" ht="20.100000000000001" customHeight="1" x14ac:dyDescent="0.25">
      <c r="A6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3" t="str">
        <f>IF(NOTA[[#This Row],[ID_P]]="","",MATCH(NOTA[[#This Row],[ID_P]],[1]!B_MSK[N_ID],0))</f>
        <v/>
      </c>
      <c r="D619" s="53" t="str">
        <f ca="1">IF(NOTA[[#This Row],[NAMA BARANG]]="","",INDEX(NOTA[ID],MATCH(,INDIRECT(ADDRESS(ROW(NOTA[ID]),COLUMN(NOTA[ID]))&amp;":"&amp;ADDRESS(ROW(),COLUMN(NOTA[ID]))),-1)))</f>
        <v/>
      </c>
      <c r="E619" s="60"/>
      <c r="F619" s="31"/>
      <c r="G619" s="31"/>
      <c r="H619" s="33"/>
      <c r="I619" s="54"/>
      <c r="J619" s="56"/>
      <c r="K619" s="54"/>
      <c r="L619" s="31"/>
      <c r="M619" s="57"/>
      <c r="N619" s="54"/>
      <c r="O619" s="31"/>
      <c r="P619" s="52"/>
      <c r="Q619" s="162"/>
      <c r="R619" s="35"/>
      <c r="S619" s="59"/>
      <c r="T619" s="59"/>
      <c r="U619" s="58"/>
      <c r="V619" s="87"/>
      <c r="W619" s="58" t="str">
        <f>IF(NOTA[[#This Row],[HARGA/ CTN]]="",NOTA[[#This Row],[JUMLAH_H]],NOTA[[#This Row],[HARGA/ CTN]]*NOTA[[#This Row],[C]])</f>
        <v/>
      </c>
      <c r="X619" s="58" t="str">
        <f>IF(NOTA[[#This Row],[JUMLAH]]="","",NOTA[[#This Row],[JUMLAH]]*NOTA[[#This Row],[DISC 1]])</f>
        <v/>
      </c>
      <c r="Y619" s="58" t="str">
        <f>IF(NOTA[[#This Row],[JUMLAH]]="","",(NOTA[[#This Row],[JUMLAH]]-NOTA[[#This Row],[DISC 1-]])*NOTA[[#This Row],[DISC 2]])</f>
        <v/>
      </c>
      <c r="Z619" s="58" t="str">
        <f>IF(NOTA[[#This Row],[JUMLAH]]="","",NOTA[[#This Row],[DISC 1-]]+NOTA[[#This Row],[DISC 2-]])</f>
        <v/>
      </c>
      <c r="AA619" s="58" t="str">
        <f>IF(NOTA[[#This Row],[JUMLAH]]="","",NOTA[[#This Row],[JUMLAH]]-NOTA[[#This Row],[DISC]])</f>
        <v/>
      </c>
      <c r="AB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8" t="str">
        <f>IF(OR(NOTA[[#This Row],[QTY]]="",NOTA[[#This Row],[HARGA SATUAN]]="",),"",NOTA[[#This Row],[QTY]]*NOTA[[#This Row],[HARGA SATUAN]])</f>
        <v/>
      </c>
      <c r="AF619" s="56" t="str">
        <f ca="1">IF(NOTA[ID_H]="","",INDEX(NOTA[TANGGAL],MATCH(,INDIRECT(ADDRESS(ROW(NOTA[TANGGAL]),COLUMN(NOTA[TANGGAL]))&amp;":"&amp;ADDRESS(ROW(),COLUMN(NOTA[TANGGAL]))),-1)))</f>
        <v/>
      </c>
      <c r="AG619" s="52" t="str">
        <f ca="1">IF(NOTA[[#This Row],[NAMA BARANG]]="","",INDEX(NOTA[SUPPLIER],MATCH(,INDIRECT(ADDRESS(ROW(NOTA[ID]),COLUMN(NOTA[ID]))&amp;":"&amp;ADDRESS(ROW(),COLUMN(NOTA[ID]))),-1)))</f>
        <v/>
      </c>
      <c r="AH619" s="16" t="str">
        <f ca="1">IF(NOTA[[#This Row],[ID]]="","",COUNTIF(NOTA[ID_H],NOTA[[#This Row],[ID_H]]))</f>
        <v/>
      </c>
      <c r="AI619" s="16" t="str">
        <f ca="1">IF(NOTA[[#This Row],[TGL.NOTA]]="",IF(NOTA[[#This Row],[SUPPLIER_H]]="","",AI618),MONTH(NOTA[[#This Row],[TGL.NOTA]]))</f>
        <v/>
      </c>
      <c r="AJ619" s="16"/>
    </row>
    <row r="620" spans="1:36" ht="20.100000000000001" customHeight="1" x14ac:dyDescent="0.25">
      <c r="A620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620" s="53" t="e">
        <f ca="1">IF(NOTA[[#This Row],[ID_P]]="","",MATCH(NOTA[[#This Row],[ID_P]],[1]!B_MSK[N_ID],0))</f>
        <v>#REF!</v>
      </c>
      <c r="D620" s="53">
        <f ca="1">IF(NOTA[[#This Row],[NAMA BARANG]]="","",INDEX(NOTA[ID],MATCH(,INDIRECT(ADDRESS(ROW(NOTA[ID]),COLUMN(NOTA[ID]))&amp;":"&amp;ADDRESS(ROW(),COLUMN(NOTA[ID]))),-1)))</f>
        <v>137</v>
      </c>
      <c r="E620" s="32"/>
      <c r="F620" s="31" t="s">
        <v>367</v>
      </c>
      <c r="G620" s="31" t="s">
        <v>87</v>
      </c>
      <c r="H620" s="33" t="s">
        <v>757</v>
      </c>
      <c r="I620" s="31"/>
      <c r="J620" s="56">
        <v>44865</v>
      </c>
      <c r="K620" s="54"/>
      <c r="L620" s="31" t="s">
        <v>796</v>
      </c>
      <c r="M620" s="57">
        <v>3</v>
      </c>
      <c r="N620" s="54">
        <v>300</v>
      </c>
      <c r="O620" s="31" t="s">
        <v>482</v>
      </c>
      <c r="P620" s="52">
        <v>17500</v>
      </c>
      <c r="Q620" s="162"/>
      <c r="R620" s="35" t="s">
        <v>483</v>
      </c>
      <c r="S620" s="59"/>
      <c r="T620" s="59"/>
      <c r="U620" s="58"/>
      <c r="V620" s="87"/>
      <c r="W620" s="58">
        <f>IF(NOTA[[#This Row],[HARGA/ CTN]]="",NOTA[[#This Row],[JUMLAH_H]],NOTA[[#This Row],[HARGA/ CTN]]*NOTA[[#This Row],[C]])</f>
        <v>5250000</v>
      </c>
      <c r="X620" s="58">
        <f>IF(NOTA[[#This Row],[JUMLAH]]="","",NOTA[[#This Row],[JUMLAH]]*NOTA[[#This Row],[DISC 1]])</f>
        <v>0</v>
      </c>
      <c r="Y620" s="58">
        <f>IF(NOTA[[#This Row],[JUMLAH]]="","",(NOTA[[#This Row],[JUMLAH]]-NOTA[[#This Row],[DISC 1-]])*NOTA[[#This Row],[DISC 2]])</f>
        <v>0</v>
      </c>
      <c r="Z620" s="58">
        <f>IF(NOTA[[#This Row],[JUMLAH]]="","",NOTA[[#This Row],[DISC 1-]]+NOTA[[#This Row],[DISC 2-]])</f>
        <v>0</v>
      </c>
      <c r="AA620" s="58">
        <f>IF(NOTA[[#This Row],[JUMLAH]]="","",NOTA[[#This Row],[JUMLAH]]-NOTA[[#This Row],[DISC]])</f>
        <v>5250000</v>
      </c>
      <c r="AB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20" s="58">
        <f>IF(OR(NOTA[[#This Row],[QTY]]="",NOTA[[#This Row],[HARGA SATUAN]]="",),"",NOTA[[#This Row],[QTY]]*NOTA[[#This Row],[HARGA SATUAN]])</f>
        <v>5250000</v>
      </c>
      <c r="AF620" s="56">
        <f ca="1">IF(NOTA[ID_H]="","",INDEX(NOTA[TANGGAL],MATCH(,INDIRECT(ADDRESS(ROW(NOTA[TANGGAL]),COLUMN(NOTA[TANGGAL]))&amp;":"&amp;ADDRESS(ROW(),COLUMN(NOTA[TANGGAL]))),-1)))</f>
        <v>44867</v>
      </c>
      <c r="AG620" s="52" t="str">
        <f ca="1">IF(NOTA[[#This Row],[NAMA BARANG]]="","",INDEX(NOTA[SUPPLIER],MATCH(,INDIRECT(ADDRESS(ROW(NOTA[ID]),COLUMN(NOTA[ID]))&amp;":"&amp;ADDRESS(ROW(),COLUMN(NOTA[ID]))),-1)))</f>
        <v>ETJ</v>
      </c>
      <c r="AH620" s="16">
        <f ca="1">IF(NOTA[[#This Row],[ID]]="","",COUNTIF(NOTA[ID_H],NOTA[[#This Row],[ID_H]]))</f>
        <v>7</v>
      </c>
      <c r="AI620" s="16">
        <f>IF(NOTA[[#This Row],[TGL.NOTA]]="",IF(NOTA[[#This Row],[SUPPLIER_H]]="","",AI619),MONTH(NOTA[[#This Row],[TGL.NOTA]]))</f>
        <v>10</v>
      </c>
      <c r="AJ620" s="16"/>
    </row>
    <row r="621" spans="1:36" ht="20.100000000000001" customHeight="1" x14ac:dyDescent="0.25">
      <c r="A6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3" t="str">
        <f>IF(NOTA[[#This Row],[ID_P]]="","",MATCH(NOTA[[#This Row],[ID_P]],[1]!B_MSK[N_ID],0))</f>
        <v/>
      </c>
      <c r="D621" s="53">
        <f ca="1">IF(NOTA[[#This Row],[NAMA BARANG]]="","",INDEX(NOTA[ID],MATCH(,INDIRECT(ADDRESS(ROW(NOTA[ID]),COLUMN(NOTA[ID]))&amp;":"&amp;ADDRESS(ROW(),COLUMN(NOTA[ID]))),-1)))</f>
        <v>137</v>
      </c>
      <c r="E621" s="60"/>
      <c r="F621" s="54"/>
      <c r="G621" s="54"/>
      <c r="H621" s="55"/>
      <c r="I621" s="54"/>
      <c r="J621" s="56"/>
      <c r="K621" s="54"/>
      <c r="L621" s="31" t="s">
        <v>797</v>
      </c>
      <c r="M621" s="57">
        <v>3</v>
      </c>
      <c r="N621" s="54">
        <v>180</v>
      </c>
      <c r="O621" s="31" t="s">
        <v>88</v>
      </c>
      <c r="P621" s="52">
        <v>12000</v>
      </c>
      <c r="Q621" s="162"/>
      <c r="R621" s="35" t="s">
        <v>758</v>
      </c>
      <c r="S621" s="59"/>
      <c r="T621" s="59"/>
      <c r="U621" s="58"/>
      <c r="V621" s="87"/>
      <c r="W621" s="58">
        <f>IF(NOTA[[#This Row],[HARGA/ CTN]]="",NOTA[[#This Row],[JUMLAH_H]],NOTA[[#This Row],[HARGA/ CTN]]*NOTA[[#This Row],[C]])</f>
        <v>2160000</v>
      </c>
      <c r="X621" s="58">
        <f>IF(NOTA[[#This Row],[JUMLAH]]="","",NOTA[[#This Row],[JUMLAH]]*NOTA[[#This Row],[DISC 1]])</f>
        <v>0</v>
      </c>
      <c r="Y621" s="58">
        <f>IF(NOTA[[#This Row],[JUMLAH]]="","",(NOTA[[#This Row],[JUMLAH]]-NOTA[[#This Row],[DISC 1-]])*NOTA[[#This Row],[DISC 2]])</f>
        <v>0</v>
      </c>
      <c r="Z621" s="58">
        <f>IF(NOTA[[#This Row],[JUMLAH]]="","",NOTA[[#This Row],[DISC 1-]]+NOTA[[#This Row],[DISC 2-]])</f>
        <v>0</v>
      </c>
      <c r="AA621" s="58">
        <f>IF(NOTA[[#This Row],[JUMLAH]]="","",NOTA[[#This Row],[JUMLAH]]-NOTA[[#This Row],[DISC]])</f>
        <v>2160000</v>
      </c>
      <c r="AB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1" s="58">
        <f>IF(OR(NOTA[[#This Row],[QTY]]="",NOTA[[#This Row],[HARGA SATUAN]]="",),"",NOTA[[#This Row],[QTY]]*NOTA[[#This Row],[HARGA SATUAN]])</f>
        <v>2160000</v>
      </c>
      <c r="AF621" s="56">
        <f ca="1">IF(NOTA[ID_H]="","",INDEX(NOTA[TANGGAL],MATCH(,INDIRECT(ADDRESS(ROW(NOTA[TANGGAL]),COLUMN(NOTA[TANGGAL]))&amp;":"&amp;ADDRESS(ROW(),COLUMN(NOTA[TANGGAL]))),-1)))</f>
        <v>44867</v>
      </c>
      <c r="AG621" s="52" t="str">
        <f ca="1">IF(NOTA[[#This Row],[NAMA BARANG]]="","",INDEX(NOTA[SUPPLIER],MATCH(,INDIRECT(ADDRESS(ROW(NOTA[ID]),COLUMN(NOTA[ID]))&amp;":"&amp;ADDRESS(ROW(),COLUMN(NOTA[ID]))),-1)))</f>
        <v>ETJ</v>
      </c>
      <c r="AH621" s="16" t="str">
        <f ca="1">IF(NOTA[[#This Row],[ID]]="","",COUNTIF(NOTA[ID_H],NOTA[[#This Row],[ID_H]]))</f>
        <v/>
      </c>
      <c r="AI621" s="16">
        <f ca="1"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3" t="str">
        <f>IF(NOTA[[#This Row],[ID_P]]="","",MATCH(NOTA[[#This Row],[ID_P]],[1]!B_MSK[N_ID],0))</f>
        <v/>
      </c>
      <c r="D622" s="53">
        <f ca="1">IF(NOTA[[#This Row],[NAMA BARANG]]="","",INDEX(NOTA[ID],MATCH(,INDIRECT(ADDRESS(ROW(NOTA[ID]),COLUMN(NOTA[ID]))&amp;":"&amp;ADDRESS(ROW(),COLUMN(NOTA[ID]))),-1)))</f>
        <v>137</v>
      </c>
      <c r="E622" s="60"/>
      <c r="F622" s="54"/>
      <c r="G622" s="54"/>
      <c r="H622" s="55"/>
      <c r="I622" s="54"/>
      <c r="J622" s="56"/>
      <c r="K622" s="54"/>
      <c r="L622" s="31" t="s">
        <v>798</v>
      </c>
      <c r="M622" s="57">
        <v>3</v>
      </c>
      <c r="N622" s="54">
        <v>180</v>
      </c>
      <c r="O622" s="31" t="s">
        <v>88</v>
      </c>
      <c r="P622" s="52">
        <v>12000</v>
      </c>
      <c r="Q622" s="162"/>
      <c r="R622" s="35" t="s">
        <v>758</v>
      </c>
      <c r="S622" s="59"/>
      <c r="T622" s="59"/>
      <c r="U622" s="58"/>
      <c r="V622" s="87"/>
      <c r="W622" s="58">
        <f>IF(NOTA[[#This Row],[HARGA/ CTN]]="",NOTA[[#This Row],[JUMLAH_H]],NOTA[[#This Row],[HARGA/ CTN]]*NOTA[[#This Row],[C]])</f>
        <v>2160000</v>
      </c>
      <c r="X622" s="58">
        <f>IF(NOTA[[#This Row],[JUMLAH]]="","",NOTA[[#This Row],[JUMLAH]]*NOTA[[#This Row],[DISC 1]])</f>
        <v>0</v>
      </c>
      <c r="Y622" s="58">
        <f>IF(NOTA[[#This Row],[JUMLAH]]="","",(NOTA[[#This Row],[JUMLAH]]-NOTA[[#This Row],[DISC 1-]])*NOTA[[#This Row],[DISC 2]])</f>
        <v>0</v>
      </c>
      <c r="Z622" s="58">
        <f>IF(NOTA[[#This Row],[JUMLAH]]="","",NOTA[[#This Row],[DISC 1-]]+NOTA[[#This Row],[DISC 2-]])</f>
        <v>0</v>
      </c>
      <c r="AA622" s="58">
        <f>IF(NOTA[[#This Row],[JUMLAH]]="","",NOTA[[#This Row],[JUMLAH]]-NOTA[[#This Row],[DISC]])</f>
        <v>2160000</v>
      </c>
      <c r="AB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2" s="58">
        <f>IF(OR(NOTA[[#This Row],[QTY]]="",NOTA[[#This Row],[HARGA SATUAN]]="",),"",NOTA[[#This Row],[QTY]]*NOTA[[#This Row],[HARGA SATUAN]])</f>
        <v>2160000</v>
      </c>
      <c r="AF622" s="56">
        <f ca="1">IF(NOTA[ID_H]="","",INDEX(NOTA[TANGGAL],MATCH(,INDIRECT(ADDRESS(ROW(NOTA[TANGGAL]),COLUMN(NOTA[TANGGAL]))&amp;":"&amp;ADDRESS(ROW(),COLUMN(NOTA[TANGGAL]))),-1)))</f>
        <v>44867</v>
      </c>
      <c r="AG622" s="52" t="str">
        <f ca="1">IF(NOTA[[#This Row],[NAMA BARANG]]="","",INDEX(NOTA[SUPPLIER],MATCH(,INDIRECT(ADDRESS(ROW(NOTA[ID]),COLUMN(NOTA[ID]))&amp;":"&amp;ADDRESS(ROW(),COLUMN(NOTA[ID]))),-1)))</f>
        <v>ETJ</v>
      </c>
      <c r="AH622" s="16" t="str">
        <f ca="1">IF(NOTA[[#This Row],[ID]]="","",COUNTIF(NOTA[ID_H],NOTA[[#This Row],[ID_H]]))</f>
        <v/>
      </c>
      <c r="AI622" s="16">
        <f ca="1">IF(NOTA[[#This Row],[TGL.NOTA]]="",IF(NOTA[[#This Row],[SUPPLIER_H]]="","",AI621),MONTH(NOTA[[#This Row],[TGL.NOTA]]))</f>
        <v>10</v>
      </c>
      <c r="AJ622" s="16"/>
    </row>
    <row r="623" spans="1:36" ht="20.100000000000001" customHeight="1" x14ac:dyDescent="0.25">
      <c r="A6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3" t="str">
        <f>IF(NOTA[[#This Row],[ID_P]]="","",MATCH(NOTA[[#This Row],[ID_P]],[1]!B_MSK[N_ID],0))</f>
        <v/>
      </c>
      <c r="D623" s="53">
        <f ca="1">IF(NOTA[[#This Row],[NAMA BARANG]]="","",INDEX(NOTA[ID],MATCH(,INDIRECT(ADDRESS(ROW(NOTA[ID]),COLUMN(NOTA[ID]))&amp;":"&amp;ADDRESS(ROW(),COLUMN(NOTA[ID]))),-1)))</f>
        <v>137</v>
      </c>
      <c r="E623" s="60"/>
      <c r="F623" s="54"/>
      <c r="G623" s="54"/>
      <c r="H623" s="55"/>
      <c r="I623" s="54"/>
      <c r="J623" s="56"/>
      <c r="K623" s="54"/>
      <c r="L623" s="31" t="s">
        <v>759</v>
      </c>
      <c r="M623" s="57">
        <v>3</v>
      </c>
      <c r="N623" s="54">
        <v>24</v>
      </c>
      <c r="O623" s="31" t="s">
        <v>210</v>
      </c>
      <c r="P623" s="52">
        <v>120000</v>
      </c>
      <c r="Q623" s="162"/>
      <c r="R623" s="35" t="s">
        <v>665</v>
      </c>
      <c r="S623" s="59"/>
      <c r="T623" s="59"/>
      <c r="U623" s="58"/>
      <c r="V623" s="87" t="s">
        <v>760</v>
      </c>
      <c r="W623" s="58">
        <f>IF(NOTA[[#This Row],[HARGA/ CTN]]="",NOTA[[#This Row],[JUMLAH_H]],NOTA[[#This Row],[HARGA/ CTN]]*NOTA[[#This Row],[C]])</f>
        <v>2880000</v>
      </c>
      <c r="X623" s="58">
        <f>IF(NOTA[[#This Row],[JUMLAH]]="","",NOTA[[#This Row],[JUMLAH]]*NOTA[[#This Row],[DISC 1]])</f>
        <v>0</v>
      </c>
      <c r="Y623" s="58">
        <f>IF(NOTA[[#This Row],[JUMLAH]]="","",(NOTA[[#This Row],[JUMLAH]]-NOTA[[#This Row],[DISC 1-]])*NOTA[[#This Row],[DISC 2]])</f>
        <v>0</v>
      </c>
      <c r="Z623" s="58">
        <f>IF(NOTA[[#This Row],[JUMLAH]]="","",NOTA[[#This Row],[DISC 1-]]+NOTA[[#This Row],[DISC 2-]])</f>
        <v>0</v>
      </c>
      <c r="AA623" s="58">
        <f>IF(NOTA[[#This Row],[JUMLAH]]="","",NOTA[[#This Row],[JUMLAH]]-NOTA[[#This Row],[DISC]])</f>
        <v>2880000</v>
      </c>
      <c r="AB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623" s="58">
        <f>IF(OR(NOTA[[#This Row],[QTY]]="",NOTA[[#This Row],[HARGA SATUAN]]="",),"",NOTA[[#This Row],[QTY]]*NOTA[[#This Row],[HARGA SATUAN]])</f>
        <v>2880000</v>
      </c>
      <c r="AF623" s="56">
        <f ca="1">IF(NOTA[ID_H]="","",INDEX(NOTA[TANGGAL],MATCH(,INDIRECT(ADDRESS(ROW(NOTA[TANGGAL]),COLUMN(NOTA[TANGGAL]))&amp;":"&amp;ADDRESS(ROW(),COLUMN(NOTA[TANGGAL]))),-1)))</f>
        <v>44867</v>
      </c>
      <c r="AG623" s="52" t="str">
        <f ca="1">IF(NOTA[[#This Row],[NAMA BARANG]]="","",INDEX(NOTA[SUPPLIER],MATCH(,INDIRECT(ADDRESS(ROW(NOTA[ID]),COLUMN(NOTA[ID]))&amp;":"&amp;ADDRESS(ROW(),COLUMN(NOTA[ID]))),-1)))</f>
        <v>ETJ</v>
      </c>
      <c r="AH623" s="16" t="str">
        <f ca="1">IF(NOTA[[#This Row],[ID]]="","",COUNTIF(NOTA[ID_H],NOTA[[#This Row],[ID_H]]))</f>
        <v/>
      </c>
      <c r="AI623" s="16">
        <f ca="1"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3" t="str">
        <f>IF(NOTA[[#This Row],[ID_P]]="","",MATCH(NOTA[[#This Row],[ID_P]],[1]!B_MSK[N_ID],0))</f>
        <v/>
      </c>
      <c r="D624" s="53">
        <f ca="1">IF(NOTA[[#This Row],[NAMA BARANG]]="","",INDEX(NOTA[ID],MATCH(,INDIRECT(ADDRESS(ROW(NOTA[ID]),COLUMN(NOTA[ID]))&amp;":"&amp;ADDRESS(ROW(),COLUMN(NOTA[ID]))),-1)))</f>
        <v>137</v>
      </c>
      <c r="E624" s="60"/>
      <c r="F624" s="31"/>
      <c r="G624" s="31"/>
      <c r="H624" s="33"/>
      <c r="I624" s="31"/>
      <c r="J624" s="56"/>
      <c r="K624" s="31"/>
      <c r="L624" s="31" t="s">
        <v>761</v>
      </c>
      <c r="M624" s="57">
        <v>2</v>
      </c>
      <c r="N624" s="54">
        <v>40</v>
      </c>
      <c r="O624" s="31" t="s">
        <v>210</v>
      </c>
      <c r="P624" s="52">
        <v>72500</v>
      </c>
      <c r="Q624" s="162"/>
      <c r="R624" s="35" t="s">
        <v>434</v>
      </c>
      <c r="S624" s="59"/>
      <c r="T624" s="59"/>
      <c r="U624" s="58"/>
      <c r="V624" s="87"/>
      <c r="W624" s="58">
        <f>IF(NOTA[[#This Row],[HARGA/ CTN]]="",NOTA[[#This Row],[JUMLAH_H]],NOTA[[#This Row],[HARGA/ CTN]]*NOTA[[#This Row],[C]])</f>
        <v>2900000</v>
      </c>
      <c r="X624" s="58">
        <f>IF(NOTA[[#This Row],[JUMLAH]]="","",NOTA[[#This Row],[JUMLAH]]*NOTA[[#This Row],[DISC 1]])</f>
        <v>0</v>
      </c>
      <c r="Y624" s="58">
        <f>IF(NOTA[[#This Row],[JUMLAH]]="","",(NOTA[[#This Row],[JUMLAH]]-NOTA[[#This Row],[DISC 1-]])*NOTA[[#This Row],[DISC 2]])</f>
        <v>0</v>
      </c>
      <c r="Z624" s="58">
        <f>IF(NOTA[[#This Row],[JUMLAH]]="","",NOTA[[#This Row],[DISC 1-]]+NOTA[[#This Row],[DISC 2-]])</f>
        <v>0</v>
      </c>
      <c r="AA624" s="58">
        <f>IF(NOTA[[#This Row],[JUMLAH]]="","",NOTA[[#This Row],[JUMLAH]]-NOTA[[#This Row],[DISC]])</f>
        <v>2900000</v>
      </c>
      <c r="AB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624" s="58">
        <f>IF(OR(NOTA[[#This Row],[QTY]]="",NOTA[[#This Row],[HARGA SATUAN]]="",),"",NOTA[[#This Row],[QTY]]*NOTA[[#This Row],[HARGA SATUAN]])</f>
        <v>2900000</v>
      </c>
      <c r="AF624" s="56">
        <f ca="1">IF(NOTA[ID_H]="","",INDEX(NOTA[TANGGAL],MATCH(,INDIRECT(ADDRESS(ROW(NOTA[TANGGAL]),COLUMN(NOTA[TANGGAL]))&amp;":"&amp;ADDRESS(ROW(),COLUMN(NOTA[TANGGAL]))),-1)))</f>
        <v>44867</v>
      </c>
      <c r="AG624" s="52" t="str">
        <f ca="1">IF(NOTA[[#This Row],[NAMA BARANG]]="","",INDEX(NOTA[SUPPLIER],MATCH(,INDIRECT(ADDRESS(ROW(NOTA[ID]),COLUMN(NOTA[ID]))&amp;":"&amp;ADDRESS(ROW(),COLUMN(NOTA[ID]))),-1)))</f>
        <v>ETJ</v>
      </c>
      <c r="AH624" s="16" t="str">
        <f ca="1">IF(NOTA[[#This Row],[ID]]="","",COUNTIF(NOTA[ID_H],NOTA[[#This Row],[ID_H]]))</f>
        <v/>
      </c>
      <c r="AI624" s="16">
        <f ca="1">IF(NOTA[[#This Row],[TGL.NOTA]]="",IF(NOTA[[#This Row],[SUPPLIER_H]]="","",AI623),MONTH(NOTA[[#This Row],[TGL.NOTA]]))</f>
        <v>10</v>
      </c>
      <c r="AJ624" s="16"/>
    </row>
    <row r="625" spans="1:36" ht="20.100000000000001" customHeight="1" x14ac:dyDescent="0.25">
      <c r="A6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3" t="str">
        <f>IF(NOTA[[#This Row],[ID_P]]="","",MATCH(NOTA[[#This Row],[ID_P]],[1]!B_MSK[N_ID],0))</f>
        <v/>
      </c>
      <c r="D625" s="53">
        <f ca="1">IF(NOTA[[#This Row],[NAMA BARANG]]="","",INDEX(NOTA[ID],MATCH(,INDIRECT(ADDRESS(ROW(NOTA[ID]),COLUMN(NOTA[ID]))&amp;":"&amp;ADDRESS(ROW(),COLUMN(NOTA[ID]))),-1)))</f>
        <v>137</v>
      </c>
      <c r="E625" s="60"/>
      <c r="F625" s="54"/>
      <c r="G625" s="54"/>
      <c r="H625" s="55"/>
      <c r="I625" s="54"/>
      <c r="J625" s="56"/>
      <c r="K625" s="54"/>
      <c r="L625" s="31" t="s">
        <v>762</v>
      </c>
      <c r="M625" s="57">
        <v>2</v>
      </c>
      <c r="N625" s="54">
        <v>1000</v>
      </c>
      <c r="O625" s="31" t="s">
        <v>104</v>
      </c>
      <c r="P625" s="52">
        <v>5800</v>
      </c>
      <c r="Q625" s="162"/>
      <c r="R625" s="35" t="s">
        <v>763</v>
      </c>
      <c r="S625" s="59"/>
      <c r="T625" s="59"/>
      <c r="U625" s="58"/>
      <c r="V625" s="87"/>
      <c r="W625" s="58">
        <f>IF(NOTA[[#This Row],[HARGA/ CTN]]="",NOTA[[#This Row],[JUMLAH_H]],NOTA[[#This Row],[HARGA/ CTN]]*NOTA[[#This Row],[C]])</f>
        <v>5800000</v>
      </c>
      <c r="X625" s="58">
        <f>IF(NOTA[[#This Row],[JUMLAH]]="","",NOTA[[#This Row],[JUMLAH]]*NOTA[[#This Row],[DISC 1]])</f>
        <v>0</v>
      </c>
      <c r="Y625" s="58">
        <f>IF(NOTA[[#This Row],[JUMLAH]]="","",(NOTA[[#This Row],[JUMLAH]]-NOTA[[#This Row],[DISC 1-]])*NOTA[[#This Row],[DISC 2]])</f>
        <v>0</v>
      </c>
      <c r="Z625" s="58">
        <f>IF(NOTA[[#This Row],[JUMLAH]]="","",NOTA[[#This Row],[DISC 1-]]+NOTA[[#This Row],[DISC 2-]])</f>
        <v>0</v>
      </c>
      <c r="AA625" s="58">
        <f>IF(NOTA[[#This Row],[JUMLAH]]="","",NOTA[[#This Row],[JUMLAH]]-NOTA[[#This Row],[DISC]])</f>
        <v>5800000</v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625" s="58">
        <f>IF(OR(NOTA[[#This Row],[QTY]]="",NOTA[[#This Row],[HARGA SATUAN]]="",),"",NOTA[[#This Row],[QTY]]*NOTA[[#This Row],[HARGA SATUAN]])</f>
        <v>5800000</v>
      </c>
      <c r="AF625" s="56">
        <f ca="1">IF(NOTA[ID_H]="","",INDEX(NOTA[TANGGAL],MATCH(,INDIRECT(ADDRESS(ROW(NOTA[TANGGAL]),COLUMN(NOTA[TANGGAL]))&amp;":"&amp;ADDRESS(ROW(),COLUMN(NOTA[TANGGAL]))),-1)))</f>
        <v>44867</v>
      </c>
      <c r="AG625" s="52" t="str">
        <f ca="1">IF(NOTA[[#This Row],[NAMA BARANG]]="","",INDEX(NOTA[SUPPLIER],MATCH(,INDIRECT(ADDRESS(ROW(NOTA[ID]),COLUMN(NOTA[ID]))&amp;":"&amp;ADDRESS(ROW(),COLUMN(NOTA[ID]))),-1)))</f>
        <v>ETJ</v>
      </c>
      <c r="AH625" s="16" t="str">
        <f ca="1">IF(NOTA[[#This Row],[ID]]="","",COUNTIF(NOTA[ID_H],NOTA[[#This Row],[ID_H]]))</f>
        <v/>
      </c>
      <c r="AI625" s="16">
        <f ca="1">IF(NOTA[[#This Row],[TGL.NOTA]]="",IF(NOTA[[#This Row],[SUPPLIER_H]]="","",AI624),MONTH(NOTA[[#This Row],[TGL.NOTA]]))</f>
        <v>10</v>
      </c>
      <c r="AJ625" s="16"/>
    </row>
    <row r="626" spans="1:36" ht="20.100000000000001" customHeight="1" x14ac:dyDescent="0.25">
      <c r="A6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3" t="str">
        <f>IF(NOTA[[#This Row],[ID_P]]="","",MATCH(NOTA[[#This Row],[ID_P]],[1]!B_MSK[N_ID],0))</f>
        <v/>
      </c>
      <c r="D626" s="53">
        <f ca="1">IF(NOTA[[#This Row],[NAMA BARANG]]="","",INDEX(NOTA[ID],MATCH(,INDIRECT(ADDRESS(ROW(NOTA[ID]),COLUMN(NOTA[ID]))&amp;":"&amp;ADDRESS(ROW(),COLUMN(NOTA[ID]))),-1)))</f>
        <v>137</v>
      </c>
      <c r="E626" s="60"/>
      <c r="F626" s="31"/>
      <c r="G626" s="31"/>
      <c r="H626" s="33"/>
      <c r="I626" s="31"/>
      <c r="J626" s="56"/>
      <c r="K626" s="54"/>
      <c r="L626" s="31" t="s">
        <v>799</v>
      </c>
      <c r="M626" s="57">
        <v>1</v>
      </c>
      <c r="N626" s="54">
        <v>160</v>
      </c>
      <c r="O626" s="31" t="s">
        <v>210</v>
      </c>
      <c r="P626" s="52">
        <v>7500</v>
      </c>
      <c r="Q626" s="162"/>
      <c r="R626" s="35" t="s">
        <v>764</v>
      </c>
      <c r="S626" s="59"/>
      <c r="T626" s="59"/>
      <c r="U626" s="58">
        <f>7500*160</f>
        <v>1200000</v>
      </c>
      <c r="V626" s="87" t="s">
        <v>559</v>
      </c>
      <c r="W626" s="58">
        <f>IF(NOTA[[#This Row],[HARGA/ CTN]]="",NOTA[[#This Row],[JUMLAH_H]],NOTA[[#This Row],[HARGA/ CTN]]*NOTA[[#This Row],[C]])</f>
        <v>1200000</v>
      </c>
      <c r="X626" s="58">
        <f>IF(NOTA[[#This Row],[JUMLAH]]="","",NOTA[[#This Row],[JUMLAH]]*NOTA[[#This Row],[DISC 1]])</f>
        <v>0</v>
      </c>
      <c r="Y626" s="58">
        <f>IF(NOTA[[#This Row],[JUMLAH]]="","",(NOTA[[#This Row],[JUMLAH]]-NOTA[[#This Row],[DISC 1-]])*NOTA[[#This Row],[DISC 2]])</f>
        <v>0</v>
      </c>
      <c r="Z626" s="58">
        <f>IF(NOTA[[#This Row],[JUMLAH]]="","",NOTA[[#This Row],[DISC 1-]]+NOTA[[#This Row],[DISC 2-]])</f>
        <v>0</v>
      </c>
      <c r="AA626" s="58">
        <f>IF(NOTA[[#This Row],[JUMLAH]]="","",NOTA[[#This Row],[JUMLAH]]-NOTA[[#This Row],[DISC]])</f>
        <v>1200000</v>
      </c>
      <c r="AB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62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6" s="58">
        <f>IF(OR(NOTA[[#This Row],[QTY]]="",NOTA[[#This Row],[HARGA SATUAN]]="",),"",NOTA[[#This Row],[QTY]]*NOTA[[#This Row],[HARGA SATUAN]])</f>
        <v>1200000</v>
      </c>
      <c r="AF626" s="56">
        <f ca="1">IF(NOTA[ID_H]="","",INDEX(NOTA[TANGGAL],MATCH(,INDIRECT(ADDRESS(ROW(NOTA[TANGGAL]),COLUMN(NOTA[TANGGAL]))&amp;":"&amp;ADDRESS(ROW(),COLUMN(NOTA[TANGGAL]))),-1)))</f>
        <v>44867</v>
      </c>
      <c r="AG626" s="52" t="str">
        <f ca="1">IF(NOTA[[#This Row],[NAMA BARANG]]="","",INDEX(NOTA[SUPPLIER],MATCH(,INDIRECT(ADDRESS(ROW(NOTA[ID]),COLUMN(NOTA[ID]))&amp;":"&amp;ADDRESS(ROW(),COLUMN(NOTA[ID]))),-1)))</f>
        <v>ETJ</v>
      </c>
      <c r="AH626" s="16" t="str">
        <f ca="1">IF(NOTA[[#This Row],[ID]]="","",COUNTIF(NOTA[ID_H],NOTA[[#This Row],[ID_H]]))</f>
        <v/>
      </c>
      <c r="AI626" s="16">
        <f ca="1">IF(NOTA[[#This Row],[TGL.NOTA]]="",IF(NOTA[[#This Row],[SUPPLIER_H]]="","",AI625),MONTH(NOTA[[#This Row],[TGL.NOTA]]))</f>
        <v>10</v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 t="str">
        <f ca="1">IF(NOTA[[#This Row],[NAMA BARANG]]="","",INDEX(NOTA[ID],MATCH(,INDIRECT(ADDRESS(ROW(NOTA[ID]),COLUMN(NOTA[ID]))&amp;":"&amp;ADDRESS(ROW(),COLUMN(NOTA[ID]))),-1)))</f>
        <v/>
      </c>
      <c r="E627" s="60"/>
      <c r="F627" s="54"/>
      <c r="G627" s="54"/>
      <c r="H627" s="55"/>
      <c r="I627" s="54"/>
      <c r="J627" s="56"/>
      <c r="K627" s="54"/>
      <c r="L627" s="31"/>
      <c r="M627" s="57"/>
      <c r="N627" s="54"/>
      <c r="O627" s="31"/>
      <c r="P627" s="52"/>
      <c r="Q627" s="162"/>
      <c r="R627" s="35"/>
      <c r="S627" s="59"/>
      <c r="T627" s="59"/>
      <c r="U627" s="58"/>
      <c r="V627" s="87"/>
      <c r="W627" s="58" t="str">
        <f>IF(NOTA[[#This Row],[HARGA/ CTN]]="",NOTA[[#This Row],[JUMLAH_H]],NOTA[[#This Row],[HARGA/ CTN]]*NOTA[[#This Row],[C]])</f>
        <v/>
      </c>
      <c r="X627" s="58" t="str">
        <f>IF(NOTA[[#This Row],[JUMLAH]]="","",NOTA[[#This Row],[JUMLAH]]*NOTA[[#This Row],[DISC 1]])</f>
        <v/>
      </c>
      <c r="Y627" s="58" t="str">
        <f>IF(NOTA[[#This Row],[JUMLAH]]="","",(NOTA[[#This Row],[JUMLAH]]-NOTA[[#This Row],[DISC 1-]])*NOTA[[#This Row],[DISC 2]])</f>
        <v/>
      </c>
      <c r="Z627" s="58" t="str">
        <f>IF(NOTA[[#This Row],[JUMLAH]]="","",NOTA[[#This Row],[DISC 1-]]+NOTA[[#This Row],[DISC 2-]])</f>
        <v/>
      </c>
      <c r="AA627" s="58" t="str">
        <f>IF(NOTA[[#This Row],[JUMLAH]]="","",NOTA[[#This Row],[JUMLAH]]-NOTA[[#This Row],[DISC]])</f>
        <v/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8" t="str">
        <f>IF(OR(NOTA[[#This Row],[QTY]]="",NOTA[[#This Row],[HARGA SATUAN]]="",),"",NOTA[[#This Row],[QTY]]*NOTA[[#This Row],[HARGA SATUAN]])</f>
        <v/>
      </c>
      <c r="AF627" s="56" t="str">
        <f ca="1">IF(NOTA[ID_H]="","",INDEX(NOTA[TANGGAL],MATCH(,INDIRECT(ADDRESS(ROW(NOTA[TANGGAL]),COLUMN(NOTA[TANGGAL]))&amp;":"&amp;ADDRESS(ROW(),COLUMN(NOTA[TANGGAL]))),-1)))</f>
        <v/>
      </c>
      <c r="AG627" s="52" t="str">
        <f ca="1">IF(NOTA[[#This Row],[NAMA BARANG]]="","",INDEX(NOTA[SUPPLIER],MATCH(,INDIRECT(ADDRESS(ROW(NOTA[ID]),COLUMN(NOTA[ID]))&amp;":"&amp;ADDRESS(ROW(),COLUMN(NOTA[ID]))),-1)))</f>
        <v/>
      </c>
      <c r="AH627" s="16" t="str">
        <f ca="1">IF(NOTA[[#This Row],[ID]]="","",COUNTIF(NOTA[ID_H],NOTA[[#This Row],[ID_H]]))</f>
        <v/>
      </c>
      <c r="AI627" s="16" t="str">
        <f ca="1">IF(NOTA[[#This Row],[TGL.NOTA]]="",IF(NOTA[[#This Row],[SUPPLIER_H]]="","",AI626),MONTH(NOTA[[#This Row],[TGL.NOTA]]))</f>
        <v/>
      </c>
      <c r="AJ627" s="16"/>
    </row>
    <row r="628" spans="1:36" ht="20.100000000000001" customHeight="1" x14ac:dyDescent="0.25">
      <c r="A628" s="5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628" s="53" t="e">
        <f ca="1">IF(NOTA[[#This Row],[ID_P]]="","",MATCH(NOTA[[#This Row],[ID_P]],[1]!B_MSK[N_ID],0))</f>
        <v>#REF!</v>
      </c>
      <c r="D628" s="53">
        <f ca="1">IF(NOTA[[#This Row],[NAMA BARANG]]="","",INDEX(NOTA[ID],MATCH(,INDIRECT(ADDRESS(ROW(NOTA[ID]),COLUMN(NOTA[ID]))&amp;":"&amp;ADDRESS(ROW(),COLUMN(NOTA[ID]))),-1)))</f>
        <v>138</v>
      </c>
      <c r="E628" s="60"/>
      <c r="F628" s="31" t="s">
        <v>89</v>
      </c>
      <c r="G628" s="31" t="s">
        <v>87</v>
      </c>
      <c r="H628" s="33" t="s">
        <v>765</v>
      </c>
      <c r="I628" s="54"/>
      <c r="J628" s="56">
        <v>44865</v>
      </c>
      <c r="K628" s="54"/>
      <c r="L628" s="31" t="s">
        <v>767</v>
      </c>
      <c r="M628" s="57">
        <v>10</v>
      </c>
      <c r="N628" s="54">
        <v>1440</v>
      </c>
      <c r="O628" s="31" t="s">
        <v>90</v>
      </c>
      <c r="P628" s="52">
        <v>22500</v>
      </c>
      <c r="Q628" s="162"/>
      <c r="R628" s="35" t="s">
        <v>396</v>
      </c>
      <c r="S628" s="59"/>
      <c r="T628" s="59"/>
      <c r="U628" s="58"/>
      <c r="V628" s="87"/>
      <c r="W628" s="58">
        <f>IF(NOTA[[#This Row],[HARGA/ CTN]]="",NOTA[[#This Row],[JUMLAH_H]],NOTA[[#This Row],[HARGA/ CTN]]*NOTA[[#This Row],[C]])</f>
        <v>32400000</v>
      </c>
      <c r="X628" s="58">
        <f>IF(NOTA[[#This Row],[JUMLAH]]="","",NOTA[[#This Row],[JUMLAH]]*NOTA[[#This Row],[DISC 1]])</f>
        <v>0</v>
      </c>
      <c r="Y628" s="58">
        <f>IF(NOTA[[#This Row],[JUMLAH]]="","",(NOTA[[#This Row],[JUMLAH]]-NOTA[[#This Row],[DISC 1-]])*NOTA[[#This Row],[DISC 2]])</f>
        <v>0</v>
      </c>
      <c r="Z628" s="58">
        <f>IF(NOTA[[#This Row],[JUMLAH]]="","",NOTA[[#This Row],[DISC 1-]]+NOTA[[#This Row],[DISC 2-]])</f>
        <v>0</v>
      </c>
      <c r="AA628" s="58">
        <f>IF(NOTA[[#This Row],[JUMLAH]]="","",NOTA[[#This Row],[JUMLAH]]-NOTA[[#This Row],[DISC]])</f>
        <v>32400000</v>
      </c>
      <c r="AB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28" s="58">
        <f>IF(OR(NOTA[[#This Row],[QTY]]="",NOTA[[#This Row],[HARGA SATUAN]]="",),"",NOTA[[#This Row],[QTY]]*NOTA[[#This Row],[HARGA SATUAN]])</f>
        <v>32400000</v>
      </c>
      <c r="AF628" s="56">
        <f ca="1">IF(NOTA[ID_H]="","",INDEX(NOTA[TANGGAL],MATCH(,INDIRECT(ADDRESS(ROW(NOTA[TANGGAL]),COLUMN(NOTA[TANGGAL]))&amp;":"&amp;ADDRESS(ROW(),COLUMN(NOTA[TANGGAL]))),-1)))</f>
        <v>44867</v>
      </c>
      <c r="AG628" s="52" t="str">
        <f ca="1">IF(NOTA[[#This Row],[NAMA BARANG]]="","",INDEX(NOTA[SUPPLIER],MATCH(,INDIRECT(ADDRESS(ROW(NOTA[ID]),COLUMN(NOTA[ID]))&amp;":"&amp;ADDRESS(ROW(),COLUMN(NOTA[ID]))),-1)))</f>
        <v>DB STATIONERY</v>
      </c>
      <c r="AH628" s="16">
        <f ca="1">IF(NOTA[[#This Row],[ID]]="","",COUNTIF(NOTA[ID_H],NOTA[[#This Row],[ID_H]]))</f>
        <v>6</v>
      </c>
      <c r="AI628" s="16">
        <f>IF(NOTA[[#This Row],[TGL.NOTA]]="",IF(NOTA[[#This Row],[SUPPLIER_H]]="","",#REF!),MONTH(NOTA[[#This Row],[TGL.NOTA]]))</f>
        <v>10</v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>
        <f ca="1">IF(NOTA[[#This Row],[NAMA BARANG]]="","",INDEX(NOTA[ID],MATCH(,INDIRECT(ADDRESS(ROW(NOTA[ID]),COLUMN(NOTA[ID]))&amp;":"&amp;ADDRESS(ROW(),COLUMN(NOTA[ID]))),-1)))</f>
        <v>138</v>
      </c>
      <c r="E629" s="60"/>
      <c r="F629" s="31"/>
      <c r="G629" s="31"/>
      <c r="H629" s="33"/>
      <c r="I629" s="54"/>
      <c r="J629" s="56"/>
      <c r="K629" s="54"/>
      <c r="L629" s="31" t="s">
        <v>766</v>
      </c>
      <c r="M629" s="57">
        <v>3</v>
      </c>
      <c r="N629" s="54">
        <v>432</v>
      </c>
      <c r="O629" s="31" t="s">
        <v>90</v>
      </c>
      <c r="P629" s="52">
        <v>21000</v>
      </c>
      <c r="Q629" s="162"/>
      <c r="R629" s="35" t="s">
        <v>396</v>
      </c>
      <c r="S629" s="59"/>
      <c r="T629" s="59"/>
      <c r="U629" s="58"/>
      <c r="V629" s="87"/>
      <c r="W629" s="58">
        <f>IF(NOTA[[#This Row],[HARGA/ CTN]]="",NOTA[[#This Row],[JUMLAH_H]],NOTA[[#This Row],[HARGA/ CTN]]*NOTA[[#This Row],[C]])</f>
        <v>9072000</v>
      </c>
      <c r="X629" s="58">
        <f>IF(NOTA[[#This Row],[JUMLAH]]="","",NOTA[[#This Row],[JUMLAH]]*NOTA[[#This Row],[DISC 1]])</f>
        <v>0</v>
      </c>
      <c r="Y629" s="58">
        <f>IF(NOTA[[#This Row],[JUMLAH]]="","",(NOTA[[#This Row],[JUMLAH]]-NOTA[[#This Row],[DISC 1-]])*NOTA[[#This Row],[DISC 2]])</f>
        <v>0</v>
      </c>
      <c r="Z629" s="58">
        <f>IF(NOTA[[#This Row],[JUMLAH]]="","",NOTA[[#This Row],[DISC 1-]]+NOTA[[#This Row],[DISC 2-]])</f>
        <v>0</v>
      </c>
      <c r="AA629" s="58">
        <f>IF(NOTA[[#This Row],[JUMLAH]]="","",NOTA[[#This Row],[JUMLAH]]-NOTA[[#This Row],[DISC]])</f>
        <v>9072000</v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8">
        <f>IF(OR(NOTA[[#This Row],[QTY]]="",NOTA[[#This Row],[HARGA SATUAN]]="",),"",NOTA[[#This Row],[QTY]]*NOTA[[#This Row],[HARGA SATUAN]])</f>
        <v>9072000</v>
      </c>
      <c r="AF629" s="56">
        <f ca="1">IF(NOTA[ID_H]="","",INDEX(NOTA[TANGGAL],MATCH(,INDIRECT(ADDRESS(ROW(NOTA[TANGGAL]),COLUMN(NOTA[TANGGAL]))&amp;":"&amp;ADDRESS(ROW(),COLUMN(NOTA[TANGGAL]))),-1)))</f>
        <v>44867</v>
      </c>
      <c r="AG629" s="52" t="str">
        <f ca="1">IF(NOTA[[#This Row],[NAMA BARANG]]="","",INDEX(NOTA[SUPPLIER],MATCH(,INDIRECT(ADDRESS(ROW(NOTA[ID]),COLUMN(NOTA[ID]))&amp;":"&amp;ADDRESS(ROW(),COLUMN(NOTA[ID]))),-1)))</f>
        <v>DB STATIONERY</v>
      </c>
      <c r="AH629" s="16" t="str">
        <f ca="1">IF(NOTA[[#This Row],[ID]]="","",COUNTIF(NOTA[ID_H],NOTA[[#This Row],[ID_H]]))</f>
        <v/>
      </c>
      <c r="AI629" s="16">
        <f ca="1">IF(NOTA[[#This Row],[TGL.NOTA]]="",IF(NOTA[[#This Row],[SUPPLIER_H]]="","",AI628),MONTH(NOTA[[#This Row],[TGL.NOTA]]))</f>
        <v>10</v>
      </c>
      <c r="AJ629" s="16"/>
    </row>
    <row r="630" spans="1:36" ht="20.100000000000001" customHeight="1" x14ac:dyDescent="0.25">
      <c r="A6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3" t="str">
        <f>IF(NOTA[[#This Row],[ID_P]]="","",MATCH(NOTA[[#This Row],[ID_P]],[1]!B_MSK[N_ID],0))</f>
        <v/>
      </c>
      <c r="D630" s="53">
        <f ca="1">IF(NOTA[[#This Row],[NAMA BARANG]]="","",INDEX(NOTA[ID],MATCH(,INDIRECT(ADDRESS(ROW(NOTA[ID]),COLUMN(NOTA[ID]))&amp;":"&amp;ADDRESS(ROW(),COLUMN(NOTA[ID]))),-1)))</f>
        <v>138</v>
      </c>
      <c r="E630" s="32"/>
      <c r="F630" s="31"/>
      <c r="G630" s="31"/>
      <c r="H630" s="33"/>
      <c r="I630" s="54"/>
      <c r="J630" s="56"/>
      <c r="K630" s="54"/>
      <c r="L630" s="31" t="s">
        <v>769</v>
      </c>
      <c r="M630" s="57">
        <v>3</v>
      </c>
      <c r="N630" s="54">
        <v>360</v>
      </c>
      <c r="O630" s="31" t="s">
        <v>88</v>
      </c>
      <c r="P630" s="52">
        <v>13750</v>
      </c>
      <c r="Q630" s="162"/>
      <c r="R630" s="35" t="s">
        <v>768</v>
      </c>
      <c r="S630" s="59"/>
      <c r="T630" s="59"/>
      <c r="U630" s="58"/>
      <c r="V630" s="87"/>
      <c r="W630" s="58">
        <f>IF(NOTA[[#This Row],[HARGA/ CTN]]="",NOTA[[#This Row],[JUMLAH_H]],NOTA[[#This Row],[HARGA/ CTN]]*NOTA[[#This Row],[C]])</f>
        <v>4950000</v>
      </c>
      <c r="X630" s="58">
        <f>IF(NOTA[[#This Row],[JUMLAH]]="","",NOTA[[#This Row],[JUMLAH]]*NOTA[[#This Row],[DISC 1]])</f>
        <v>0</v>
      </c>
      <c r="Y630" s="58">
        <f>IF(NOTA[[#This Row],[JUMLAH]]="","",(NOTA[[#This Row],[JUMLAH]]-NOTA[[#This Row],[DISC 1-]])*NOTA[[#This Row],[DISC 2]])</f>
        <v>0</v>
      </c>
      <c r="Z630" s="58">
        <f>IF(NOTA[[#This Row],[JUMLAH]]="","",NOTA[[#This Row],[DISC 1-]]+NOTA[[#This Row],[DISC 2-]])</f>
        <v>0</v>
      </c>
      <c r="AA630" s="58">
        <f>IF(NOTA[[#This Row],[JUMLAH]]="","",NOTA[[#This Row],[JUMLAH]]-NOTA[[#This Row],[DISC]])</f>
        <v>4950000</v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630" s="58">
        <f>IF(OR(NOTA[[#This Row],[QTY]]="",NOTA[[#This Row],[HARGA SATUAN]]="",),"",NOTA[[#This Row],[QTY]]*NOTA[[#This Row],[HARGA SATUAN]])</f>
        <v>4950000</v>
      </c>
      <c r="AF630" s="56">
        <f ca="1">IF(NOTA[ID_H]="","",INDEX(NOTA[TANGGAL],MATCH(,INDIRECT(ADDRESS(ROW(NOTA[TANGGAL]),COLUMN(NOTA[TANGGAL]))&amp;":"&amp;ADDRESS(ROW(),COLUMN(NOTA[TANGGAL]))),-1)))</f>
        <v>44867</v>
      </c>
      <c r="AG630" s="52" t="str">
        <f ca="1">IF(NOTA[[#This Row],[NAMA BARANG]]="","",INDEX(NOTA[SUPPLIER],MATCH(,INDIRECT(ADDRESS(ROW(NOTA[ID]),COLUMN(NOTA[ID]))&amp;":"&amp;ADDRESS(ROW(),COLUMN(NOTA[ID]))),-1)))</f>
        <v>DB STATIONERY</v>
      </c>
      <c r="AH630" s="16" t="str">
        <f ca="1">IF(NOTA[[#This Row],[ID]]="","",COUNTIF(NOTA[ID_H],NOTA[[#This Row],[ID_H]]))</f>
        <v/>
      </c>
      <c r="AI630" s="16">
        <f ca="1">IF(NOTA[[#This Row],[TGL.NOTA]]="",IF(NOTA[[#This Row],[SUPPLIER_H]]="","",AI629),MONTH(NOTA[[#This Row],[TGL.NOTA]]))</f>
        <v>10</v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>
        <f ca="1">IF(NOTA[[#This Row],[NAMA BARANG]]="","",INDEX(NOTA[ID],MATCH(,INDIRECT(ADDRESS(ROW(NOTA[ID]),COLUMN(NOTA[ID]))&amp;":"&amp;ADDRESS(ROW(),COLUMN(NOTA[ID]))),-1)))</f>
        <v>138</v>
      </c>
      <c r="E631" s="60"/>
      <c r="F631" s="54"/>
      <c r="G631" s="54"/>
      <c r="H631" s="55"/>
      <c r="I631" s="54"/>
      <c r="J631" s="56"/>
      <c r="K631" s="54"/>
      <c r="L631" s="31" t="s">
        <v>770</v>
      </c>
      <c r="M631" s="57">
        <v>1</v>
      </c>
      <c r="N631" s="54">
        <v>96</v>
      </c>
      <c r="O631" s="31" t="s">
        <v>90</v>
      </c>
      <c r="P631" s="52">
        <v>29000</v>
      </c>
      <c r="Q631" s="162"/>
      <c r="R631" s="35" t="s">
        <v>621</v>
      </c>
      <c r="S631" s="59"/>
      <c r="T631" s="59"/>
      <c r="U631" s="58"/>
      <c r="V631" s="87"/>
      <c r="W631" s="58">
        <f>IF(NOTA[[#This Row],[HARGA/ CTN]]="",NOTA[[#This Row],[JUMLAH_H]],NOTA[[#This Row],[HARGA/ CTN]]*NOTA[[#This Row],[C]])</f>
        <v>2784000</v>
      </c>
      <c r="X631" s="58">
        <f>IF(NOTA[[#This Row],[JUMLAH]]="","",NOTA[[#This Row],[JUMLAH]]*NOTA[[#This Row],[DISC 1]])</f>
        <v>0</v>
      </c>
      <c r="Y631" s="58">
        <f>IF(NOTA[[#This Row],[JUMLAH]]="","",(NOTA[[#This Row],[JUMLAH]]-NOTA[[#This Row],[DISC 1-]])*NOTA[[#This Row],[DISC 2]])</f>
        <v>0</v>
      </c>
      <c r="Z631" s="58">
        <f>IF(NOTA[[#This Row],[JUMLAH]]="","",NOTA[[#This Row],[DISC 1-]]+NOTA[[#This Row],[DISC 2-]])</f>
        <v>0</v>
      </c>
      <c r="AA631" s="58">
        <f>IF(NOTA[[#This Row],[JUMLAH]]="","",NOTA[[#This Row],[JUMLAH]]-NOTA[[#This Row],[DISC]])</f>
        <v>2784000</v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1" s="58">
        <f>IF(OR(NOTA[[#This Row],[QTY]]="",NOTA[[#This Row],[HARGA SATUAN]]="",),"",NOTA[[#This Row],[QTY]]*NOTA[[#This Row],[HARGA SATUAN]])</f>
        <v>2784000</v>
      </c>
      <c r="AF631" s="56">
        <f ca="1">IF(NOTA[ID_H]="","",INDEX(NOTA[TANGGAL],MATCH(,INDIRECT(ADDRESS(ROW(NOTA[TANGGAL]),COLUMN(NOTA[TANGGAL]))&amp;":"&amp;ADDRESS(ROW(),COLUMN(NOTA[TANGGAL]))),-1)))</f>
        <v>44867</v>
      </c>
      <c r="AG631" s="52" t="str">
        <f ca="1">IF(NOTA[[#This Row],[NAMA BARANG]]="","",INDEX(NOTA[SUPPLIER],MATCH(,INDIRECT(ADDRESS(ROW(NOTA[ID]),COLUMN(NOTA[ID]))&amp;":"&amp;ADDRESS(ROW(),COLUMN(NOTA[ID]))),-1)))</f>
        <v>DB STATIONERY</v>
      </c>
      <c r="AH631" s="16" t="str">
        <f ca="1">IF(NOTA[[#This Row],[ID]]="","",COUNTIF(NOTA[ID_H],NOTA[[#This Row],[ID_H]]))</f>
        <v/>
      </c>
      <c r="AI631" s="16">
        <f ca="1">IF(NOTA[[#This Row],[TGL.NOTA]]="",IF(NOTA[[#This Row],[SUPPLIER_H]]="","",AI630),MONTH(NOTA[[#This Row],[TGL.NOTA]]))</f>
        <v>10</v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>
        <f ca="1">IF(NOTA[[#This Row],[NAMA BARANG]]="","",INDEX(NOTA[ID],MATCH(,INDIRECT(ADDRESS(ROW(NOTA[ID]),COLUMN(NOTA[ID]))&amp;":"&amp;ADDRESS(ROW(),COLUMN(NOTA[ID]))),-1)))</f>
        <v>138</v>
      </c>
      <c r="E632" s="60"/>
      <c r="F632" s="54"/>
      <c r="G632" s="54"/>
      <c r="H632" s="55"/>
      <c r="I632" s="54"/>
      <c r="J632" s="56"/>
      <c r="K632" s="54"/>
      <c r="L632" s="31" t="s">
        <v>771</v>
      </c>
      <c r="M632" s="57">
        <v>1</v>
      </c>
      <c r="N632" s="54">
        <v>96</v>
      </c>
      <c r="O632" s="31" t="s">
        <v>90</v>
      </c>
      <c r="P632" s="52">
        <v>29000</v>
      </c>
      <c r="Q632" s="162"/>
      <c r="R632" s="35" t="s">
        <v>621</v>
      </c>
      <c r="S632" s="59"/>
      <c r="T632" s="59"/>
      <c r="U632" s="58"/>
      <c r="V632" s="87"/>
      <c r="W632" s="58">
        <f>IF(NOTA[[#This Row],[HARGA/ CTN]]="",NOTA[[#This Row],[JUMLAH_H]],NOTA[[#This Row],[HARGA/ CTN]]*NOTA[[#This Row],[C]])</f>
        <v>2784000</v>
      </c>
      <c r="X632" s="58">
        <f>IF(NOTA[[#This Row],[JUMLAH]]="","",NOTA[[#This Row],[JUMLAH]]*NOTA[[#This Row],[DISC 1]])</f>
        <v>0</v>
      </c>
      <c r="Y632" s="58">
        <f>IF(NOTA[[#This Row],[JUMLAH]]="","",(NOTA[[#This Row],[JUMLAH]]-NOTA[[#This Row],[DISC 1-]])*NOTA[[#This Row],[DISC 2]])</f>
        <v>0</v>
      </c>
      <c r="Z632" s="58">
        <f>IF(NOTA[[#This Row],[JUMLAH]]="","",NOTA[[#This Row],[DISC 1-]]+NOTA[[#This Row],[DISC 2-]])</f>
        <v>0</v>
      </c>
      <c r="AA632" s="58">
        <f>IF(NOTA[[#This Row],[JUMLAH]]="","",NOTA[[#This Row],[JUMLAH]]-NOTA[[#This Row],[DISC]])</f>
        <v>2784000</v>
      </c>
      <c r="AB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2" s="58">
        <f>IF(OR(NOTA[[#This Row],[QTY]]="",NOTA[[#This Row],[HARGA SATUAN]]="",),"",NOTA[[#This Row],[QTY]]*NOTA[[#This Row],[HARGA SATUAN]])</f>
        <v>2784000</v>
      </c>
      <c r="AF632" s="56">
        <f ca="1">IF(NOTA[ID_H]="","",INDEX(NOTA[TANGGAL],MATCH(,INDIRECT(ADDRESS(ROW(NOTA[TANGGAL]),COLUMN(NOTA[TANGGAL]))&amp;":"&amp;ADDRESS(ROW(),COLUMN(NOTA[TANGGAL]))),-1)))</f>
        <v>44867</v>
      </c>
      <c r="AG632" s="52" t="str">
        <f ca="1">IF(NOTA[[#This Row],[NAMA BARANG]]="","",INDEX(NOTA[SUPPLIER],MATCH(,INDIRECT(ADDRESS(ROW(NOTA[ID]),COLUMN(NOTA[ID]))&amp;":"&amp;ADDRESS(ROW(),COLUMN(NOTA[ID]))),-1)))</f>
        <v>DB STATIONERY</v>
      </c>
      <c r="AH632" s="16" t="str">
        <f ca="1">IF(NOTA[[#This Row],[ID]]="","",COUNTIF(NOTA[ID_H],NOTA[[#This Row],[ID_H]]))</f>
        <v/>
      </c>
      <c r="AI632" s="16">
        <f ca="1">IF(NOTA[[#This Row],[TGL.NOTA]]="",IF(NOTA[[#This Row],[SUPPLIER_H]]="","",AI631),MONTH(NOTA[[#This Row],[TGL.NOTA]]))</f>
        <v>10</v>
      </c>
      <c r="AJ632" s="16"/>
    </row>
    <row r="633" spans="1:36" ht="20.100000000000001" customHeight="1" x14ac:dyDescent="0.25">
      <c r="A6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3" t="str">
        <f>IF(NOTA[[#This Row],[ID_P]]="","",MATCH(NOTA[[#This Row],[ID_P]],[1]!B_MSK[N_ID],0))</f>
        <v/>
      </c>
      <c r="D633" s="53">
        <f ca="1">IF(NOTA[[#This Row],[NAMA BARANG]]="","",INDEX(NOTA[ID],MATCH(,INDIRECT(ADDRESS(ROW(NOTA[ID]),COLUMN(NOTA[ID]))&amp;":"&amp;ADDRESS(ROW(),COLUMN(NOTA[ID]))),-1)))</f>
        <v>138</v>
      </c>
      <c r="E633" s="60"/>
      <c r="F633" s="54"/>
      <c r="G633" s="54"/>
      <c r="H633" s="55"/>
      <c r="I633" s="54"/>
      <c r="J633" s="56"/>
      <c r="K633" s="54"/>
      <c r="L633" s="31" t="s">
        <v>772</v>
      </c>
      <c r="M633" s="57">
        <v>1</v>
      </c>
      <c r="N633" s="54">
        <v>96</v>
      </c>
      <c r="O633" s="31" t="s">
        <v>90</v>
      </c>
      <c r="P633" s="52">
        <v>29000</v>
      </c>
      <c r="Q633" s="162"/>
      <c r="R633" s="35" t="s">
        <v>621</v>
      </c>
      <c r="S633" s="59"/>
      <c r="T633" s="59"/>
      <c r="U633" s="58"/>
      <c r="V633" s="87"/>
      <c r="W633" s="58">
        <f>IF(NOTA[[#This Row],[HARGA/ CTN]]="",NOTA[[#This Row],[JUMLAH_H]],NOTA[[#This Row],[HARGA/ CTN]]*NOTA[[#This Row],[C]])</f>
        <v>2784000</v>
      </c>
      <c r="X633" s="58">
        <f>IF(NOTA[[#This Row],[JUMLAH]]="","",NOTA[[#This Row],[JUMLAH]]*NOTA[[#This Row],[DISC 1]])</f>
        <v>0</v>
      </c>
      <c r="Y633" s="58">
        <f>IF(NOTA[[#This Row],[JUMLAH]]="","",(NOTA[[#This Row],[JUMLAH]]-NOTA[[#This Row],[DISC 1-]])*NOTA[[#This Row],[DISC 2]])</f>
        <v>0</v>
      </c>
      <c r="Z633" s="58">
        <f>IF(NOTA[[#This Row],[JUMLAH]]="","",NOTA[[#This Row],[DISC 1-]]+NOTA[[#This Row],[DISC 2-]])</f>
        <v>0</v>
      </c>
      <c r="AA633" s="58">
        <f>IF(NOTA[[#This Row],[JUMLAH]]="","",NOTA[[#This Row],[JUMLAH]]-NOTA[[#This Row],[DISC]])</f>
        <v>2784000</v>
      </c>
      <c r="AB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63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3" s="58">
        <f>IF(OR(NOTA[[#This Row],[QTY]]="",NOTA[[#This Row],[HARGA SATUAN]]="",),"",NOTA[[#This Row],[QTY]]*NOTA[[#This Row],[HARGA SATUAN]])</f>
        <v>2784000</v>
      </c>
      <c r="AF633" s="56">
        <f ca="1">IF(NOTA[ID_H]="","",INDEX(NOTA[TANGGAL],MATCH(,INDIRECT(ADDRESS(ROW(NOTA[TANGGAL]),COLUMN(NOTA[TANGGAL]))&amp;":"&amp;ADDRESS(ROW(),COLUMN(NOTA[TANGGAL]))),-1)))</f>
        <v>44867</v>
      </c>
      <c r="AG633" s="52" t="str">
        <f ca="1">IF(NOTA[[#This Row],[NAMA BARANG]]="","",INDEX(NOTA[SUPPLIER],MATCH(,INDIRECT(ADDRESS(ROW(NOTA[ID]),COLUMN(NOTA[ID]))&amp;":"&amp;ADDRESS(ROW(),COLUMN(NOTA[ID]))),-1)))</f>
        <v>DB STATIONERY</v>
      </c>
      <c r="AH633" s="16" t="str">
        <f ca="1">IF(NOTA[[#This Row],[ID]]="","",COUNTIF(NOTA[ID_H],NOTA[[#This Row],[ID_H]]))</f>
        <v/>
      </c>
      <c r="AI633" s="16">
        <f ca="1">IF(NOTA[[#This Row],[TGL.NOTA]]="",IF(NOTA[[#This Row],[SUPPLIER_H]]="","",AI632),MONTH(NOTA[[#This Row],[TGL.NOTA]]))</f>
        <v>10</v>
      </c>
      <c r="AJ633" s="16"/>
    </row>
    <row r="634" spans="1:36" ht="20.100000000000001" customHeight="1" x14ac:dyDescent="0.25">
      <c r="A6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3" t="str">
        <f>IF(NOTA[[#This Row],[ID_P]]="","",MATCH(NOTA[[#This Row],[ID_P]],[1]!B_MSK[N_ID],0))</f>
        <v/>
      </c>
      <c r="D634" s="53" t="str">
        <f ca="1">IF(NOTA[[#This Row],[NAMA BARANG]]="","",INDEX(NOTA[ID],MATCH(,INDIRECT(ADDRESS(ROW(NOTA[ID]),COLUMN(NOTA[ID]))&amp;":"&amp;ADDRESS(ROW(),COLUMN(NOTA[ID]))),-1)))</f>
        <v/>
      </c>
      <c r="E634" s="60"/>
      <c r="F634" s="54"/>
      <c r="G634" s="54"/>
      <c r="H634" s="55"/>
      <c r="I634" s="54"/>
      <c r="J634" s="56"/>
      <c r="K634" s="54"/>
      <c r="L634" s="31"/>
      <c r="M634" s="57"/>
      <c r="N634" s="54"/>
      <c r="O634" s="31"/>
      <c r="P634" s="52"/>
      <c r="Q634" s="162"/>
      <c r="R634" s="35"/>
      <c r="S634" s="59"/>
      <c r="T634" s="59"/>
      <c r="U634" s="58"/>
      <c r="V634" s="87"/>
      <c r="W634" s="58" t="str">
        <f>IF(NOTA[[#This Row],[HARGA/ CTN]]="",NOTA[[#This Row],[JUMLAH_H]],NOTA[[#This Row],[HARGA/ CTN]]*NOTA[[#This Row],[C]])</f>
        <v/>
      </c>
      <c r="X634" s="58" t="str">
        <f>IF(NOTA[[#This Row],[JUMLAH]]="","",NOTA[[#This Row],[JUMLAH]]*NOTA[[#This Row],[DISC 1]])</f>
        <v/>
      </c>
      <c r="Y634" s="58" t="str">
        <f>IF(NOTA[[#This Row],[JUMLAH]]="","",(NOTA[[#This Row],[JUMLAH]]-NOTA[[#This Row],[DISC 1-]])*NOTA[[#This Row],[DISC 2]])</f>
        <v/>
      </c>
      <c r="Z634" s="58" t="str">
        <f>IF(NOTA[[#This Row],[JUMLAH]]="","",NOTA[[#This Row],[DISC 1-]]+NOTA[[#This Row],[DISC 2-]])</f>
        <v/>
      </c>
      <c r="AA634" s="58" t="str">
        <f>IF(NOTA[[#This Row],[JUMLAH]]="","",NOTA[[#This Row],[JUMLAH]]-NOTA[[#This Row],[DISC]])</f>
        <v/>
      </c>
      <c r="AB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8" t="str">
        <f>IF(OR(NOTA[[#This Row],[QTY]]="",NOTA[[#This Row],[HARGA SATUAN]]="",),"",NOTA[[#This Row],[QTY]]*NOTA[[#This Row],[HARGA SATUAN]])</f>
        <v/>
      </c>
      <c r="AF634" s="56" t="str">
        <f ca="1">IF(NOTA[ID_H]="","",INDEX(NOTA[TANGGAL],MATCH(,INDIRECT(ADDRESS(ROW(NOTA[TANGGAL]),COLUMN(NOTA[TANGGAL]))&amp;":"&amp;ADDRESS(ROW(),COLUMN(NOTA[TANGGAL]))),-1)))</f>
        <v/>
      </c>
      <c r="AG634" s="52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 t="str">
        <f ca="1">IF(NOTA[[#This Row],[TGL.NOTA]]="",IF(NOTA[[#This Row],[SUPPLIER_H]]="","",AI633),MONTH(NOTA[[#This Row],[TGL.NOTA]]))</f>
        <v/>
      </c>
      <c r="AJ634" s="16"/>
    </row>
    <row r="635" spans="1:36" ht="20.100000000000001" customHeight="1" x14ac:dyDescent="0.25">
      <c r="A635" s="52">
        <f ca="1">IF(INDIRECT(ADDRESS(ROW()-1,COLUMN(NOTA[[#Headers],[ID]])))="ID",1,IF(NOTA[[#This Row],[FAKTUR]]="","",COUNT(INDIRECT(ADDRESS(ROW(NOTA[ID]),COLUMN(NOTA[ID]))&amp;":"&amp;ADDRESS(ROW()-1,COLUMN(NOTA[ID]))))+1))</f>
        <v>139</v>
      </c>
      <c r="B63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635" s="53" t="e">
        <f ca="1">IF(NOTA[[#This Row],[ID_P]]="","",MATCH(NOTA[[#This Row],[ID_P]],[1]!B_MSK[N_ID],0))</f>
        <v>#REF!</v>
      </c>
      <c r="D635" s="53">
        <f ca="1">IF(NOTA[[#This Row],[NAMA BARANG]]="","",INDEX(NOTA[ID],MATCH(,INDIRECT(ADDRESS(ROW(NOTA[ID]),COLUMN(NOTA[ID]))&amp;":"&amp;ADDRESS(ROW(),COLUMN(NOTA[ID]))),-1)))</f>
        <v>139</v>
      </c>
      <c r="E635" s="60"/>
      <c r="F635" s="31" t="s">
        <v>773</v>
      </c>
      <c r="G635" s="31" t="s">
        <v>87</v>
      </c>
      <c r="H635" s="33" t="s">
        <v>774</v>
      </c>
      <c r="I635" s="54"/>
      <c r="J635" s="56">
        <v>44866</v>
      </c>
      <c r="K635" s="54"/>
      <c r="L635" s="31" t="s">
        <v>775</v>
      </c>
      <c r="M635" s="57">
        <v>5</v>
      </c>
      <c r="N635" s="54">
        <v>1920</v>
      </c>
      <c r="O635" s="31" t="s">
        <v>88</v>
      </c>
      <c r="P635" s="52">
        <v>4750</v>
      </c>
      <c r="Q635" s="103"/>
      <c r="R635" s="35" t="s">
        <v>776</v>
      </c>
      <c r="S635" s="59"/>
      <c r="T635" s="59"/>
      <c r="U635" s="58"/>
      <c r="V635" s="87"/>
      <c r="W635" s="58">
        <f>IF(NOTA[[#This Row],[HARGA/ CTN]]="",NOTA[[#This Row],[JUMLAH_H]],NOTA[[#This Row],[HARGA/ CTN]]*NOTA[[#This Row],[C]])</f>
        <v>9120000</v>
      </c>
      <c r="X635" s="58">
        <f>IF(NOTA[[#This Row],[JUMLAH]]="","",NOTA[[#This Row],[JUMLAH]]*NOTA[[#This Row],[DISC 1]])</f>
        <v>0</v>
      </c>
      <c r="Y635" s="58">
        <f>IF(NOTA[[#This Row],[JUMLAH]]="","",(NOTA[[#This Row],[JUMLAH]]-NOTA[[#This Row],[DISC 1-]])*NOTA[[#This Row],[DISC 2]])</f>
        <v>0</v>
      </c>
      <c r="Z635" s="58">
        <f>IF(NOTA[[#This Row],[JUMLAH]]="","",NOTA[[#This Row],[DISC 1-]]+NOTA[[#This Row],[DISC 2-]])</f>
        <v>0</v>
      </c>
      <c r="AA635" s="58">
        <f>IF(NOTA[[#This Row],[JUMLAH]]="","",NOTA[[#This Row],[JUMLAH]]-NOTA[[#This Row],[DISC]])</f>
        <v>9120000</v>
      </c>
      <c r="AB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35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35" s="58">
        <f>IF(OR(NOTA[[#This Row],[QTY]]="",NOTA[[#This Row],[HARGA SATUAN]]="",),"",NOTA[[#This Row],[QTY]]*NOTA[[#This Row],[HARGA SATUAN]])</f>
        <v>9120000</v>
      </c>
      <c r="AF635" s="56">
        <f ca="1">IF(NOTA[ID_H]="","",INDEX(NOTA[TANGGAL],MATCH(,INDIRECT(ADDRESS(ROW(NOTA[TANGGAL]),COLUMN(NOTA[TANGGAL]))&amp;":"&amp;ADDRESS(ROW(),COLUMN(NOTA[TANGGAL]))),-1)))</f>
        <v>44867</v>
      </c>
      <c r="AG635" s="52" t="str">
        <f ca="1">IF(NOTA[[#This Row],[NAMA BARANG]]="","",INDEX(NOTA[SUPPLIER],MATCH(,INDIRECT(ADDRESS(ROW(NOTA[ID]),COLUMN(NOTA[ID]))&amp;":"&amp;ADDRESS(ROW(),COLUMN(NOTA[ID]))),-1)))</f>
        <v>TENAGA BARU</v>
      </c>
      <c r="AH635" s="16">
        <f ca="1">IF(NOTA[[#This Row],[ID]]="","",COUNTIF(NOTA[ID_H],NOTA[[#This Row],[ID_H]]))</f>
        <v>1</v>
      </c>
      <c r="AI635" s="16">
        <f>IF(NOTA[[#This Row],[TGL.NOTA]]="",IF(NOTA[[#This Row],[SUPPLIER_H]]="","",AI634),MONTH(NOTA[[#This Row],[TGL.NOTA]]))</f>
        <v>11</v>
      </c>
      <c r="AJ635" s="16"/>
    </row>
    <row r="636" spans="1:36" ht="20.100000000000001" customHeight="1" x14ac:dyDescent="0.25">
      <c r="A6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3" t="str">
        <f>IF(NOTA[[#This Row],[ID_P]]="","",MATCH(NOTA[[#This Row],[ID_P]],[1]!B_MSK[N_ID],0))</f>
        <v/>
      </c>
      <c r="D636" s="53" t="str">
        <f ca="1">IF(NOTA[[#This Row],[NAMA BARANG]]="","",INDEX(NOTA[ID],MATCH(,INDIRECT(ADDRESS(ROW(NOTA[ID]),COLUMN(NOTA[ID]))&amp;":"&amp;ADDRESS(ROW(),COLUMN(NOTA[ID]))),-1)))</f>
        <v/>
      </c>
      <c r="E636" s="60"/>
      <c r="F636" s="31"/>
      <c r="G636" s="31"/>
      <c r="H636" s="33"/>
      <c r="I636" s="31"/>
      <c r="J636" s="56"/>
      <c r="K636" s="31"/>
      <c r="L636" s="31"/>
      <c r="M636" s="57"/>
      <c r="N636" s="54"/>
      <c r="O636" s="31"/>
      <c r="P636" s="52"/>
      <c r="Q636" s="162"/>
      <c r="R636" s="35"/>
      <c r="S636" s="59"/>
      <c r="T636" s="59"/>
      <c r="U636" s="58"/>
      <c r="V636" s="87"/>
      <c r="W636" s="58" t="str">
        <f>IF(NOTA[[#This Row],[HARGA/ CTN]]="",NOTA[[#This Row],[JUMLAH_H]],NOTA[[#This Row],[HARGA/ CTN]]*NOTA[[#This Row],[C]])</f>
        <v/>
      </c>
      <c r="X636" s="58" t="str">
        <f>IF(NOTA[[#This Row],[JUMLAH]]="","",NOTA[[#This Row],[JUMLAH]]*NOTA[[#This Row],[DISC 1]])</f>
        <v/>
      </c>
      <c r="Y636" s="58" t="str">
        <f>IF(NOTA[[#This Row],[JUMLAH]]="","",(NOTA[[#This Row],[JUMLAH]]-NOTA[[#This Row],[DISC 1-]])*NOTA[[#This Row],[DISC 2]])</f>
        <v/>
      </c>
      <c r="Z636" s="58" t="str">
        <f>IF(NOTA[[#This Row],[JUMLAH]]="","",NOTA[[#This Row],[DISC 1-]]+NOTA[[#This Row],[DISC 2-]])</f>
        <v/>
      </c>
      <c r="AA636" s="58" t="str">
        <f>IF(NOTA[[#This Row],[JUMLAH]]="","",NOTA[[#This Row],[JUMLAH]]-NOTA[[#This Row],[DISC]])</f>
        <v/>
      </c>
      <c r="AB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58" t="str">
        <f>IF(OR(NOTA[[#This Row],[QTY]]="",NOTA[[#This Row],[HARGA SATUAN]]="",),"",NOTA[[#This Row],[QTY]]*NOTA[[#This Row],[HARGA SATUAN]])</f>
        <v/>
      </c>
      <c r="AF636" s="56" t="str">
        <f ca="1">IF(NOTA[ID_H]="","",INDEX(NOTA[TANGGAL],MATCH(,INDIRECT(ADDRESS(ROW(NOTA[TANGGAL]),COLUMN(NOTA[TANGGAL]))&amp;":"&amp;ADDRESS(ROW(),COLUMN(NOTA[TANGGAL]))),-1)))</f>
        <v/>
      </c>
      <c r="AG636" s="52" t="str">
        <f ca="1">IF(NOTA[[#This Row],[NAMA BARANG]]="","",INDEX(NOTA[SUPPLIER],MATCH(,INDIRECT(ADDRESS(ROW(NOTA[ID]),COLUMN(NOTA[ID]))&amp;":"&amp;ADDRESS(ROW(),COLUMN(NOTA[ID]))),-1)))</f>
        <v/>
      </c>
      <c r="AH636" s="16" t="str">
        <f ca="1">IF(NOTA[[#This Row],[ID]]="","",COUNTIF(NOTA[ID_H],NOTA[[#This Row],[ID_H]]))</f>
        <v/>
      </c>
      <c r="AI636" s="16" t="str">
        <f ca="1">IF(NOTA[[#This Row],[TGL.NOTA]]="",IF(NOTA[[#This Row],[SUPPLIER_H]]="","",AI635),MONTH(NOTA[[#This Row],[TGL.NOTA]]))</f>
        <v/>
      </c>
      <c r="AJ636" s="16"/>
    </row>
    <row r="637" spans="1:36" ht="20.100000000000001" customHeight="1" x14ac:dyDescent="0.25">
      <c r="A637" s="52">
        <f ca="1">IF(INDIRECT(ADDRESS(ROW()-1,COLUMN(NOTA[[#Headers],[ID]])))="ID",1,IF(NOTA[[#This Row],[FAKTUR]]="","",COUNT(INDIRECT(ADDRESS(ROW(NOTA[ID]),COLUMN(NOTA[ID]))&amp;":"&amp;ADDRESS(ROW()-1,COLUMN(NOTA[ID]))))+1))</f>
        <v>140</v>
      </c>
      <c r="B63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637" s="53" t="e">
        <f ca="1">IF(NOTA[[#This Row],[ID_P]]="","",MATCH(NOTA[[#This Row],[ID_P]],[1]!B_MSK[N_ID],0))</f>
        <v>#REF!</v>
      </c>
      <c r="D637" s="53">
        <f ca="1">IF(NOTA[[#This Row],[NAMA BARANG]]="","",INDEX(NOTA[ID],MATCH(,INDIRECT(ADDRESS(ROW(NOTA[ID]),COLUMN(NOTA[ID]))&amp;":"&amp;ADDRESS(ROW(),COLUMN(NOTA[ID]))),-1)))</f>
        <v>140</v>
      </c>
      <c r="E637" s="60">
        <v>44868</v>
      </c>
      <c r="F637" s="31" t="s">
        <v>234</v>
      </c>
      <c r="G637" s="31" t="s">
        <v>87</v>
      </c>
      <c r="H637" s="33" t="s">
        <v>777</v>
      </c>
      <c r="I637" s="54"/>
      <c r="J637" s="56">
        <v>44862</v>
      </c>
      <c r="K637" s="54"/>
      <c r="L637" s="31" t="s">
        <v>309</v>
      </c>
      <c r="M637" s="57">
        <v>5</v>
      </c>
      <c r="N637" s="54">
        <v>500</v>
      </c>
      <c r="O637" s="31" t="s">
        <v>210</v>
      </c>
      <c r="P637" s="52">
        <v>26780</v>
      </c>
      <c r="Q637" s="162"/>
      <c r="R637" s="35" t="s">
        <v>310</v>
      </c>
      <c r="S637" s="59">
        <v>0.2</v>
      </c>
      <c r="T637" s="59">
        <v>0.04</v>
      </c>
      <c r="U637" s="58"/>
      <c r="V637" s="87"/>
      <c r="W637" s="58">
        <f>IF(NOTA[[#This Row],[HARGA/ CTN]]="",NOTA[[#This Row],[JUMLAH_H]],NOTA[[#This Row],[HARGA/ CTN]]*NOTA[[#This Row],[C]])</f>
        <v>13390000</v>
      </c>
      <c r="X637" s="58">
        <f>IF(NOTA[[#This Row],[JUMLAH]]="","",NOTA[[#This Row],[JUMLAH]]*NOTA[[#This Row],[DISC 1]])</f>
        <v>2678000</v>
      </c>
      <c r="Y637" s="58">
        <f>IF(NOTA[[#This Row],[JUMLAH]]="","",(NOTA[[#This Row],[JUMLAH]]-NOTA[[#This Row],[DISC 1-]])*NOTA[[#This Row],[DISC 2]])</f>
        <v>428480</v>
      </c>
      <c r="Z637" s="58">
        <f>IF(NOTA[[#This Row],[JUMLAH]]="","",NOTA[[#This Row],[DISC 1-]]+NOTA[[#This Row],[DISC 2-]])</f>
        <v>3106480</v>
      </c>
      <c r="AA637" s="58">
        <f>IF(NOTA[[#This Row],[JUMLAH]]="","",NOTA[[#This Row],[JUMLAH]]-NOTA[[#This Row],[DISC]])</f>
        <v>10283520</v>
      </c>
      <c r="AB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37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637" s="58">
        <f>IF(OR(NOTA[[#This Row],[QTY]]="",NOTA[[#This Row],[HARGA SATUAN]]="",),"",NOTA[[#This Row],[QTY]]*NOTA[[#This Row],[HARGA SATUAN]])</f>
        <v>13390000</v>
      </c>
      <c r="AF637" s="56">
        <f ca="1">IF(NOTA[ID_H]="","",INDEX(NOTA[TANGGAL],MATCH(,INDIRECT(ADDRESS(ROW(NOTA[TANGGAL]),COLUMN(NOTA[TANGGAL]))&amp;":"&amp;ADDRESS(ROW(),COLUMN(NOTA[TANGGAL]))),-1)))</f>
        <v>44868</v>
      </c>
      <c r="AG637" s="52" t="str">
        <f ca="1">IF(NOTA[[#This Row],[NAMA BARANG]]="","",INDEX(NOTA[SUPPLIER],MATCH(,INDIRECT(ADDRESS(ROW(NOTA[ID]),COLUMN(NOTA[ID]))&amp;":"&amp;ADDRESS(ROW(),COLUMN(NOTA[ID]))),-1)))</f>
        <v>PPW</v>
      </c>
      <c r="AH637" s="16">
        <f ca="1">IF(NOTA[[#This Row],[ID]]="","",COUNTIF(NOTA[ID_H],NOTA[[#This Row],[ID_H]]))</f>
        <v>1</v>
      </c>
      <c r="AI637" s="16">
        <f>IF(NOTA[[#This Row],[TGL.NOTA]]="",IF(NOTA[[#This Row],[SUPPLIER_H]]="","",#REF!),MONTH(NOTA[[#This Row],[TGL.NOTA]]))</f>
        <v>10</v>
      </c>
      <c r="AJ637" s="16"/>
    </row>
    <row r="638" spans="1:36" ht="20.100000000000001" customHeight="1" x14ac:dyDescent="0.25">
      <c r="A6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3" t="str">
        <f>IF(NOTA[[#This Row],[ID_P]]="","",MATCH(NOTA[[#This Row],[ID_P]],[1]!B_MSK[N_ID],0))</f>
        <v/>
      </c>
      <c r="D638" s="53" t="str">
        <f ca="1">IF(NOTA[[#This Row],[NAMA BARANG]]="","",INDEX(NOTA[ID],MATCH(,INDIRECT(ADDRESS(ROW(NOTA[ID]),COLUMN(NOTA[ID]))&amp;":"&amp;ADDRESS(ROW(),COLUMN(NOTA[ID]))),-1)))</f>
        <v/>
      </c>
      <c r="E638" s="60"/>
      <c r="F638" s="31"/>
      <c r="G638" s="31"/>
      <c r="H638" s="33"/>
      <c r="I638" s="54"/>
      <c r="J638" s="56"/>
      <c r="K638" s="54"/>
      <c r="L638" s="31"/>
      <c r="M638" s="57"/>
      <c r="N638" s="54"/>
      <c r="O638" s="31"/>
      <c r="P638" s="52"/>
      <c r="Q638" s="162"/>
      <c r="R638" s="35"/>
      <c r="S638" s="59"/>
      <c r="T638" s="59"/>
      <c r="U638" s="58"/>
      <c r="V638" s="87"/>
      <c r="W638" s="58" t="str">
        <f>IF(NOTA[[#This Row],[HARGA/ CTN]]="",NOTA[[#This Row],[JUMLAH_H]],NOTA[[#This Row],[HARGA/ CTN]]*NOTA[[#This Row],[C]])</f>
        <v/>
      </c>
      <c r="X638" s="58" t="str">
        <f>IF(NOTA[[#This Row],[JUMLAH]]="","",NOTA[[#This Row],[JUMLAH]]*NOTA[[#This Row],[DISC 1]])</f>
        <v/>
      </c>
      <c r="Y638" s="58" t="str">
        <f>IF(NOTA[[#This Row],[JUMLAH]]="","",(NOTA[[#This Row],[JUMLAH]]-NOTA[[#This Row],[DISC 1-]])*NOTA[[#This Row],[DISC 2]])</f>
        <v/>
      </c>
      <c r="Z638" s="58" t="str">
        <f>IF(NOTA[[#This Row],[JUMLAH]]="","",NOTA[[#This Row],[DISC 1-]]+NOTA[[#This Row],[DISC 2-]])</f>
        <v/>
      </c>
      <c r="AA638" s="58" t="str">
        <f>IF(NOTA[[#This Row],[JUMLAH]]="","",NOTA[[#This Row],[JUMLAH]]-NOTA[[#This Row],[DISC]])</f>
        <v/>
      </c>
      <c r="AB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58" t="str">
        <f>IF(OR(NOTA[[#This Row],[QTY]]="",NOTA[[#This Row],[HARGA SATUAN]]="",),"",NOTA[[#This Row],[QTY]]*NOTA[[#This Row],[HARGA SATUAN]])</f>
        <v/>
      </c>
      <c r="AF638" s="56" t="str">
        <f ca="1">IF(NOTA[ID_H]="","",INDEX(NOTA[TANGGAL],MATCH(,INDIRECT(ADDRESS(ROW(NOTA[TANGGAL]),COLUMN(NOTA[TANGGAL]))&amp;":"&amp;ADDRESS(ROW(),COLUMN(NOTA[TANGGAL]))),-1)))</f>
        <v/>
      </c>
      <c r="AG638" s="52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52">
        <f ca="1">IF(INDIRECT(ADDRESS(ROW()-1,COLUMN(NOTA[[#Headers],[ID]])))="ID",1,IF(NOTA[[#This Row],[FAKTUR]]="","",COUNT(INDIRECT(ADDRESS(ROW(NOTA[ID]),COLUMN(NOTA[ID]))&amp;":"&amp;ADDRESS(ROW()-1,COLUMN(NOTA[ID]))))+1))</f>
        <v>141</v>
      </c>
      <c r="B6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39" s="53" t="e">
        <f ca="1">IF(NOTA[[#This Row],[ID_P]]="","",MATCH(NOTA[[#This Row],[ID_P]],[1]!B_MSK[N_ID],0))</f>
        <v>#REF!</v>
      </c>
      <c r="D639" s="53">
        <f ca="1">IF(NOTA[[#This Row],[NAMA BARANG]]="","",INDEX(NOTA[ID],MATCH(,INDIRECT(ADDRESS(ROW(NOTA[ID]),COLUMN(NOTA[ID]))&amp;":"&amp;ADDRESS(ROW(),COLUMN(NOTA[ID]))),-1)))</f>
        <v>141</v>
      </c>
      <c r="E639" s="60"/>
      <c r="F639" s="31" t="s">
        <v>254</v>
      </c>
      <c r="G639" s="31" t="s">
        <v>87</v>
      </c>
      <c r="H639" s="33" t="s">
        <v>780</v>
      </c>
      <c r="I639" s="54"/>
      <c r="J639" s="56">
        <v>44862</v>
      </c>
      <c r="K639" s="54"/>
      <c r="L639" s="31" t="s">
        <v>258</v>
      </c>
      <c r="M639" s="57">
        <v>1</v>
      </c>
      <c r="N639" s="54">
        <v>50</v>
      </c>
      <c r="O639" s="31" t="s">
        <v>90</v>
      </c>
      <c r="P639" s="52"/>
      <c r="Q639" s="103"/>
      <c r="R639" s="35" t="s">
        <v>257</v>
      </c>
      <c r="S639" s="59"/>
      <c r="T639" s="59"/>
      <c r="U639" s="58"/>
      <c r="V639" s="87"/>
      <c r="W639" s="58" t="str">
        <f>IF(NOTA[[#This Row],[HARGA/ CTN]]="",NOTA[[#This Row],[JUMLAH_H]],NOTA[[#This Row],[HARGA/ CTN]]*NOTA[[#This Row],[C]])</f>
        <v/>
      </c>
      <c r="X639" s="58" t="str">
        <f>IF(NOTA[[#This Row],[JUMLAH]]="","",NOTA[[#This Row],[JUMLAH]]*NOTA[[#This Row],[DISC 1]])</f>
        <v/>
      </c>
      <c r="Y639" s="58" t="str">
        <f>IF(NOTA[[#This Row],[JUMLAH]]="","",(NOTA[[#This Row],[JUMLAH]]-NOTA[[#This Row],[DISC 1-]])*NOTA[[#This Row],[DISC 2]])</f>
        <v/>
      </c>
      <c r="Z639" s="58" t="str">
        <f>IF(NOTA[[#This Row],[JUMLAH]]="","",NOTA[[#This Row],[DISC 1-]]+NOTA[[#This Row],[DISC 2-]])</f>
        <v/>
      </c>
      <c r="AA639" s="58" t="str">
        <f>IF(NOTA[[#This Row],[JUMLAH]]="","",NOTA[[#This Row],[JUMLAH]]-NOTA[[#This Row],[DISC]])</f>
        <v/>
      </c>
      <c r="AB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9" s="58" t="str">
        <f>IF(OR(NOTA[[#This Row],[QTY]]="",NOTA[[#This Row],[HARGA SATUAN]]="",),"",NOTA[[#This Row],[QTY]]*NOTA[[#This Row],[HARGA SATUAN]])</f>
        <v/>
      </c>
      <c r="AF639" s="56">
        <f ca="1">IF(NOTA[ID_H]="","",INDEX(NOTA[TANGGAL],MATCH(,INDIRECT(ADDRESS(ROW(NOTA[TANGGAL]),COLUMN(NOTA[TANGGAL]))&amp;":"&amp;ADDRESS(ROW(),COLUMN(NOTA[TANGGAL]))),-1)))</f>
        <v>44868</v>
      </c>
      <c r="AG639" s="52" t="str">
        <f ca="1">IF(NOTA[[#This Row],[NAMA BARANG]]="","",INDEX(NOTA[SUPPLIER],MATCH(,INDIRECT(ADDRESS(ROW(NOTA[ID]),COLUMN(NOTA[ID]))&amp;":"&amp;ADDRESS(ROW(),COLUMN(NOTA[ID]))),-1)))</f>
        <v>GRAFINDO</v>
      </c>
      <c r="AH639" s="16">
        <f ca="1">IF(NOTA[[#This Row],[ID]]="","",COUNTIF(NOTA[ID_H],NOTA[[#This Row],[ID_H]]))</f>
        <v>2</v>
      </c>
      <c r="AI639" s="16">
        <f>IF(NOTA[[#This Row],[TGL.NOTA]]="",IF(NOTA[[#This Row],[SUPPLIER_H]]="","",AI638),MONTH(NOTA[[#This Row],[TGL.NOTA]]))</f>
        <v>10</v>
      </c>
      <c r="AJ639" s="16"/>
    </row>
    <row r="640" spans="1:36" ht="20.100000000000001" customHeight="1" x14ac:dyDescent="0.25">
      <c r="A6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3" t="str">
        <f>IF(NOTA[[#This Row],[ID_P]]="","",MATCH(NOTA[[#This Row],[ID_P]],[1]!B_MSK[N_ID],0))</f>
        <v/>
      </c>
      <c r="D640" s="53">
        <f ca="1">IF(NOTA[[#This Row],[NAMA BARANG]]="","",INDEX(NOTA[ID],MATCH(,INDIRECT(ADDRESS(ROW(NOTA[ID]),COLUMN(NOTA[ID]))&amp;":"&amp;ADDRESS(ROW(),COLUMN(NOTA[ID]))),-1)))</f>
        <v>141</v>
      </c>
      <c r="E640" s="60"/>
      <c r="F640" s="54"/>
      <c r="G640" s="54"/>
      <c r="H640" s="55"/>
      <c r="I640" s="54"/>
      <c r="J640" s="56"/>
      <c r="K640" s="54"/>
      <c r="L640" s="31" t="s">
        <v>781</v>
      </c>
      <c r="M640" s="57">
        <v>6</v>
      </c>
      <c r="N640" s="54">
        <v>300</v>
      </c>
      <c r="O640" s="31" t="s">
        <v>90</v>
      </c>
      <c r="P640" s="52">
        <v>17500</v>
      </c>
      <c r="Q640" s="162"/>
      <c r="R640" s="35" t="s">
        <v>257</v>
      </c>
      <c r="S640" s="59"/>
      <c r="T640" s="59"/>
      <c r="U640" s="58"/>
      <c r="V640" s="87" t="s">
        <v>782</v>
      </c>
      <c r="W640" s="58">
        <f>IF(NOTA[[#This Row],[HARGA/ CTN]]="",NOTA[[#This Row],[JUMLAH_H]],NOTA[[#This Row],[HARGA/ CTN]]*NOTA[[#This Row],[C]])</f>
        <v>5250000</v>
      </c>
      <c r="X640" s="58">
        <f>IF(NOTA[[#This Row],[JUMLAH]]="","",NOTA[[#This Row],[JUMLAH]]*NOTA[[#This Row],[DISC 1]])</f>
        <v>0</v>
      </c>
      <c r="Y640" s="58">
        <f>IF(NOTA[[#This Row],[JUMLAH]]="","",(NOTA[[#This Row],[JUMLAH]]-NOTA[[#This Row],[DISC 1-]])*NOTA[[#This Row],[DISC 2]])</f>
        <v>0</v>
      </c>
      <c r="Z640" s="58">
        <f>IF(NOTA[[#This Row],[JUMLAH]]="","",NOTA[[#This Row],[DISC 1-]]+NOTA[[#This Row],[DISC 2-]])</f>
        <v>0</v>
      </c>
      <c r="AA640" s="58">
        <f>IF(NOTA[[#This Row],[JUMLAH]]="","",NOTA[[#This Row],[JUMLAH]]-NOTA[[#This Row],[DISC]])</f>
        <v>5250000</v>
      </c>
      <c r="AB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40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0" s="58">
        <f>IF(OR(NOTA[[#This Row],[QTY]]="",NOTA[[#This Row],[HARGA SATUAN]]="",),"",NOTA[[#This Row],[QTY]]*NOTA[[#This Row],[HARGA SATUAN]])</f>
        <v>5250000</v>
      </c>
      <c r="AF640" s="56">
        <f ca="1">IF(NOTA[ID_H]="","",INDEX(NOTA[TANGGAL],MATCH(,INDIRECT(ADDRESS(ROW(NOTA[TANGGAL]),COLUMN(NOTA[TANGGAL]))&amp;":"&amp;ADDRESS(ROW(),COLUMN(NOTA[TANGGAL]))),-1)))</f>
        <v>44868</v>
      </c>
      <c r="AG640" s="52" t="str">
        <f ca="1">IF(NOTA[[#This Row],[NAMA BARANG]]="","",INDEX(NOTA[SUPPLIER],MATCH(,INDIRECT(ADDRESS(ROW(NOTA[ID]),COLUMN(NOTA[ID]))&amp;":"&amp;ADDRESS(ROW(),COLUMN(NOTA[ID]))),-1)))</f>
        <v>GRAFINDO</v>
      </c>
      <c r="AH640" s="16" t="str">
        <f ca="1">IF(NOTA[[#This Row],[ID]]="","",COUNTIF(NOTA[ID_H],NOTA[[#This Row],[ID_H]]))</f>
        <v/>
      </c>
      <c r="AI640" s="16">
        <f ca="1">IF(NOTA[[#This Row],[TGL.NOTA]]="",IF(NOTA[[#This Row],[SUPPLIER_H]]="","",AI639),MONTH(NOTA[[#This Row],[TGL.NOTA]]))</f>
        <v>10</v>
      </c>
      <c r="AJ640" s="16"/>
    </row>
    <row r="641" spans="1:36" ht="20.100000000000001" customHeight="1" x14ac:dyDescent="0.25">
      <c r="A6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3" t="str">
        <f>IF(NOTA[[#This Row],[ID_P]]="","",MATCH(NOTA[[#This Row],[ID_P]],[1]!B_MSK[N_ID],0))</f>
        <v/>
      </c>
      <c r="D641" s="53" t="str">
        <f ca="1">IF(NOTA[[#This Row],[NAMA BARANG]]="","",INDEX(NOTA[ID],MATCH(,INDIRECT(ADDRESS(ROW(NOTA[ID]),COLUMN(NOTA[ID]))&amp;":"&amp;ADDRESS(ROW(),COLUMN(NOTA[ID]))),-1)))</f>
        <v/>
      </c>
      <c r="E641" s="60"/>
      <c r="F641" s="54"/>
      <c r="G641" s="54"/>
      <c r="H641" s="55"/>
      <c r="I641" s="54"/>
      <c r="J641" s="56"/>
      <c r="K641" s="54"/>
      <c r="L641" s="31"/>
      <c r="M641" s="57"/>
      <c r="N641" s="54"/>
      <c r="O641" s="31"/>
      <c r="P641" s="52"/>
      <c r="Q641" s="162"/>
      <c r="R641" s="35"/>
      <c r="S641" s="59"/>
      <c r="T641" s="59"/>
      <c r="U641" s="58"/>
      <c r="V641" s="87"/>
      <c r="W641" s="58" t="str">
        <f>IF(NOTA[[#This Row],[HARGA/ CTN]]="",NOTA[[#This Row],[JUMLAH_H]],NOTA[[#This Row],[HARGA/ CTN]]*NOTA[[#This Row],[C]])</f>
        <v/>
      </c>
      <c r="X641" s="58" t="str">
        <f>IF(NOTA[[#This Row],[JUMLAH]]="","",NOTA[[#This Row],[JUMLAH]]*NOTA[[#This Row],[DISC 1]])</f>
        <v/>
      </c>
      <c r="Y641" s="58" t="str">
        <f>IF(NOTA[[#This Row],[JUMLAH]]="","",(NOTA[[#This Row],[JUMLAH]]-NOTA[[#This Row],[DISC 1-]])*NOTA[[#This Row],[DISC 2]])</f>
        <v/>
      </c>
      <c r="Z641" s="58" t="str">
        <f>IF(NOTA[[#This Row],[JUMLAH]]="","",NOTA[[#This Row],[DISC 1-]]+NOTA[[#This Row],[DISC 2-]])</f>
        <v/>
      </c>
      <c r="AA641" s="58" t="str">
        <f>IF(NOTA[[#This Row],[JUMLAH]]="","",NOTA[[#This Row],[JUMLAH]]-NOTA[[#This Row],[DISC]])</f>
        <v/>
      </c>
      <c r="AB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8" t="str">
        <f>IF(OR(NOTA[[#This Row],[QTY]]="",NOTA[[#This Row],[HARGA SATUAN]]="",),"",NOTA[[#This Row],[QTY]]*NOTA[[#This Row],[HARGA SATUAN]])</f>
        <v/>
      </c>
      <c r="AF641" s="56" t="str">
        <f ca="1">IF(NOTA[ID_H]="","",INDEX(NOTA[TANGGAL],MATCH(,INDIRECT(ADDRESS(ROW(NOTA[TANGGAL]),COLUMN(NOTA[TANGGAL]))&amp;":"&amp;ADDRESS(ROW(),COLUMN(NOTA[TANGGAL]))),-1)))</f>
        <v/>
      </c>
      <c r="AG641" s="52" t="str">
        <f ca="1">IF(NOTA[[#This Row],[NAMA BARANG]]="","",INDEX(NOTA[SUPPLIER],MATCH(,INDIRECT(ADDRESS(ROW(NOTA[ID]),COLUMN(NOTA[ID]))&amp;":"&amp;ADDRESS(ROW(),COLUMN(NOTA[ID]))),-1)))</f>
        <v/>
      </c>
      <c r="AH641" s="16" t="str">
        <f ca="1">IF(NOTA[[#This Row],[ID]]="","",COUNTIF(NOTA[ID_H],NOTA[[#This Row],[ID_H]]))</f>
        <v/>
      </c>
      <c r="AI641" s="16" t="str">
        <f ca="1">IF(NOTA[[#This Row],[TGL.NOTA]]="",IF(NOTA[[#This Row],[SUPPLIER_H]]="","",AI640),MONTH(NOTA[[#This Row],[TGL.NOTA]]))</f>
        <v/>
      </c>
      <c r="AJ641" s="16"/>
    </row>
    <row r="642" spans="1:36" ht="20.100000000000001" customHeight="1" x14ac:dyDescent="0.25">
      <c r="A642" s="52">
        <f ca="1">IF(INDIRECT(ADDRESS(ROW()-1,COLUMN(NOTA[[#Headers],[ID]])))="ID",1,IF(NOTA[[#This Row],[FAKTUR]]="","",COUNT(INDIRECT(ADDRESS(ROW(NOTA[ID]),COLUMN(NOTA[ID]))&amp;":"&amp;ADDRESS(ROW()-1,COLUMN(NOTA[ID]))))+1))</f>
        <v>142</v>
      </c>
      <c r="B6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42" s="53" t="e">
        <f ca="1">IF(NOTA[[#This Row],[ID_P]]="","",MATCH(NOTA[[#This Row],[ID_P]],[1]!B_MSK[N_ID],0))</f>
        <v>#REF!</v>
      </c>
      <c r="D642" s="53">
        <f ca="1">IF(NOTA[[#This Row],[NAMA BARANG]]="","",INDEX(NOTA[ID],MATCH(,INDIRECT(ADDRESS(ROW(NOTA[ID]),COLUMN(NOTA[ID]))&amp;":"&amp;ADDRESS(ROW(),COLUMN(NOTA[ID]))),-1)))</f>
        <v>142</v>
      </c>
      <c r="E642" s="60"/>
      <c r="F642" s="31" t="s">
        <v>254</v>
      </c>
      <c r="G642" s="31" t="s">
        <v>87</v>
      </c>
      <c r="H642" s="33" t="s">
        <v>783</v>
      </c>
      <c r="I642" s="54"/>
      <c r="J642" s="56">
        <v>44862</v>
      </c>
      <c r="K642" s="54"/>
      <c r="L642" s="31" t="s">
        <v>256</v>
      </c>
      <c r="M642" s="57">
        <v>5</v>
      </c>
      <c r="N642" s="54">
        <v>250</v>
      </c>
      <c r="O642" s="31" t="s">
        <v>90</v>
      </c>
      <c r="P642" s="30">
        <v>17500</v>
      </c>
      <c r="Q642" s="103"/>
      <c r="R642" s="35" t="s">
        <v>396</v>
      </c>
      <c r="S642" s="59"/>
      <c r="T642" s="59"/>
      <c r="U642" s="58"/>
      <c r="V642" s="87"/>
      <c r="W642" s="58">
        <f>IF(NOTA[[#This Row],[HARGA/ CTN]]="",NOTA[[#This Row],[JUMLAH_H]],NOTA[[#This Row],[HARGA/ CTN]]*NOTA[[#This Row],[C]])</f>
        <v>4375000</v>
      </c>
      <c r="X642" s="58">
        <f>IF(NOTA[[#This Row],[JUMLAH]]="","",NOTA[[#This Row],[JUMLAH]]*NOTA[[#This Row],[DISC 1]])</f>
        <v>0</v>
      </c>
      <c r="Y642" s="58">
        <f>IF(NOTA[[#This Row],[JUMLAH]]="","",(NOTA[[#This Row],[JUMLAH]]-NOTA[[#This Row],[DISC 1-]])*NOTA[[#This Row],[DISC 2]])</f>
        <v>0</v>
      </c>
      <c r="Z642" s="58">
        <f>IF(NOTA[[#This Row],[JUMLAH]]="","",NOTA[[#This Row],[DISC 1-]]+NOTA[[#This Row],[DISC 2-]])</f>
        <v>0</v>
      </c>
      <c r="AA642" s="58">
        <f>IF(NOTA[[#This Row],[JUMLAH]]="","",NOTA[[#This Row],[JUMLAH]]-NOTA[[#This Row],[DISC]])</f>
        <v>4375000</v>
      </c>
      <c r="AB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2" s="58">
        <f>IF(OR(NOTA[[#This Row],[QTY]]="",NOTA[[#This Row],[HARGA SATUAN]]="",),"",NOTA[[#This Row],[QTY]]*NOTA[[#This Row],[HARGA SATUAN]])</f>
        <v>4375000</v>
      </c>
      <c r="AF642" s="56">
        <f ca="1">IF(NOTA[ID_H]="","",INDEX(NOTA[TANGGAL],MATCH(,INDIRECT(ADDRESS(ROW(NOTA[TANGGAL]),COLUMN(NOTA[TANGGAL]))&amp;":"&amp;ADDRESS(ROW(),COLUMN(NOTA[TANGGAL]))),-1)))</f>
        <v>44868</v>
      </c>
      <c r="AG642" s="52" t="str">
        <f ca="1">IF(NOTA[[#This Row],[NAMA BARANG]]="","",INDEX(NOTA[SUPPLIER],MATCH(,INDIRECT(ADDRESS(ROW(NOTA[ID]),COLUMN(NOTA[ID]))&amp;":"&amp;ADDRESS(ROW(),COLUMN(NOTA[ID]))),-1)))</f>
        <v>GRAFINDO</v>
      </c>
      <c r="AH642" s="16">
        <f ca="1">IF(NOTA[[#This Row],[ID]]="","",COUNTIF(NOTA[ID_H],NOTA[[#This Row],[ID_H]]))</f>
        <v>2</v>
      </c>
      <c r="AI642" s="16">
        <f>IF(NOTA[[#This Row],[TGL.NOTA]]="",IF(NOTA[[#This Row],[SUPPLIER_H]]="","",AI641),MONTH(NOTA[[#This Row],[TGL.NOTA]]))</f>
        <v>10</v>
      </c>
      <c r="AJ642" s="16"/>
    </row>
    <row r="643" spans="1:36" ht="20.100000000000001" customHeight="1" x14ac:dyDescent="0.25">
      <c r="A6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3" t="str">
        <f>IF(NOTA[[#This Row],[ID_P]]="","",MATCH(NOTA[[#This Row],[ID_P]],[1]!B_MSK[N_ID],0))</f>
        <v/>
      </c>
      <c r="D643" s="53">
        <f ca="1">IF(NOTA[[#This Row],[NAMA BARANG]]="","",INDEX(NOTA[ID],MATCH(,INDIRECT(ADDRESS(ROW(NOTA[ID]),COLUMN(NOTA[ID]))&amp;":"&amp;ADDRESS(ROW(),COLUMN(NOTA[ID]))),-1)))</f>
        <v>142</v>
      </c>
      <c r="E643" s="60"/>
      <c r="F643" s="54"/>
      <c r="G643" s="54"/>
      <c r="H643" s="55"/>
      <c r="I643" s="54"/>
      <c r="J643" s="56"/>
      <c r="K643" s="54"/>
      <c r="L643" s="31" t="s">
        <v>781</v>
      </c>
      <c r="M643" s="57">
        <v>2</v>
      </c>
      <c r="N643" s="54">
        <v>100</v>
      </c>
      <c r="O643" s="31" t="s">
        <v>90</v>
      </c>
      <c r="P643" s="52">
        <v>17500</v>
      </c>
      <c r="Q643" s="162"/>
      <c r="R643" s="35" t="s">
        <v>396</v>
      </c>
      <c r="S643" s="59"/>
      <c r="T643" s="59"/>
      <c r="U643" s="58"/>
      <c r="V643" s="87"/>
      <c r="W643" s="58">
        <f>IF(NOTA[[#This Row],[HARGA/ CTN]]="",NOTA[[#This Row],[JUMLAH_H]],NOTA[[#This Row],[HARGA/ CTN]]*NOTA[[#This Row],[C]])</f>
        <v>1750000</v>
      </c>
      <c r="X643" s="58">
        <f>IF(NOTA[[#This Row],[JUMLAH]]="","",NOTA[[#This Row],[JUMLAH]]*NOTA[[#This Row],[DISC 1]])</f>
        <v>0</v>
      </c>
      <c r="Y643" s="58">
        <f>IF(NOTA[[#This Row],[JUMLAH]]="","",(NOTA[[#This Row],[JUMLAH]]-NOTA[[#This Row],[DISC 1-]])*NOTA[[#This Row],[DISC 2]])</f>
        <v>0</v>
      </c>
      <c r="Z643" s="58">
        <f>IF(NOTA[[#This Row],[JUMLAH]]="","",NOTA[[#This Row],[DISC 1-]]+NOTA[[#This Row],[DISC 2-]])</f>
        <v>0</v>
      </c>
      <c r="AA643" s="58">
        <f>IF(NOTA[[#This Row],[JUMLAH]]="","",NOTA[[#This Row],[JUMLAH]]-NOTA[[#This Row],[DISC]])</f>
        <v>1750000</v>
      </c>
      <c r="AB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4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3" s="58">
        <f>IF(OR(NOTA[[#This Row],[QTY]]="",NOTA[[#This Row],[HARGA SATUAN]]="",),"",NOTA[[#This Row],[QTY]]*NOTA[[#This Row],[HARGA SATUAN]])</f>
        <v>1750000</v>
      </c>
      <c r="AF643" s="56">
        <f ca="1">IF(NOTA[ID_H]="","",INDEX(NOTA[TANGGAL],MATCH(,INDIRECT(ADDRESS(ROW(NOTA[TANGGAL]),COLUMN(NOTA[TANGGAL]))&amp;":"&amp;ADDRESS(ROW(),COLUMN(NOTA[TANGGAL]))),-1)))</f>
        <v>44868</v>
      </c>
      <c r="AG643" s="52" t="str">
        <f ca="1">IF(NOTA[[#This Row],[NAMA BARANG]]="","",INDEX(NOTA[SUPPLIER],MATCH(,INDIRECT(ADDRESS(ROW(NOTA[ID]),COLUMN(NOTA[ID]))&amp;":"&amp;ADDRESS(ROW(),COLUMN(NOTA[ID]))),-1)))</f>
        <v>GRAFINDO</v>
      </c>
      <c r="AH643" s="16" t="str">
        <f ca="1">IF(NOTA[[#This Row],[ID]]="","",COUNTIF(NOTA[ID_H],NOTA[[#This Row],[ID_H]]))</f>
        <v/>
      </c>
      <c r="AI643" s="16">
        <f ca="1">IF(NOTA[[#This Row],[TGL.NOTA]]="",IF(NOTA[[#This Row],[SUPPLIER_H]]="","",AI642),MONTH(NOTA[[#This Row],[TGL.NOTA]]))</f>
        <v>10</v>
      </c>
      <c r="AJ643" s="16"/>
    </row>
    <row r="644" spans="1:36" ht="20.100000000000001" customHeight="1" x14ac:dyDescent="0.25">
      <c r="A6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3" t="str">
        <f>IF(NOTA[[#This Row],[ID_P]]="","",MATCH(NOTA[[#This Row],[ID_P]],[1]!B_MSK[N_ID],0))</f>
        <v/>
      </c>
      <c r="D644" s="53" t="str">
        <f ca="1">IF(NOTA[[#This Row],[NAMA BARANG]]="","",INDEX(NOTA[ID],MATCH(,INDIRECT(ADDRESS(ROW(NOTA[ID]),COLUMN(NOTA[ID]))&amp;":"&amp;ADDRESS(ROW(),COLUMN(NOTA[ID]))),-1)))</f>
        <v/>
      </c>
      <c r="E644" s="60"/>
      <c r="F644" s="54"/>
      <c r="G644" s="54"/>
      <c r="H644" s="55"/>
      <c r="I644" s="54"/>
      <c r="J644" s="56"/>
      <c r="K644" s="54"/>
      <c r="L644" s="31"/>
      <c r="M644" s="57"/>
      <c r="N644" s="54"/>
      <c r="O644" s="31"/>
      <c r="P644" s="52"/>
      <c r="Q644" s="162"/>
      <c r="R644" s="35"/>
      <c r="S644" s="59"/>
      <c r="T644" s="59"/>
      <c r="U644" s="58"/>
      <c r="V644" s="87"/>
      <c r="W644" s="58" t="str">
        <f>IF(NOTA[[#This Row],[HARGA/ CTN]]="",NOTA[[#This Row],[JUMLAH_H]],NOTA[[#This Row],[HARGA/ CTN]]*NOTA[[#This Row],[C]])</f>
        <v/>
      </c>
      <c r="X644" s="58" t="str">
        <f>IF(NOTA[[#This Row],[JUMLAH]]="","",NOTA[[#This Row],[JUMLAH]]*NOTA[[#This Row],[DISC 1]])</f>
        <v/>
      </c>
      <c r="Y644" s="58" t="str">
        <f>IF(NOTA[[#This Row],[JUMLAH]]="","",(NOTA[[#This Row],[JUMLAH]]-NOTA[[#This Row],[DISC 1-]])*NOTA[[#This Row],[DISC 2]])</f>
        <v/>
      </c>
      <c r="Z644" s="58" t="str">
        <f>IF(NOTA[[#This Row],[JUMLAH]]="","",NOTA[[#This Row],[DISC 1-]]+NOTA[[#This Row],[DISC 2-]])</f>
        <v/>
      </c>
      <c r="AA644" s="58" t="str">
        <f>IF(NOTA[[#This Row],[JUMLAH]]="","",NOTA[[#This Row],[JUMLAH]]-NOTA[[#This Row],[DISC]])</f>
        <v/>
      </c>
      <c r="AB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8" t="str">
        <f>IF(OR(NOTA[[#This Row],[QTY]]="",NOTA[[#This Row],[HARGA SATUAN]]="",),"",NOTA[[#This Row],[QTY]]*NOTA[[#This Row],[HARGA SATUAN]])</f>
        <v/>
      </c>
      <c r="AF644" s="56" t="str">
        <f ca="1">IF(NOTA[ID_H]="","",INDEX(NOTA[TANGGAL],MATCH(,INDIRECT(ADDRESS(ROW(NOTA[TANGGAL]),COLUMN(NOTA[TANGGAL]))&amp;":"&amp;ADDRESS(ROW(),COLUMN(NOTA[TANGGAL]))),-1)))</f>
        <v/>
      </c>
      <c r="AG644" s="52" t="str">
        <f ca="1">IF(NOTA[[#This Row],[NAMA BARANG]]="","",INDEX(NOTA[SUPPLIER],MATCH(,INDIRECT(ADDRESS(ROW(NOTA[ID]),COLUMN(NOTA[ID]))&amp;":"&amp;ADDRESS(ROW(),COLUMN(NOTA[ID]))),-1)))</f>
        <v/>
      </c>
      <c r="AH644" s="16" t="str">
        <f ca="1">IF(NOTA[[#This Row],[ID]]="","",COUNTIF(NOTA[ID_H],NOTA[[#This Row],[ID_H]]))</f>
        <v/>
      </c>
      <c r="AI644" s="16" t="str">
        <f ca="1">IF(NOTA[[#This Row],[TGL.NOTA]]="",IF(NOTA[[#This Row],[SUPPLIER_H]]="","",AI643),MONTH(NOTA[[#This Row],[TGL.NOTA]]))</f>
        <v/>
      </c>
      <c r="AJ644" s="16"/>
    </row>
    <row r="645" spans="1:36" ht="20.100000000000001" customHeight="1" x14ac:dyDescent="0.25">
      <c r="A645" s="52">
        <f ca="1">IF(INDIRECT(ADDRESS(ROW()-1,COLUMN(NOTA[[#Headers],[ID]])))="ID",1,IF(NOTA[[#This Row],[FAKTUR]]="","",COUNT(INDIRECT(ADDRESS(ROW(NOTA[ID]),COLUMN(NOTA[ID]))&amp;":"&amp;ADDRESS(ROW()-1,COLUMN(NOTA[ID]))))+1))</f>
        <v>143</v>
      </c>
      <c r="B64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45" s="53" t="e">
        <f ca="1">IF(NOTA[[#This Row],[ID_P]]="","",MATCH(NOTA[[#This Row],[ID_P]],[1]!B_MSK[N_ID],0))</f>
        <v>#REF!</v>
      </c>
      <c r="D645" s="53">
        <f ca="1">IF(NOTA[[#This Row],[NAMA BARANG]]="","",INDEX(NOTA[ID],MATCH(,INDIRECT(ADDRESS(ROW(NOTA[ID]),COLUMN(NOTA[ID]))&amp;":"&amp;ADDRESS(ROW(),COLUMN(NOTA[ID]))),-1)))</f>
        <v>143</v>
      </c>
      <c r="E645" s="60">
        <v>44869</v>
      </c>
      <c r="F645" s="31" t="s">
        <v>560</v>
      </c>
      <c r="G645" s="31" t="s">
        <v>87</v>
      </c>
      <c r="H645" s="55"/>
      <c r="I645" s="31" t="s">
        <v>784</v>
      </c>
      <c r="J645" s="56">
        <v>44861</v>
      </c>
      <c r="K645" s="54"/>
      <c r="L645" s="31" t="s">
        <v>785</v>
      </c>
      <c r="M645" s="57">
        <v>5</v>
      </c>
      <c r="N645" s="54"/>
      <c r="O645" s="31"/>
      <c r="P645" s="52"/>
      <c r="Q645" s="162"/>
      <c r="R645" s="35" t="s">
        <v>621</v>
      </c>
      <c r="S645" s="59"/>
      <c r="T645" s="59"/>
      <c r="U645" s="58"/>
      <c r="V645" s="87" t="s">
        <v>237</v>
      </c>
      <c r="W645" s="58" t="str">
        <f>IF(NOTA[[#This Row],[HARGA/ CTN]]="",NOTA[[#This Row],[JUMLAH_H]],NOTA[[#This Row],[HARGA/ CTN]]*NOTA[[#This Row],[C]])</f>
        <v/>
      </c>
      <c r="X645" s="58" t="str">
        <f>IF(NOTA[[#This Row],[JUMLAH]]="","",NOTA[[#This Row],[JUMLAH]]*NOTA[[#This Row],[DISC 1]])</f>
        <v/>
      </c>
      <c r="Y645" s="58" t="str">
        <f>IF(NOTA[[#This Row],[JUMLAH]]="","",(NOTA[[#This Row],[JUMLAH]]-NOTA[[#This Row],[DISC 1-]])*NOTA[[#This Row],[DISC 2]])</f>
        <v/>
      </c>
      <c r="Z645" s="58" t="str">
        <f>IF(NOTA[[#This Row],[JUMLAH]]="","",NOTA[[#This Row],[DISC 1-]]+NOTA[[#This Row],[DISC 2-]])</f>
        <v/>
      </c>
      <c r="AA645" s="58" t="str">
        <f>IF(NOTA[[#This Row],[JUMLAH]]="","",NOTA[[#This Row],[JUMLAH]]-NOTA[[#This Row],[DISC]])</f>
        <v/>
      </c>
      <c r="AB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5" s="58" t="str">
        <f>IF(OR(NOTA[[#This Row],[QTY]]="",NOTA[[#This Row],[HARGA SATUAN]]="",),"",NOTA[[#This Row],[QTY]]*NOTA[[#This Row],[HARGA SATUAN]])</f>
        <v/>
      </c>
      <c r="AF645" s="56">
        <f ca="1">IF(NOTA[ID_H]="","",INDEX(NOTA[TANGGAL],MATCH(,INDIRECT(ADDRESS(ROW(NOTA[TANGGAL]),COLUMN(NOTA[TANGGAL]))&amp;":"&amp;ADDRESS(ROW(),COLUMN(NOTA[TANGGAL]))),-1)))</f>
        <v>44869</v>
      </c>
      <c r="AG645" s="52" t="str">
        <f ca="1">IF(NOTA[[#This Row],[NAMA BARANG]]="","",INDEX(NOTA[SUPPLIER],MATCH(,INDIRECT(ADDRESS(ROW(NOTA[ID]),COLUMN(NOTA[ID]))&amp;":"&amp;ADDRESS(ROW(),COLUMN(NOTA[ID]))),-1)))</f>
        <v>SBS</v>
      </c>
      <c r="AH645" s="16">
        <f ca="1">IF(NOTA[[#This Row],[ID]]="","",COUNTIF(NOTA[ID_H],NOTA[[#This Row],[ID_H]]))</f>
        <v>8</v>
      </c>
      <c r="AI645" s="16">
        <f>IF(NOTA[[#This Row],[TGL.NOTA]]="",IF(NOTA[[#This Row],[SUPPLIER_H]]="","",#REF!),MONTH(NOTA[[#This Row],[TGL.NOTA]]))</f>
        <v>10</v>
      </c>
      <c r="AJ645" s="16"/>
    </row>
    <row r="646" spans="1:36" ht="20.100000000000001" customHeight="1" x14ac:dyDescent="0.25">
      <c r="A6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3" t="str">
        <f>IF(NOTA[[#This Row],[ID_P]]="","",MATCH(NOTA[[#This Row],[ID_P]],[1]!B_MSK[N_ID],0))</f>
        <v/>
      </c>
      <c r="D646" s="53">
        <f ca="1">IF(NOTA[[#This Row],[NAMA BARANG]]="","",INDEX(NOTA[ID],MATCH(,INDIRECT(ADDRESS(ROW(NOTA[ID]),COLUMN(NOTA[ID]))&amp;":"&amp;ADDRESS(ROW(),COLUMN(NOTA[ID]))),-1)))</f>
        <v>143</v>
      </c>
      <c r="E646" s="60"/>
      <c r="F646" s="54"/>
      <c r="G646" s="54"/>
      <c r="H646" s="55"/>
      <c r="I646" s="54"/>
      <c r="J646" s="56"/>
      <c r="K646" s="54"/>
      <c r="L646" s="31" t="s">
        <v>786</v>
      </c>
      <c r="M646" s="57">
        <v>6</v>
      </c>
      <c r="N646" s="54"/>
      <c r="O646" s="31"/>
      <c r="P646" s="52"/>
      <c r="Q646" s="162"/>
      <c r="R646" s="35" t="s">
        <v>768</v>
      </c>
      <c r="S646" s="59"/>
      <c r="T646" s="59"/>
      <c r="U646" s="58"/>
      <c r="V646" s="87"/>
      <c r="W646" s="58" t="str">
        <f>IF(NOTA[[#This Row],[HARGA/ CTN]]="",NOTA[[#This Row],[JUMLAH_H]],NOTA[[#This Row],[HARGA/ CTN]]*NOTA[[#This Row],[C]])</f>
        <v/>
      </c>
      <c r="X646" s="58" t="str">
        <f>IF(NOTA[[#This Row],[JUMLAH]]="","",NOTA[[#This Row],[JUMLAH]]*NOTA[[#This Row],[DISC 1]])</f>
        <v/>
      </c>
      <c r="Y646" s="58" t="str">
        <f>IF(NOTA[[#This Row],[JUMLAH]]="","",(NOTA[[#This Row],[JUMLAH]]-NOTA[[#This Row],[DISC 1-]])*NOTA[[#This Row],[DISC 2]])</f>
        <v/>
      </c>
      <c r="Z646" s="58" t="str">
        <f>IF(NOTA[[#This Row],[JUMLAH]]="","",NOTA[[#This Row],[DISC 1-]]+NOTA[[#This Row],[DISC 2-]])</f>
        <v/>
      </c>
      <c r="AA646" s="58" t="str">
        <f>IF(NOTA[[#This Row],[JUMLAH]]="","",NOTA[[#This Row],[JUMLAH]]-NOTA[[#This Row],[DISC]])</f>
        <v/>
      </c>
      <c r="AB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6" s="58" t="str">
        <f>IF(OR(NOTA[[#This Row],[QTY]]="",NOTA[[#This Row],[HARGA SATUAN]]="",),"",NOTA[[#This Row],[QTY]]*NOTA[[#This Row],[HARGA SATUAN]])</f>
        <v/>
      </c>
      <c r="AF646" s="56">
        <f ca="1">IF(NOTA[ID_H]="","",INDEX(NOTA[TANGGAL],MATCH(,INDIRECT(ADDRESS(ROW(NOTA[TANGGAL]),COLUMN(NOTA[TANGGAL]))&amp;":"&amp;ADDRESS(ROW(),COLUMN(NOTA[TANGGAL]))),-1)))</f>
        <v>44869</v>
      </c>
      <c r="AG646" s="52" t="str">
        <f ca="1">IF(NOTA[[#This Row],[NAMA BARANG]]="","",INDEX(NOTA[SUPPLIER],MATCH(,INDIRECT(ADDRESS(ROW(NOTA[ID]),COLUMN(NOTA[ID]))&amp;":"&amp;ADDRESS(ROW(),COLUMN(NOTA[ID]))),-1)))</f>
        <v>SBS</v>
      </c>
      <c r="AH646" s="16" t="str">
        <f ca="1">IF(NOTA[[#This Row],[ID]]="","",COUNTIF(NOTA[ID_H],NOTA[[#This Row],[ID_H]]))</f>
        <v/>
      </c>
      <c r="AI646" s="16">
        <f ca="1">IF(NOTA[[#This Row],[TGL.NOTA]]="",IF(NOTA[[#This Row],[SUPPLIER_H]]="","",AI645),MONTH(NOTA[[#This Row],[TGL.NOTA]]))</f>
        <v>10</v>
      </c>
      <c r="AJ646" s="16"/>
    </row>
    <row r="647" spans="1:36" ht="20.100000000000001" customHeight="1" x14ac:dyDescent="0.25">
      <c r="A6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3" t="str">
        <f>IF(NOTA[[#This Row],[ID_P]]="","",MATCH(NOTA[[#This Row],[ID_P]],[1]!B_MSK[N_ID],0))</f>
        <v/>
      </c>
      <c r="D647" s="53">
        <f ca="1">IF(NOTA[[#This Row],[NAMA BARANG]]="","",INDEX(NOTA[ID],MATCH(,INDIRECT(ADDRESS(ROW(NOTA[ID]),COLUMN(NOTA[ID]))&amp;":"&amp;ADDRESS(ROW(),COLUMN(NOTA[ID]))),-1)))</f>
        <v>143</v>
      </c>
      <c r="E647" s="60"/>
      <c r="F647" s="31"/>
      <c r="G647" s="31"/>
      <c r="H647" s="33"/>
      <c r="I647" s="54"/>
      <c r="J647" s="56"/>
      <c r="K647" s="54"/>
      <c r="L647" s="31" t="s">
        <v>800</v>
      </c>
      <c r="M647" s="57">
        <v>5</v>
      </c>
      <c r="N647" s="54"/>
      <c r="O647" s="31"/>
      <c r="P647" s="52"/>
      <c r="Q647" s="162"/>
      <c r="R647" s="35" t="s">
        <v>558</v>
      </c>
      <c r="S647" s="59"/>
      <c r="T647" s="59"/>
      <c r="U647" s="58"/>
      <c r="V647" s="87"/>
      <c r="W647" s="58" t="str">
        <f>IF(NOTA[[#This Row],[HARGA/ CTN]]="",NOTA[[#This Row],[JUMLAH_H]],NOTA[[#This Row],[HARGA/ CTN]]*NOTA[[#This Row],[C]])</f>
        <v/>
      </c>
      <c r="X647" s="58" t="str">
        <f>IF(NOTA[[#This Row],[JUMLAH]]="","",NOTA[[#This Row],[JUMLAH]]*NOTA[[#This Row],[DISC 1]])</f>
        <v/>
      </c>
      <c r="Y647" s="58" t="str">
        <f>IF(NOTA[[#This Row],[JUMLAH]]="","",(NOTA[[#This Row],[JUMLAH]]-NOTA[[#This Row],[DISC 1-]])*NOTA[[#This Row],[DISC 2]])</f>
        <v/>
      </c>
      <c r="Z647" s="58" t="str">
        <f>IF(NOTA[[#This Row],[JUMLAH]]="","",NOTA[[#This Row],[DISC 1-]]+NOTA[[#This Row],[DISC 2-]])</f>
        <v/>
      </c>
      <c r="AA647" s="58" t="str">
        <f>IF(NOTA[[#This Row],[JUMLAH]]="","",NOTA[[#This Row],[JUMLAH]]-NOTA[[#This Row],[DISC]])</f>
        <v/>
      </c>
      <c r="AB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7" s="58" t="str">
        <f>IF(OR(NOTA[[#This Row],[QTY]]="",NOTA[[#This Row],[HARGA SATUAN]]="",),"",NOTA[[#This Row],[QTY]]*NOTA[[#This Row],[HARGA SATUAN]])</f>
        <v/>
      </c>
      <c r="AF647" s="56">
        <f ca="1">IF(NOTA[ID_H]="","",INDEX(NOTA[TANGGAL],MATCH(,INDIRECT(ADDRESS(ROW(NOTA[TANGGAL]),COLUMN(NOTA[TANGGAL]))&amp;":"&amp;ADDRESS(ROW(),COLUMN(NOTA[TANGGAL]))),-1)))</f>
        <v>44869</v>
      </c>
      <c r="AG647" s="52" t="str">
        <f ca="1">IF(NOTA[[#This Row],[NAMA BARANG]]="","",INDEX(NOTA[SUPPLIER],MATCH(,INDIRECT(ADDRESS(ROW(NOTA[ID]),COLUMN(NOTA[ID]))&amp;":"&amp;ADDRESS(ROW(),COLUMN(NOTA[ID]))),-1)))</f>
        <v>SBS</v>
      </c>
      <c r="AH647" s="16" t="str">
        <f ca="1">IF(NOTA[[#This Row],[ID]]="","",COUNTIF(NOTA[ID_H],NOTA[[#This Row],[ID_H]]))</f>
        <v/>
      </c>
      <c r="AI647" s="16">
        <f ca="1">IF(NOTA[[#This Row],[TGL.NOTA]]="",IF(NOTA[[#This Row],[SUPPLIER_H]]="","",AI646),MONTH(NOTA[[#This Row],[TGL.NOTA]]))</f>
        <v>10</v>
      </c>
      <c r="AJ647" s="16"/>
    </row>
    <row r="648" spans="1:36" ht="20.100000000000001" customHeight="1" x14ac:dyDescent="0.25">
      <c r="A6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3" t="str">
        <f>IF(NOTA[[#This Row],[ID_P]]="","",MATCH(NOTA[[#This Row],[ID_P]],[1]!B_MSK[N_ID],0))</f>
        <v/>
      </c>
      <c r="D648" s="53">
        <f ca="1">IF(NOTA[[#This Row],[NAMA BARANG]]="","",INDEX(NOTA[ID],MATCH(,INDIRECT(ADDRESS(ROW(NOTA[ID]),COLUMN(NOTA[ID]))&amp;":"&amp;ADDRESS(ROW(),COLUMN(NOTA[ID]))),-1)))</f>
        <v>143</v>
      </c>
      <c r="E648" s="60"/>
      <c r="F648" s="54"/>
      <c r="G648" s="54"/>
      <c r="H648" s="55"/>
      <c r="I648" s="54"/>
      <c r="J648" s="56"/>
      <c r="K648" s="54"/>
      <c r="L648" s="31" t="s">
        <v>801</v>
      </c>
      <c r="M648" s="57">
        <v>5</v>
      </c>
      <c r="N648" s="54"/>
      <c r="O648" s="31"/>
      <c r="P648" s="52"/>
      <c r="Q648" s="162"/>
      <c r="R648" s="35" t="s">
        <v>558</v>
      </c>
      <c r="S648" s="59"/>
      <c r="T648" s="59"/>
      <c r="U648" s="58"/>
      <c r="V648" s="87"/>
      <c r="W648" s="58" t="str">
        <f>IF(NOTA[[#This Row],[HARGA/ CTN]]="",NOTA[[#This Row],[JUMLAH_H]],NOTA[[#This Row],[HARGA/ CTN]]*NOTA[[#This Row],[C]])</f>
        <v/>
      </c>
      <c r="X648" s="58" t="str">
        <f>IF(NOTA[[#This Row],[JUMLAH]]="","",NOTA[[#This Row],[JUMLAH]]*NOTA[[#This Row],[DISC 1]])</f>
        <v/>
      </c>
      <c r="Y648" s="58" t="str">
        <f>IF(NOTA[[#This Row],[JUMLAH]]="","",(NOTA[[#This Row],[JUMLAH]]-NOTA[[#This Row],[DISC 1-]])*NOTA[[#This Row],[DISC 2]])</f>
        <v/>
      </c>
      <c r="Z648" s="58" t="str">
        <f>IF(NOTA[[#This Row],[JUMLAH]]="","",NOTA[[#This Row],[DISC 1-]]+NOTA[[#This Row],[DISC 2-]])</f>
        <v/>
      </c>
      <c r="AA648" s="58" t="str">
        <f>IF(NOTA[[#This Row],[JUMLAH]]="","",NOTA[[#This Row],[JUMLAH]]-NOTA[[#This Row],[DISC]])</f>
        <v/>
      </c>
      <c r="AB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8" s="58" t="str">
        <f>IF(OR(NOTA[[#This Row],[QTY]]="",NOTA[[#This Row],[HARGA SATUAN]]="",),"",NOTA[[#This Row],[QTY]]*NOTA[[#This Row],[HARGA SATUAN]])</f>
        <v/>
      </c>
      <c r="AF648" s="56">
        <f ca="1">IF(NOTA[ID_H]="","",INDEX(NOTA[TANGGAL],MATCH(,INDIRECT(ADDRESS(ROW(NOTA[TANGGAL]),COLUMN(NOTA[TANGGAL]))&amp;":"&amp;ADDRESS(ROW(),COLUMN(NOTA[TANGGAL]))),-1)))</f>
        <v>44869</v>
      </c>
      <c r="AG648" s="52" t="str">
        <f ca="1">IF(NOTA[[#This Row],[NAMA BARANG]]="","",INDEX(NOTA[SUPPLIER],MATCH(,INDIRECT(ADDRESS(ROW(NOTA[ID]),COLUMN(NOTA[ID]))&amp;":"&amp;ADDRESS(ROW(),COLUMN(NOTA[ID]))),-1)))</f>
        <v>SBS</v>
      </c>
      <c r="AH648" s="16" t="str">
        <f ca="1">IF(NOTA[[#This Row],[ID]]="","",COUNTIF(NOTA[ID_H],NOTA[[#This Row],[ID_H]]))</f>
        <v/>
      </c>
      <c r="AI648" s="16">
        <f ca="1">IF(NOTA[[#This Row],[TGL.NOTA]]="",IF(NOTA[[#This Row],[SUPPLIER_H]]="","",AI647),MONTH(NOTA[[#This Row],[TGL.NOTA]]))</f>
        <v>10</v>
      </c>
      <c r="AJ648" s="16"/>
    </row>
    <row r="649" spans="1:36" ht="20.100000000000001" customHeight="1" x14ac:dyDescent="0.25">
      <c r="A6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3" t="str">
        <f>IF(NOTA[[#This Row],[ID_P]]="","",MATCH(NOTA[[#This Row],[ID_P]],[1]!B_MSK[N_ID],0))</f>
        <v/>
      </c>
      <c r="D649" s="53">
        <f ca="1">IF(NOTA[[#This Row],[NAMA BARANG]]="","",INDEX(NOTA[ID],MATCH(,INDIRECT(ADDRESS(ROW(NOTA[ID]),COLUMN(NOTA[ID]))&amp;":"&amp;ADDRESS(ROW(),COLUMN(NOTA[ID]))),-1)))</f>
        <v>143</v>
      </c>
      <c r="E649" s="60"/>
      <c r="F649" s="54"/>
      <c r="G649" s="54"/>
      <c r="H649" s="55"/>
      <c r="I649" s="54"/>
      <c r="J649" s="56"/>
      <c r="K649" s="54"/>
      <c r="L649" s="31" t="s">
        <v>787</v>
      </c>
      <c r="M649" s="57">
        <v>1</v>
      </c>
      <c r="N649" s="54"/>
      <c r="O649" s="31"/>
      <c r="P649" s="52"/>
      <c r="Q649" s="162"/>
      <c r="R649" s="35" t="s">
        <v>631</v>
      </c>
      <c r="S649" s="59"/>
      <c r="T649" s="59"/>
      <c r="U649" s="58"/>
      <c r="V649" s="87"/>
      <c r="W649" s="58" t="str">
        <f>IF(NOTA[[#This Row],[HARGA/ CTN]]="",NOTA[[#This Row],[JUMLAH_H]],NOTA[[#This Row],[HARGA/ CTN]]*NOTA[[#This Row],[C]])</f>
        <v/>
      </c>
      <c r="X649" s="58" t="str">
        <f>IF(NOTA[[#This Row],[JUMLAH]]="","",NOTA[[#This Row],[JUMLAH]]*NOTA[[#This Row],[DISC 1]])</f>
        <v/>
      </c>
      <c r="Y649" s="58" t="str">
        <f>IF(NOTA[[#This Row],[JUMLAH]]="","",(NOTA[[#This Row],[JUMLAH]]-NOTA[[#This Row],[DISC 1-]])*NOTA[[#This Row],[DISC 2]])</f>
        <v/>
      </c>
      <c r="Z649" s="58" t="str">
        <f>IF(NOTA[[#This Row],[JUMLAH]]="","",NOTA[[#This Row],[DISC 1-]]+NOTA[[#This Row],[DISC 2-]])</f>
        <v/>
      </c>
      <c r="AA649" s="58" t="str">
        <f>IF(NOTA[[#This Row],[JUMLAH]]="","",NOTA[[#This Row],[JUMLAH]]-NOTA[[#This Row],[DISC]])</f>
        <v/>
      </c>
      <c r="AB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9" s="58" t="str">
        <f>IF(OR(NOTA[[#This Row],[QTY]]="",NOTA[[#This Row],[HARGA SATUAN]]="",),"",NOTA[[#This Row],[QTY]]*NOTA[[#This Row],[HARGA SATUAN]])</f>
        <v/>
      </c>
      <c r="AF649" s="56">
        <f ca="1">IF(NOTA[ID_H]="","",INDEX(NOTA[TANGGAL],MATCH(,INDIRECT(ADDRESS(ROW(NOTA[TANGGAL]),COLUMN(NOTA[TANGGAL]))&amp;":"&amp;ADDRESS(ROW(),COLUMN(NOTA[TANGGAL]))),-1)))</f>
        <v>44869</v>
      </c>
      <c r="AG649" s="52" t="str">
        <f ca="1">IF(NOTA[[#This Row],[NAMA BARANG]]="","",INDEX(NOTA[SUPPLIER],MATCH(,INDIRECT(ADDRESS(ROW(NOTA[ID]),COLUMN(NOTA[ID]))&amp;":"&amp;ADDRESS(ROW(),COLUMN(NOTA[ID]))),-1)))</f>
        <v>SBS</v>
      </c>
      <c r="AH649" s="16" t="str">
        <f ca="1">IF(NOTA[[#This Row],[ID]]="","",COUNTIF(NOTA[ID_H],NOTA[[#This Row],[ID_H]]))</f>
        <v/>
      </c>
      <c r="AI649" s="16">
        <f ca="1">IF(NOTA[[#This Row],[TGL.NOTA]]="",IF(NOTA[[#This Row],[SUPPLIER_H]]="","",AI648),MONTH(NOTA[[#This Row],[TGL.NOTA]]))</f>
        <v>10</v>
      </c>
      <c r="AJ649" s="16"/>
    </row>
    <row r="650" spans="1:36" ht="20.100000000000001" customHeight="1" x14ac:dyDescent="0.25">
      <c r="A6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3" t="str">
        <f>IF(NOTA[[#This Row],[ID_P]]="","",MATCH(NOTA[[#This Row],[ID_P]],[1]!B_MSK[N_ID],0))</f>
        <v/>
      </c>
      <c r="D650" s="53">
        <f ca="1">IF(NOTA[[#This Row],[NAMA BARANG]]="","",INDEX(NOTA[ID],MATCH(,INDIRECT(ADDRESS(ROW(NOTA[ID]),COLUMN(NOTA[ID]))&amp;":"&amp;ADDRESS(ROW(),COLUMN(NOTA[ID]))),-1)))</f>
        <v>143</v>
      </c>
      <c r="E650" s="60"/>
      <c r="F650" s="31"/>
      <c r="G650" s="31"/>
      <c r="H650" s="33"/>
      <c r="I650" s="54"/>
      <c r="J650" s="34"/>
      <c r="K650" s="54"/>
      <c r="L650" s="31" t="s">
        <v>802</v>
      </c>
      <c r="M650" s="57">
        <v>6</v>
      </c>
      <c r="N650" s="54"/>
      <c r="O650" s="31"/>
      <c r="P650" s="52"/>
      <c r="Q650" s="162"/>
      <c r="R650" s="35" t="s">
        <v>105</v>
      </c>
      <c r="S650" s="59"/>
      <c r="T650" s="59"/>
      <c r="U650" s="58"/>
      <c r="V650" s="87"/>
      <c r="W650" s="58" t="str">
        <f>IF(NOTA[[#This Row],[HARGA/ CTN]]="",NOTA[[#This Row],[JUMLAH_H]],NOTA[[#This Row],[HARGA/ CTN]]*NOTA[[#This Row],[C]])</f>
        <v/>
      </c>
      <c r="X650" s="58" t="str">
        <f>IF(NOTA[[#This Row],[JUMLAH]]="","",NOTA[[#This Row],[JUMLAH]]*NOTA[[#This Row],[DISC 1]])</f>
        <v/>
      </c>
      <c r="Y650" s="58" t="str">
        <f>IF(NOTA[[#This Row],[JUMLAH]]="","",(NOTA[[#This Row],[JUMLAH]]-NOTA[[#This Row],[DISC 1-]])*NOTA[[#This Row],[DISC 2]])</f>
        <v/>
      </c>
      <c r="Z650" s="58" t="str">
        <f>IF(NOTA[[#This Row],[JUMLAH]]="","",NOTA[[#This Row],[DISC 1-]]+NOTA[[#This Row],[DISC 2-]])</f>
        <v/>
      </c>
      <c r="AA650" s="58" t="str">
        <f>IF(NOTA[[#This Row],[JUMLAH]]="","",NOTA[[#This Row],[JUMLAH]]-NOTA[[#This Row],[DISC]])</f>
        <v/>
      </c>
      <c r="AB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0" s="58" t="str">
        <f>IF(OR(NOTA[[#This Row],[QTY]]="",NOTA[[#This Row],[HARGA SATUAN]]="",),"",NOTA[[#This Row],[QTY]]*NOTA[[#This Row],[HARGA SATUAN]])</f>
        <v/>
      </c>
      <c r="AF650" s="56">
        <f ca="1">IF(NOTA[ID_H]="","",INDEX(NOTA[TANGGAL],MATCH(,INDIRECT(ADDRESS(ROW(NOTA[TANGGAL]),COLUMN(NOTA[TANGGAL]))&amp;":"&amp;ADDRESS(ROW(),COLUMN(NOTA[TANGGAL]))),-1)))</f>
        <v>44869</v>
      </c>
      <c r="AG650" s="52" t="str">
        <f ca="1">IF(NOTA[[#This Row],[NAMA BARANG]]="","",INDEX(NOTA[SUPPLIER],MATCH(,INDIRECT(ADDRESS(ROW(NOTA[ID]),COLUMN(NOTA[ID]))&amp;":"&amp;ADDRESS(ROW(),COLUMN(NOTA[ID]))),-1)))</f>
        <v>SBS</v>
      </c>
      <c r="AH650" s="16" t="str">
        <f ca="1">IF(NOTA[[#This Row],[ID]]="","",COUNTIF(NOTA[ID_H],NOTA[[#This Row],[ID_H]]))</f>
        <v/>
      </c>
      <c r="AI650" s="16">
        <f ca="1">IF(NOTA[[#This Row],[TGL.NOTA]]="",IF(NOTA[[#This Row],[SUPPLIER_H]]="","",AI649),MONTH(NOTA[[#This Row],[TGL.NOTA]]))</f>
        <v>10</v>
      </c>
      <c r="AJ650" s="16"/>
    </row>
    <row r="651" spans="1:36" ht="20.100000000000001" customHeight="1" x14ac:dyDescent="0.25">
      <c r="A6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3" t="str">
        <f>IF(NOTA[[#This Row],[ID_P]]="","",MATCH(NOTA[[#This Row],[ID_P]],[1]!B_MSK[N_ID],0))</f>
        <v/>
      </c>
      <c r="D651" s="53">
        <f ca="1">IF(NOTA[[#This Row],[NAMA BARANG]]="","",INDEX(NOTA[ID],MATCH(,INDIRECT(ADDRESS(ROW(NOTA[ID]),COLUMN(NOTA[ID]))&amp;":"&amp;ADDRESS(ROW(),COLUMN(NOTA[ID]))),-1)))</f>
        <v>143</v>
      </c>
      <c r="E651" s="60"/>
      <c r="F651" s="54"/>
      <c r="G651" s="54"/>
      <c r="H651" s="55"/>
      <c r="I651" s="54"/>
      <c r="J651" s="56"/>
      <c r="K651" s="54"/>
      <c r="L651" s="31" t="s">
        <v>803</v>
      </c>
      <c r="M651" s="57">
        <v>1</v>
      </c>
      <c r="N651" s="54"/>
      <c r="O651" s="31"/>
      <c r="P651" s="52"/>
      <c r="Q651" s="162"/>
      <c r="R651" s="35" t="s">
        <v>105</v>
      </c>
      <c r="S651" s="59"/>
      <c r="T651" s="59"/>
      <c r="U651" s="58"/>
      <c r="V651" s="87"/>
      <c r="W651" s="58" t="str">
        <f>IF(NOTA[[#This Row],[HARGA/ CTN]]="",NOTA[[#This Row],[JUMLAH_H]],NOTA[[#This Row],[HARGA/ CTN]]*NOTA[[#This Row],[C]])</f>
        <v/>
      </c>
      <c r="X651" s="58" t="str">
        <f>IF(NOTA[[#This Row],[JUMLAH]]="","",NOTA[[#This Row],[JUMLAH]]*NOTA[[#This Row],[DISC 1]])</f>
        <v/>
      </c>
      <c r="Y651" s="58" t="str">
        <f>IF(NOTA[[#This Row],[JUMLAH]]="","",(NOTA[[#This Row],[JUMLAH]]-NOTA[[#This Row],[DISC 1-]])*NOTA[[#This Row],[DISC 2]])</f>
        <v/>
      </c>
      <c r="Z651" s="58" t="str">
        <f>IF(NOTA[[#This Row],[JUMLAH]]="","",NOTA[[#This Row],[DISC 1-]]+NOTA[[#This Row],[DISC 2-]])</f>
        <v/>
      </c>
      <c r="AA651" s="58" t="str">
        <f>IF(NOTA[[#This Row],[JUMLAH]]="","",NOTA[[#This Row],[JUMLAH]]-NOTA[[#This Row],[DISC]])</f>
        <v/>
      </c>
      <c r="AB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1" s="58" t="str">
        <f>IF(OR(NOTA[[#This Row],[QTY]]="",NOTA[[#This Row],[HARGA SATUAN]]="",),"",NOTA[[#This Row],[QTY]]*NOTA[[#This Row],[HARGA SATUAN]])</f>
        <v/>
      </c>
      <c r="AF651" s="56">
        <f ca="1">IF(NOTA[ID_H]="","",INDEX(NOTA[TANGGAL],MATCH(,INDIRECT(ADDRESS(ROW(NOTA[TANGGAL]),COLUMN(NOTA[TANGGAL]))&amp;":"&amp;ADDRESS(ROW(),COLUMN(NOTA[TANGGAL]))),-1)))</f>
        <v>44869</v>
      </c>
      <c r="AG651" s="52" t="str">
        <f ca="1">IF(NOTA[[#This Row],[NAMA BARANG]]="","",INDEX(NOTA[SUPPLIER],MATCH(,INDIRECT(ADDRESS(ROW(NOTA[ID]),COLUMN(NOTA[ID]))&amp;":"&amp;ADDRESS(ROW(),COLUMN(NOTA[ID]))),-1)))</f>
        <v>SBS</v>
      </c>
      <c r="AH651" s="16" t="str">
        <f ca="1">IF(NOTA[[#This Row],[ID]]="","",COUNTIF(NOTA[ID_H],NOTA[[#This Row],[ID_H]]))</f>
        <v/>
      </c>
      <c r="AI651" s="16">
        <f ca="1">IF(NOTA[[#This Row],[TGL.NOTA]]="",IF(NOTA[[#This Row],[SUPPLIER_H]]="","",AI650),MONTH(NOTA[[#This Row],[TGL.NOTA]]))</f>
        <v>10</v>
      </c>
      <c r="AJ651" s="16"/>
    </row>
    <row r="652" spans="1:36" ht="20.100000000000001" customHeight="1" x14ac:dyDescent="0.25">
      <c r="A6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3" t="str">
        <f>IF(NOTA[[#This Row],[ID_P]]="","",MATCH(NOTA[[#This Row],[ID_P]],[1]!B_MSK[N_ID],0))</f>
        <v/>
      </c>
      <c r="D652" s="53">
        <f ca="1">IF(NOTA[[#This Row],[NAMA BARANG]]="","",INDEX(NOTA[ID],MATCH(,INDIRECT(ADDRESS(ROW(NOTA[ID]),COLUMN(NOTA[ID]))&amp;":"&amp;ADDRESS(ROW(),COLUMN(NOTA[ID]))),-1)))</f>
        <v>143</v>
      </c>
      <c r="E652" s="60"/>
      <c r="F652" s="54"/>
      <c r="G652" s="54"/>
      <c r="H652" s="55"/>
      <c r="I652" s="54"/>
      <c r="J652" s="56"/>
      <c r="K652" s="54"/>
      <c r="L652" s="31" t="s">
        <v>804</v>
      </c>
      <c r="M652" s="57">
        <v>5</v>
      </c>
      <c r="N652" s="54"/>
      <c r="O652" s="31"/>
      <c r="P652" s="52"/>
      <c r="Q652" s="162"/>
      <c r="R652" s="35" t="s">
        <v>558</v>
      </c>
      <c r="S652" s="59"/>
      <c r="T652" s="59"/>
      <c r="U652" s="58"/>
      <c r="V652" s="87"/>
      <c r="W652" s="58" t="str">
        <f>IF(NOTA[[#This Row],[HARGA/ CTN]]="",NOTA[[#This Row],[JUMLAH_H]],NOTA[[#This Row],[HARGA/ CTN]]*NOTA[[#This Row],[C]])</f>
        <v/>
      </c>
      <c r="X652" s="58" t="str">
        <f>IF(NOTA[[#This Row],[JUMLAH]]="","",NOTA[[#This Row],[JUMLAH]]*NOTA[[#This Row],[DISC 1]])</f>
        <v/>
      </c>
      <c r="Y652" s="58" t="str">
        <f>IF(NOTA[[#This Row],[JUMLAH]]="","",(NOTA[[#This Row],[JUMLAH]]-NOTA[[#This Row],[DISC 1-]])*NOTA[[#This Row],[DISC 2]])</f>
        <v/>
      </c>
      <c r="Z652" s="58" t="str">
        <f>IF(NOTA[[#This Row],[JUMLAH]]="","",NOTA[[#This Row],[DISC 1-]]+NOTA[[#This Row],[DISC 2-]])</f>
        <v/>
      </c>
      <c r="AA652" s="58" t="str">
        <f>IF(NOTA[[#This Row],[JUMLAH]]="","",NOTA[[#This Row],[JUMLAH]]-NOTA[[#This Row],[DISC]])</f>
        <v/>
      </c>
      <c r="AB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2" s="58" t="str">
        <f>IF(OR(NOTA[[#This Row],[QTY]]="",NOTA[[#This Row],[HARGA SATUAN]]="",),"",NOTA[[#This Row],[QTY]]*NOTA[[#This Row],[HARGA SATUAN]])</f>
        <v/>
      </c>
      <c r="AF652" s="56">
        <f ca="1">IF(NOTA[ID_H]="","",INDEX(NOTA[TANGGAL],MATCH(,INDIRECT(ADDRESS(ROW(NOTA[TANGGAL]),COLUMN(NOTA[TANGGAL]))&amp;":"&amp;ADDRESS(ROW(),COLUMN(NOTA[TANGGAL]))),-1)))</f>
        <v>44869</v>
      </c>
      <c r="AG652" s="52" t="str">
        <f ca="1">IF(NOTA[[#This Row],[NAMA BARANG]]="","",INDEX(NOTA[SUPPLIER],MATCH(,INDIRECT(ADDRESS(ROW(NOTA[ID]),COLUMN(NOTA[ID]))&amp;":"&amp;ADDRESS(ROW(),COLUMN(NOTA[ID]))),-1)))</f>
        <v>SBS</v>
      </c>
      <c r="AH652" s="16" t="str">
        <f ca="1">IF(NOTA[[#This Row],[ID]]="","",COUNTIF(NOTA[ID_H],NOTA[[#This Row],[ID_H]]))</f>
        <v/>
      </c>
      <c r="AI652" s="16">
        <f ca="1">IF(NOTA[[#This Row],[TGL.NOTA]]="",IF(NOTA[[#This Row],[SUPPLIER_H]]="","",AI651),MONTH(NOTA[[#This Row],[TGL.NOTA]]))</f>
        <v>10</v>
      </c>
      <c r="AJ652" s="16"/>
    </row>
    <row r="653" spans="1:36" ht="20.100000000000001" customHeight="1" x14ac:dyDescent="0.25">
      <c r="A6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3" t="str">
        <f>IF(NOTA[[#This Row],[ID_P]]="","",MATCH(NOTA[[#This Row],[ID_P]],[1]!B_MSK[N_ID],0))</f>
        <v/>
      </c>
      <c r="D653" s="53" t="str">
        <f ca="1">IF(NOTA[[#This Row],[NAMA BARANG]]="","",INDEX(NOTA[ID],MATCH(,INDIRECT(ADDRESS(ROW(NOTA[ID]),COLUMN(NOTA[ID]))&amp;":"&amp;ADDRESS(ROW(),COLUMN(NOTA[ID]))),-1)))</f>
        <v/>
      </c>
      <c r="E653" s="60"/>
      <c r="F653" s="54"/>
      <c r="G653" s="54"/>
      <c r="H653" s="55"/>
      <c r="I653" s="54"/>
      <c r="J653" s="56"/>
      <c r="K653" s="54"/>
      <c r="L653" s="31"/>
      <c r="M653" s="57"/>
      <c r="N653" s="54"/>
      <c r="O653" s="31"/>
      <c r="P653" s="52"/>
      <c r="Q653" s="162"/>
      <c r="R653" s="35"/>
      <c r="S653" s="37"/>
      <c r="T653" s="59"/>
      <c r="U653" s="58"/>
      <c r="V653" s="87"/>
      <c r="W653" s="58" t="str">
        <f>IF(NOTA[[#This Row],[HARGA/ CTN]]="",NOTA[[#This Row],[JUMLAH_H]],NOTA[[#This Row],[HARGA/ CTN]]*NOTA[[#This Row],[C]])</f>
        <v/>
      </c>
      <c r="X653" s="58" t="str">
        <f>IF(NOTA[[#This Row],[JUMLAH]]="","",NOTA[[#This Row],[JUMLAH]]*NOTA[[#This Row],[DISC 1]])</f>
        <v/>
      </c>
      <c r="Y653" s="58" t="str">
        <f>IF(NOTA[[#This Row],[JUMLAH]]="","",(NOTA[[#This Row],[JUMLAH]]-NOTA[[#This Row],[DISC 1-]])*NOTA[[#This Row],[DISC 2]])</f>
        <v/>
      </c>
      <c r="Z653" s="58" t="str">
        <f>IF(NOTA[[#This Row],[JUMLAH]]="","",NOTA[[#This Row],[DISC 1-]]+NOTA[[#This Row],[DISC 2-]])</f>
        <v/>
      </c>
      <c r="AA653" s="58" t="str">
        <f>IF(NOTA[[#This Row],[JUMLAH]]="","",NOTA[[#This Row],[JUMLAH]]-NOTA[[#This Row],[DISC]])</f>
        <v/>
      </c>
      <c r="AB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58" t="str">
        <f>IF(OR(NOTA[[#This Row],[QTY]]="",NOTA[[#This Row],[HARGA SATUAN]]="",),"",NOTA[[#This Row],[QTY]]*NOTA[[#This Row],[HARGA SATUAN]])</f>
        <v/>
      </c>
      <c r="AF653" s="56" t="str">
        <f ca="1">IF(NOTA[ID_H]="","",INDEX(NOTA[TANGGAL],MATCH(,INDIRECT(ADDRESS(ROW(NOTA[TANGGAL]),COLUMN(NOTA[TANGGAL]))&amp;":"&amp;ADDRESS(ROW(),COLUMN(NOTA[TANGGAL]))),-1)))</f>
        <v/>
      </c>
      <c r="AG653" s="52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 t="str">
        <f ca="1">IF(NOTA[[#This Row],[TGL.NOTA]]="",IF(NOTA[[#This Row],[SUPPLIER_H]]="","",AI652),MONTH(NOTA[[#This Row],[TGL.NOTA]]))</f>
        <v/>
      </c>
      <c r="AJ653" s="16"/>
    </row>
    <row r="654" spans="1:36" ht="20.100000000000001" customHeight="1" x14ac:dyDescent="0.25">
      <c r="A654" s="52">
        <f ca="1">IF(INDIRECT(ADDRESS(ROW()-1,COLUMN(NOTA[[#Headers],[ID]])))="ID",1,IF(NOTA[[#This Row],[FAKTUR]]="","",COUNT(INDIRECT(ADDRESS(ROW(NOTA[ID]),COLUMN(NOTA[ID]))&amp;":"&amp;ADDRESS(ROW()-1,COLUMN(NOTA[ID]))))+1))</f>
        <v>144</v>
      </c>
      <c r="B65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54" s="53" t="e">
        <f ca="1">IF(NOTA[[#This Row],[ID_P]]="","",MATCH(NOTA[[#This Row],[ID_P]],[1]!B_MSK[N_ID],0))</f>
        <v>#REF!</v>
      </c>
      <c r="D654" s="53">
        <f ca="1">IF(NOTA[[#This Row],[NAMA BARANG]]="","",INDEX(NOTA[ID],MATCH(,INDIRECT(ADDRESS(ROW(NOTA[ID]),COLUMN(NOTA[ID]))&amp;":"&amp;ADDRESS(ROW(),COLUMN(NOTA[ID]))),-1)))</f>
        <v>144</v>
      </c>
      <c r="E654" s="60"/>
      <c r="F654" s="31" t="s">
        <v>242</v>
      </c>
      <c r="G654" s="31" t="s">
        <v>87</v>
      </c>
      <c r="H654" s="33" t="s">
        <v>788</v>
      </c>
      <c r="I654" s="54"/>
      <c r="J654" s="56">
        <v>44865</v>
      </c>
      <c r="K654" s="54"/>
      <c r="L654" s="31" t="s">
        <v>789</v>
      </c>
      <c r="M654" s="57">
        <v>1</v>
      </c>
      <c r="N654" s="54">
        <v>150</v>
      </c>
      <c r="O654" s="31" t="s">
        <v>482</v>
      </c>
      <c r="P654" s="52">
        <v>9900</v>
      </c>
      <c r="Q654" s="162"/>
      <c r="R654" s="35"/>
      <c r="S654" s="59"/>
      <c r="T654" s="59"/>
      <c r="U654" s="58"/>
      <c r="V654" s="87"/>
      <c r="W654" s="58">
        <f>IF(NOTA[[#This Row],[HARGA/ CTN]]="",NOTA[[#This Row],[JUMLAH_H]],NOTA[[#This Row],[HARGA/ CTN]]*NOTA[[#This Row],[C]])</f>
        <v>1485000</v>
      </c>
      <c r="X654" s="58">
        <f>IF(NOTA[[#This Row],[JUMLAH]]="","",NOTA[[#This Row],[JUMLAH]]*NOTA[[#This Row],[DISC 1]])</f>
        <v>0</v>
      </c>
      <c r="Y654" s="58">
        <f>IF(NOTA[[#This Row],[JUMLAH]]="","",(NOTA[[#This Row],[JUMLAH]]-NOTA[[#This Row],[DISC 1-]])*NOTA[[#This Row],[DISC 2]])</f>
        <v>0</v>
      </c>
      <c r="Z654" s="58">
        <f>IF(NOTA[[#This Row],[JUMLAH]]="","",NOTA[[#This Row],[DISC 1-]]+NOTA[[#This Row],[DISC 2-]])</f>
        <v>0</v>
      </c>
      <c r="AA654" s="58">
        <f>IF(NOTA[[#This Row],[JUMLAH]]="","",NOTA[[#This Row],[JUMLAH]]-NOTA[[#This Row],[DISC]])</f>
        <v>1485000</v>
      </c>
      <c r="AB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4" s="58">
        <f>IF(OR(NOTA[[#This Row],[QTY]]="",NOTA[[#This Row],[HARGA SATUAN]]="",),"",NOTA[[#This Row],[QTY]]*NOTA[[#This Row],[HARGA SATUAN]])</f>
        <v>1485000</v>
      </c>
      <c r="AF654" s="56">
        <f ca="1">IF(NOTA[ID_H]="","",INDEX(NOTA[TANGGAL],MATCH(,INDIRECT(ADDRESS(ROW(NOTA[TANGGAL]),COLUMN(NOTA[TANGGAL]))&amp;":"&amp;ADDRESS(ROW(),COLUMN(NOTA[TANGGAL]))),-1)))</f>
        <v>44869</v>
      </c>
      <c r="AG654" s="52" t="str">
        <f ca="1">IF(NOTA[[#This Row],[NAMA BARANG]]="","",INDEX(NOTA[SUPPLIER],MATCH(,INDIRECT(ADDRESS(ROW(NOTA[ID]),COLUMN(NOTA[ID]))&amp;":"&amp;ADDRESS(ROW(),COLUMN(NOTA[ID]))),-1)))</f>
        <v>BINTANG SAUDARA</v>
      </c>
      <c r="AH654" s="16">
        <f ca="1">IF(NOTA[[#This Row],[ID]]="","",COUNTIF(NOTA[ID_H],NOTA[[#This Row],[ID_H]]))</f>
        <v>2</v>
      </c>
      <c r="AI654" s="16">
        <f>IF(NOTA[[#This Row],[TGL.NOTA]]="",IF(NOTA[[#This Row],[SUPPLIER_H]]="","",#REF!),MONTH(NOTA[[#This Row],[TGL.NOTA]]))</f>
        <v>10</v>
      </c>
      <c r="AJ654" s="16"/>
    </row>
    <row r="655" spans="1:36" ht="20.100000000000001" customHeight="1" x14ac:dyDescent="0.25">
      <c r="A6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3" t="str">
        <f>IF(NOTA[[#This Row],[ID_P]]="","",MATCH(NOTA[[#This Row],[ID_P]],[1]!B_MSK[N_ID],0))</f>
        <v/>
      </c>
      <c r="D655" s="53">
        <f ca="1">IF(NOTA[[#This Row],[NAMA BARANG]]="","",INDEX(NOTA[ID],MATCH(,INDIRECT(ADDRESS(ROW(NOTA[ID]),COLUMN(NOTA[ID]))&amp;":"&amp;ADDRESS(ROW(),COLUMN(NOTA[ID]))),-1)))</f>
        <v>144</v>
      </c>
      <c r="E655" s="60"/>
      <c r="F655" s="54"/>
      <c r="G655" s="54"/>
      <c r="H655" s="55"/>
      <c r="I655" s="54"/>
      <c r="J655" s="56"/>
      <c r="K655" s="54"/>
      <c r="L655" s="31" t="s">
        <v>790</v>
      </c>
      <c r="M655" s="57">
        <v>1</v>
      </c>
      <c r="N655" s="54">
        <v>300</v>
      </c>
      <c r="O655" s="31" t="s">
        <v>482</v>
      </c>
      <c r="P655" s="52">
        <v>4950</v>
      </c>
      <c r="Q655" s="162"/>
      <c r="R655" s="35"/>
      <c r="S655" s="59"/>
      <c r="T655" s="59"/>
      <c r="U655" s="58"/>
      <c r="V655" s="87"/>
      <c r="W655" s="58">
        <f>IF(NOTA[[#This Row],[HARGA/ CTN]]="",NOTA[[#This Row],[JUMLAH_H]],NOTA[[#This Row],[HARGA/ CTN]]*NOTA[[#This Row],[C]])</f>
        <v>1485000</v>
      </c>
      <c r="X655" s="58">
        <f>IF(NOTA[[#This Row],[JUMLAH]]="","",NOTA[[#This Row],[JUMLAH]]*NOTA[[#This Row],[DISC 1]])</f>
        <v>0</v>
      </c>
      <c r="Y655" s="58">
        <f>IF(NOTA[[#This Row],[JUMLAH]]="","",(NOTA[[#This Row],[JUMLAH]]-NOTA[[#This Row],[DISC 1-]])*NOTA[[#This Row],[DISC 2]])</f>
        <v>0</v>
      </c>
      <c r="Z655" s="58">
        <f>IF(NOTA[[#This Row],[JUMLAH]]="","",NOTA[[#This Row],[DISC 1-]]+NOTA[[#This Row],[DISC 2-]])</f>
        <v>0</v>
      </c>
      <c r="AA655" s="58">
        <f>IF(NOTA[[#This Row],[JUMLAH]]="","",NOTA[[#This Row],[JUMLAH]]-NOTA[[#This Row],[DISC]])</f>
        <v>1485000</v>
      </c>
      <c r="AB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55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5" s="58">
        <f>IF(OR(NOTA[[#This Row],[QTY]]="",NOTA[[#This Row],[HARGA SATUAN]]="",),"",NOTA[[#This Row],[QTY]]*NOTA[[#This Row],[HARGA SATUAN]])</f>
        <v>1485000</v>
      </c>
      <c r="AF655" s="56">
        <f ca="1">IF(NOTA[ID_H]="","",INDEX(NOTA[TANGGAL],MATCH(,INDIRECT(ADDRESS(ROW(NOTA[TANGGAL]),COLUMN(NOTA[TANGGAL]))&amp;":"&amp;ADDRESS(ROW(),COLUMN(NOTA[TANGGAL]))),-1)))</f>
        <v>44869</v>
      </c>
      <c r="AG655" s="52" t="str">
        <f ca="1">IF(NOTA[[#This Row],[NAMA BARANG]]="","",INDEX(NOTA[SUPPLIER],MATCH(,INDIRECT(ADDRESS(ROW(NOTA[ID]),COLUMN(NOTA[ID]))&amp;":"&amp;ADDRESS(ROW(),COLUMN(NOTA[ID]))),-1)))</f>
        <v>BINTANG SAUDARA</v>
      </c>
      <c r="AH655" s="16" t="str">
        <f ca="1">IF(NOTA[[#This Row],[ID]]="","",COUNTIF(NOTA[ID_H],NOTA[[#This Row],[ID_H]]))</f>
        <v/>
      </c>
      <c r="AI655" s="16">
        <f ca="1">IF(NOTA[[#This Row],[TGL.NOTA]]="",IF(NOTA[[#This Row],[SUPPLIER_H]]="","",AI654),MONTH(NOTA[[#This Row],[TGL.NOTA]]))</f>
        <v>10</v>
      </c>
      <c r="AJ655" s="16"/>
    </row>
    <row r="656" spans="1:36" ht="20.100000000000001" customHeight="1" x14ac:dyDescent="0.25">
      <c r="A6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 t="str">
        <f ca="1">IF(NOTA[[#This Row],[NAMA BARANG]]="","",INDEX(NOTA[ID],MATCH(,INDIRECT(ADDRESS(ROW(NOTA[ID]),COLUMN(NOTA[ID]))&amp;":"&amp;ADDRESS(ROW(),COLUMN(NOTA[ID]))),-1)))</f>
        <v/>
      </c>
      <c r="E656" s="32"/>
      <c r="F656" s="31"/>
      <c r="G656" s="31"/>
      <c r="H656" s="33"/>
      <c r="I656" s="31"/>
      <c r="J656" s="34"/>
      <c r="K656" s="31"/>
      <c r="L656" s="31"/>
      <c r="M656" s="35"/>
      <c r="N656" s="31"/>
      <c r="O656" s="31"/>
      <c r="P656" s="52"/>
      <c r="Q656" s="103"/>
      <c r="R656" s="35"/>
      <c r="S656" s="59"/>
      <c r="T656" s="59"/>
      <c r="U656" s="36"/>
      <c r="V656" s="8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4" t="str">
        <f ca="1">IF(NOTA[ID_H]="","",INDEX(NOTA[TANGGAL],MATCH(,INDIRECT(ADDRESS(ROW(NOTA[TANGGAL]),COLUMN(NOTA[TANGGAL]))&amp;":"&amp;ADDRESS(ROW(),COLUMN(NOTA[TANGGAL]))),-1)))</f>
        <v/>
      </c>
      <c r="AG656" s="30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 t="str">
        <f ca="1">IF(NOTA[[#This Row],[TGL.NOTA]]="",IF(NOTA[[#This Row],[SUPPLIER_H]]="","",AI655),MONTH(NOTA[[#This Row],[TGL.NOTA]]))</f>
        <v/>
      </c>
      <c r="AJ656" s="16"/>
    </row>
    <row r="657" spans="1:36" ht="20.100000000000001" customHeight="1" x14ac:dyDescent="0.25">
      <c r="A657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6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57" s="39" t="e">
        <f ca="1">IF(NOTA[[#This Row],[ID_P]]="","",MATCH(NOTA[[#This Row],[ID_P]],[1]!B_MSK[N_ID],0))</f>
        <v>#REF!</v>
      </c>
      <c r="D657" s="39">
        <f ca="1">IF(NOTA[[#This Row],[NAMA BARANG]]="","",INDEX(NOTA[ID],MATCH(,INDIRECT(ADDRESS(ROW(NOTA[ID]),COLUMN(NOTA[ID]))&amp;":"&amp;ADDRESS(ROW(),COLUMN(NOTA[ID]))),-1)))</f>
        <v>145</v>
      </c>
      <c r="E657" s="32"/>
      <c r="F657" s="31" t="s">
        <v>254</v>
      </c>
      <c r="G657" s="31" t="s">
        <v>87</v>
      </c>
      <c r="H657" s="33" t="s">
        <v>791</v>
      </c>
      <c r="I657" s="31"/>
      <c r="J657" s="34">
        <v>44861</v>
      </c>
      <c r="K657" s="31"/>
      <c r="L657" s="31" t="s">
        <v>258</v>
      </c>
      <c r="M657" s="35">
        <v>1</v>
      </c>
      <c r="N657" s="31">
        <v>50</v>
      </c>
      <c r="O657" s="31" t="s">
        <v>90</v>
      </c>
      <c r="P657" s="52">
        <v>17500</v>
      </c>
      <c r="Q657" s="103"/>
      <c r="R657" s="35" t="s">
        <v>257</v>
      </c>
      <c r="S657" s="59"/>
      <c r="T657" s="59"/>
      <c r="U657" s="36"/>
      <c r="V657" s="87"/>
      <c r="W657" s="36">
        <f>IF(NOTA[[#This Row],[HARGA/ CTN]]="",NOTA[[#This Row],[JUMLAH_H]],NOTA[[#This Row],[HARGA/ CTN]]*NOTA[[#This Row],[C]])</f>
        <v>875000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875000</v>
      </c>
      <c r="AB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57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7" s="36">
        <f>IF(OR(NOTA[[#This Row],[QTY]]="",NOTA[[#This Row],[HARGA SATUAN]]="",),"",NOTA[[#This Row],[QTY]]*NOTA[[#This Row],[HARGA SATUAN]])</f>
        <v>875000</v>
      </c>
      <c r="AF657" s="34">
        <f ca="1">IF(NOTA[ID_H]="","",INDEX(NOTA[TANGGAL],MATCH(,INDIRECT(ADDRESS(ROW(NOTA[TANGGAL]),COLUMN(NOTA[TANGGAL]))&amp;":"&amp;ADDRESS(ROW(),COLUMN(NOTA[TANGGAL]))),-1)))</f>
        <v>44869</v>
      </c>
      <c r="AG657" s="30" t="str">
        <f ca="1">IF(NOTA[[#This Row],[NAMA BARANG]]="","",INDEX(NOTA[SUPPLIER],MATCH(,INDIRECT(ADDRESS(ROW(NOTA[ID]),COLUMN(NOTA[ID]))&amp;":"&amp;ADDRESS(ROW(),COLUMN(NOTA[ID]))),-1)))</f>
        <v>GRAFINDO</v>
      </c>
      <c r="AH657" s="16">
        <f ca="1">IF(NOTA[[#This Row],[ID]]="","",COUNTIF(NOTA[ID_H],NOTA[[#This Row],[ID_H]]))</f>
        <v>1</v>
      </c>
      <c r="AI657" s="16">
        <f>IF(NOTA[[#This Row],[TGL.NOTA]]="",IF(NOTA[[#This Row],[SUPPLIER_H]]="","",AI656),MONTH(NOTA[[#This Row],[TGL.NOTA]]))</f>
        <v>10</v>
      </c>
      <c r="AJ657" s="16"/>
    </row>
    <row r="658" spans="1:36" ht="20.100000000000001" customHeight="1" x14ac:dyDescent="0.25">
      <c r="A6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62" t="str">
        <f>IF(NOTA[[#This Row],[ID_P]]="","",MATCH(NOTA[[#This Row],[ID_P]],[1]!B_MSK[N_ID],0))</f>
        <v/>
      </c>
      <c r="D658" s="62" t="str">
        <f ca="1">IF(NOTA[[#This Row],[NAMA BARANG]]="","",INDEX(NOTA[ID],MATCH(,INDIRECT(ADDRESS(ROW(NOTA[ID]),COLUMN(NOTA[ID]))&amp;":"&amp;ADDRESS(ROW(),COLUMN(NOTA[ID]))),-1)))</f>
        <v/>
      </c>
      <c r="E658" s="67"/>
      <c r="F658" s="48"/>
      <c r="G658" s="48"/>
      <c r="H658" s="49"/>
      <c r="I658" s="48"/>
      <c r="J658" s="50"/>
      <c r="K658" s="48"/>
      <c r="L658" s="48"/>
      <c r="M658" s="63"/>
      <c r="N658" s="48"/>
      <c r="O658" s="31"/>
      <c r="P658" s="52"/>
      <c r="Q658" s="164"/>
      <c r="R658" s="35"/>
      <c r="S658" s="59"/>
      <c r="T658" s="59"/>
      <c r="U658" s="64"/>
      <c r="V658" s="87"/>
      <c r="W658" s="64" t="str">
        <f>IF(NOTA[[#This Row],[HARGA/ CTN]]="",NOTA[[#This Row],[JUMLAH_H]],NOTA[[#This Row],[HARGA/ CTN]]*NOTA[[#This Row],[C]])</f>
        <v/>
      </c>
      <c r="X658" s="64" t="str">
        <f>IF(NOTA[[#This Row],[JUMLAH]]="","",NOTA[[#This Row],[JUMLAH]]*NOTA[[#This Row],[DISC 1]])</f>
        <v/>
      </c>
      <c r="Y658" s="64" t="str">
        <f>IF(NOTA[[#This Row],[JUMLAH]]="","",(NOTA[[#This Row],[JUMLAH]]-NOTA[[#This Row],[DISC 1-]])*NOTA[[#This Row],[DISC 2]])</f>
        <v/>
      </c>
      <c r="Z658" s="64" t="str">
        <f>IF(NOTA[[#This Row],[JUMLAH]]="","",NOTA[[#This Row],[DISC 1-]]+NOTA[[#This Row],[DISC 2-]])</f>
        <v/>
      </c>
      <c r="AA658" s="64" t="str">
        <f>IF(NOTA[[#This Row],[JUMLAH]]="","",NOTA[[#This Row],[JUMLAH]]-NOTA[[#This Row],[DISC]])</f>
        <v/>
      </c>
      <c r="AB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64" t="str">
        <f>IF(OR(NOTA[[#This Row],[QTY]]="",NOTA[[#This Row],[HARGA SATUAN]]="",),"",NOTA[[#This Row],[QTY]]*NOTA[[#This Row],[HARGA SATUAN]])</f>
        <v/>
      </c>
      <c r="AF658" s="50" t="str">
        <f ca="1">IF(NOTA[ID_H]="","",INDEX(NOTA[TANGGAL],MATCH(,INDIRECT(ADDRESS(ROW(NOTA[TANGGAL]),COLUMN(NOTA[TANGGAL]))&amp;":"&amp;ADDRESS(ROW(),COLUMN(NOTA[TANGGAL]))),-1)))</f>
        <v/>
      </c>
      <c r="AG658" s="61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 t="str">
        <f ca="1">IF(NOTA[[#This Row],[TGL.NOTA]]="",IF(NOTA[[#This Row],[SUPPLIER_H]]="","",AI657),MONTH(NOTA[[#This Row],[TGL.NOTA]]))</f>
        <v/>
      </c>
      <c r="AJ658" s="16"/>
    </row>
    <row r="659" spans="1:36" ht="20.100000000000001" customHeight="1" x14ac:dyDescent="0.25">
      <c r="A659" s="61">
        <f ca="1">IF(INDIRECT(ADDRESS(ROW()-1,COLUMN(NOTA[[#Headers],[ID]])))="ID",1,IF(NOTA[[#This Row],[FAKTUR]]="","",COUNT(INDIRECT(ADDRESS(ROW(NOTA[ID]),COLUMN(NOTA[ID]))&amp;":"&amp;ADDRESS(ROW()-1,COLUMN(NOTA[ID]))))+1))</f>
        <v>146</v>
      </c>
      <c r="B65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59" s="62" t="e">
        <f ca="1">IF(NOTA[[#This Row],[ID_P]]="","",MATCH(NOTA[[#This Row],[ID_P]],[1]!B_MSK[N_ID],0))</f>
        <v>#REF!</v>
      </c>
      <c r="D659" s="62">
        <f ca="1">IF(NOTA[[#This Row],[NAMA BARANG]]="","",INDEX(NOTA[ID],MATCH(,INDIRECT(ADDRESS(ROW(NOTA[ID]),COLUMN(NOTA[ID]))&amp;":"&amp;ADDRESS(ROW(),COLUMN(NOTA[ID]))),-1)))</f>
        <v>146</v>
      </c>
      <c r="E659" s="32"/>
      <c r="F659" s="31" t="s">
        <v>254</v>
      </c>
      <c r="G659" s="31" t="s">
        <v>87</v>
      </c>
      <c r="H659" s="33" t="s">
        <v>792</v>
      </c>
      <c r="I659" s="31"/>
      <c r="J659" s="34">
        <v>44861</v>
      </c>
      <c r="K659" s="31"/>
      <c r="L659" s="31" t="s">
        <v>569</v>
      </c>
      <c r="M659" s="35">
        <v>3</v>
      </c>
      <c r="N659" s="31">
        <v>150</v>
      </c>
      <c r="O659" s="31" t="s">
        <v>90</v>
      </c>
      <c r="P659" s="30">
        <v>18250</v>
      </c>
      <c r="Q659" s="103"/>
      <c r="R659" s="35" t="s">
        <v>257</v>
      </c>
      <c r="S659" s="37"/>
      <c r="T659" s="37"/>
      <c r="U659" s="36"/>
      <c r="V659" s="87"/>
      <c r="W659" s="64">
        <f>IF(NOTA[[#This Row],[HARGA/ CTN]]="",NOTA[[#This Row],[JUMLAH_H]],NOTA[[#This Row],[HARGA/ CTN]]*NOTA[[#This Row],[C]])</f>
        <v>2737500</v>
      </c>
      <c r="X659" s="64">
        <f>IF(NOTA[[#This Row],[JUMLAH]]="","",NOTA[[#This Row],[JUMLAH]]*NOTA[[#This Row],[DISC 1]])</f>
        <v>0</v>
      </c>
      <c r="Y659" s="64">
        <f>IF(NOTA[[#This Row],[JUMLAH]]="","",(NOTA[[#This Row],[JUMLAH]]-NOTA[[#This Row],[DISC 1-]])*NOTA[[#This Row],[DISC 2]])</f>
        <v>0</v>
      </c>
      <c r="Z659" s="64">
        <f>IF(NOTA[[#This Row],[JUMLAH]]="","",NOTA[[#This Row],[DISC 1-]]+NOTA[[#This Row],[DISC 2-]])</f>
        <v>0</v>
      </c>
      <c r="AA659" s="64">
        <f>IF(NOTA[[#This Row],[JUMLAH]]="","",NOTA[[#This Row],[JUMLAH]]-NOTA[[#This Row],[DISC]])</f>
        <v>2737500</v>
      </c>
      <c r="AB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59" s="64">
        <f>IF(OR(NOTA[[#This Row],[QTY]]="",NOTA[[#This Row],[HARGA SATUAN]]="",),"",NOTA[[#This Row],[QTY]]*NOTA[[#This Row],[HARGA SATUAN]])</f>
        <v>2737500</v>
      </c>
      <c r="AF659" s="50">
        <f ca="1">IF(NOTA[ID_H]="","",INDEX(NOTA[TANGGAL],MATCH(,INDIRECT(ADDRESS(ROW(NOTA[TANGGAL]),COLUMN(NOTA[TANGGAL]))&amp;":"&amp;ADDRESS(ROW(),COLUMN(NOTA[TANGGAL]))),-1)))</f>
        <v>44869</v>
      </c>
      <c r="AG659" s="61" t="str">
        <f ca="1">IF(NOTA[[#This Row],[NAMA BARANG]]="","",INDEX(NOTA[SUPPLIER],MATCH(,INDIRECT(ADDRESS(ROW(NOTA[ID]),COLUMN(NOTA[ID]))&amp;":"&amp;ADDRESS(ROW(),COLUMN(NOTA[ID]))),-1)))</f>
        <v>GRAFINDO</v>
      </c>
      <c r="AH659" s="16">
        <f ca="1">IF(NOTA[[#This Row],[ID]]="","",COUNTIF(NOTA[ID_H],NOTA[[#This Row],[ID_H]]))</f>
        <v>2</v>
      </c>
      <c r="AI659" s="16">
        <f>IF(NOTA[[#This Row],[TGL.NOTA]]="",IF(NOTA[[#This Row],[SUPPLIER_H]]="","",AI658),MONTH(NOTA[[#This Row],[TGL.NOTA]]))</f>
        <v>10</v>
      </c>
      <c r="AJ659" s="16"/>
    </row>
    <row r="660" spans="1:36" ht="20.100000000000001" customHeight="1" x14ac:dyDescent="0.25">
      <c r="A66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62" t="str">
        <f>IF(NOTA[[#This Row],[ID_P]]="","",MATCH(NOTA[[#This Row],[ID_P]],[1]!B_MSK[N_ID],0))</f>
        <v/>
      </c>
      <c r="D660" s="62">
        <f ca="1">IF(NOTA[[#This Row],[NAMA BARANG]]="","",INDEX(NOTA[ID],MATCH(,INDIRECT(ADDRESS(ROW(NOTA[ID]),COLUMN(NOTA[ID]))&amp;":"&amp;ADDRESS(ROW(),COLUMN(NOTA[ID]))),-1)))</f>
        <v>146</v>
      </c>
      <c r="E660" s="32"/>
      <c r="F660" s="31"/>
      <c r="G660" s="31"/>
      <c r="H660" s="33"/>
      <c r="I660" s="31"/>
      <c r="J660" s="34"/>
      <c r="K660" s="31"/>
      <c r="L660" s="31" t="s">
        <v>567</v>
      </c>
      <c r="M660" s="35">
        <v>1</v>
      </c>
      <c r="N660" s="31">
        <v>50</v>
      </c>
      <c r="O660" s="31" t="s">
        <v>90</v>
      </c>
      <c r="P660" s="30">
        <v>18250</v>
      </c>
      <c r="Q660" s="103"/>
      <c r="R660" s="35" t="s">
        <v>257</v>
      </c>
      <c r="S660" s="37"/>
      <c r="T660" s="37"/>
      <c r="U660" s="36"/>
      <c r="V660" s="87"/>
      <c r="W660" s="64">
        <f>IF(NOTA[[#This Row],[HARGA/ CTN]]="",NOTA[[#This Row],[JUMLAH_H]],NOTA[[#This Row],[HARGA/ CTN]]*NOTA[[#This Row],[C]])</f>
        <v>912500</v>
      </c>
      <c r="X660" s="64">
        <f>IF(NOTA[[#This Row],[JUMLAH]]="","",NOTA[[#This Row],[JUMLAH]]*NOTA[[#This Row],[DISC 1]])</f>
        <v>0</v>
      </c>
      <c r="Y660" s="64">
        <f>IF(NOTA[[#This Row],[JUMLAH]]="","",(NOTA[[#This Row],[JUMLAH]]-NOTA[[#This Row],[DISC 1-]])*NOTA[[#This Row],[DISC 2]])</f>
        <v>0</v>
      </c>
      <c r="Z660" s="64">
        <f>IF(NOTA[[#This Row],[JUMLAH]]="","",NOTA[[#This Row],[DISC 1-]]+NOTA[[#This Row],[DISC 2-]])</f>
        <v>0</v>
      </c>
      <c r="AA660" s="64">
        <f>IF(NOTA[[#This Row],[JUMLAH]]="","",NOTA[[#This Row],[JUMLAH]]-NOTA[[#This Row],[DISC]])</f>
        <v>912500</v>
      </c>
      <c r="AB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60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0" s="64">
        <f>IF(OR(NOTA[[#This Row],[QTY]]="",NOTA[[#This Row],[HARGA SATUAN]]="",),"",NOTA[[#This Row],[QTY]]*NOTA[[#This Row],[HARGA SATUAN]])</f>
        <v>912500</v>
      </c>
      <c r="AF660" s="50">
        <f ca="1">IF(NOTA[ID_H]="","",INDEX(NOTA[TANGGAL],MATCH(,INDIRECT(ADDRESS(ROW(NOTA[TANGGAL]),COLUMN(NOTA[TANGGAL]))&amp;":"&amp;ADDRESS(ROW(),COLUMN(NOTA[TANGGAL]))),-1)))</f>
        <v>44869</v>
      </c>
      <c r="AG660" s="61" t="str">
        <f ca="1">IF(NOTA[[#This Row],[NAMA BARANG]]="","",INDEX(NOTA[SUPPLIER],MATCH(,INDIRECT(ADDRESS(ROW(NOTA[ID]),COLUMN(NOTA[ID]))&amp;":"&amp;ADDRESS(ROW(),COLUMN(NOTA[ID]))),-1)))</f>
        <v>GRAFINDO</v>
      </c>
      <c r="AH660" s="16" t="str">
        <f ca="1">IF(NOTA[[#This Row],[ID]]="","",COUNTIF(NOTA[ID_H],NOTA[[#This Row],[ID_H]]))</f>
        <v/>
      </c>
      <c r="AI660" s="16">
        <f ca="1">IF(NOTA[[#This Row],[TGL.NOTA]]="",IF(NOTA[[#This Row],[SUPPLIER_H]]="","",AI659),MONTH(NOTA[[#This Row],[TGL.NOTA]]))</f>
        <v>10</v>
      </c>
      <c r="AJ660" s="16"/>
    </row>
    <row r="661" spans="1:36" ht="20.100000000000001" customHeight="1" x14ac:dyDescent="0.25">
      <c r="A6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2" t="str">
        <f>IF(NOTA[[#This Row],[ID_P]]="","",MATCH(NOTA[[#This Row],[ID_P]],[1]!B_MSK[N_ID],0))</f>
        <v/>
      </c>
      <c r="D661" s="62" t="str">
        <f ca="1">IF(NOTA[[#This Row],[NAMA BARANG]]="","",INDEX(NOTA[ID],MATCH(,INDIRECT(ADDRESS(ROW(NOTA[ID]),COLUMN(NOTA[ID]))&amp;":"&amp;ADDRESS(ROW(),COLUMN(NOTA[ID]))),-1)))</f>
        <v/>
      </c>
      <c r="E661" s="32"/>
      <c r="F661" s="31"/>
      <c r="G661" s="31"/>
      <c r="H661" s="33"/>
      <c r="I661" s="31"/>
      <c r="J661" s="34"/>
      <c r="K661" s="31"/>
      <c r="L661" s="31"/>
      <c r="M661" s="35"/>
      <c r="N661" s="31"/>
      <c r="O661" s="31"/>
      <c r="P661" s="30"/>
      <c r="Q661" s="103"/>
      <c r="R661" s="35"/>
      <c r="S661" s="37"/>
      <c r="T661" s="37"/>
      <c r="U661" s="36"/>
      <c r="V661" s="87"/>
      <c r="W661" s="64" t="str">
        <f>IF(NOTA[[#This Row],[HARGA/ CTN]]="",NOTA[[#This Row],[JUMLAH_H]],NOTA[[#This Row],[HARGA/ CTN]]*NOTA[[#This Row],[C]])</f>
        <v/>
      </c>
      <c r="X661" s="64" t="str">
        <f>IF(NOTA[[#This Row],[JUMLAH]]="","",NOTA[[#This Row],[JUMLAH]]*NOTA[[#This Row],[DISC 1]])</f>
        <v/>
      </c>
      <c r="Y661" s="64" t="str">
        <f>IF(NOTA[[#This Row],[JUMLAH]]="","",(NOTA[[#This Row],[JUMLAH]]-NOTA[[#This Row],[DISC 1-]])*NOTA[[#This Row],[DISC 2]])</f>
        <v/>
      </c>
      <c r="Z661" s="64" t="str">
        <f>IF(NOTA[[#This Row],[JUMLAH]]="","",NOTA[[#This Row],[DISC 1-]]+NOTA[[#This Row],[DISC 2-]])</f>
        <v/>
      </c>
      <c r="AA661" s="64" t="str">
        <f>IF(NOTA[[#This Row],[JUMLAH]]="","",NOTA[[#This Row],[JUMLAH]]-NOTA[[#This Row],[DISC]])</f>
        <v/>
      </c>
      <c r="AB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64" t="str">
        <f>IF(OR(NOTA[[#This Row],[QTY]]="",NOTA[[#This Row],[HARGA SATUAN]]="",),"",NOTA[[#This Row],[QTY]]*NOTA[[#This Row],[HARGA SATUAN]])</f>
        <v/>
      </c>
      <c r="AF661" s="50" t="str">
        <f ca="1">IF(NOTA[ID_H]="","",INDEX(NOTA[TANGGAL],MATCH(,INDIRECT(ADDRESS(ROW(NOTA[TANGGAL]),COLUMN(NOTA[TANGGAL]))&amp;":"&amp;ADDRESS(ROW(),COLUMN(NOTA[TANGGAL]))),-1)))</f>
        <v/>
      </c>
      <c r="AG661" s="61" t="str">
        <f ca="1">IF(NOTA[[#This Row],[NAMA BARANG]]="","",INDEX(NOTA[SUPPLIER],MATCH(,INDIRECT(ADDRESS(ROW(NOTA[ID]),COLUMN(NOTA[ID]))&amp;":"&amp;ADDRESS(ROW(),COLUMN(NOTA[ID]))),-1)))</f>
        <v/>
      </c>
      <c r="AH661" s="16" t="str">
        <f ca="1">IF(NOTA[[#This Row],[ID]]="","",COUNTIF(NOTA[ID_H],NOTA[[#This Row],[ID_H]]))</f>
        <v/>
      </c>
      <c r="AI661" s="16" t="str">
        <f ca="1">IF(NOTA[[#This Row],[TGL.NOTA]]="",IF(NOTA[[#This Row],[SUPPLIER_H]]="","",AI660),MONTH(NOTA[[#This Row],[TGL.NOTA]]))</f>
        <v/>
      </c>
      <c r="AJ661" s="16"/>
    </row>
    <row r="662" spans="1:36" ht="20.100000000000001" customHeight="1" x14ac:dyDescent="0.25">
      <c r="A662" s="61">
        <f ca="1">IF(INDIRECT(ADDRESS(ROW()-1,COLUMN(NOTA[[#Headers],[ID]])))="ID",1,IF(NOTA[[#This Row],[FAKTUR]]="","",COUNT(INDIRECT(ADDRESS(ROW(NOTA[ID]),COLUMN(NOTA[ID]))&amp;":"&amp;ADDRESS(ROW()-1,COLUMN(NOTA[ID]))))+1))</f>
        <v>147</v>
      </c>
      <c r="B662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62" s="62" t="e">
        <f ca="1">IF(NOTA[[#This Row],[ID_P]]="","",MATCH(NOTA[[#This Row],[ID_P]],[1]!B_MSK[N_ID],0))</f>
        <v>#REF!</v>
      </c>
      <c r="D662" s="62">
        <f ca="1">IF(NOTA[[#This Row],[NAMA BARANG]]="","",INDEX(NOTA[ID],MATCH(,INDIRECT(ADDRESS(ROW(NOTA[ID]),COLUMN(NOTA[ID]))&amp;":"&amp;ADDRESS(ROW(),COLUMN(NOTA[ID]))),-1)))</f>
        <v>147</v>
      </c>
      <c r="E662" s="32"/>
      <c r="F662" s="31" t="s">
        <v>254</v>
      </c>
      <c r="G662" s="31" t="s">
        <v>87</v>
      </c>
      <c r="H662" s="33" t="s">
        <v>793</v>
      </c>
      <c r="I662" s="31"/>
      <c r="J662" s="34">
        <v>44861</v>
      </c>
      <c r="K662" s="31"/>
      <c r="L662" s="31" t="s">
        <v>305</v>
      </c>
      <c r="M662" s="35">
        <f>2050/50</f>
        <v>41</v>
      </c>
      <c r="N662" s="31">
        <v>2050</v>
      </c>
      <c r="O662" s="31" t="s">
        <v>90</v>
      </c>
      <c r="P662" s="30">
        <v>18250</v>
      </c>
      <c r="Q662" s="103"/>
      <c r="R662" s="35" t="s">
        <v>257</v>
      </c>
      <c r="S662" s="37"/>
      <c r="T662" s="37"/>
      <c r="U662" s="36">
        <v>1870625</v>
      </c>
      <c r="V662" s="87" t="s">
        <v>794</v>
      </c>
      <c r="W662" s="64">
        <f>IF(NOTA[[#This Row],[HARGA/ CTN]]="",NOTA[[#This Row],[JUMLAH_H]],NOTA[[#This Row],[HARGA/ CTN]]*NOTA[[#This Row],[C]])</f>
        <v>37412500</v>
      </c>
      <c r="X662" s="64">
        <f>IF(NOTA[[#This Row],[JUMLAH]]="","",NOTA[[#This Row],[JUMLAH]]*NOTA[[#This Row],[DISC 1]])</f>
        <v>0</v>
      </c>
      <c r="Y662" s="64">
        <f>IF(NOTA[[#This Row],[JUMLAH]]="","",(NOTA[[#This Row],[JUMLAH]]-NOTA[[#This Row],[DISC 1-]])*NOTA[[#This Row],[DISC 2]])</f>
        <v>0</v>
      </c>
      <c r="Z662" s="64">
        <f>IF(NOTA[[#This Row],[JUMLAH]]="","",NOTA[[#This Row],[DISC 1-]]+NOTA[[#This Row],[DISC 2-]])</f>
        <v>0</v>
      </c>
      <c r="AA662" s="64">
        <f>IF(NOTA[[#This Row],[JUMLAH]]="","",NOTA[[#This Row],[JUMLAH]]-NOTA[[#This Row],[DISC]])</f>
        <v>37412500</v>
      </c>
      <c r="AB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62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2" s="64">
        <f>IF(OR(NOTA[[#This Row],[QTY]]="",NOTA[[#This Row],[HARGA SATUAN]]="",),"",NOTA[[#This Row],[QTY]]*NOTA[[#This Row],[HARGA SATUAN]])</f>
        <v>37412500</v>
      </c>
      <c r="AF662" s="50">
        <f ca="1">IF(NOTA[ID_H]="","",INDEX(NOTA[TANGGAL],MATCH(,INDIRECT(ADDRESS(ROW(NOTA[TANGGAL]),COLUMN(NOTA[TANGGAL]))&amp;":"&amp;ADDRESS(ROW(),COLUMN(NOTA[TANGGAL]))),-1)))</f>
        <v>44869</v>
      </c>
      <c r="AG662" s="61" t="str">
        <f ca="1">IF(NOTA[[#This Row],[NAMA BARANG]]="","",INDEX(NOTA[SUPPLIER],MATCH(,INDIRECT(ADDRESS(ROW(NOTA[ID]),COLUMN(NOTA[ID]))&amp;":"&amp;ADDRESS(ROW(),COLUMN(NOTA[ID]))),-1)))</f>
        <v>GRAFINDO</v>
      </c>
      <c r="AH662" s="16">
        <f ca="1">IF(NOTA[[#This Row],[ID]]="","",COUNTIF(NOTA[ID_H],NOTA[[#This Row],[ID_H]]))</f>
        <v>1</v>
      </c>
      <c r="AI662" s="16">
        <f>IF(NOTA[[#This Row],[TGL.NOTA]]="",IF(NOTA[[#This Row],[SUPPLIER_H]]="","",AI661),MONTH(NOTA[[#This Row],[TGL.NOTA]]))</f>
        <v>10</v>
      </c>
      <c r="AJ662" s="16"/>
    </row>
    <row r="663" spans="1:36" ht="20.100000000000001" customHeight="1" x14ac:dyDescent="0.25">
      <c r="A66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2" t="str">
        <f>IF(NOTA[[#This Row],[ID_P]]="","",MATCH(NOTA[[#This Row],[ID_P]],[1]!B_MSK[N_ID],0))</f>
        <v/>
      </c>
      <c r="D663" s="62" t="str">
        <f ca="1">IF(NOTA[[#This Row],[NAMA BARANG]]="","",INDEX(NOTA[ID],MATCH(,INDIRECT(ADDRESS(ROW(NOTA[ID]),COLUMN(NOTA[ID]))&amp;":"&amp;ADDRESS(ROW(),COLUMN(NOTA[ID]))),-1)))</f>
        <v/>
      </c>
      <c r="E663" s="32"/>
      <c r="F663" s="31"/>
      <c r="G663" s="31"/>
      <c r="H663" s="33"/>
      <c r="I663" s="31"/>
      <c r="J663" s="34"/>
      <c r="K663" s="31"/>
      <c r="L663" s="31"/>
      <c r="M663" s="35"/>
      <c r="N663" s="31"/>
      <c r="O663" s="31"/>
      <c r="P663" s="30"/>
      <c r="Q663" s="103"/>
      <c r="R663" s="35"/>
      <c r="S663" s="37"/>
      <c r="T663" s="37"/>
      <c r="U663" s="36"/>
      <c r="V663" s="87"/>
      <c r="W663" s="64" t="str">
        <f>IF(NOTA[[#This Row],[HARGA/ CTN]]="",NOTA[[#This Row],[JUMLAH_H]],NOTA[[#This Row],[HARGA/ CTN]]*NOTA[[#This Row],[C]])</f>
        <v/>
      </c>
      <c r="X663" s="64" t="str">
        <f>IF(NOTA[[#This Row],[JUMLAH]]="","",NOTA[[#This Row],[JUMLAH]]*NOTA[[#This Row],[DISC 1]])</f>
        <v/>
      </c>
      <c r="Y663" s="64" t="str">
        <f>IF(NOTA[[#This Row],[JUMLAH]]="","",(NOTA[[#This Row],[JUMLAH]]-NOTA[[#This Row],[DISC 1-]])*NOTA[[#This Row],[DISC 2]])</f>
        <v/>
      </c>
      <c r="Z663" s="64" t="str">
        <f>IF(NOTA[[#This Row],[JUMLAH]]="","",NOTA[[#This Row],[DISC 1-]]+NOTA[[#This Row],[DISC 2-]])</f>
        <v/>
      </c>
      <c r="AA663" s="64" t="str">
        <f>IF(NOTA[[#This Row],[JUMLAH]]="","",NOTA[[#This Row],[JUMLAH]]-NOTA[[#This Row],[DISC]])</f>
        <v/>
      </c>
      <c r="AB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64" t="str">
        <f>IF(OR(NOTA[[#This Row],[QTY]]="",NOTA[[#This Row],[HARGA SATUAN]]="",),"",NOTA[[#This Row],[QTY]]*NOTA[[#This Row],[HARGA SATUAN]])</f>
        <v/>
      </c>
      <c r="AF663" s="50" t="str">
        <f ca="1">IF(NOTA[ID_H]="","",INDEX(NOTA[TANGGAL],MATCH(,INDIRECT(ADDRESS(ROW(NOTA[TANGGAL]),COLUMN(NOTA[TANGGAL]))&amp;":"&amp;ADDRESS(ROW(),COLUMN(NOTA[TANGGAL]))),-1)))</f>
        <v/>
      </c>
      <c r="AG663" s="61" t="str">
        <f ca="1">IF(NOTA[[#This Row],[NAMA BARANG]]="","",INDEX(NOTA[SUPPLIER],MATCH(,INDIRECT(ADDRESS(ROW(NOTA[ID]),COLUMN(NOTA[ID]))&amp;":"&amp;ADDRESS(ROW(),COLUMN(NOTA[ID]))),-1)))</f>
        <v/>
      </c>
      <c r="AH663" s="16" t="str">
        <f ca="1">IF(NOTA[[#This Row],[ID]]="","",COUNTIF(NOTA[ID_H],NOTA[[#This Row],[ID_H]]))</f>
        <v/>
      </c>
      <c r="AI663" s="16" t="str">
        <f ca="1">IF(NOTA[[#This Row],[TGL.NOTA]]="",IF(NOTA[[#This Row],[SUPPLIER_H]]="","",AI662),MONTH(NOTA[[#This Row],[TGL.NOTA]]))</f>
        <v/>
      </c>
      <c r="AJ663" s="16"/>
    </row>
    <row r="664" spans="1:36" ht="20.100000000000001" customHeight="1" x14ac:dyDescent="0.25">
      <c r="A6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62" t="str">
        <f>IF(NOTA[[#This Row],[ID_P]]="","",MATCH(NOTA[[#This Row],[ID_P]],[1]!B_MSK[N_ID],0))</f>
        <v/>
      </c>
      <c r="D664" s="62" t="str">
        <f ca="1">IF(NOTA[[#This Row],[NAMA BARANG]]="","",INDEX(NOTA[ID],MATCH(,INDIRECT(ADDRESS(ROW(NOTA[ID]),COLUMN(NOTA[ID]))&amp;":"&amp;ADDRESS(ROW(),COLUMN(NOTA[ID]))),-1)))</f>
        <v/>
      </c>
      <c r="E664" s="67"/>
      <c r="F664" s="48"/>
      <c r="G664" s="48"/>
      <c r="H664" s="49"/>
      <c r="I664" s="48"/>
      <c r="J664" s="50"/>
      <c r="K664" s="48"/>
      <c r="L664" s="31"/>
      <c r="M664" s="63"/>
      <c r="N664" s="48"/>
      <c r="O664" s="31"/>
      <c r="P664" s="61"/>
      <c r="Q664" s="164"/>
      <c r="R664" s="35"/>
      <c r="S664" s="65"/>
      <c r="T664" s="65"/>
      <c r="U664" s="64"/>
      <c r="V664" s="87"/>
      <c r="W664" s="64" t="str">
        <f>IF(NOTA[[#This Row],[HARGA/ CTN]]="",NOTA[[#This Row],[JUMLAH_H]],NOTA[[#This Row],[HARGA/ CTN]]*NOTA[[#This Row],[C]])</f>
        <v/>
      </c>
      <c r="X664" s="64" t="str">
        <f>IF(NOTA[[#This Row],[JUMLAH]]="","",NOTA[[#This Row],[JUMLAH]]*NOTA[[#This Row],[DISC 1]])</f>
        <v/>
      </c>
      <c r="Y664" s="64" t="str">
        <f>IF(NOTA[[#This Row],[JUMLAH]]="","",(NOTA[[#This Row],[JUMLAH]]-NOTA[[#This Row],[DISC 1-]])*NOTA[[#This Row],[DISC 2]])</f>
        <v/>
      </c>
      <c r="Z664" s="64" t="str">
        <f>IF(NOTA[[#This Row],[JUMLAH]]="","",NOTA[[#This Row],[DISC 1-]]+NOTA[[#This Row],[DISC 2-]])</f>
        <v/>
      </c>
      <c r="AA664" s="64" t="str">
        <f>IF(NOTA[[#This Row],[JUMLAH]]="","",NOTA[[#This Row],[JUMLAH]]-NOTA[[#This Row],[DISC]])</f>
        <v/>
      </c>
      <c r="AB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64" t="str">
        <f>IF(OR(NOTA[[#This Row],[QTY]]="",NOTA[[#This Row],[HARGA SATUAN]]="",),"",NOTA[[#This Row],[QTY]]*NOTA[[#This Row],[HARGA SATUAN]])</f>
        <v/>
      </c>
      <c r="AF664" s="50" t="str">
        <f ca="1">IF(NOTA[ID_H]="","",INDEX(NOTA[TANGGAL],MATCH(,INDIRECT(ADDRESS(ROW(NOTA[TANGGAL]),COLUMN(NOTA[TANGGAL]))&amp;":"&amp;ADDRESS(ROW(),COLUMN(NOTA[TANGGAL]))),-1)))</f>
        <v/>
      </c>
      <c r="AG664" s="61" t="str">
        <f ca="1">IF(NOTA[[#This Row],[NAMA BARANG]]="","",INDEX(NOTA[SUPPLIER],MATCH(,INDIRECT(ADDRESS(ROW(NOTA[ID]),COLUMN(NOTA[ID]))&amp;":"&amp;ADDRESS(ROW(),COLUMN(NOTA[ID]))),-1)))</f>
        <v/>
      </c>
      <c r="AH664" s="16" t="str">
        <f ca="1">IF(NOTA[[#This Row],[ID]]="","",COUNTIF(NOTA[ID_H],NOTA[[#This Row],[ID_H]]))</f>
        <v/>
      </c>
      <c r="AI664" s="16" t="str">
        <f ca="1">IF(NOTA[[#This Row],[TGL.NOTA]]="",IF(NOTA[[#This Row],[SUPPLIER_H]]="","",AI364),MONTH(NOTA[[#This Row],[TGL.NOTA]]))</f>
        <v/>
      </c>
      <c r="AJ664" s="16"/>
    </row>
    <row r="665" spans="1:36" ht="20.100000000000001" customHeight="1" x14ac:dyDescent="0.25">
      <c r="A66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2" t="str">
        <f>IF(NOTA[[#This Row],[ID_P]]="","",MATCH(NOTA[[#This Row],[ID_P]],[1]!B_MSK[N_ID],0))</f>
        <v/>
      </c>
      <c r="D665" s="62" t="str">
        <f ca="1">IF(NOTA[[#This Row],[NAMA BARANG]]="","",INDEX(NOTA[ID],MATCH(,INDIRECT(ADDRESS(ROW(NOTA[ID]),COLUMN(NOTA[ID]))&amp;":"&amp;ADDRESS(ROW(),COLUMN(NOTA[ID]))),-1)))</f>
        <v/>
      </c>
      <c r="E665" s="67"/>
      <c r="F665" s="48"/>
      <c r="G665" s="48"/>
      <c r="H665" s="49"/>
      <c r="I665" s="48"/>
      <c r="J665" s="50"/>
      <c r="K665" s="48"/>
      <c r="L665" s="31"/>
      <c r="M665" s="63"/>
      <c r="N665" s="48"/>
      <c r="O665" s="31"/>
      <c r="P665" s="61"/>
      <c r="Q665" s="164"/>
      <c r="R665" s="35"/>
      <c r="S665" s="65"/>
      <c r="T665" s="65"/>
      <c r="U665" s="64"/>
      <c r="V665" s="87"/>
      <c r="W665" s="64" t="str">
        <f>IF(NOTA[[#This Row],[HARGA/ CTN]]="",NOTA[[#This Row],[JUMLAH_H]],NOTA[[#This Row],[HARGA/ CTN]]*NOTA[[#This Row],[C]])</f>
        <v/>
      </c>
      <c r="X665" s="64" t="str">
        <f>IF(NOTA[[#This Row],[JUMLAH]]="","",NOTA[[#This Row],[JUMLAH]]*NOTA[[#This Row],[DISC 1]])</f>
        <v/>
      </c>
      <c r="Y665" s="64" t="str">
        <f>IF(NOTA[[#This Row],[JUMLAH]]="","",(NOTA[[#This Row],[JUMLAH]]-NOTA[[#This Row],[DISC 1-]])*NOTA[[#This Row],[DISC 2]])</f>
        <v/>
      </c>
      <c r="Z665" s="64" t="str">
        <f>IF(NOTA[[#This Row],[JUMLAH]]="","",NOTA[[#This Row],[DISC 1-]]+NOTA[[#This Row],[DISC 2-]])</f>
        <v/>
      </c>
      <c r="AA665" s="64" t="str">
        <f>IF(NOTA[[#This Row],[JUMLAH]]="","",NOTA[[#This Row],[JUMLAH]]-NOTA[[#This Row],[DISC]])</f>
        <v/>
      </c>
      <c r="AB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4" t="str">
        <f>IF(OR(NOTA[[#This Row],[QTY]]="",NOTA[[#This Row],[HARGA SATUAN]]="",),"",NOTA[[#This Row],[QTY]]*NOTA[[#This Row],[HARGA SATUAN]])</f>
        <v/>
      </c>
      <c r="AF665" s="50" t="str">
        <f ca="1">IF(NOTA[ID_H]="","",INDEX(NOTA[TANGGAL],MATCH(,INDIRECT(ADDRESS(ROW(NOTA[TANGGAL]),COLUMN(NOTA[TANGGAL]))&amp;":"&amp;ADDRESS(ROW(),COLUMN(NOTA[TANGGAL]))),-1)))</f>
        <v/>
      </c>
      <c r="AG665" s="61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 t="str">
        <f ca="1">IF(NOTA[[#This Row],[TGL.NOTA]]="",IF(NOTA[[#This Row],[SUPPLIER_H]]="","",AI664),MONTH(NOTA[[#This Row],[TGL.NOTA]]))</f>
        <v/>
      </c>
      <c r="AJ665" s="16"/>
    </row>
    <row r="666" spans="1:36" ht="20.100000000000001" customHeight="1" x14ac:dyDescent="0.25">
      <c r="A66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2" t="str">
        <f>IF(NOTA[[#This Row],[ID_P]]="","",MATCH(NOTA[[#This Row],[ID_P]],[1]!B_MSK[N_ID],0))</f>
        <v/>
      </c>
      <c r="D666" s="62" t="str">
        <f ca="1">IF(NOTA[[#This Row],[NAMA BARANG]]="","",INDEX(NOTA[ID],MATCH(,INDIRECT(ADDRESS(ROW(NOTA[ID]),COLUMN(NOTA[ID]))&amp;":"&amp;ADDRESS(ROW(),COLUMN(NOTA[ID]))),-1)))</f>
        <v/>
      </c>
      <c r="E666" s="67"/>
      <c r="F666" s="48"/>
      <c r="G666" s="48"/>
      <c r="H666" s="49"/>
      <c r="I666" s="48"/>
      <c r="J666" s="50"/>
      <c r="K666" s="48"/>
      <c r="L666" s="31"/>
      <c r="M666" s="63"/>
      <c r="N666" s="48"/>
      <c r="O666" s="31"/>
      <c r="P666" s="61"/>
      <c r="Q666" s="164"/>
      <c r="R666" s="35"/>
      <c r="S666" s="65"/>
      <c r="T666" s="65"/>
      <c r="U666" s="64"/>
      <c r="V666" s="87"/>
      <c r="W666" s="64" t="str">
        <f>IF(NOTA[[#This Row],[HARGA/ CTN]]="",NOTA[[#This Row],[JUMLAH_H]],NOTA[[#This Row],[HARGA/ CTN]]*NOTA[[#This Row],[C]])</f>
        <v/>
      </c>
      <c r="X666" s="64" t="str">
        <f>IF(NOTA[[#This Row],[JUMLAH]]="","",NOTA[[#This Row],[JUMLAH]]*NOTA[[#This Row],[DISC 1]])</f>
        <v/>
      </c>
      <c r="Y666" s="64" t="str">
        <f>IF(NOTA[[#This Row],[JUMLAH]]="","",(NOTA[[#This Row],[JUMLAH]]-NOTA[[#This Row],[DISC 1-]])*NOTA[[#This Row],[DISC 2]])</f>
        <v/>
      </c>
      <c r="Z666" s="64" t="str">
        <f>IF(NOTA[[#This Row],[JUMLAH]]="","",NOTA[[#This Row],[DISC 1-]]+NOTA[[#This Row],[DISC 2-]])</f>
        <v/>
      </c>
      <c r="AA666" s="64" t="str">
        <f>IF(NOTA[[#This Row],[JUMLAH]]="","",NOTA[[#This Row],[JUMLAH]]-NOTA[[#This Row],[DISC]])</f>
        <v/>
      </c>
      <c r="AB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64" t="str">
        <f>IF(OR(NOTA[[#This Row],[QTY]]="",NOTA[[#This Row],[HARGA SATUAN]]="",),"",NOTA[[#This Row],[QTY]]*NOTA[[#This Row],[HARGA SATUAN]])</f>
        <v/>
      </c>
      <c r="AF666" s="50" t="str">
        <f ca="1">IF(NOTA[ID_H]="","",INDEX(NOTA[TANGGAL],MATCH(,INDIRECT(ADDRESS(ROW(NOTA[TANGGAL]),COLUMN(NOTA[TANGGAL]))&amp;":"&amp;ADDRESS(ROW(),COLUMN(NOTA[TANGGAL]))),-1)))</f>
        <v/>
      </c>
      <c r="AG666" s="61" t="str">
        <f ca="1">IF(NOTA[[#This Row],[NAMA BARANG]]="","",INDEX(NOTA[SUPPLIER],MATCH(,INDIRECT(ADDRESS(ROW(NOTA[ID]),COLUMN(NOTA[ID]))&amp;":"&amp;ADDRESS(ROW(),COLUMN(NOTA[ID]))),-1)))</f>
        <v/>
      </c>
      <c r="AH666" s="16" t="str">
        <f ca="1">IF(NOTA[[#This Row],[ID]]="","",COUNTIF(NOTA[ID_H],NOTA[[#This Row],[ID_H]]))</f>
        <v/>
      </c>
      <c r="AI666" s="16" t="str">
        <f ca="1">IF(NOTA[[#This Row],[TGL.NOTA]]="",IF(NOTA[[#This Row],[SUPPLIER_H]]="","",AI665),MONTH(NOTA[[#This Row],[TGL.NOTA]]))</f>
        <v/>
      </c>
      <c r="AJ666" s="16"/>
    </row>
    <row r="667" spans="1:36" ht="20.100000000000001" customHeight="1" x14ac:dyDescent="0.25">
      <c r="A66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2" t="str">
        <f>IF(NOTA[[#This Row],[ID_P]]="","",MATCH(NOTA[[#This Row],[ID_P]],[1]!B_MSK[N_ID],0))</f>
        <v/>
      </c>
      <c r="D667" s="62" t="str">
        <f ca="1">IF(NOTA[[#This Row],[NAMA BARANG]]="","",INDEX(NOTA[ID],MATCH(,INDIRECT(ADDRESS(ROW(NOTA[ID]),COLUMN(NOTA[ID]))&amp;":"&amp;ADDRESS(ROW(),COLUMN(NOTA[ID]))),-1)))</f>
        <v/>
      </c>
      <c r="E667" s="67"/>
      <c r="F667" s="31"/>
      <c r="G667" s="31"/>
      <c r="H667" s="33"/>
      <c r="I667" s="48"/>
      <c r="J667" s="50"/>
      <c r="K667" s="48"/>
      <c r="L667" s="31"/>
      <c r="M667" s="63"/>
      <c r="N667" s="48"/>
      <c r="O667" s="31"/>
      <c r="P667" s="61"/>
      <c r="Q667" s="164"/>
      <c r="R667" s="35"/>
      <c r="S667" s="65"/>
      <c r="T667" s="65"/>
      <c r="U667" s="64"/>
      <c r="V667" s="87"/>
      <c r="W667" s="64" t="str">
        <f>IF(NOTA[[#This Row],[HARGA/ CTN]]="",NOTA[[#This Row],[JUMLAH_H]],NOTA[[#This Row],[HARGA/ CTN]]*NOTA[[#This Row],[C]])</f>
        <v/>
      </c>
      <c r="X667" s="64" t="str">
        <f>IF(NOTA[[#This Row],[JUMLAH]]="","",NOTA[[#This Row],[JUMLAH]]*NOTA[[#This Row],[DISC 1]])</f>
        <v/>
      </c>
      <c r="Y667" s="64" t="str">
        <f>IF(NOTA[[#This Row],[JUMLAH]]="","",(NOTA[[#This Row],[JUMLAH]]-NOTA[[#This Row],[DISC 1-]])*NOTA[[#This Row],[DISC 2]])</f>
        <v/>
      </c>
      <c r="Z667" s="64" t="str">
        <f>IF(NOTA[[#This Row],[JUMLAH]]="","",NOTA[[#This Row],[DISC 1-]]+NOTA[[#This Row],[DISC 2-]])</f>
        <v/>
      </c>
      <c r="AA667" s="64" t="str">
        <f>IF(NOTA[[#This Row],[JUMLAH]]="","",NOTA[[#This Row],[JUMLAH]]-NOTA[[#This Row],[DISC]])</f>
        <v/>
      </c>
      <c r="AB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4" t="str">
        <f>IF(OR(NOTA[[#This Row],[QTY]]="",NOTA[[#This Row],[HARGA SATUAN]]="",),"",NOTA[[#This Row],[QTY]]*NOTA[[#This Row],[HARGA SATUAN]])</f>
        <v/>
      </c>
      <c r="AF667" s="50" t="str">
        <f ca="1">IF(NOTA[ID_H]="","",INDEX(NOTA[TANGGAL],MATCH(,INDIRECT(ADDRESS(ROW(NOTA[TANGGAL]),COLUMN(NOTA[TANGGAL]))&amp;":"&amp;ADDRESS(ROW(),COLUMN(NOTA[TANGGAL]))),-1)))</f>
        <v/>
      </c>
      <c r="AG667" s="61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 t="str">
        <f ca="1">IF(NOTA[[#This Row],[TGL.NOTA]]="",IF(NOTA[[#This Row],[SUPPLIER_H]]="","",AI666),MONTH(NOTA[[#This Row],[TGL.NOTA]]))</f>
        <v/>
      </c>
      <c r="AJ667" s="16"/>
    </row>
    <row r="668" spans="1:36" ht="20.100000000000001" customHeight="1" x14ac:dyDescent="0.25">
      <c r="A66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2" t="str">
        <f>IF(NOTA[[#This Row],[ID_P]]="","",MATCH(NOTA[[#This Row],[ID_P]],[1]!B_MSK[N_ID],0))</f>
        <v/>
      </c>
      <c r="D668" s="62" t="str">
        <f ca="1">IF(NOTA[[#This Row],[NAMA BARANG]]="","",INDEX(NOTA[ID],MATCH(,INDIRECT(ADDRESS(ROW(NOTA[ID]),COLUMN(NOTA[ID]))&amp;":"&amp;ADDRESS(ROW(),COLUMN(NOTA[ID]))),-1)))</f>
        <v/>
      </c>
      <c r="E668" s="67"/>
      <c r="F668" s="48"/>
      <c r="G668" s="48"/>
      <c r="H668" s="49"/>
      <c r="I668" s="48"/>
      <c r="J668" s="50"/>
      <c r="K668" s="48"/>
      <c r="L668" s="31"/>
      <c r="M668" s="63"/>
      <c r="N668" s="48"/>
      <c r="O668" s="31"/>
      <c r="P668" s="61"/>
      <c r="Q668" s="164"/>
      <c r="R668" s="35"/>
      <c r="S668" s="65"/>
      <c r="T668" s="65"/>
      <c r="U668" s="64"/>
      <c r="V668" s="87"/>
      <c r="W668" s="64" t="str">
        <f>IF(NOTA[[#This Row],[HARGA/ CTN]]="",NOTA[[#This Row],[JUMLAH_H]],NOTA[[#This Row],[HARGA/ CTN]]*NOTA[[#This Row],[C]])</f>
        <v/>
      </c>
      <c r="X668" s="64" t="str">
        <f>IF(NOTA[[#This Row],[JUMLAH]]="","",NOTA[[#This Row],[JUMLAH]]*NOTA[[#This Row],[DISC 1]])</f>
        <v/>
      </c>
      <c r="Y668" s="64" t="str">
        <f>IF(NOTA[[#This Row],[JUMLAH]]="","",(NOTA[[#This Row],[JUMLAH]]-NOTA[[#This Row],[DISC 1-]])*NOTA[[#This Row],[DISC 2]])</f>
        <v/>
      </c>
      <c r="Z668" s="64" t="str">
        <f>IF(NOTA[[#This Row],[JUMLAH]]="","",NOTA[[#This Row],[DISC 1-]]+NOTA[[#This Row],[DISC 2-]])</f>
        <v/>
      </c>
      <c r="AA668" s="64" t="str">
        <f>IF(NOTA[[#This Row],[JUMLAH]]="","",NOTA[[#This Row],[JUMLAH]]-NOTA[[#This Row],[DISC]])</f>
        <v/>
      </c>
      <c r="AB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64" t="str">
        <f>IF(OR(NOTA[[#This Row],[QTY]]="",NOTA[[#This Row],[HARGA SATUAN]]="",),"",NOTA[[#This Row],[QTY]]*NOTA[[#This Row],[HARGA SATUAN]])</f>
        <v/>
      </c>
      <c r="AF668" s="50" t="str">
        <f ca="1">IF(NOTA[ID_H]="","",INDEX(NOTA[TANGGAL],MATCH(,INDIRECT(ADDRESS(ROW(NOTA[TANGGAL]),COLUMN(NOTA[TANGGAL]))&amp;":"&amp;ADDRESS(ROW(),COLUMN(NOTA[TANGGAL]))),-1)))</f>
        <v/>
      </c>
      <c r="AG668" s="61" t="str">
        <f ca="1">IF(NOTA[[#This Row],[NAMA BARANG]]="","",INDEX(NOTA[SUPPLIER],MATCH(,INDIRECT(ADDRESS(ROW(NOTA[ID]),COLUMN(NOTA[ID]))&amp;":"&amp;ADDRESS(ROW(),COLUMN(NOTA[ID]))),-1)))</f>
        <v/>
      </c>
      <c r="AH668" s="16" t="str">
        <f ca="1">IF(NOTA[[#This Row],[ID]]="","",COUNTIF(NOTA[ID_H],NOTA[[#This Row],[ID_H]]))</f>
        <v/>
      </c>
      <c r="AI668" s="16" t="str">
        <f ca="1">IF(NOTA[[#This Row],[TGL.NOTA]]="",IF(NOTA[[#This Row],[SUPPLIER_H]]="","",AI667),MONTH(NOTA[[#This Row],[TGL.NOTA]]))</f>
        <v/>
      </c>
      <c r="AJ668" s="16"/>
    </row>
    <row r="669" spans="1:36" ht="20.100000000000001" customHeight="1" x14ac:dyDescent="0.25">
      <c r="A6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32"/>
      <c r="F669" s="31"/>
      <c r="G669" s="31"/>
      <c r="H669" s="33"/>
      <c r="I669" s="31"/>
      <c r="J669" s="34"/>
      <c r="K669" s="31"/>
      <c r="L669" s="31"/>
      <c r="M669" s="63"/>
      <c r="N669" s="48"/>
      <c r="O669" s="31"/>
      <c r="P669" s="61"/>
      <c r="Q669" s="103"/>
      <c r="R669" s="35"/>
      <c r="S669" s="37"/>
      <c r="T669" s="37"/>
      <c r="U669" s="36"/>
      <c r="V669" s="8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4" t="str">
        <f ca="1">IF(NOTA[ID_H]="","",INDEX(NOTA[TANGGAL],MATCH(,INDIRECT(ADDRESS(ROW(NOTA[TANGGAL]),COLUMN(NOTA[TANGGAL]))&amp;":"&amp;ADDRESS(ROW(),COLUMN(NOTA[TANGGAL]))),-1)))</f>
        <v/>
      </c>
      <c r="AG669" s="30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32"/>
      <c r="F670" s="31"/>
      <c r="G670" s="31"/>
      <c r="H670" s="33"/>
      <c r="I670" s="31"/>
      <c r="J670" s="34"/>
      <c r="K670" s="31"/>
      <c r="L670" s="31"/>
      <c r="M670" s="63"/>
      <c r="N670" s="48"/>
      <c r="O670" s="31"/>
      <c r="P670" s="61"/>
      <c r="Q670" s="103"/>
      <c r="R670" s="35"/>
      <c r="S670" s="37"/>
      <c r="T670" s="37"/>
      <c r="U670" s="36"/>
      <c r="V670" s="8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4" t="str">
        <f ca="1">IF(NOTA[ID_H]="","",INDEX(NOTA[TANGGAL],MATCH(,INDIRECT(ADDRESS(ROW(NOTA[TANGGAL]),COLUMN(NOTA[TANGGAL]))&amp;":"&amp;ADDRESS(ROW(),COLUMN(NOTA[TANGGAL]))),-1)))</f>
        <v/>
      </c>
      <c r="AG670" s="30" t="str">
        <f ca="1">IF(NOTA[[#This Row],[NAMA BARANG]]="","",INDEX(NOTA[SUPPLIER],MATCH(,INDIRECT(ADDRESS(ROW(NOTA[ID]),COLUMN(NOTA[ID]))&amp;":"&amp;ADDRESS(ROW(),COLUMN(NOTA[ID]))),-1)))</f>
        <v/>
      </c>
      <c r="AH670" s="16" t="str">
        <f ca="1">IF(NOTA[[#This Row],[ID]]="","",COUNTIF(NOTA[ID_H],NOTA[[#This Row],[ID_H]]))</f>
        <v/>
      </c>
      <c r="AI670" s="16" t="str">
        <f ca="1">IF(NOTA[[#This Row],[TGL.NOTA]]="",IF(NOTA[[#This Row],[SUPPLIER_H]]="","",AI669),MONTH(NOTA[[#This Row],[TGL.NOTA]]))</f>
        <v/>
      </c>
      <c r="AJ670" s="16"/>
    </row>
    <row r="671" spans="1:36" ht="20.100000000000001" customHeight="1" x14ac:dyDescent="0.25">
      <c r="A6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32"/>
      <c r="F671" s="31"/>
      <c r="G671" s="31"/>
      <c r="H671" s="33"/>
      <c r="I671" s="31"/>
      <c r="J671" s="34"/>
      <c r="K671" s="31"/>
      <c r="L671" s="31"/>
      <c r="M671" s="63"/>
      <c r="N671" s="48"/>
      <c r="O671" s="31"/>
      <c r="P671" s="61"/>
      <c r="Q671" s="103"/>
      <c r="R671" s="35"/>
      <c r="S671" s="37"/>
      <c r="T671" s="37"/>
      <c r="U671" s="36"/>
      <c r="V671" s="8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4" t="str">
        <f ca="1">IF(NOTA[ID_H]="","",INDEX(NOTA[TANGGAL],MATCH(,INDIRECT(ADDRESS(ROW(NOTA[TANGGAL]),COLUMN(NOTA[TANGGAL]))&amp;":"&amp;ADDRESS(ROW(),COLUMN(NOTA[TANGGAL]))),-1)))</f>
        <v/>
      </c>
      <c r="AG671" s="30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 t="str">
        <f ca="1">IF(NOTA[[#This Row],[TGL.NOTA]]="",IF(NOTA[[#This Row],[SUPPLIER_H]]="","",AI670),MONTH(NOTA[[#This Row],[TGL.NOTA]]))</f>
        <v/>
      </c>
      <c r="AJ671" s="16"/>
    </row>
    <row r="672" spans="1:36" ht="20.100000000000001" customHeight="1" x14ac:dyDescent="0.25">
      <c r="A6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32"/>
      <c r="F672" s="31"/>
      <c r="G672" s="31"/>
      <c r="H672" s="33"/>
      <c r="I672" s="31"/>
      <c r="J672" s="34"/>
      <c r="K672" s="31"/>
      <c r="L672" s="31"/>
      <c r="M672" s="63"/>
      <c r="N672" s="48"/>
      <c r="O672" s="31"/>
      <c r="P672" s="61"/>
      <c r="Q672" s="103"/>
      <c r="R672" s="35"/>
      <c r="S672" s="37"/>
      <c r="T672" s="37"/>
      <c r="U672" s="36"/>
      <c r="V672" s="8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4" t="str">
        <f ca="1">IF(NOTA[ID_H]="","",INDEX(NOTA[TANGGAL],MATCH(,INDIRECT(ADDRESS(ROW(NOTA[TANGGAL]),COLUMN(NOTA[TANGGAL]))&amp;":"&amp;ADDRESS(ROW(),COLUMN(NOTA[TANGGAL]))),-1)))</f>
        <v/>
      </c>
      <c r="AG672" s="30" t="str">
        <f ca="1">IF(NOTA[[#This Row],[NAMA BARANG]]="","",INDEX(NOTA[SUPPLIER],MATCH(,INDIRECT(ADDRESS(ROW(NOTA[ID]),COLUMN(NOTA[ID]))&amp;":"&amp;ADDRESS(ROW(),COLUMN(NOTA[ID]))),-1)))</f>
        <v/>
      </c>
      <c r="AH672" s="16" t="str">
        <f ca="1">IF(NOTA[[#This Row],[ID]]="","",COUNTIF(NOTA[ID_H],NOTA[[#This Row],[ID_H]]))</f>
        <v/>
      </c>
      <c r="AI672" s="16" t="str">
        <f ca="1">IF(NOTA[[#This Row],[TGL.NOTA]]="",IF(NOTA[[#This Row],[SUPPLIER_H]]="","",AI671),MONTH(NOTA[[#This Row],[TGL.NOTA]]))</f>
        <v/>
      </c>
      <c r="AJ672" s="16"/>
    </row>
    <row r="673" spans="1:36" ht="20.100000000000001" customHeight="1" x14ac:dyDescent="0.25">
      <c r="A6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32"/>
      <c r="F673" s="31"/>
      <c r="G673" s="31"/>
      <c r="H673" s="33"/>
      <c r="I673" s="31"/>
      <c r="J673" s="34"/>
      <c r="K673" s="31"/>
      <c r="L673" s="31"/>
      <c r="M673" s="35"/>
      <c r="N673" s="31"/>
      <c r="O673" s="31"/>
      <c r="P673" s="30"/>
      <c r="Q673" s="103"/>
      <c r="R673" s="35"/>
      <c r="S673" s="37"/>
      <c r="T673" s="37"/>
      <c r="U673" s="36"/>
      <c r="V673" s="8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4" t="str">
        <f ca="1">IF(NOTA[ID_H]="","",INDEX(NOTA[TANGGAL],MATCH(,INDIRECT(ADDRESS(ROW(NOTA[TANGGAL]),COLUMN(NOTA[TANGGAL]))&amp;":"&amp;ADDRESS(ROW(),COLUMN(NOTA[TANGGAL]))),-1)))</f>
        <v/>
      </c>
      <c r="AG673" s="30" t="str">
        <f ca="1">IF(NOTA[[#This Row],[NAMA BARANG]]="","",INDEX(NOTA[SUPPLIER],MATCH(,INDIRECT(ADDRESS(ROW(NOTA[ID]),COLUMN(NOTA[ID]))&amp;":"&amp;ADDRESS(ROW(),COLUMN(NOTA[ID]))),-1)))</f>
        <v/>
      </c>
      <c r="AH673" s="16" t="str">
        <f ca="1">IF(NOTA[[#This Row],[ID]]="","",COUNTIF(NOTA[ID_H],NOTA[[#This Row],[ID_H]]))</f>
        <v/>
      </c>
      <c r="AI673" s="16" t="str">
        <f ca="1">IF(NOTA[[#This Row],[TGL.NOTA]]="",IF(NOTA[[#This Row],[SUPPLIER_H]]="","",AI672),MONTH(NOTA[[#This Row],[TGL.NOTA]]))</f>
        <v/>
      </c>
      <c r="AJ673" s="16"/>
    </row>
    <row r="674" spans="1:36" ht="20.100000000000001" customHeight="1" x14ac:dyDescent="0.25">
      <c r="A6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32"/>
      <c r="F674" s="31"/>
      <c r="G674" s="31"/>
      <c r="H674" s="33"/>
      <c r="I674" s="31"/>
      <c r="J674" s="34"/>
      <c r="K674" s="31"/>
      <c r="L674" s="31"/>
      <c r="M674" s="35"/>
      <c r="N674" s="31"/>
      <c r="O674" s="31"/>
      <c r="P674" s="30"/>
      <c r="Q674" s="103"/>
      <c r="R674" s="35"/>
      <c r="S674" s="37"/>
      <c r="T674" s="37"/>
      <c r="U674" s="36"/>
      <c r="V674" s="8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4" t="str">
        <f ca="1">IF(NOTA[ID_H]="","",INDEX(NOTA[TANGGAL],MATCH(,INDIRECT(ADDRESS(ROW(NOTA[TANGGAL]),COLUMN(NOTA[TANGGAL]))&amp;":"&amp;ADDRESS(ROW(),COLUMN(NOTA[TANGGAL]))),-1)))</f>
        <v/>
      </c>
      <c r="AG674" s="30" t="str">
        <f ca="1">IF(NOTA[[#This Row],[NAMA BARANG]]="","",INDEX(NOTA[SUPPLIER],MATCH(,INDIRECT(ADDRESS(ROW(NOTA[ID]),COLUMN(NOTA[ID]))&amp;":"&amp;ADDRESS(ROW(),COLUMN(NOTA[ID]))),-1)))</f>
        <v/>
      </c>
      <c r="AH674" s="16" t="str">
        <f ca="1">IF(NOTA[[#This Row],[ID]]="","",COUNTIF(NOTA[ID_H],NOTA[[#This Row],[ID_H]]))</f>
        <v/>
      </c>
      <c r="AI674" s="16" t="str">
        <f ca="1">IF(NOTA[[#This Row],[TGL.NOTA]]="",IF(NOTA[[#This Row],[SUPPLIER_H]]="","",AI673),MONTH(NOTA[[#This Row],[TGL.NOTA]]))</f>
        <v/>
      </c>
      <c r="AJ674" s="16"/>
    </row>
    <row r="675" spans="1:36" ht="20.100000000000001" customHeight="1" x14ac:dyDescent="0.25">
      <c r="A6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32"/>
      <c r="F675" s="31"/>
      <c r="G675" s="31"/>
      <c r="H675" s="33"/>
      <c r="I675" s="31"/>
      <c r="J675" s="34"/>
      <c r="K675" s="31"/>
      <c r="L675" s="31"/>
      <c r="M675" s="35"/>
      <c r="N675" s="31"/>
      <c r="O675" s="31"/>
      <c r="P675" s="30"/>
      <c r="Q675" s="103"/>
      <c r="R675" s="35"/>
      <c r="S675" s="37"/>
      <c r="T675" s="37"/>
      <c r="U675" s="36"/>
      <c r="V675" s="8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4" t="str">
        <f ca="1">IF(NOTA[ID_H]="","",INDEX(NOTA[TANGGAL],MATCH(,INDIRECT(ADDRESS(ROW(NOTA[TANGGAL]),COLUMN(NOTA[TANGGAL]))&amp;":"&amp;ADDRESS(ROW(),COLUMN(NOTA[TANGGAL]))),-1)))</f>
        <v/>
      </c>
      <c r="AG675" s="30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 t="str">
        <f ca="1">IF(NOTA[[#This Row],[TGL.NOTA]]="",IF(NOTA[[#This Row],[SUPPLIER_H]]="","",AI674),MONTH(NOTA[[#This Row],[TGL.NOTA]]))</f>
        <v/>
      </c>
      <c r="AJ675" s="16"/>
    </row>
    <row r="676" spans="1:36" ht="20.100000000000001" customHeight="1" x14ac:dyDescent="0.25">
      <c r="A6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32"/>
      <c r="F676" s="31"/>
      <c r="G676" s="31"/>
      <c r="H676" s="33"/>
      <c r="I676" s="31"/>
      <c r="J676" s="34"/>
      <c r="K676" s="31"/>
      <c r="L676" s="31"/>
      <c r="M676" s="35"/>
      <c r="N676" s="31"/>
      <c r="O676" s="31"/>
      <c r="P676" s="30"/>
      <c r="Q676" s="103"/>
      <c r="R676" s="35"/>
      <c r="S676" s="37"/>
      <c r="T676" s="37"/>
      <c r="U676" s="36"/>
      <c r="V676" s="8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4" t="str">
        <f ca="1">IF(NOTA[ID_H]="","",INDEX(NOTA[TANGGAL],MATCH(,INDIRECT(ADDRESS(ROW(NOTA[TANGGAL]),COLUMN(NOTA[TANGGAL]))&amp;":"&amp;ADDRESS(ROW(),COLUMN(NOTA[TANGGAL]))),-1)))</f>
        <v/>
      </c>
      <c r="AG676" s="30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 t="str">
        <f ca="1">IF(NOTA[[#This Row],[TGL.NOTA]]="",IF(NOTA[[#This Row],[SUPPLIER_H]]="","",AI675),MONTH(NOTA[[#This Row],[TGL.NOTA]]))</f>
        <v/>
      </c>
      <c r="AJ676" s="16"/>
    </row>
    <row r="677" spans="1:36" ht="20.100000000000001" customHeight="1" x14ac:dyDescent="0.25">
      <c r="A6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32"/>
      <c r="F677" s="31"/>
      <c r="G677" s="31"/>
      <c r="H677" s="33"/>
      <c r="I677" s="31"/>
      <c r="J677" s="34"/>
      <c r="K677" s="31"/>
      <c r="L677" s="31"/>
      <c r="M677" s="35"/>
      <c r="N677" s="31"/>
      <c r="O677" s="31"/>
      <c r="P677" s="30"/>
      <c r="Q677" s="103"/>
      <c r="R677" s="35"/>
      <c r="S677" s="37"/>
      <c r="T677" s="37"/>
      <c r="U677" s="36"/>
      <c r="V677" s="8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4" t="str">
        <f ca="1">IF(NOTA[ID_H]="","",INDEX(NOTA[TANGGAL],MATCH(,INDIRECT(ADDRESS(ROW(NOTA[TANGGAL]),COLUMN(NOTA[TANGGAL]))&amp;":"&amp;ADDRESS(ROW(),COLUMN(NOTA[TANGGAL]))),-1)))</f>
        <v/>
      </c>
      <c r="AG677" s="30" t="str">
        <f ca="1">IF(NOTA[[#This Row],[NAMA BARANG]]="","",INDEX(NOTA[SUPPLIER],MATCH(,INDIRECT(ADDRESS(ROW(NOTA[ID]),COLUMN(NOTA[ID]))&amp;":"&amp;ADDRESS(ROW(),COLUMN(NOTA[ID]))),-1)))</f>
        <v/>
      </c>
      <c r="AH677" s="16" t="str">
        <f ca="1">IF(NOTA[[#This Row],[ID]]="","",COUNTIF(NOTA[ID_H],NOTA[[#This Row],[ID_H]]))</f>
        <v/>
      </c>
      <c r="AI677" s="16" t="str">
        <f ca="1">IF(NOTA[[#This Row],[TGL.NOTA]]="",IF(NOTA[[#This Row],[SUPPLIER_H]]="","",AI676),MONTH(NOTA[[#This Row],[TGL.NOTA]]))</f>
        <v/>
      </c>
      <c r="AJ677" s="16"/>
    </row>
    <row r="678" spans="1:36" ht="20.100000000000001" customHeight="1" x14ac:dyDescent="0.25">
      <c r="A6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32"/>
      <c r="F678" s="31"/>
      <c r="G678" s="31"/>
      <c r="H678" s="33"/>
      <c r="I678" s="31"/>
      <c r="J678" s="34"/>
      <c r="K678" s="31"/>
      <c r="L678" s="31"/>
      <c r="M678" s="35"/>
      <c r="N678" s="31"/>
      <c r="O678" s="31"/>
      <c r="P678" s="30"/>
      <c r="Q678" s="103"/>
      <c r="R678" s="35"/>
      <c r="S678" s="37"/>
      <c r="T678" s="37"/>
      <c r="U678" s="36"/>
      <c r="V678" s="8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4" t="str">
        <f ca="1">IF(NOTA[ID_H]="","",INDEX(NOTA[TANGGAL],MATCH(,INDIRECT(ADDRESS(ROW(NOTA[TANGGAL]),COLUMN(NOTA[TANGGAL]))&amp;":"&amp;ADDRESS(ROW(),COLUMN(NOTA[TANGGAL]))),-1)))</f>
        <v/>
      </c>
      <c r="AG678" s="30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ht="20.100000000000001" customHeight="1" x14ac:dyDescent="0.25">
      <c r="A6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32"/>
      <c r="F679" s="31"/>
      <c r="G679" s="31"/>
      <c r="H679" s="33"/>
      <c r="I679" s="31"/>
      <c r="J679" s="34"/>
      <c r="K679" s="31"/>
      <c r="L679" s="31"/>
      <c r="M679" s="35"/>
      <c r="N679" s="31"/>
      <c r="O679" s="31"/>
      <c r="P679" s="30"/>
      <c r="Q679" s="103"/>
      <c r="R679" s="35"/>
      <c r="S679" s="37"/>
      <c r="T679" s="37"/>
      <c r="U679" s="36"/>
      <c r="V679" s="8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4" t="str">
        <f ca="1">IF(NOTA[ID_H]="","",INDEX(NOTA[TANGGAL],MATCH(,INDIRECT(ADDRESS(ROW(NOTA[TANGGAL]),COLUMN(NOTA[TANGGAL]))&amp;":"&amp;ADDRESS(ROW(),COLUMN(NOTA[TANGGAL]))),-1)))</f>
        <v/>
      </c>
      <c r="AG679" s="30" t="str">
        <f ca="1">IF(NOTA[[#This Row],[NAMA BARANG]]="","",INDEX(NOTA[SUPPLIER],MATCH(,INDIRECT(ADDRESS(ROW(NOTA[ID]),COLUMN(NOTA[ID]))&amp;":"&amp;ADDRESS(ROW(),COLUMN(NOTA[ID]))),-1)))</f>
        <v/>
      </c>
      <c r="AH679" s="16" t="str">
        <f ca="1">IF(NOTA[[#This Row],[ID]]="","",COUNTIF(NOTA[ID_H],NOTA[[#This Row],[ID_H]]))</f>
        <v/>
      </c>
      <c r="AI679" s="16" t="str">
        <f ca="1">IF(NOTA[[#This Row],[TGL.NOTA]]="",IF(NOTA[[#This Row],[SUPPLIER_H]]="","",AI678),MONTH(NOTA[[#This Row],[TGL.NOTA]]))</f>
        <v/>
      </c>
      <c r="AJ679" s="16"/>
    </row>
    <row r="680" spans="1:36" ht="20.100000000000001" customHeight="1" x14ac:dyDescent="0.25">
      <c r="A6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32"/>
      <c r="F680" s="31"/>
      <c r="G680" s="31"/>
      <c r="H680" s="33"/>
      <c r="I680" s="31"/>
      <c r="J680" s="34"/>
      <c r="K680" s="31"/>
      <c r="L680" s="31"/>
      <c r="M680" s="35"/>
      <c r="N680" s="31"/>
      <c r="O680" s="31"/>
      <c r="P680" s="30"/>
      <c r="Q680" s="103"/>
      <c r="R680" s="35"/>
      <c r="S680" s="37"/>
      <c r="T680" s="37"/>
      <c r="U680" s="36"/>
      <c r="V680" s="8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4" t="str">
        <f ca="1">IF(NOTA[ID_H]="","",INDEX(NOTA[TANGGAL],MATCH(,INDIRECT(ADDRESS(ROW(NOTA[TANGGAL]),COLUMN(NOTA[TANGGAL]))&amp;":"&amp;ADDRESS(ROW(),COLUMN(NOTA[TANGGAL]))),-1)))</f>
        <v/>
      </c>
      <c r="AG680" s="30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32"/>
      <c r="F681" s="31"/>
      <c r="G681" s="31"/>
      <c r="H681" s="33"/>
      <c r="I681" s="31"/>
      <c r="J681" s="34"/>
      <c r="K681" s="31"/>
      <c r="L681" s="31"/>
      <c r="M681" s="35"/>
      <c r="N681" s="31"/>
      <c r="O681" s="31"/>
      <c r="P681" s="30"/>
      <c r="Q681" s="103"/>
      <c r="R681" s="35"/>
      <c r="S681" s="37"/>
      <c r="T681" s="37"/>
      <c r="U681" s="36"/>
      <c r="V681" s="8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4" t="str">
        <f ca="1">IF(NOTA[ID_H]="","",INDEX(NOTA[TANGGAL],MATCH(,INDIRECT(ADDRESS(ROW(NOTA[TANGGAL]),COLUMN(NOTA[TANGGAL]))&amp;":"&amp;ADDRESS(ROW(),COLUMN(NOTA[TANGGAL]))),-1)))</f>
        <v/>
      </c>
      <c r="AG681" s="30" t="str">
        <f ca="1">IF(NOTA[[#This Row],[NAMA BARANG]]="","",INDEX(NOTA[SUPPLIER],MATCH(,INDIRECT(ADDRESS(ROW(NOTA[ID]),COLUMN(NOTA[ID]))&amp;":"&amp;ADDRESS(ROW(),COLUMN(NOTA[ID]))),-1)))</f>
        <v/>
      </c>
      <c r="AH681" s="16" t="str">
        <f ca="1">IF(NOTA[[#This Row],[ID]]="","",COUNTIF(NOTA[ID_H],NOTA[[#This Row],[ID_H]]))</f>
        <v/>
      </c>
      <c r="AI681" s="16" t="str">
        <f ca="1">IF(NOTA[[#This Row],[TGL.NOTA]]="",IF(NOTA[[#This Row],[SUPPLIER_H]]="","",AI680),MONTH(NOTA[[#This Row],[TGL.NOTA]]))</f>
        <v/>
      </c>
      <c r="AJ681" s="16"/>
    </row>
    <row r="682" spans="1:36" ht="20.100000000000001" customHeight="1" x14ac:dyDescent="0.25">
      <c r="A6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32"/>
      <c r="F682" s="31"/>
      <c r="G682" s="31"/>
      <c r="H682" s="33"/>
      <c r="I682" s="31"/>
      <c r="J682" s="34"/>
      <c r="K682" s="31"/>
      <c r="L682" s="31"/>
      <c r="M682" s="35"/>
      <c r="N682" s="31"/>
      <c r="O682" s="31"/>
      <c r="P682" s="30"/>
      <c r="Q682" s="103"/>
      <c r="R682" s="35"/>
      <c r="S682" s="37"/>
      <c r="T682" s="37"/>
      <c r="U682" s="36"/>
      <c r="V682" s="8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4" t="str">
        <f ca="1">IF(NOTA[ID_H]="","",INDEX(NOTA[TANGGAL],MATCH(,INDIRECT(ADDRESS(ROW(NOTA[TANGGAL]),COLUMN(NOTA[TANGGAL]))&amp;":"&amp;ADDRESS(ROW(),COLUMN(NOTA[TANGGAL]))),-1)))</f>
        <v/>
      </c>
      <c r="AG682" s="30" t="str">
        <f ca="1">IF(NOTA[[#This Row],[NAMA BARANG]]="","",INDEX(NOTA[SUPPLIER],MATCH(,INDIRECT(ADDRESS(ROW(NOTA[ID]),COLUMN(NOTA[ID]))&amp;":"&amp;ADDRESS(ROW(),COLUMN(NOTA[ID]))),-1)))</f>
        <v/>
      </c>
      <c r="AH682" s="16" t="str">
        <f ca="1">IF(NOTA[[#This Row],[ID]]="","",COUNTIF(NOTA[ID_H],NOTA[[#This Row],[ID_H]]))</f>
        <v/>
      </c>
      <c r="AI682" s="16" t="str">
        <f ca="1">IF(NOTA[[#This Row],[TGL.NOTA]]="",IF(NOTA[[#This Row],[SUPPLIER_H]]="","",AI681),MONTH(NOTA[[#This Row],[TGL.NOTA]]))</f>
        <v/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30"/>
      <c r="Q683" s="103"/>
      <c r="R683" s="35"/>
      <c r="S683" s="37"/>
      <c r="T683" s="37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32"/>
      <c r="F684" s="31"/>
      <c r="G684" s="31"/>
      <c r="H684" s="33"/>
      <c r="I684" s="31"/>
      <c r="J684" s="34"/>
      <c r="K684" s="31"/>
      <c r="L684" s="31"/>
      <c r="M684" s="35"/>
      <c r="N684" s="31"/>
      <c r="O684" s="31"/>
      <c r="P684" s="30"/>
      <c r="Q684" s="103"/>
      <c r="R684" s="35"/>
      <c r="S684" s="37"/>
      <c r="T684" s="37"/>
      <c r="U684" s="36"/>
      <c r="V684" s="8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4" t="str">
        <f ca="1">IF(NOTA[ID_H]="","",INDEX(NOTA[TANGGAL],MATCH(,INDIRECT(ADDRESS(ROW(NOTA[TANGGAL]),COLUMN(NOTA[TANGGAL]))&amp;":"&amp;ADDRESS(ROW(),COLUMN(NOTA[TANGGAL]))),-1)))</f>
        <v/>
      </c>
      <c r="AG684" s="30" t="str">
        <f ca="1">IF(NOTA[[#This Row],[NAMA BARANG]]="","",INDEX(NOTA[SUPPLIER],MATCH(,INDIRECT(ADDRESS(ROW(NOTA[ID]),COLUMN(NOTA[ID]))&amp;":"&amp;ADDRESS(ROW(),COLUMN(NOTA[ID]))),-1)))</f>
        <v/>
      </c>
      <c r="AH684" s="16" t="str">
        <f ca="1">IF(NOTA[[#This Row],[ID]]="","",COUNTIF(NOTA[ID_H],NOTA[[#This Row],[ID_H]]))</f>
        <v/>
      </c>
      <c r="AI684" s="16" t="str">
        <f ca="1">IF(NOTA[[#This Row],[TGL.NOTA]]="",IF(NOTA[[#This Row],[SUPPLIER_H]]="","",AI683),MONTH(NOTA[[#This Row],[TGL.NOTA]]))</f>
        <v/>
      </c>
      <c r="AJ684" s="16"/>
    </row>
    <row r="685" spans="1:36" ht="20.100000000000001" customHeight="1" x14ac:dyDescent="0.25">
      <c r="A6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32"/>
      <c r="F685" s="31"/>
      <c r="G685" s="31"/>
      <c r="H685" s="33"/>
      <c r="I685" s="31"/>
      <c r="J685" s="34"/>
      <c r="K685" s="31"/>
      <c r="L685" s="31"/>
      <c r="M685" s="35"/>
      <c r="N685" s="31"/>
      <c r="O685" s="31"/>
      <c r="P685" s="30"/>
      <c r="Q685" s="103"/>
      <c r="R685" s="35"/>
      <c r="S685" s="37"/>
      <c r="T685" s="37"/>
      <c r="U685" s="36"/>
      <c r="V685" s="8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4" t="str">
        <f ca="1">IF(NOTA[ID_H]="","",INDEX(NOTA[TANGGAL],MATCH(,INDIRECT(ADDRESS(ROW(NOTA[TANGGAL]),COLUMN(NOTA[TANGGAL]))&amp;":"&amp;ADDRESS(ROW(),COLUMN(NOTA[TANGGAL]))),-1)))</f>
        <v/>
      </c>
      <c r="AG685" s="30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32"/>
      <c r="F686" s="31"/>
      <c r="G686" s="31"/>
      <c r="H686" s="33"/>
      <c r="I686" s="31"/>
      <c r="J686" s="34"/>
      <c r="K686" s="31"/>
      <c r="L686" s="31"/>
      <c r="M686" s="35"/>
      <c r="N686" s="31"/>
      <c r="O686" s="31"/>
      <c r="P686" s="30"/>
      <c r="Q686" s="103"/>
      <c r="R686" s="35"/>
      <c r="S686" s="37"/>
      <c r="T686" s="37"/>
      <c r="U686" s="36"/>
      <c r="V686" s="8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4" t="str">
        <f ca="1">IF(NOTA[ID_H]="","",INDEX(NOTA[TANGGAL],MATCH(,INDIRECT(ADDRESS(ROW(NOTA[TANGGAL]),COLUMN(NOTA[TANGGAL]))&amp;":"&amp;ADDRESS(ROW(),COLUMN(NOTA[TANGGAL]))),-1)))</f>
        <v/>
      </c>
      <c r="AG686" s="30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 t="str">
        <f ca="1">IF(NOTA[[#This Row],[TGL.NOTA]]="",IF(NOTA[[#This Row],[SUPPLIER_H]]="","",AI685),MONTH(NOTA[[#This Row],[TGL.NOTA]]))</f>
        <v/>
      </c>
      <c r="AJ686" s="16"/>
    </row>
    <row r="687" spans="1:36" ht="20.100000000000001" customHeight="1" x14ac:dyDescent="0.25">
      <c r="A6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32"/>
      <c r="F687" s="31"/>
      <c r="G687" s="31"/>
      <c r="H687" s="33"/>
      <c r="I687" s="31"/>
      <c r="J687" s="34"/>
      <c r="K687" s="31"/>
      <c r="L687" s="31"/>
      <c r="M687" s="35"/>
      <c r="N687" s="31"/>
      <c r="O687" s="31"/>
      <c r="P687" s="30"/>
      <c r="Q687" s="103"/>
      <c r="R687" s="35"/>
      <c r="S687" s="37"/>
      <c r="T687" s="37"/>
      <c r="U687" s="36"/>
      <c r="V687" s="8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4" t="str">
        <f ca="1">IF(NOTA[ID_H]="","",INDEX(NOTA[TANGGAL],MATCH(,INDIRECT(ADDRESS(ROW(NOTA[TANGGAL]),COLUMN(NOTA[TANGGAL]))&amp;":"&amp;ADDRESS(ROW(),COLUMN(NOTA[TANGGAL]))),-1)))</f>
        <v/>
      </c>
      <c r="AG687" s="30" t="str">
        <f ca="1">IF(NOTA[[#This Row],[NAMA BARANG]]="","",INDEX(NOTA[SUPPLIER],MATCH(,INDIRECT(ADDRESS(ROW(NOTA[ID]),COLUMN(NOTA[ID]))&amp;":"&amp;ADDRESS(ROW(),COLUMN(NOTA[ID]))),-1)))</f>
        <v/>
      </c>
      <c r="AH687" s="16" t="str">
        <f ca="1">IF(NOTA[[#This Row],[ID]]="","",COUNTIF(NOTA[ID_H],NOTA[[#This Row],[ID_H]]))</f>
        <v/>
      </c>
      <c r="AI687" s="16" t="str">
        <f ca="1">IF(NOTA[[#This Row],[TGL.NOTA]]="",IF(NOTA[[#This Row],[SUPPLIER_H]]="","",AI686),MONTH(NOTA[[#This Row],[TGL.NOTA]]))</f>
        <v/>
      </c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4" t="str">
        <f ca="1">IF(NOTA[ID_H]="","",INDEX(NOTA[TANGGAL],MATCH(,INDIRECT(ADDRESS(ROW(NOTA[TANGGAL]),COLUMN(NOTA[TANGGAL]))&amp;":"&amp;ADDRESS(ROW(),COLUMN(NOTA[TANGGAL]))),-1)))</f>
        <v/>
      </c>
      <c r="AG688" s="30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32"/>
      <c r="F689" s="31"/>
      <c r="G689" s="31"/>
      <c r="H689" s="33"/>
      <c r="I689" s="31"/>
      <c r="J689" s="34"/>
      <c r="K689" s="31"/>
      <c r="L689" s="31"/>
      <c r="M689" s="35"/>
      <c r="N689" s="31"/>
      <c r="O689" s="31"/>
      <c r="P689" s="30"/>
      <c r="Q689" s="103"/>
      <c r="R689" s="35"/>
      <c r="S689" s="37"/>
      <c r="T689" s="37"/>
      <c r="U689" s="36"/>
      <c r="V689" s="8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4" t="str">
        <f ca="1">IF(NOTA[ID_H]="","",INDEX(NOTA[TANGGAL],MATCH(,INDIRECT(ADDRESS(ROW(NOTA[TANGGAL]),COLUMN(NOTA[TANGGAL]))&amp;":"&amp;ADDRESS(ROW(),COLUMN(NOTA[TANGGAL]))),-1)))</f>
        <v/>
      </c>
      <c r="AG689" s="30" t="str">
        <f ca="1">IF(NOTA[[#This Row],[NAMA BARANG]]="","",INDEX(NOTA[SUPPLIER],MATCH(,INDIRECT(ADDRESS(ROW(NOTA[ID]),COLUMN(NOTA[ID]))&amp;":"&amp;ADDRESS(ROW(),COLUMN(NOTA[ID]))),-1)))</f>
        <v/>
      </c>
      <c r="AH689" s="16" t="str">
        <f ca="1">IF(NOTA[[#This Row],[ID]]="","",COUNTIF(NOTA[ID_H],NOTA[[#This Row],[ID_H]]))</f>
        <v/>
      </c>
      <c r="AI689" s="16" t="str">
        <f ca="1">IF(NOTA[[#This Row],[TGL.NOTA]]="",IF(NOTA[[#This Row],[SUPPLIER_H]]="","",AI688),MONTH(NOTA[[#This Row],[TGL.NOTA]]))</f>
        <v/>
      </c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4" t="str">
        <f ca="1">IF(NOTA[ID_H]="","",INDEX(NOTA[TANGGAL],MATCH(,INDIRECT(ADDRESS(ROW(NOTA[TANGGAL]),COLUMN(NOTA[TANGGAL]))&amp;":"&amp;ADDRESS(ROW(),COLUMN(NOTA[TANGGAL]))),-1)))</f>
        <v/>
      </c>
      <c r="AG690" s="30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32"/>
      <c r="F691" s="31"/>
      <c r="G691" s="31"/>
      <c r="H691" s="33"/>
      <c r="I691" s="31"/>
      <c r="J691" s="34"/>
      <c r="K691" s="31"/>
      <c r="L691" s="31"/>
      <c r="M691" s="35"/>
      <c r="N691" s="31"/>
      <c r="O691" s="31"/>
      <c r="P691" s="30"/>
      <c r="Q691" s="103"/>
      <c r="R691" s="35"/>
      <c r="S691" s="37"/>
      <c r="T691" s="37"/>
      <c r="U691" s="36"/>
      <c r="V691" s="8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 t="str">
        <f ca="1">IF(NOTA[[#This Row],[TGL.NOTA]]="",IF(NOTA[[#This Row],[SUPPLIER_H]]="","",AI690),MONTH(NOTA[[#This Row],[TGL.NOTA]]))</f>
        <v/>
      </c>
      <c r="AJ691" s="16"/>
    </row>
    <row r="692" spans="1:36" ht="20.100000000000001" customHeight="1" x14ac:dyDescent="0.25">
      <c r="A6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4" t="str">
        <f ca="1">IF(NOTA[ID_H]="","",INDEX(NOTA[TANGGAL],MATCH(,INDIRECT(ADDRESS(ROW(NOTA[TANGGAL]),COLUMN(NOTA[TANGGAL]))&amp;":"&amp;ADDRESS(ROW(),COLUMN(NOTA[TANGGAL]))),-1)))</f>
        <v/>
      </c>
      <c r="AG692" s="30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32"/>
      <c r="F693" s="31"/>
      <c r="G693" s="31"/>
      <c r="H693" s="33"/>
      <c r="I693" s="31"/>
      <c r="J693" s="34"/>
      <c r="K693" s="31"/>
      <c r="L693" s="31"/>
      <c r="M693" s="35"/>
      <c r="N693" s="31"/>
      <c r="O693" s="31"/>
      <c r="P693" s="30"/>
      <c r="Q693" s="103"/>
      <c r="R693" s="35"/>
      <c r="S693" s="37"/>
      <c r="T693" s="37"/>
      <c r="U693" s="36"/>
      <c r="V693" s="8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4" t="str">
        <f ca="1">IF(NOTA[ID_H]="","",INDEX(NOTA[TANGGAL],MATCH(,INDIRECT(ADDRESS(ROW(NOTA[TANGGAL]),COLUMN(NOTA[TANGGAL]))&amp;":"&amp;ADDRESS(ROW(),COLUMN(NOTA[TANGGAL]))),-1)))</f>
        <v/>
      </c>
      <c r="AG693" s="30" t="str">
        <f ca="1">IF(NOTA[[#This Row],[NAMA BARANG]]="","",INDEX(NOTA[SUPPLIER],MATCH(,INDIRECT(ADDRESS(ROW(NOTA[ID]),COLUMN(NOTA[ID]))&amp;":"&amp;ADDRESS(ROW(),COLUMN(NOTA[ID]))),-1)))</f>
        <v/>
      </c>
      <c r="AH693" s="16" t="str">
        <f ca="1">IF(NOTA[[#This Row],[ID]]="","",COUNTIF(NOTA[ID_H],NOTA[[#This Row],[ID_H]]))</f>
        <v/>
      </c>
      <c r="AI693" s="16" t="str">
        <f ca="1">IF(NOTA[[#This Row],[TGL.NOTA]]="",IF(NOTA[[#This Row],[SUPPLIER_H]]="","",AI692),MONTH(NOTA[[#This Row],[TGL.NOTA]]))</f>
        <v/>
      </c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32"/>
      <c r="F694" s="31"/>
      <c r="G694" s="31"/>
      <c r="H694" s="33"/>
      <c r="I694" s="31"/>
      <c r="J694" s="34"/>
      <c r="K694" s="31"/>
      <c r="L694" s="31"/>
      <c r="M694" s="35"/>
      <c r="N694" s="31"/>
      <c r="O694" s="31"/>
      <c r="P694" s="30"/>
      <c r="Q694" s="103"/>
      <c r="R694" s="35"/>
      <c r="S694" s="37"/>
      <c r="T694" s="37"/>
      <c r="U694" s="36"/>
      <c r="V694" s="8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4" t="str">
        <f ca="1">IF(NOTA[ID_H]="","",INDEX(NOTA[TANGGAL],MATCH(,INDIRECT(ADDRESS(ROW(NOTA[TANGGAL]),COLUMN(NOTA[TANGGAL]))&amp;":"&amp;ADDRESS(ROW(),COLUMN(NOTA[TANGGAL]))),-1)))</f>
        <v/>
      </c>
      <c r="AG694" s="30" t="str">
        <f ca="1">IF(NOTA[[#This Row],[NAMA BARANG]]="","",INDEX(NOTA[SUPPLIER],MATCH(,INDIRECT(ADDRESS(ROW(NOTA[ID]),COLUMN(NOTA[ID]))&amp;":"&amp;ADDRESS(ROW(),COLUMN(NOTA[ID]))),-1)))</f>
        <v/>
      </c>
      <c r="AH694" s="16" t="str">
        <f ca="1">IF(NOTA[[#This Row],[ID]]="","",COUNTIF(NOTA[ID_H],NOTA[[#This Row],[ID_H]]))</f>
        <v/>
      </c>
      <c r="AI694" s="16" t="str">
        <f ca="1">IF(NOTA[[#This Row],[TGL.NOTA]]="",IF(NOTA[[#This Row],[SUPPLIER_H]]="","",AI693),MONTH(NOTA[[#This Row],[TGL.NOTA]]))</f>
        <v/>
      </c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32"/>
      <c r="F695" s="31"/>
      <c r="G695" s="31"/>
      <c r="H695" s="33"/>
      <c r="I695" s="31"/>
      <c r="J695" s="34"/>
      <c r="K695" s="31"/>
      <c r="L695" s="31"/>
      <c r="M695" s="35"/>
      <c r="N695" s="31"/>
      <c r="O695" s="31"/>
      <c r="P695" s="30"/>
      <c r="Q695" s="103"/>
      <c r="R695" s="35"/>
      <c r="S695" s="37"/>
      <c r="T695" s="37"/>
      <c r="U695" s="36"/>
      <c r="V695" s="8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4" t="str">
        <f ca="1">IF(NOTA[ID_H]="","",INDEX(NOTA[TANGGAL],MATCH(,INDIRECT(ADDRESS(ROW(NOTA[TANGGAL]),COLUMN(NOTA[TANGGAL]))&amp;":"&amp;ADDRESS(ROW(),COLUMN(NOTA[TANGGAL]))),-1)))</f>
        <v/>
      </c>
      <c r="AG695" s="30" t="str">
        <f ca="1">IF(NOTA[[#This Row],[NAMA BARANG]]="","",INDEX(NOTA[SUPPLIER],MATCH(,INDIRECT(ADDRESS(ROW(NOTA[ID]),COLUMN(NOTA[ID]))&amp;":"&amp;ADDRESS(ROW(),COLUMN(NOTA[ID]))),-1)))</f>
        <v/>
      </c>
      <c r="AH695" s="16" t="str">
        <f ca="1">IF(NOTA[[#This Row],[ID]]="","",COUNTIF(NOTA[ID_H],NOTA[[#This Row],[ID_H]]))</f>
        <v/>
      </c>
      <c r="AI695" s="16" t="str">
        <f ca="1">IF(NOTA[[#This Row],[TGL.NOTA]]="",IF(NOTA[[#This Row],[SUPPLIER_H]]="","",AI694),MONTH(NOTA[[#This Row],[TGL.NOTA]]))</f>
        <v/>
      </c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4" t="str">
        <f ca="1">IF(NOTA[ID_H]="","",INDEX(NOTA[TANGGAL],MATCH(,INDIRECT(ADDRESS(ROW(NOTA[TANGGAL]),COLUMN(NOTA[TANGGAL]))&amp;":"&amp;ADDRESS(ROW(),COLUMN(NOTA[TANGGAL]))),-1)))</f>
        <v/>
      </c>
      <c r="AG696" s="30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32"/>
      <c r="F697" s="31"/>
      <c r="G697" s="31"/>
      <c r="H697" s="33"/>
      <c r="I697" s="31"/>
      <c r="J697" s="34"/>
      <c r="K697" s="31"/>
      <c r="L697" s="31"/>
      <c r="M697" s="35"/>
      <c r="N697" s="31"/>
      <c r="O697" s="31"/>
      <c r="P697" s="30"/>
      <c r="Q697" s="103"/>
      <c r="R697" s="35"/>
      <c r="S697" s="37"/>
      <c r="T697" s="37"/>
      <c r="U697" s="36"/>
      <c r="V697" s="8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4" t="str">
        <f ca="1">IF(NOTA[ID_H]="","",INDEX(NOTA[TANGGAL],MATCH(,INDIRECT(ADDRESS(ROW(NOTA[TANGGAL]),COLUMN(NOTA[TANGGAL]))&amp;":"&amp;ADDRESS(ROW(),COLUMN(NOTA[TANGGAL]))),-1)))</f>
        <v/>
      </c>
      <c r="AG697" s="30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 t="str">
        <f ca="1">IF(NOTA[[#This Row],[TGL.NOTA]]="",IF(NOTA[[#This Row],[SUPPLIER_H]]="","",AI696),MONTH(NOTA[[#This Row],[TGL.NOTA]]))</f>
        <v/>
      </c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32"/>
      <c r="F698" s="31"/>
      <c r="G698" s="31"/>
      <c r="H698" s="33"/>
      <c r="I698" s="31"/>
      <c r="J698" s="34"/>
      <c r="K698" s="31"/>
      <c r="L698" s="31"/>
      <c r="M698" s="35"/>
      <c r="N698" s="31"/>
      <c r="O698" s="31"/>
      <c r="P698" s="30"/>
      <c r="Q698" s="103"/>
      <c r="R698" s="35"/>
      <c r="S698" s="37"/>
      <c r="T698" s="37"/>
      <c r="U698" s="36"/>
      <c r="V698" s="8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4" t="str">
        <f ca="1">IF(NOTA[ID_H]="","",INDEX(NOTA[TANGGAL],MATCH(,INDIRECT(ADDRESS(ROW(NOTA[TANGGAL]),COLUMN(NOTA[TANGGAL]))&amp;":"&amp;ADDRESS(ROW(),COLUMN(NOTA[TANGGAL]))),-1)))</f>
        <v/>
      </c>
      <c r="AG698" s="30" t="str">
        <f ca="1">IF(NOTA[[#This Row],[NAMA BARANG]]="","",INDEX(NOTA[SUPPLIER],MATCH(,INDIRECT(ADDRESS(ROW(NOTA[ID]),COLUMN(NOTA[ID]))&amp;":"&amp;ADDRESS(ROW(),COLUMN(NOTA[ID]))),-1)))</f>
        <v/>
      </c>
      <c r="AH698" s="16" t="str">
        <f ca="1">IF(NOTA[[#This Row],[ID]]="","",COUNTIF(NOTA[ID_H],NOTA[[#This Row],[ID_H]]))</f>
        <v/>
      </c>
      <c r="AI698" s="16" t="str">
        <f ca="1">IF(NOTA[[#This Row],[TGL.NOTA]]="",IF(NOTA[[#This Row],[SUPPLIER_H]]="","",AI697),MONTH(NOTA[[#This Row],[TGL.NOTA]]))</f>
        <v/>
      </c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4" t="str">
        <f ca="1">IF(NOTA[ID_H]="","",INDEX(NOTA[TANGGAL],MATCH(,INDIRECT(ADDRESS(ROW(NOTA[TANGGAL]),COLUMN(NOTA[TANGGAL]))&amp;":"&amp;ADDRESS(ROW(),COLUMN(NOTA[TANGGAL]))),-1)))</f>
        <v/>
      </c>
      <c r="AG699" s="30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ht="20.100000000000001" customHeight="1" x14ac:dyDescent="0.25">
      <c r="A7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32"/>
      <c r="F700" s="31"/>
      <c r="G700" s="31"/>
      <c r="H700" s="33"/>
      <c r="I700" s="31"/>
      <c r="J700" s="34"/>
      <c r="K700" s="31"/>
      <c r="L700" s="31"/>
      <c r="M700" s="35"/>
      <c r="N700" s="31"/>
      <c r="O700" s="31"/>
      <c r="P700" s="30"/>
      <c r="Q700" s="103"/>
      <c r="R700" s="35"/>
      <c r="S700" s="37"/>
      <c r="T700" s="37"/>
      <c r="U700" s="36"/>
      <c r="V700" s="8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4" t="str">
        <f ca="1">IF(NOTA[ID_H]="","",INDEX(NOTA[TANGGAL],MATCH(,INDIRECT(ADDRESS(ROW(NOTA[TANGGAL]),COLUMN(NOTA[TANGGAL]))&amp;":"&amp;ADDRESS(ROW(),COLUMN(NOTA[TANGGAL]))),-1)))</f>
        <v/>
      </c>
      <c r="AG700" s="30" t="str">
        <f ca="1">IF(NOTA[[#This Row],[NAMA BARANG]]="","",INDEX(NOTA[SUPPLIER],MATCH(,INDIRECT(ADDRESS(ROW(NOTA[ID]),COLUMN(NOTA[ID]))&amp;":"&amp;ADDRESS(ROW(),COLUMN(NOTA[ID]))),-1)))</f>
        <v/>
      </c>
      <c r="AH700" s="16" t="str">
        <f ca="1">IF(NOTA[[#This Row],[ID]]="","",COUNTIF(NOTA[ID_H],NOTA[[#This Row],[ID_H]]))</f>
        <v/>
      </c>
      <c r="AI700" s="16" t="str">
        <f ca="1">IF(NOTA[[#This Row],[TGL.NOTA]]="",IF(NOTA[[#This Row],[SUPPLIER_H]]="","",AI699),MONTH(NOTA[[#This Row],[TGL.NOTA]]))</f>
        <v/>
      </c>
      <c r="AJ700" s="16"/>
    </row>
    <row r="701" spans="1:36" ht="20.100000000000001" customHeight="1" x14ac:dyDescent="0.25">
      <c r="A7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4" t="str">
        <f ca="1">IF(NOTA[ID_H]="","",INDEX(NOTA[TANGGAL],MATCH(,INDIRECT(ADDRESS(ROW(NOTA[TANGGAL]),COLUMN(NOTA[TANGGAL]))&amp;":"&amp;ADDRESS(ROW(),COLUMN(NOTA[TANGGAL]))),-1)))</f>
        <v/>
      </c>
      <c r="AG701" s="30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ht="20.100000000000001" customHeight="1" x14ac:dyDescent="0.25">
      <c r="A7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32"/>
      <c r="F702" s="31"/>
      <c r="G702" s="31"/>
      <c r="H702" s="33"/>
      <c r="I702" s="31"/>
      <c r="J702" s="34"/>
      <c r="K702" s="31"/>
      <c r="L702" s="31"/>
      <c r="M702" s="35"/>
      <c r="N702" s="31"/>
      <c r="O702" s="31"/>
      <c r="P702" s="30"/>
      <c r="Q702" s="103"/>
      <c r="R702" s="35"/>
      <c r="S702" s="37"/>
      <c r="T702" s="37"/>
      <c r="U702" s="36"/>
      <c r="V702" s="8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4" t="str">
        <f ca="1">IF(NOTA[ID_H]="","",INDEX(NOTA[TANGGAL],MATCH(,INDIRECT(ADDRESS(ROW(NOTA[TANGGAL]),COLUMN(NOTA[TANGGAL]))&amp;":"&amp;ADDRESS(ROW(),COLUMN(NOTA[TANGGAL]))),-1)))</f>
        <v/>
      </c>
      <c r="AG702" s="30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 t="str">
        <f ca="1">IF(NOTA[[#This Row],[TGL.NOTA]]="",IF(NOTA[[#This Row],[SUPPLIER_H]]="","",AI701),MONTH(NOTA[[#This Row],[TGL.NOTA]]))</f>
        <v/>
      </c>
      <c r="AJ702" s="16"/>
    </row>
    <row r="703" spans="1:36" ht="20.100000000000001" customHeight="1" x14ac:dyDescent="0.25">
      <c r="A7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32"/>
      <c r="F703" s="31"/>
      <c r="G703" s="31"/>
      <c r="H703" s="33"/>
      <c r="I703" s="31"/>
      <c r="J703" s="34"/>
      <c r="K703" s="31"/>
      <c r="L703" s="31"/>
      <c r="M703" s="35"/>
      <c r="N703" s="31"/>
      <c r="O703" s="31"/>
      <c r="P703" s="30"/>
      <c r="Q703" s="103"/>
      <c r="R703" s="35"/>
      <c r="S703" s="37"/>
      <c r="T703" s="37"/>
      <c r="U703" s="36"/>
      <c r="V703" s="8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4" t="str">
        <f ca="1">IF(NOTA[ID_H]="","",INDEX(NOTA[TANGGAL],MATCH(,INDIRECT(ADDRESS(ROW(NOTA[TANGGAL]),COLUMN(NOTA[TANGGAL]))&amp;":"&amp;ADDRESS(ROW(),COLUMN(NOTA[TANGGAL]))),-1)))</f>
        <v/>
      </c>
      <c r="AG703" s="30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ht="20.100000000000001" customHeight="1" x14ac:dyDescent="0.25">
      <c r="A7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32"/>
      <c r="F704" s="31"/>
      <c r="G704" s="31"/>
      <c r="H704" s="33"/>
      <c r="I704" s="31"/>
      <c r="J704" s="34"/>
      <c r="K704" s="31"/>
      <c r="L704" s="31"/>
      <c r="M704" s="35"/>
      <c r="N704" s="31"/>
      <c r="O704" s="31"/>
      <c r="P704" s="30"/>
      <c r="Q704" s="103"/>
      <c r="R704" s="35"/>
      <c r="S704" s="37"/>
      <c r="T704" s="37"/>
      <c r="U704" s="36"/>
      <c r="V704" s="8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4" t="str">
        <f ca="1">IF(NOTA[ID_H]="","",INDEX(NOTA[TANGGAL],MATCH(,INDIRECT(ADDRESS(ROW(NOTA[TANGGAL]),COLUMN(NOTA[TANGGAL]))&amp;":"&amp;ADDRESS(ROW(),COLUMN(NOTA[TANGGAL]))),-1)))</f>
        <v/>
      </c>
      <c r="AG704" s="30" t="str">
        <f ca="1">IF(NOTA[[#This Row],[NAMA BARANG]]="","",INDEX(NOTA[SUPPLIER],MATCH(,INDIRECT(ADDRESS(ROW(NOTA[ID]),COLUMN(NOTA[ID]))&amp;":"&amp;ADDRESS(ROW(),COLUMN(NOTA[ID]))),-1)))</f>
        <v/>
      </c>
      <c r="AH704" s="16" t="str">
        <f ca="1">IF(NOTA[[#This Row],[ID]]="","",COUNTIF(NOTA[ID_H],NOTA[[#This Row],[ID_H]]))</f>
        <v/>
      </c>
      <c r="AI704" s="16" t="str">
        <f ca="1">IF(NOTA[[#This Row],[TGL.NOTA]]="",IF(NOTA[[#This Row],[SUPPLIER_H]]="","",AI703),MONTH(NOTA[[#This Row],[TGL.NOTA]]))</f>
        <v/>
      </c>
      <c r="AJ704" s="16"/>
    </row>
    <row r="705" spans="1:36" ht="20.100000000000001" customHeight="1" x14ac:dyDescent="0.25">
      <c r="A7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32"/>
      <c r="F705" s="31"/>
      <c r="G705" s="31"/>
      <c r="H705" s="33"/>
      <c r="I705" s="31"/>
      <c r="J705" s="34"/>
      <c r="K705" s="31"/>
      <c r="L705" s="31"/>
      <c r="M705" s="35"/>
      <c r="N705" s="31"/>
      <c r="O705" s="31"/>
      <c r="P705" s="30"/>
      <c r="Q705" s="103"/>
      <c r="R705" s="35"/>
      <c r="S705" s="37"/>
      <c r="T705" s="37"/>
      <c r="U705" s="36"/>
      <c r="V705" s="8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4" t="str">
        <f ca="1">IF(NOTA[ID_H]="","",INDEX(NOTA[TANGGAL],MATCH(,INDIRECT(ADDRESS(ROW(NOTA[TANGGAL]),COLUMN(NOTA[TANGGAL]))&amp;":"&amp;ADDRESS(ROW(),COLUMN(NOTA[TANGGAL]))),-1)))</f>
        <v/>
      </c>
      <c r="AG705" s="30" t="str">
        <f ca="1">IF(NOTA[[#This Row],[NAMA BARANG]]="","",INDEX(NOTA[SUPPLIER],MATCH(,INDIRECT(ADDRESS(ROW(NOTA[ID]),COLUMN(NOTA[ID]))&amp;":"&amp;ADDRESS(ROW(),COLUMN(NOTA[ID]))),-1)))</f>
        <v/>
      </c>
      <c r="AH705" s="16" t="str">
        <f ca="1">IF(NOTA[[#This Row],[ID]]="","",COUNTIF(NOTA[ID_H],NOTA[[#This Row],[ID_H]]))</f>
        <v/>
      </c>
      <c r="AI705" s="16" t="str">
        <f ca="1">IF(NOTA[[#This Row],[TGL.NOTA]]="",IF(NOTA[[#This Row],[SUPPLIER_H]]="","",AI704),MONTH(NOTA[[#This Row],[TGL.NOTA]]))</f>
        <v/>
      </c>
      <c r="AJ705" s="16"/>
    </row>
    <row r="706" spans="1:36" ht="20.100000000000001" customHeight="1" x14ac:dyDescent="0.25">
      <c r="A7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34"/>
      <c r="K706" s="31"/>
      <c r="L706" s="31"/>
      <c r="M706" s="35"/>
      <c r="N706" s="31"/>
      <c r="O706" s="31"/>
      <c r="P706" s="30"/>
      <c r="Q706" s="103"/>
      <c r="R706" s="35"/>
      <c r="S706" s="37"/>
      <c r="T706" s="37"/>
      <c r="U706" s="36"/>
      <c r="V706" s="8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4" t="str">
        <f ca="1">IF(NOTA[ID_H]="","",INDEX(NOTA[TANGGAL],MATCH(,INDIRECT(ADDRESS(ROW(NOTA[TANGGAL]),COLUMN(NOTA[TANGGAL]))&amp;":"&amp;ADDRESS(ROW(),COLUMN(NOTA[TANGGAL]))),-1)))</f>
        <v/>
      </c>
      <c r="AG706" s="30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ht="20.100000000000001" customHeight="1" x14ac:dyDescent="0.25">
      <c r="A7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32"/>
      <c r="F707" s="31"/>
      <c r="G707" s="31"/>
      <c r="H707" s="33"/>
      <c r="I707" s="31"/>
      <c r="J707" s="34"/>
      <c r="K707" s="31"/>
      <c r="L707" s="31"/>
      <c r="M707" s="35"/>
      <c r="N707" s="31"/>
      <c r="O707" s="31"/>
      <c r="P707" s="30"/>
      <c r="Q707" s="103"/>
      <c r="R707" s="35"/>
      <c r="S707" s="37"/>
      <c r="T707" s="37"/>
      <c r="U707" s="36"/>
      <c r="V707" s="8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4" t="str">
        <f ca="1">IF(NOTA[ID_H]="","",INDEX(NOTA[TANGGAL],MATCH(,INDIRECT(ADDRESS(ROW(NOTA[TANGGAL]),COLUMN(NOTA[TANGGAL]))&amp;":"&amp;ADDRESS(ROW(),COLUMN(NOTA[TANGGAL]))),-1)))</f>
        <v/>
      </c>
      <c r="AG707" s="30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 t="str">
        <f ca="1">IF(NOTA[[#This Row],[TGL.NOTA]]="",IF(NOTA[[#This Row],[SUPPLIER_H]]="","",AI706),MONTH(NOTA[[#This Row],[TGL.NOTA]]))</f>
        <v/>
      </c>
      <c r="AJ707" s="16"/>
    </row>
    <row r="708" spans="1:36" ht="20.100000000000001" customHeight="1" x14ac:dyDescent="0.25">
      <c r="A7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32"/>
      <c r="F708" s="31"/>
      <c r="G708" s="31"/>
      <c r="H708" s="33"/>
      <c r="I708" s="31"/>
      <c r="J708" s="34"/>
      <c r="K708" s="31"/>
      <c r="L708" s="31"/>
      <c r="M708" s="35"/>
      <c r="N708" s="31"/>
      <c r="O708" s="31"/>
      <c r="P708" s="30"/>
      <c r="Q708" s="103"/>
      <c r="R708" s="35"/>
      <c r="S708" s="37"/>
      <c r="T708" s="37"/>
      <c r="U708" s="36"/>
      <c r="V708" s="8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4" t="str">
        <f ca="1">IF(NOTA[ID_H]="","",INDEX(NOTA[TANGGAL],MATCH(,INDIRECT(ADDRESS(ROW(NOTA[TANGGAL]),COLUMN(NOTA[TANGGAL]))&amp;":"&amp;ADDRESS(ROW(),COLUMN(NOTA[TANGGAL]))),-1)))</f>
        <v/>
      </c>
      <c r="AG708" s="30" t="str">
        <f ca="1">IF(NOTA[[#This Row],[NAMA BARANG]]="","",INDEX(NOTA[SUPPLIER],MATCH(,INDIRECT(ADDRESS(ROW(NOTA[ID]),COLUMN(NOTA[ID]))&amp;":"&amp;ADDRESS(ROW(),COLUMN(NOTA[ID]))),-1)))</f>
        <v/>
      </c>
      <c r="AH708" s="16" t="str">
        <f ca="1">IF(NOTA[[#This Row],[ID]]="","",COUNTIF(NOTA[ID_H],NOTA[[#This Row],[ID_H]]))</f>
        <v/>
      </c>
      <c r="AI708" s="16" t="str">
        <f ca="1">IF(NOTA[[#This Row],[TGL.NOTA]]="",IF(NOTA[[#This Row],[SUPPLIER_H]]="","",AI707),MONTH(NOTA[[#This Row],[TGL.NOTA]]))</f>
        <v/>
      </c>
      <c r="AJ708" s="16"/>
    </row>
    <row r="709" spans="1:36" ht="20.100000000000001" customHeight="1" x14ac:dyDescent="0.25">
      <c r="A7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32"/>
      <c r="F709" s="31"/>
      <c r="G709" s="31"/>
      <c r="H709" s="33"/>
      <c r="I709" s="31"/>
      <c r="J709" s="34"/>
      <c r="K709" s="31"/>
      <c r="L709" s="31"/>
      <c r="M709" s="35"/>
      <c r="N709" s="31"/>
      <c r="O709" s="31"/>
      <c r="P709" s="30"/>
      <c r="Q709" s="103"/>
      <c r="R709" s="35"/>
      <c r="S709" s="37"/>
      <c r="T709" s="37"/>
      <c r="U709" s="36"/>
      <c r="V709" s="8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4" t="str">
        <f ca="1">IF(NOTA[ID_H]="","",INDEX(NOTA[TANGGAL],MATCH(,INDIRECT(ADDRESS(ROW(NOTA[TANGGAL]),COLUMN(NOTA[TANGGAL]))&amp;":"&amp;ADDRESS(ROW(),COLUMN(NOTA[TANGGAL]))),-1)))</f>
        <v/>
      </c>
      <c r="AG709" s="30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ht="20.100000000000001" customHeight="1" x14ac:dyDescent="0.25">
      <c r="A7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32"/>
      <c r="F710" s="31"/>
      <c r="G710" s="31"/>
      <c r="H710" s="33"/>
      <c r="I710" s="31"/>
      <c r="J710" s="34"/>
      <c r="K710" s="31"/>
      <c r="L710" s="31"/>
      <c r="M710" s="35"/>
      <c r="N710" s="31"/>
      <c r="O710" s="31"/>
      <c r="P710" s="30"/>
      <c r="Q710" s="103"/>
      <c r="R710" s="35"/>
      <c r="S710" s="37"/>
      <c r="T710" s="37"/>
      <c r="U710" s="36"/>
      <c r="V710" s="8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4" t="str">
        <f ca="1">IF(NOTA[ID_H]="","",INDEX(NOTA[TANGGAL],MATCH(,INDIRECT(ADDRESS(ROW(NOTA[TANGGAL]),COLUMN(NOTA[TANGGAL]))&amp;":"&amp;ADDRESS(ROW(),COLUMN(NOTA[TANGGAL]))),-1)))</f>
        <v/>
      </c>
      <c r="AG710" s="30" t="str">
        <f ca="1">IF(NOTA[[#This Row],[NAMA BARANG]]="","",INDEX(NOTA[SUPPLIER],MATCH(,INDIRECT(ADDRESS(ROW(NOTA[ID]),COLUMN(NOTA[ID]))&amp;":"&amp;ADDRESS(ROW(),COLUMN(NOTA[ID]))),-1)))</f>
        <v/>
      </c>
      <c r="AH710" s="16" t="str">
        <f ca="1">IF(NOTA[[#This Row],[ID]]="","",COUNTIF(NOTA[ID_H],NOTA[[#This Row],[ID_H]]))</f>
        <v/>
      </c>
      <c r="AI710" s="16" t="str">
        <f ca="1">IF(NOTA[[#This Row],[TGL.NOTA]]="",IF(NOTA[[#This Row],[SUPPLIER_H]]="","",AI709),MONTH(NOTA[[#This Row],[TGL.NOTA]]))</f>
        <v/>
      </c>
      <c r="AJ710" s="16"/>
    </row>
    <row r="711" spans="1:36" ht="20.100000000000001" customHeight="1" x14ac:dyDescent="0.25">
      <c r="A7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32"/>
      <c r="F711" s="31"/>
      <c r="G711" s="31"/>
      <c r="H711" s="33"/>
      <c r="I711" s="31"/>
      <c r="J711" s="34"/>
      <c r="K711" s="31"/>
      <c r="L711" s="31"/>
      <c r="M711" s="35"/>
      <c r="N711" s="31"/>
      <c r="O711" s="31"/>
      <c r="P711" s="30"/>
      <c r="Q711" s="103"/>
      <c r="R711" s="35"/>
      <c r="S711" s="37"/>
      <c r="T711" s="37"/>
      <c r="U711" s="36"/>
      <c r="V711" s="8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4" t="str">
        <f ca="1">IF(NOTA[ID_H]="","",INDEX(NOTA[TANGGAL],MATCH(,INDIRECT(ADDRESS(ROW(NOTA[TANGGAL]),COLUMN(NOTA[TANGGAL]))&amp;":"&amp;ADDRESS(ROW(),COLUMN(NOTA[TANGGAL]))),-1)))</f>
        <v/>
      </c>
      <c r="AG711" s="30" t="str">
        <f ca="1">IF(NOTA[[#This Row],[NAMA BARANG]]="","",INDEX(NOTA[SUPPLIER],MATCH(,INDIRECT(ADDRESS(ROW(NOTA[ID]),COLUMN(NOTA[ID]))&amp;":"&amp;ADDRESS(ROW(),COLUMN(NOTA[ID]))),-1)))</f>
        <v/>
      </c>
      <c r="AH711" s="16" t="str">
        <f ca="1">IF(NOTA[[#This Row],[ID]]="","",COUNTIF(NOTA[ID_H],NOTA[[#This Row],[ID_H]]))</f>
        <v/>
      </c>
      <c r="AI711" s="16" t="str">
        <f ca="1">IF(NOTA[[#This Row],[TGL.NOTA]]="",IF(NOTA[[#This Row],[SUPPLIER_H]]="","",AI710),MONTH(NOTA[[#This Row],[TGL.NOTA]]))</f>
        <v/>
      </c>
      <c r="AJ711" s="16"/>
    </row>
    <row r="712" spans="1:36" ht="20.100000000000001" customHeight="1" x14ac:dyDescent="0.25">
      <c r="A7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32"/>
      <c r="F712" s="31"/>
      <c r="G712" s="31"/>
      <c r="H712" s="33"/>
      <c r="I712" s="31"/>
      <c r="J712" s="34"/>
      <c r="K712" s="31"/>
      <c r="L712" s="31"/>
      <c r="M712" s="35"/>
      <c r="N712" s="31"/>
      <c r="O712" s="31"/>
      <c r="P712" s="30"/>
      <c r="Q712" s="103"/>
      <c r="R712" s="35"/>
      <c r="S712" s="37"/>
      <c r="T712" s="37"/>
      <c r="U712" s="36"/>
      <c r="V712" s="8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4" t="str">
        <f ca="1">IF(NOTA[ID_H]="","",INDEX(NOTA[TANGGAL],MATCH(,INDIRECT(ADDRESS(ROW(NOTA[TANGGAL]),COLUMN(NOTA[TANGGAL]))&amp;":"&amp;ADDRESS(ROW(),COLUMN(NOTA[TANGGAL]))),-1)))</f>
        <v/>
      </c>
      <c r="AG712" s="30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ht="20.100000000000001" customHeight="1" x14ac:dyDescent="0.25">
      <c r="A7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32"/>
      <c r="F713" s="31"/>
      <c r="G713" s="31"/>
      <c r="H713" s="33"/>
      <c r="I713" s="31"/>
      <c r="J713" s="34"/>
      <c r="K713" s="31"/>
      <c r="L713" s="31"/>
      <c r="M713" s="35"/>
      <c r="N713" s="31"/>
      <c r="O713" s="31"/>
      <c r="P713" s="30"/>
      <c r="Q713" s="103"/>
      <c r="R713" s="35"/>
      <c r="S713" s="37"/>
      <c r="T713" s="37"/>
      <c r="U713" s="36"/>
      <c r="V713" s="8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4" t="str">
        <f ca="1">IF(NOTA[ID_H]="","",INDEX(NOTA[TANGGAL],MATCH(,INDIRECT(ADDRESS(ROW(NOTA[TANGGAL]),COLUMN(NOTA[TANGGAL]))&amp;":"&amp;ADDRESS(ROW(),COLUMN(NOTA[TANGGAL]))),-1)))</f>
        <v/>
      </c>
      <c r="AG713" s="30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 t="str">
        <f ca="1">IF(NOTA[[#This Row],[TGL.NOTA]]="",IF(NOTA[[#This Row],[SUPPLIER_H]]="","",AI712),MONTH(NOTA[[#This Row],[TGL.NOTA]]))</f>
        <v/>
      </c>
      <c r="AJ713" s="16"/>
    </row>
    <row r="714" spans="1:36" ht="20.100000000000001" customHeight="1" x14ac:dyDescent="0.25">
      <c r="A7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32"/>
      <c r="F714" s="31"/>
      <c r="G714" s="31"/>
      <c r="H714" s="33"/>
      <c r="I714" s="31"/>
      <c r="J714" s="34"/>
      <c r="K714" s="31"/>
      <c r="L714" s="31"/>
      <c r="M714" s="35"/>
      <c r="N714" s="31"/>
      <c r="O714" s="31"/>
      <c r="P714" s="30"/>
      <c r="Q714" s="103"/>
      <c r="R714" s="35"/>
      <c r="S714" s="37"/>
      <c r="T714" s="37"/>
      <c r="U714" s="36"/>
      <c r="V714" s="8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4" t="str">
        <f ca="1">IF(NOTA[ID_H]="","",INDEX(NOTA[TANGGAL],MATCH(,INDIRECT(ADDRESS(ROW(NOTA[TANGGAL]),COLUMN(NOTA[TANGGAL]))&amp;":"&amp;ADDRESS(ROW(),COLUMN(NOTA[TANGGAL]))),-1)))</f>
        <v/>
      </c>
      <c r="AG714" s="30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32"/>
      <c r="F715" s="31"/>
      <c r="G715" s="31"/>
      <c r="H715" s="33"/>
      <c r="I715" s="31"/>
      <c r="J715" s="34"/>
      <c r="K715" s="31"/>
      <c r="L715" s="31"/>
      <c r="M715" s="35"/>
      <c r="N715" s="31"/>
      <c r="O715" s="31"/>
      <c r="P715" s="30"/>
      <c r="Q715" s="103"/>
      <c r="R715" s="35"/>
      <c r="S715" s="37"/>
      <c r="T715" s="37"/>
      <c r="U715" s="36"/>
      <c r="V715" s="8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4" t="str">
        <f ca="1">IF(NOTA[ID_H]="","",INDEX(NOTA[TANGGAL],MATCH(,INDIRECT(ADDRESS(ROW(NOTA[TANGGAL]),COLUMN(NOTA[TANGGAL]))&amp;":"&amp;ADDRESS(ROW(),COLUMN(NOTA[TANGGAL]))),-1)))</f>
        <v/>
      </c>
      <c r="AG715" s="30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32"/>
      <c r="F716" s="31"/>
      <c r="G716" s="31"/>
      <c r="H716" s="33"/>
      <c r="I716" s="31"/>
      <c r="J716" s="34"/>
      <c r="K716" s="31"/>
      <c r="L716" s="31"/>
      <c r="M716" s="35"/>
      <c r="N716" s="31"/>
      <c r="O716" s="31"/>
      <c r="P716" s="30"/>
      <c r="Q716" s="103"/>
      <c r="R716" s="35"/>
      <c r="S716" s="37"/>
      <c r="T716" s="37"/>
      <c r="U716" s="36"/>
      <c r="V716" s="8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4" t="str">
        <f ca="1">IF(NOTA[ID_H]="","",INDEX(NOTA[TANGGAL],MATCH(,INDIRECT(ADDRESS(ROW(NOTA[TANGGAL]),COLUMN(NOTA[TANGGAL]))&amp;":"&amp;ADDRESS(ROW(),COLUMN(NOTA[TANGGAL]))),-1)))</f>
        <v/>
      </c>
      <c r="AG716" s="30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32"/>
      <c r="F717" s="31"/>
      <c r="G717" s="31"/>
      <c r="H717" s="33"/>
      <c r="I717" s="31"/>
      <c r="J717" s="34"/>
      <c r="K717" s="31"/>
      <c r="L717" s="31"/>
      <c r="M717" s="35"/>
      <c r="N717" s="31"/>
      <c r="O717" s="31"/>
      <c r="P717" s="30"/>
      <c r="Q717" s="103"/>
      <c r="R717" s="35"/>
      <c r="S717" s="37"/>
      <c r="T717" s="37"/>
      <c r="U717" s="36"/>
      <c r="V717" s="8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32"/>
      <c r="F718" s="31"/>
      <c r="G718" s="31"/>
      <c r="H718" s="33"/>
      <c r="I718" s="31"/>
      <c r="J718" s="34"/>
      <c r="K718" s="31"/>
      <c r="L718" s="31"/>
      <c r="M718" s="35"/>
      <c r="N718" s="31"/>
      <c r="O718" s="31"/>
      <c r="P718" s="30"/>
      <c r="Q718" s="103"/>
      <c r="R718" s="35"/>
      <c r="S718" s="37"/>
      <c r="T718" s="37"/>
      <c r="U718" s="36"/>
      <c r="V718" s="8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4" t="str">
        <f ca="1">IF(NOTA[ID_H]="","",INDEX(NOTA[TANGGAL],MATCH(,INDIRECT(ADDRESS(ROW(NOTA[TANGGAL]),COLUMN(NOTA[TANGGAL]))&amp;":"&amp;ADDRESS(ROW(),COLUMN(NOTA[TANGGAL]))),-1)))</f>
        <v/>
      </c>
      <c r="AG718" s="30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32"/>
      <c r="F719" s="31"/>
      <c r="G719" s="31"/>
      <c r="H719" s="33"/>
      <c r="I719" s="31"/>
      <c r="J719" s="34"/>
      <c r="K719" s="31"/>
      <c r="L719" s="31"/>
      <c r="M719" s="35"/>
      <c r="N719" s="31"/>
      <c r="O719" s="31"/>
      <c r="P719" s="30"/>
      <c r="Q719" s="103"/>
      <c r="R719" s="35"/>
      <c r="S719" s="37"/>
      <c r="T719" s="37"/>
      <c r="U719" s="36"/>
      <c r="V719" s="8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32"/>
      <c r="F720" s="31"/>
      <c r="G720" s="31"/>
      <c r="H720" s="33"/>
      <c r="I720" s="31"/>
      <c r="J720" s="34"/>
      <c r="K720" s="31"/>
      <c r="L720" s="31"/>
      <c r="M720" s="35"/>
      <c r="N720" s="31"/>
      <c r="O720" s="31"/>
      <c r="P720" s="30"/>
      <c r="Q720" s="103"/>
      <c r="R720" s="35"/>
      <c r="S720" s="37"/>
      <c r="T720" s="37"/>
      <c r="U720" s="36"/>
      <c r="V720" s="8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4" t="str">
        <f ca="1">IF(NOTA[ID_H]="","",INDEX(NOTA[TANGGAL],MATCH(,INDIRECT(ADDRESS(ROW(NOTA[TANGGAL]),COLUMN(NOTA[TANGGAL]))&amp;":"&amp;ADDRESS(ROW(),COLUMN(NOTA[TANGGAL]))),-1)))</f>
        <v/>
      </c>
      <c r="AG720" s="30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32"/>
      <c r="F721" s="31"/>
      <c r="G721" s="31"/>
      <c r="H721" s="33"/>
      <c r="I721" s="31"/>
      <c r="J721" s="34"/>
      <c r="K721" s="31"/>
      <c r="L721" s="31"/>
      <c r="M721" s="35"/>
      <c r="N721" s="31"/>
      <c r="O721" s="31"/>
      <c r="P721" s="30"/>
      <c r="Q721" s="103"/>
      <c r="R721" s="35"/>
      <c r="S721" s="37"/>
      <c r="T721" s="37"/>
      <c r="U721" s="36"/>
      <c r="V721" s="8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4" t="str">
        <f ca="1">IF(NOTA[ID_H]="","",INDEX(NOTA[TANGGAL],MATCH(,INDIRECT(ADDRESS(ROW(NOTA[TANGGAL]),COLUMN(NOTA[TANGGAL]))&amp;":"&amp;ADDRESS(ROW(),COLUMN(NOTA[TANGGAL]))),-1)))</f>
        <v/>
      </c>
      <c r="AG721" s="30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32"/>
      <c r="F722" s="31"/>
      <c r="G722" s="31"/>
      <c r="H722" s="33"/>
      <c r="I722" s="31"/>
      <c r="J722" s="34"/>
      <c r="K722" s="31"/>
      <c r="L722" s="31"/>
      <c r="M722" s="35"/>
      <c r="N722" s="31"/>
      <c r="O722" s="31"/>
      <c r="P722" s="30"/>
      <c r="Q722" s="103"/>
      <c r="R722" s="35"/>
      <c r="S722" s="37"/>
      <c r="T722" s="37"/>
      <c r="U722" s="36"/>
      <c r="V722" s="8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4" t="str">
        <f ca="1">IF(NOTA[ID_H]="","",INDEX(NOTA[TANGGAL],MATCH(,INDIRECT(ADDRESS(ROW(NOTA[TANGGAL]),COLUMN(NOTA[TANGGAL]))&amp;":"&amp;ADDRESS(ROW(),COLUMN(NOTA[TANGGAL]))),-1)))</f>
        <v/>
      </c>
      <c r="AG722" s="30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32"/>
      <c r="F723" s="31"/>
      <c r="G723" s="31"/>
      <c r="H723" s="33"/>
      <c r="I723" s="31"/>
      <c r="J723" s="34"/>
      <c r="K723" s="31"/>
      <c r="L723" s="31"/>
      <c r="M723" s="35"/>
      <c r="N723" s="31"/>
      <c r="O723" s="31"/>
      <c r="P723" s="30"/>
      <c r="Q723" s="103"/>
      <c r="R723" s="35"/>
      <c r="S723" s="37"/>
      <c r="T723" s="37"/>
      <c r="U723" s="36"/>
      <c r="V723" s="8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4" t="str">
        <f ca="1">IF(NOTA[ID_H]="","",INDEX(NOTA[TANGGAL],MATCH(,INDIRECT(ADDRESS(ROW(NOTA[TANGGAL]),COLUMN(NOTA[TANGGAL]))&amp;":"&amp;ADDRESS(ROW(),COLUMN(NOTA[TANGGAL]))),-1)))</f>
        <v/>
      </c>
      <c r="AG723" s="30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32"/>
      <c r="F724" s="31"/>
      <c r="G724" s="31"/>
      <c r="H724" s="33"/>
      <c r="I724" s="31"/>
      <c r="J724" s="34"/>
      <c r="K724" s="31"/>
      <c r="L724" s="31"/>
      <c r="M724" s="35"/>
      <c r="N724" s="31"/>
      <c r="O724" s="31"/>
      <c r="P724" s="30"/>
      <c r="Q724" s="103"/>
      <c r="R724" s="35"/>
      <c r="S724" s="37"/>
      <c r="T724" s="37"/>
      <c r="U724" s="36"/>
      <c r="V724" s="8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4" t="str">
        <f ca="1">IF(NOTA[ID_H]="","",INDEX(NOTA[TANGGAL],MATCH(,INDIRECT(ADDRESS(ROW(NOTA[TANGGAL]),COLUMN(NOTA[TANGGAL]))&amp;":"&amp;ADDRESS(ROW(),COLUMN(NOTA[TANGGAL]))),-1)))</f>
        <v/>
      </c>
      <c r="AG724" s="30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32"/>
      <c r="F725" s="31"/>
      <c r="G725" s="31"/>
      <c r="H725" s="33"/>
      <c r="I725" s="31"/>
      <c r="J725" s="34"/>
      <c r="K725" s="31"/>
      <c r="L725" s="31"/>
      <c r="M725" s="35"/>
      <c r="N725" s="31"/>
      <c r="O725" s="31"/>
      <c r="P725" s="30"/>
      <c r="Q725" s="103"/>
      <c r="R725" s="35"/>
      <c r="S725" s="37"/>
      <c r="T725" s="37"/>
      <c r="U725" s="36"/>
      <c r="V725" s="8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4" t="str">
        <f ca="1">IF(NOTA[ID_H]="","",INDEX(NOTA[TANGGAL],MATCH(,INDIRECT(ADDRESS(ROW(NOTA[TANGGAL]),COLUMN(NOTA[TANGGAL]))&amp;":"&amp;ADDRESS(ROW(),COLUMN(NOTA[TANGGAL]))),-1)))</f>
        <v/>
      </c>
      <c r="AG725" s="30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32"/>
      <c r="F726" s="31"/>
      <c r="G726" s="31"/>
      <c r="H726" s="33"/>
      <c r="I726" s="31"/>
      <c r="J726" s="34"/>
      <c r="K726" s="31"/>
      <c r="L726" s="31"/>
      <c r="M726" s="35"/>
      <c r="N726" s="31"/>
      <c r="O726" s="31"/>
      <c r="P726" s="30"/>
      <c r="Q726" s="103"/>
      <c r="R726" s="35"/>
      <c r="S726" s="37"/>
      <c r="T726" s="37"/>
      <c r="U726" s="36"/>
      <c r="V726" s="8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4" t="str">
        <f ca="1">IF(NOTA[ID_H]="","",INDEX(NOTA[TANGGAL],MATCH(,INDIRECT(ADDRESS(ROW(NOTA[TANGGAL]),COLUMN(NOTA[TANGGAL]))&amp;":"&amp;ADDRESS(ROW(),COLUMN(NOTA[TANGGAL]))),-1)))</f>
        <v/>
      </c>
      <c r="AG726" s="30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32"/>
      <c r="F727" s="31"/>
      <c r="G727" s="31"/>
      <c r="H727" s="33"/>
      <c r="I727" s="31"/>
      <c r="J727" s="34"/>
      <c r="K727" s="31"/>
      <c r="L727" s="31"/>
      <c r="M727" s="35"/>
      <c r="N727" s="31"/>
      <c r="O727" s="31"/>
      <c r="P727" s="30"/>
      <c r="Q727" s="103"/>
      <c r="R727" s="35"/>
      <c r="S727" s="37"/>
      <c r="T727" s="37"/>
      <c r="U727" s="36"/>
      <c r="V727" s="8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4" t="str">
        <f ca="1">IF(NOTA[ID_H]="","",INDEX(NOTA[TANGGAL],MATCH(,INDIRECT(ADDRESS(ROW(NOTA[TANGGAL]),COLUMN(NOTA[TANGGAL]))&amp;":"&amp;ADDRESS(ROW(),COLUMN(NOTA[TANGGAL]))),-1)))</f>
        <v/>
      </c>
      <c r="AG727" s="30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32"/>
      <c r="F728" s="31"/>
      <c r="G728" s="31"/>
      <c r="H728" s="33"/>
      <c r="I728" s="31"/>
      <c r="J728" s="34"/>
      <c r="K728" s="31"/>
      <c r="L728" s="31"/>
      <c r="M728" s="35"/>
      <c r="N728" s="31"/>
      <c r="O728" s="31"/>
      <c r="P728" s="30"/>
      <c r="Q728" s="103"/>
      <c r="R728" s="35"/>
      <c r="S728" s="37"/>
      <c r="T728" s="37"/>
      <c r="U728" s="36"/>
      <c r="V728" s="8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4" t="str">
        <f ca="1">IF(NOTA[ID_H]="","",INDEX(NOTA[TANGGAL],MATCH(,INDIRECT(ADDRESS(ROW(NOTA[TANGGAL]),COLUMN(NOTA[TANGGAL]))&amp;":"&amp;ADDRESS(ROW(),COLUMN(NOTA[TANGGAL]))),-1)))</f>
        <v/>
      </c>
      <c r="AG728" s="30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32"/>
      <c r="F729" s="31"/>
      <c r="G729" s="31"/>
      <c r="H729" s="33"/>
      <c r="I729" s="31"/>
      <c r="J729" s="34"/>
      <c r="K729" s="31"/>
      <c r="L729" s="31"/>
      <c r="M729" s="35"/>
      <c r="N729" s="31"/>
      <c r="O729" s="31"/>
      <c r="P729" s="30"/>
      <c r="Q729" s="103"/>
      <c r="R729" s="35"/>
      <c r="S729" s="37"/>
      <c r="T729" s="37"/>
      <c r="U729" s="36"/>
      <c r="V729" s="8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4" t="str">
        <f ca="1">IF(NOTA[ID_H]="","",INDEX(NOTA[TANGGAL],MATCH(,INDIRECT(ADDRESS(ROW(NOTA[TANGGAL]),COLUMN(NOTA[TANGGAL]))&amp;":"&amp;ADDRESS(ROW(),COLUMN(NOTA[TANGGAL]))),-1)))</f>
        <v/>
      </c>
      <c r="AG729" s="30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32"/>
      <c r="F730" s="31"/>
      <c r="G730" s="31"/>
      <c r="H730" s="33"/>
      <c r="I730" s="31"/>
      <c r="J730" s="34"/>
      <c r="K730" s="31"/>
      <c r="L730" s="31"/>
      <c r="M730" s="35"/>
      <c r="N730" s="31"/>
      <c r="O730" s="31"/>
      <c r="P730" s="30"/>
      <c r="Q730" s="103"/>
      <c r="R730" s="35"/>
      <c r="S730" s="37"/>
      <c r="T730" s="37"/>
      <c r="U730" s="36"/>
      <c r="V730" s="8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4" t="str">
        <f ca="1">IF(NOTA[ID_H]="","",INDEX(NOTA[TANGGAL],MATCH(,INDIRECT(ADDRESS(ROW(NOTA[TANGGAL]),COLUMN(NOTA[TANGGAL]))&amp;":"&amp;ADDRESS(ROW(),COLUMN(NOTA[TANGGAL]))),-1)))</f>
        <v/>
      </c>
      <c r="AG730" s="30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32"/>
      <c r="F731" s="31"/>
      <c r="G731" s="31"/>
      <c r="H731" s="33"/>
      <c r="I731" s="31"/>
      <c r="J731" s="34"/>
      <c r="K731" s="31"/>
      <c r="L731" s="31"/>
      <c r="M731" s="35"/>
      <c r="N731" s="31"/>
      <c r="O731" s="31"/>
      <c r="P731" s="30"/>
      <c r="Q731" s="103"/>
      <c r="R731" s="35"/>
      <c r="S731" s="37"/>
      <c r="T731" s="37"/>
      <c r="U731" s="36"/>
      <c r="V731" s="8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4" t="str">
        <f ca="1">IF(NOTA[ID_H]="","",INDEX(NOTA[TANGGAL],MATCH(,INDIRECT(ADDRESS(ROW(NOTA[TANGGAL]),COLUMN(NOTA[TANGGAL]))&amp;":"&amp;ADDRESS(ROW(),COLUMN(NOTA[TANGGAL]))),-1)))</f>
        <v/>
      </c>
      <c r="AG731" s="30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32"/>
      <c r="F732" s="31"/>
      <c r="G732" s="31"/>
      <c r="H732" s="33"/>
      <c r="I732" s="31"/>
      <c r="J732" s="34"/>
      <c r="K732" s="31"/>
      <c r="L732" s="31"/>
      <c r="M732" s="35"/>
      <c r="N732" s="31"/>
      <c r="O732" s="31"/>
      <c r="P732" s="30"/>
      <c r="Q732" s="103"/>
      <c r="R732" s="35"/>
      <c r="S732" s="37"/>
      <c r="T732" s="37"/>
      <c r="U732" s="36"/>
      <c r="V732" s="8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30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32"/>
      <c r="F745" s="31"/>
      <c r="G745" s="31"/>
      <c r="H745" s="33"/>
      <c r="I745" s="31"/>
      <c r="J745" s="34"/>
      <c r="K745" s="31"/>
      <c r="L745" s="31"/>
      <c r="M745" s="35"/>
      <c r="N745" s="31"/>
      <c r="O745" s="31"/>
      <c r="P745" s="30"/>
      <c r="Q745" s="103"/>
      <c r="R745" s="35"/>
      <c r="S745" s="37"/>
      <c r="T745" s="37"/>
      <c r="U745" s="36"/>
      <c r="V745" s="8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4" t="str">
        <f ca="1">IF(NOTA[ID_H]="","",INDEX(NOTA[TANGGAL],MATCH(,INDIRECT(ADDRESS(ROW(NOTA[TANGGAL]),COLUMN(NOTA[TANGGAL]))&amp;":"&amp;ADDRESS(ROW(),COLUMN(NOTA[TANGGAL]))),-1)))</f>
        <v/>
      </c>
      <c r="AG745" s="30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32"/>
      <c r="F746" s="31"/>
      <c r="G746" s="31"/>
      <c r="H746" s="33"/>
      <c r="I746" s="31"/>
      <c r="J746" s="34"/>
      <c r="K746" s="31"/>
      <c r="L746" s="31"/>
      <c r="M746" s="35"/>
      <c r="N746" s="31"/>
      <c r="O746" s="31"/>
      <c r="P746" s="30"/>
      <c r="Q746" s="103"/>
      <c r="R746" s="35"/>
      <c r="S746" s="37"/>
      <c r="T746" s="37"/>
      <c r="U746" s="36"/>
      <c r="V746" s="8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4" t="str">
        <f ca="1">IF(NOTA[ID_H]="","",INDEX(NOTA[TANGGAL],MATCH(,INDIRECT(ADDRESS(ROW(NOTA[TANGGAL]),COLUMN(NOTA[TANGGAL]))&amp;":"&amp;ADDRESS(ROW(),COLUMN(NOTA[TANGGAL]))),-1)))</f>
        <v/>
      </c>
      <c r="AG746" s="30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32"/>
      <c r="F747" s="31"/>
      <c r="G747" s="31"/>
      <c r="H747" s="33"/>
      <c r="I747" s="31"/>
      <c r="J747" s="34"/>
      <c r="K747" s="31"/>
      <c r="L747" s="31"/>
      <c r="M747" s="35"/>
      <c r="N747" s="31"/>
      <c r="O747" s="31"/>
      <c r="P747" s="30"/>
      <c r="Q747" s="103"/>
      <c r="R747" s="35"/>
      <c r="S747" s="37"/>
      <c r="T747" s="37"/>
      <c r="U747" s="36"/>
      <c r="V747" s="8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32"/>
      <c r="F748" s="31"/>
      <c r="G748" s="31"/>
      <c r="H748" s="33"/>
      <c r="I748" s="31"/>
      <c r="J748" s="34"/>
      <c r="K748" s="31"/>
      <c r="L748" s="31"/>
      <c r="M748" s="35"/>
      <c r="N748" s="31"/>
      <c r="O748" s="31"/>
      <c r="P748" s="30"/>
      <c r="Q748" s="103"/>
      <c r="R748" s="35"/>
      <c r="S748" s="37"/>
      <c r="T748" s="37"/>
      <c r="U748" s="36"/>
      <c r="V748" s="8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4" t="str">
        <f ca="1">IF(NOTA[ID_H]="","",INDEX(NOTA[TANGGAL],MATCH(,INDIRECT(ADDRESS(ROW(NOTA[TANGGAL]),COLUMN(NOTA[TANGGAL]))&amp;":"&amp;ADDRESS(ROW(),COLUMN(NOTA[TANGGAL]))),-1)))</f>
        <v/>
      </c>
      <c r="AG748" s="30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32"/>
      <c r="F749" s="31"/>
      <c r="G749" s="31"/>
      <c r="H749" s="33"/>
      <c r="I749" s="31"/>
      <c r="J749" s="34"/>
      <c r="K749" s="31"/>
      <c r="L749" s="31"/>
      <c r="M749" s="35"/>
      <c r="N749" s="31"/>
      <c r="O749" s="31"/>
      <c r="P749" s="30"/>
      <c r="Q749" s="103"/>
      <c r="R749" s="35"/>
      <c r="S749" s="37"/>
      <c r="T749" s="37"/>
      <c r="U749" s="36"/>
      <c r="V749" s="8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32"/>
      <c r="F750" s="31"/>
      <c r="G750" s="31"/>
      <c r="H750" s="33"/>
      <c r="I750" s="31"/>
      <c r="J750" s="34"/>
      <c r="K750" s="31"/>
      <c r="L750" s="31"/>
      <c r="M750" s="35"/>
      <c r="N750" s="31"/>
      <c r="O750" s="31"/>
      <c r="P750" s="30"/>
      <c r="Q750" s="103"/>
      <c r="R750" s="35"/>
      <c r="S750" s="37"/>
      <c r="T750" s="37"/>
      <c r="U750" s="36"/>
      <c r="V750" s="8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4" t="str">
        <f ca="1">IF(NOTA[ID_H]="","",INDEX(NOTA[TANGGAL],MATCH(,INDIRECT(ADDRESS(ROW(NOTA[TANGGAL]),COLUMN(NOTA[TANGGAL]))&amp;":"&amp;ADDRESS(ROW(),COLUMN(NOTA[TANGGAL]))),-1)))</f>
        <v/>
      </c>
      <c r="AG750" s="30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32"/>
      <c r="F751" s="31"/>
      <c r="G751" s="31"/>
      <c r="H751" s="33"/>
      <c r="I751" s="31"/>
      <c r="J751" s="34"/>
      <c r="K751" s="31"/>
      <c r="L751" s="31"/>
      <c r="M751" s="35"/>
      <c r="N751" s="31"/>
      <c r="O751" s="31"/>
      <c r="P751" s="30"/>
      <c r="Q751" s="103"/>
      <c r="R751" s="35"/>
      <c r="S751" s="37"/>
      <c r="T751" s="37"/>
      <c r="U751" s="36"/>
      <c r="V751" s="8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4" t="str">
        <f ca="1">IF(NOTA[ID_H]="","",INDEX(NOTA[TANGGAL],MATCH(,INDIRECT(ADDRESS(ROW(NOTA[TANGGAL]),COLUMN(NOTA[TANGGAL]))&amp;":"&amp;ADDRESS(ROW(),COLUMN(NOTA[TANGGAL]))),-1)))</f>
        <v/>
      </c>
      <c r="AG751" s="30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32"/>
      <c r="F752" s="31"/>
      <c r="G752" s="31"/>
      <c r="H752" s="33"/>
      <c r="I752" s="31"/>
      <c r="J752" s="34"/>
      <c r="K752" s="31"/>
      <c r="L752" s="31"/>
      <c r="M752" s="35"/>
      <c r="N752" s="31"/>
      <c r="O752" s="31"/>
      <c r="P752" s="30"/>
      <c r="Q752" s="103"/>
      <c r="R752" s="35"/>
      <c r="S752" s="37"/>
      <c r="T752" s="37"/>
      <c r="U752" s="36"/>
      <c r="V752" s="8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4" t="str">
        <f ca="1">IF(NOTA[ID_H]="","",INDEX(NOTA[TANGGAL],MATCH(,INDIRECT(ADDRESS(ROW(NOTA[TANGGAL]),COLUMN(NOTA[TANGGAL]))&amp;":"&amp;ADDRESS(ROW(),COLUMN(NOTA[TANGGAL]))),-1)))</f>
        <v/>
      </c>
      <c r="AG752" s="30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32"/>
      <c r="F753" s="31"/>
      <c r="G753" s="31"/>
      <c r="H753" s="33"/>
      <c r="I753" s="31"/>
      <c r="J753" s="34"/>
      <c r="K753" s="31"/>
      <c r="L753" s="31"/>
      <c r="M753" s="35"/>
      <c r="N753" s="31"/>
      <c r="O753" s="31"/>
      <c r="P753" s="30"/>
      <c r="Q753" s="103"/>
      <c r="R753" s="35"/>
      <c r="S753" s="37"/>
      <c r="T753" s="37"/>
      <c r="U753" s="36"/>
      <c r="V753" s="8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4" t="str">
        <f ca="1">IF(NOTA[ID_H]="","",INDEX(NOTA[TANGGAL],MATCH(,INDIRECT(ADDRESS(ROW(NOTA[TANGGAL]),COLUMN(NOTA[TANGGAL]))&amp;":"&amp;ADDRESS(ROW(),COLUMN(NOTA[TANGGAL]))),-1)))</f>
        <v/>
      </c>
      <c r="AG753" s="30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32"/>
      <c r="F754" s="31"/>
      <c r="G754" s="31"/>
      <c r="H754" s="33"/>
      <c r="I754" s="31"/>
      <c r="J754" s="34"/>
      <c r="K754" s="31"/>
      <c r="L754" s="31"/>
      <c r="M754" s="35"/>
      <c r="N754" s="31"/>
      <c r="O754" s="31"/>
      <c r="P754" s="30"/>
      <c r="Q754" s="103"/>
      <c r="R754" s="35"/>
      <c r="S754" s="37"/>
      <c r="T754" s="37"/>
      <c r="U754" s="36"/>
      <c r="V754" s="8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32"/>
      <c r="F755" s="31"/>
      <c r="G755" s="31"/>
      <c r="H755" s="33"/>
      <c r="I755" s="31"/>
      <c r="J755" s="34"/>
      <c r="K755" s="31"/>
      <c r="L755" s="31"/>
      <c r="M755" s="35"/>
      <c r="N755" s="31"/>
      <c r="O755" s="31"/>
      <c r="P755" s="30"/>
      <c r="Q755" s="103"/>
      <c r="R755" s="35"/>
      <c r="S755" s="37"/>
      <c r="T755" s="37"/>
      <c r="U755" s="36"/>
      <c r="V755" s="8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4" t="str">
        <f ca="1">IF(NOTA[ID_H]="","",INDEX(NOTA[TANGGAL],MATCH(,INDIRECT(ADDRESS(ROW(NOTA[TANGGAL]),COLUMN(NOTA[TANGGAL]))&amp;":"&amp;ADDRESS(ROW(),COLUMN(NOTA[TANGGAL]))),-1)))</f>
        <v/>
      </c>
      <c r="AG755" s="30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32"/>
      <c r="F756" s="31"/>
      <c r="G756" s="31"/>
      <c r="H756" s="33"/>
      <c r="I756" s="31"/>
      <c r="J756" s="34"/>
      <c r="K756" s="31"/>
      <c r="L756" s="31"/>
      <c r="M756" s="35"/>
      <c r="N756" s="31"/>
      <c r="O756" s="31"/>
      <c r="P756" s="30"/>
      <c r="Q756" s="103"/>
      <c r="R756" s="35"/>
      <c r="S756" s="37"/>
      <c r="T756" s="37"/>
      <c r="U756" s="36"/>
      <c r="V756" s="8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32"/>
      <c r="F757" s="31"/>
      <c r="G757" s="31"/>
      <c r="H757" s="33"/>
      <c r="I757" s="31"/>
      <c r="J757" s="34"/>
      <c r="K757" s="31"/>
      <c r="L757" s="31"/>
      <c r="M757" s="35"/>
      <c r="N757" s="31"/>
      <c r="O757" s="31"/>
      <c r="P757" s="30"/>
      <c r="Q757" s="103"/>
      <c r="R757" s="35"/>
      <c r="S757" s="37"/>
      <c r="T757" s="37"/>
      <c r="U757" s="36"/>
      <c r="V757" s="87"/>
      <c r="W757" s="36" t="str">
        <f>IF(NOTA[[#This Row],[HARGA/ CTN]]="",NOTA[[#This Row],[JUMLAH_H]],NOTA[[#This Row],[HARGA/ CTN]]*NOTA[[#This Row],[C]])</f>
        <v/>
      </c>
      <c r="X757" s="36" t="str">
        <f>IF(NOTA[[#This Row],[JUMLAH]]="","",NOTA[[#This Row],[JUMLAH]]*NOTA[[#This Row],[DISC 1]])</f>
        <v/>
      </c>
      <c r="Y757" s="36" t="str">
        <f>IF(NOTA[[#This Row],[JUMLAH]]="","",(NOTA[[#This Row],[JUMLAH]]-NOTA[[#This Row],[DISC 1-]])*NOTA[[#This Row],[DISC 2]])</f>
        <v/>
      </c>
      <c r="Z757" s="36" t="str">
        <f>IF(NOTA[[#This Row],[JUMLAH]]="","",NOTA[[#This Row],[DISC 1-]]+NOTA[[#This Row],[DISC 2-]])</f>
        <v/>
      </c>
      <c r="AA757" s="36" t="str">
        <f>IF(NOTA[[#This Row],[JUMLAH]]="","",NOTA[[#This Row],[JUMLAH]]-NOTA[[#This Row],[DISC]])</f>
        <v/>
      </c>
      <c r="AB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6" t="str">
        <f>IF(OR(NOTA[[#This Row],[QTY]]="",NOTA[[#This Row],[HARGA SATUAN]]="",),"",NOTA[[#This Row],[QTY]]*NOTA[[#This Row],[HARGA SATUAN]])</f>
        <v/>
      </c>
      <c r="AF757" s="34" t="str">
        <f ca="1">IF(NOTA[ID_H]="","",INDEX(NOTA[TANGGAL],MATCH(,INDIRECT(ADDRESS(ROW(NOTA[TANGGAL]),COLUMN(NOTA[TANGGAL]))&amp;":"&amp;ADDRESS(ROW(),COLUMN(NOTA[TANGGAL]))),-1)))</f>
        <v/>
      </c>
      <c r="AG757" s="30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32"/>
      <c r="F758" s="31"/>
      <c r="G758" s="31"/>
      <c r="H758" s="33"/>
      <c r="I758" s="31"/>
      <c r="J758" s="34"/>
      <c r="K758" s="31"/>
      <c r="L758" s="31"/>
      <c r="M758" s="35"/>
      <c r="N758" s="31"/>
      <c r="O758" s="31"/>
      <c r="P758" s="30"/>
      <c r="Q758" s="103"/>
      <c r="R758" s="35"/>
      <c r="S758" s="37"/>
      <c r="T758" s="37"/>
      <c r="U758" s="36"/>
      <c r="V758" s="87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35"/>
      <c r="N759" s="31"/>
      <c r="O759" s="31"/>
      <c r="P759" s="30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35"/>
      <c r="N760" s="31"/>
      <c r="O760" s="31"/>
      <c r="P760" s="30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35"/>
      <c r="N761" s="31"/>
      <c r="O761" s="31"/>
      <c r="P761" s="30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35"/>
      <c r="N762" s="31"/>
      <c r="O762" s="31"/>
      <c r="P762" s="30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117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118"/>
      <c r="J786" s="120"/>
      <c r="K786" s="118"/>
      <c r="L786" s="31"/>
      <c r="M786" s="121"/>
      <c r="N786" s="118"/>
      <c r="O786" s="31"/>
      <c r="P786" s="122"/>
      <c r="Q786" s="166"/>
      <c r="R786" s="35"/>
      <c r="S786" s="123"/>
      <c r="T786" s="123"/>
      <c r="U786" s="124"/>
      <c r="V786" s="125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118"/>
      <c r="G787" s="118"/>
      <c r="H787" s="119"/>
      <c r="I787" s="118"/>
      <c r="J787" s="120"/>
      <c r="K787" s="118"/>
      <c r="L787" s="31"/>
      <c r="M787" s="121"/>
      <c r="N787" s="118"/>
      <c r="O787" s="31"/>
      <c r="P787" s="122"/>
      <c r="Q787" s="166"/>
      <c r="R787" s="35"/>
      <c r="S787" s="123"/>
      <c r="T787" s="123"/>
      <c r="U787" s="124"/>
      <c r="V787" s="125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118"/>
      <c r="G788" s="118"/>
      <c r="H788" s="119"/>
      <c r="I788" s="118"/>
      <c r="J788" s="120"/>
      <c r="K788" s="118"/>
      <c r="L788" s="31"/>
      <c r="M788" s="121"/>
      <c r="N788" s="118"/>
      <c r="O788" s="31"/>
      <c r="P788" s="122"/>
      <c r="Q788" s="166"/>
      <c r="R788" s="35"/>
      <c r="S788" s="123"/>
      <c r="T788" s="123"/>
      <c r="U788" s="124"/>
      <c r="V788" s="125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145"/>
      <c r="F814" s="146"/>
      <c r="G814" s="146"/>
      <c r="H814" s="147"/>
      <c r="I814" s="148"/>
      <c r="J814" s="148"/>
      <c r="K814" s="146"/>
      <c r="L814" s="146"/>
      <c r="M814" s="149"/>
      <c r="N814" s="146"/>
      <c r="O814" s="146"/>
      <c r="P814" s="150"/>
      <c r="Q814" s="167"/>
      <c r="R814" s="149"/>
      <c r="S814" s="151"/>
      <c r="T814" s="151"/>
      <c r="U814" s="152"/>
      <c r="V814" s="153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145"/>
      <c r="F815" s="146"/>
      <c r="G815" s="146"/>
      <c r="H815" s="147"/>
      <c r="I815" s="146"/>
      <c r="J815" s="148"/>
      <c r="K815" s="146"/>
      <c r="L815" s="146"/>
      <c r="M815" s="149"/>
      <c r="N815" s="146"/>
      <c r="O815" s="146"/>
      <c r="P815" s="150"/>
      <c r="Q815" s="167"/>
      <c r="R815" s="149"/>
      <c r="S815" s="151"/>
      <c r="T815" s="151"/>
      <c r="U815" s="152"/>
      <c r="V815" s="153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145"/>
      <c r="F816" s="146"/>
      <c r="G816" s="146"/>
      <c r="H816" s="147"/>
      <c r="I816" s="146"/>
      <c r="J816" s="148"/>
      <c r="K816" s="146"/>
      <c r="L816" s="146"/>
      <c r="M816" s="149"/>
      <c r="N816" s="146"/>
      <c r="O816" s="146"/>
      <c r="P816" s="150"/>
      <c r="Q816" s="167"/>
      <c r="R816" s="149"/>
      <c r="S816" s="151"/>
      <c r="T816" s="151"/>
      <c r="U816" s="152"/>
      <c r="V816" s="153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145"/>
      <c r="F817" s="146"/>
      <c r="G817" s="146"/>
      <c r="H817" s="147"/>
      <c r="I817" s="146"/>
      <c r="J817" s="148"/>
      <c r="K817" s="146"/>
      <c r="L817" s="146"/>
      <c r="M817" s="149"/>
      <c r="N817" s="146"/>
      <c r="O817" s="146"/>
      <c r="P817" s="150"/>
      <c r="Q817" s="167"/>
      <c r="R817" s="149"/>
      <c r="S817" s="151"/>
      <c r="T817" s="151"/>
      <c r="U817" s="152"/>
      <c r="V817" s="153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45"/>
      <c r="F818" s="146"/>
      <c r="G818" s="146"/>
      <c r="H818" s="147"/>
      <c r="I818" s="146"/>
      <c r="J818" s="148"/>
      <c r="K818" s="146"/>
      <c r="L818" s="146"/>
      <c r="M818" s="149"/>
      <c r="N818" s="146"/>
      <c r="O818" s="146"/>
      <c r="P818" s="150"/>
      <c r="Q818" s="167"/>
      <c r="R818" s="149"/>
      <c r="S818" s="151"/>
      <c r="T818" s="151"/>
      <c r="U818" s="152"/>
      <c r="V818" s="153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145"/>
      <c r="F819" s="146"/>
      <c r="G819" s="146"/>
      <c r="H819" s="147"/>
      <c r="I819" s="146"/>
      <c r="J819" s="148"/>
      <c r="K819" s="146"/>
      <c r="L819" s="146"/>
      <c r="M819" s="149"/>
      <c r="N819" s="146"/>
      <c r="O819" s="146"/>
      <c r="P819" s="150"/>
      <c r="Q819" s="167"/>
      <c r="R819" s="149"/>
      <c r="S819" s="151"/>
      <c r="T819" s="151"/>
      <c r="U819" s="152"/>
      <c r="V819" s="153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45"/>
      <c r="F820" s="146"/>
      <c r="G820" s="146"/>
      <c r="H820" s="147"/>
      <c r="I820" s="146"/>
      <c r="J820" s="148"/>
      <c r="K820" s="146"/>
      <c r="L820" s="146"/>
      <c r="M820" s="149"/>
      <c r="N820" s="146"/>
      <c r="O820" s="146"/>
      <c r="P820" s="150"/>
      <c r="Q820" s="167"/>
      <c r="R820" s="149"/>
      <c r="S820" s="151"/>
      <c r="T820" s="151"/>
      <c r="U820" s="152"/>
      <c r="V820" s="153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145"/>
      <c r="F821" s="146"/>
      <c r="G821" s="146"/>
      <c r="H821" s="147"/>
      <c r="I821" s="146"/>
      <c r="J821" s="148"/>
      <c r="K821" s="146"/>
      <c r="L821" s="146"/>
      <c r="M821" s="149"/>
      <c r="N821" s="146"/>
      <c r="O821" s="146"/>
      <c r="P821" s="150"/>
      <c r="Q821" s="167"/>
      <c r="R821" s="149"/>
      <c r="S821" s="151"/>
      <c r="T821" s="151"/>
      <c r="U821" s="152"/>
      <c r="V821" s="153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145"/>
      <c r="F822" s="146"/>
      <c r="G822" s="146"/>
      <c r="H822" s="147"/>
      <c r="I822" s="146"/>
      <c r="J822" s="148"/>
      <c r="K822" s="146"/>
      <c r="L822" s="146"/>
      <c r="M822" s="149"/>
      <c r="N822" s="146"/>
      <c r="O822" s="146"/>
      <c r="P822" s="150"/>
      <c r="Q822" s="167"/>
      <c r="R822" s="149"/>
      <c r="S822" s="151"/>
      <c r="T822" s="151"/>
      <c r="U822" s="152"/>
      <c r="V822" s="153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145"/>
      <c r="F823" s="146"/>
      <c r="G823" s="146"/>
      <c r="H823" s="147"/>
      <c r="I823" s="146"/>
      <c r="J823" s="148"/>
      <c r="K823" s="146"/>
      <c r="L823" s="146"/>
      <c r="M823" s="149"/>
      <c r="N823" s="146"/>
      <c r="O823" s="146"/>
      <c r="P823" s="150"/>
      <c r="Q823" s="167"/>
      <c r="R823" s="149"/>
      <c r="S823" s="151"/>
      <c r="T823" s="151"/>
      <c r="U823" s="152"/>
      <c r="V823" s="153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145"/>
      <c r="F824" s="146"/>
      <c r="G824" s="146"/>
      <c r="H824" s="147"/>
      <c r="I824" s="146"/>
      <c r="J824" s="148"/>
      <c r="K824" s="146"/>
      <c r="L824" s="146"/>
      <c r="M824" s="149"/>
      <c r="N824" s="146"/>
      <c r="O824" s="146"/>
      <c r="P824" s="150"/>
      <c r="Q824" s="167"/>
      <c r="R824" s="149"/>
      <c r="S824" s="151"/>
      <c r="T824" s="151"/>
      <c r="U824" s="152"/>
      <c r="V824" s="153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145"/>
      <c r="F825" s="146"/>
      <c r="G825" s="146"/>
      <c r="H825" s="147"/>
      <c r="I825" s="146"/>
      <c r="J825" s="148"/>
      <c r="K825" s="146"/>
      <c r="L825" s="146"/>
      <c r="M825" s="149"/>
      <c r="N825" s="146"/>
      <c r="O825" s="146"/>
      <c r="P825" s="150"/>
      <c r="Q825" s="167"/>
      <c r="R825" s="149"/>
      <c r="S825" s="151"/>
      <c r="T825" s="151"/>
      <c r="U825" s="152"/>
      <c r="V825" s="153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145"/>
      <c r="F826" s="146"/>
      <c r="G826" s="146"/>
      <c r="H826" s="147"/>
      <c r="I826" s="146"/>
      <c r="J826" s="148"/>
      <c r="K826" s="146"/>
      <c r="L826" s="146"/>
      <c r="M826" s="149"/>
      <c r="N826" s="146"/>
      <c r="O826" s="146"/>
      <c r="P826" s="150"/>
      <c r="Q826" s="167"/>
      <c r="R826" s="149"/>
      <c r="S826" s="151"/>
      <c r="T826" s="151"/>
      <c r="U826" s="152"/>
      <c r="V826" s="153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145"/>
      <c r="F827" s="146"/>
      <c r="G827" s="146"/>
      <c r="H827" s="147"/>
      <c r="I827" s="146"/>
      <c r="J827" s="148"/>
      <c r="K827" s="146"/>
      <c r="L827" s="146"/>
      <c r="M827" s="149"/>
      <c r="N827" s="146"/>
      <c r="O827" s="146"/>
      <c r="P827" s="150"/>
      <c r="Q827" s="167"/>
      <c r="R827" s="149"/>
      <c r="S827" s="151"/>
      <c r="T827" s="151"/>
      <c r="U827" s="152"/>
      <c r="V827" s="153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145"/>
      <c r="F828" s="146"/>
      <c r="G828" s="146"/>
      <c r="H828" s="147"/>
      <c r="I828" s="146"/>
      <c r="J828" s="148"/>
      <c r="K828" s="146"/>
      <c r="L828" s="146"/>
      <c r="M828" s="149"/>
      <c r="N828" s="146"/>
      <c r="O828" s="146"/>
      <c r="P828" s="150"/>
      <c r="Q828" s="167"/>
      <c r="R828" s="149"/>
      <c r="S828" s="151"/>
      <c r="T828" s="151"/>
      <c r="U828" s="152"/>
      <c r="V828" s="153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145"/>
      <c r="F829" s="146"/>
      <c r="G829" s="146"/>
      <c r="H829" s="147"/>
      <c r="I829" s="146"/>
      <c r="J829" s="148"/>
      <c r="K829" s="146"/>
      <c r="L829" s="146"/>
      <c r="M829" s="149"/>
      <c r="N829" s="146"/>
      <c r="O829" s="146"/>
      <c r="P829" s="150"/>
      <c r="Q829" s="167"/>
      <c r="R829" s="149"/>
      <c r="S829" s="151"/>
      <c r="T829" s="151"/>
      <c r="U829" s="152"/>
      <c r="V829" s="153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145"/>
      <c r="F830" s="146"/>
      <c r="G830" s="146"/>
      <c r="H830" s="147"/>
      <c r="I830" s="146"/>
      <c r="J830" s="148"/>
      <c r="K830" s="146"/>
      <c r="L830" s="146"/>
      <c r="M830" s="149"/>
      <c r="N830" s="146"/>
      <c r="O830" s="146"/>
      <c r="P830" s="150"/>
      <c r="Q830" s="167"/>
      <c r="R830" s="149"/>
      <c r="S830" s="151"/>
      <c r="T830" s="151"/>
      <c r="U830" s="152"/>
      <c r="V830" s="153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145"/>
      <c r="F841" s="146"/>
      <c r="G841" s="146"/>
      <c r="H841" s="147"/>
      <c r="I841" s="146"/>
      <c r="J841" s="148"/>
      <c r="K841" s="146"/>
      <c r="L841" s="146"/>
      <c r="M841" s="149"/>
      <c r="N841" s="146"/>
      <c r="O841" s="146"/>
      <c r="P841" s="150"/>
      <c r="Q841" s="167"/>
      <c r="R841" s="149"/>
      <c r="S841" s="151"/>
      <c r="T841" s="151"/>
      <c r="U841" s="152"/>
      <c r="V841" s="153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145"/>
      <c r="F842" s="146"/>
      <c r="G842" s="146"/>
      <c r="H842" s="147"/>
      <c r="I842" s="146"/>
      <c r="J842" s="148"/>
      <c r="K842" s="146"/>
      <c r="L842" s="146"/>
      <c r="M842" s="149"/>
      <c r="N842" s="146"/>
      <c r="O842" s="146"/>
      <c r="P842" s="150"/>
      <c r="Q842" s="167"/>
      <c r="R842" s="149"/>
      <c r="S842" s="151"/>
      <c r="T842" s="151"/>
      <c r="U842" s="152"/>
      <c r="V842" s="153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145"/>
      <c r="F843" s="146"/>
      <c r="G843" s="146"/>
      <c r="H843" s="147"/>
      <c r="I843" s="146"/>
      <c r="J843" s="148"/>
      <c r="K843" s="146"/>
      <c r="L843" s="146"/>
      <c r="M843" s="149"/>
      <c r="N843" s="146"/>
      <c r="O843" s="146"/>
      <c r="P843" s="150"/>
      <c r="Q843" s="167"/>
      <c r="R843" s="149"/>
      <c r="S843" s="151"/>
      <c r="T843" s="151"/>
      <c r="U843" s="152"/>
      <c r="V843" s="153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145"/>
      <c r="F853" s="146"/>
      <c r="G853" s="146"/>
      <c r="H853" s="147"/>
      <c r="I853" s="146"/>
      <c r="J853" s="148"/>
      <c r="K853" s="146"/>
      <c r="L853" s="146"/>
      <c r="M853" s="149"/>
      <c r="N853" s="146"/>
      <c r="O853" s="146"/>
      <c r="P853" s="150"/>
      <c r="Q853" s="167"/>
      <c r="R853" s="149"/>
      <c r="S853" s="151"/>
      <c r="T853" s="151"/>
      <c r="U853" s="152"/>
      <c r="V853" s="153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145"/>
      <c r="F855" s="146"/>
      <c r="G855" s="146"/>
      <c r="H855" s="147"/>
      <c r="I855" s="146"/>
      <c r="J855" s="148"/>
      <c r="K855" s="146"/>
      <c r="L855" s="146"/>
      <c r="M855" s="149"/>
      <c r="N855" s="146"/>
      <c r="O855" s="146"/>
      <c r="P855" s="150"/>
      <c r="Q855" s="167"/>
      <c r="R855" s="149"/>
      <c r="S855" s="151"/>
      <c r="T855" s="151"/>
      <c r="U855" s="152"/>
      <c r="V855" s="153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145"/>
      <c r="F856" s="146"/>
      <c r="G856" s="146"/>
      <c r="H856" s="147"/>
      <c r="I856" s="146"/>
      <c r="J856" s="148"/>
      <c r="K856" s="146"/>
      <c r="L856" s="146"/>
      <c r="M856" s="149"/>
      <c r="N856" s="146"/>
      <c r="O856" s="146"/>
      <c r="P856" s="150"/>
      <c r="Q856" s="167"/>
      <c r="R856" s="149"/>
      <c r="S856" s="151"/>
      <c r="T856" s="151"/>
      <c r="U856" s="152"/>
      <c r="V856" s="153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145"/>
      <c r="F857" s="146"/>
      <c r="G857" s="146"/>
      <c r="H857" s="147"/>
      <c r="I857" s="146"/>
      <c r="J857" s="148"/>
      <c r="K857" s="146"/>
      <c r="L857" s="146"/>
      <c r="M857" s="149"/>
      <c r="N857" s="146"/>
      <c r="O857" s="146"/>
      <c r="P857" s="150"/>
      <c r="Q857" s="167"/>
      <c r="R857" s="149"/>
      <c r="S857" s="151"/>
      <c r="T857" s="151"/>
      <c r="U857" s="152"/>
      <c r="V857" s="153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145"/>
      <c r="F858" s="146"/>
      <c r="G858" s="146"/>
      <c r="H858" s="147"/>
      <c r="I858" s="146"/>
      <c r="J858" s="148"/>
      <c r="K858" s="146"/>
      <c r="L858" s="146"/>
      <c r="M858" s="149"/>
      <c r="N858" s="146"/>
      <c r="O858" s="146"/>
      <c r="P858" s="150"/>
      <c r="Q858" s="167"/>
      <c r="R858" s="149"/>
      <c r="S858" s="151"/>
      <c r="T858" s="151"/>
      <c r="U858" s="152"/>
      <c r="V858" s="153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145"/>
      <c r="F859" s="146"/>
      <c r="G859" s="146"/>
      <c r="H859" s="147"/>
      <c r="I859" s="146"/>
      <c r="J859" s="148"/>
      <c r="K859" s="146"/>
      <c r="L859" s="146"/>
      <c r="M859" s="149"/>
      <c r="N859" s="146"/>
      <c r="O859" s="146"/>
      <c r="P859" s="150"/>
      <c r="Q859" s="167"/>
      <c r="R859" s="149"/>
      <c r="S859" s="151"/>
      <c r="T859" s="151"/>
      <c r="U859" s="152"/>
      <c r="V859" s="153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145"/>
      <c r="F860" s="146"/>
      <c r="G860" s="146"/>
      <c r="H860" s="147"/>
      <c r="I860" s="146"/>
      <c r="J860" s="148"/>
      <c r="K860" s="146"/>
      <c r="L860" s="146"/>
      <c r="M860" s="149"/>
      <c r="N860" s="146"/>
      <c r="O860" s="146"/>
      <c r="P860" s="150"/>
      <c r="Q860" s="167"/>
      <c r="R860" s="149"/>
      <c r="S860" s="151"/>
      <c r="T860" s="151"/>
      <c r="U860" s="152"/>
      <c r="V860" s="153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145"/>
      <c r="F861" s="146"/>
      <c r="G861" s="146"/>
      <c r="H861" s="147"/>
      <c r="I861" s="146"/>
      <c r="J861" s="148"/>
      <c r="K861" s="146"/>
      <c r="L861" s="146"/>
      <c r="M861" s="149"/>
      <c r="N861" s="146"/>
      <c r="O861" s="146"/>
      <c r="P861" s="150"/>
      <c r="Q861" s="167"/>
      <c r="R861" s="149"/>
      <c r="S861" s="151"/>
      <c r="T861" s="151"/>
      <c r="U861" s="152"/>
      <c r="V861" s="153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9" t="str">
        <f>IF(NOTA[[#This Row],[ID_P]]="","",MATCH(NOTA[[#This Row],[ID_P]],[1]!B_MSK[N_ID],0))</f>
        <v/>
      </c>
      <c r="D870" s="69" t="str">
        <f ca="1">IF(NOTA[[#This Row],[NAMA BARANG]]="","",INDEX(NOTA[ID],MATCH(,INDIRECT(ADDRESS(ROW(NOTA[ID]),COLUMN(NOTA[ID]))&amp;":"&amp;ADDRESS(ROW(),COLUMN(NOTA[ID]))),-1)))</f>
        <v/>
      </c>
      <c r="E870" s="155"/>
      <c r="F870" s="70"/>
      <c r="G870" s="70"/>
      <c r="H870" s="71"/>
      <c r="I870" s="70"/>
      <c r="J870" s="72"/>
      <c r="K870" s="70"/>
      <c r="L870" s="70"/>
      <c r="M870" s="73"/>
      <c r="N870" s="70"/>
      <c r="O870" s="70"/>
      <c r="P870" s="68"/>
      <c r="Q870" s="168"/>
      <c r="R870" s="73"/>
      <c r="S870" s="75"/>
      <c r="T870" s="75"/>
      <c r="U870" s="74"/>
      <c r="V870" s="87"/>
      <c r="W870" s="74" t="str">
        <f>IF(NOTA[[#This Row],[HARGA/ CTN]]="",NOTA[[#This Row],[JUMLAH_H]],NOTA[[#This Row],[HARGA/ CTN]]*NOTA[[#This Row],[C]])</f>
        <v/>
      </c>
      <c r="X870" s="74" t="str">
        <f>IF(NOTA[[#This Row],[JUMLAH]]="","",NOTA[[#This Row],[JUMLAH]]*NOTA[[#This Row],[DISC 1]])</f>
        <v/>
      </c>
      <c r="Y870" s="74" t="str">
        <f>IF(NOTA[[#This Row],[JUMLAH]]="","",(NOTA[[#This Row],[JUMLAH]]-NOTA[[#This Row],[DISC 1-]])*NOTA[[#This Row],[DISC 2]])</f>
        <v/>
      </c>
      <c r="Z870" s="74" t="str">
        <f>IF(NOTA[[#This Row],[JUMLAH]]="","",NOTA[[#This Row],[DISC 1-]]+NOTA[[#This Row],[DISC 2-]])</f>
        <v/>
      </c>
      <c r="AA870" s="74" t="str">
        <f>IF(NOTA[[#This Row],[JUMLAH]]="","",NOTA[[#This Row],[JUMLAH]]-NOTA[[#This Row],[DISC]])</f>
        <v/>
      </c>
      <c r="AB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74" t="str">
        <f>IF(OR(NOTA[[#This Row],[QTY]]="",NOTA[[#This Row],[HARGA SATUAN]]="",),"",NOTA[[#This Row],[QTY]]*NOTA[[#This Row],[HARGA SATUAN]])</f>
        <v/>
      </c>
      <c r="AF870" s="72" t="str">
        <f ca="1">IF(NOTA[ID_H]="","",INDEX(NOTA[TANGGAL],MATCH(,INDIRECT(ADDRESS(ROW(NOTA[TANGGAL]),COLUMN(NOTA[TANGGAL]))&amp;":"&amp;ADDRESS(ROW(),COLUMN(NOTA[TANGGAL]))),-1)))</f>
        <v/>
      </c>
      <c r="AG870" s="68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9" t="str">
        <f>IF(NOTA[[#This Row],[ID_P]]="","",MATCH(NOTA[[#This Row],[ID_P]],[1]!B_MSK[N_ID],0))</f>
        <v/>
      </c>
      <c r="D871" s="69" t="str">
        <f ca="1">IF(NOTA[[#This Row],[NAMA BARANG]]="","",INDEX(NOTA[ID],MATCH(,INDIRECT(ADDRESS(ROW(NOTA[ID]),COLUMN(NOTA[ID]))&amp;":"&amp;ADDRESS(ROW(),COLUMN(NOTA[ID]))),-1)))</f>
        <v/>
      </c>
      <c r="E871" s="155"/>
      <c r="F871" s="70"/>
      <c r="G871" s="70"/>
      <c r="H871" s="71"/>
      <c r="I871" s="70"/>
      <c r="J871" s="72"/>
      <c r="K871" s="70"/>
      <c r="L871" s="70"/>
      <c r="M871" s="73"/>
      <c r="N871" s="70"/>
      <c r="O871" s="70"/>
      <c r="P871" s="68"/>
      <c r="Q871" s="168"/>
      <c r="R871" s="73"/>
      <c r="S871" s="75"/>
      <c r="T871" s="75"/>
      <c r="U871" s="74"/>
      <c r="V871" s="87"/>
      <c r="W871" s="74" t="str">
        <f>IF(NOTA[[#This Row],[HARGA/ CTN]]="",NOTA[[#This Row],[JUMLAH_H]],NOTA[[#This Row],[HARGA/ CTN]]*NOTA[[#This Row],[C]])</f>
        <v/>
      </c>
      <c r="X871" s="74" t="str">
        <f>IF(NOTA[[#This Row],[JUMLAH]]="","",NOTA[[#This Row],[JUMLAH]]*NOTA[[#This Row],[DISC 1]])</f>
        <v/>
      </c>
      <c r="Y871" s="74" t="str">
        <f>IF(NOTA[[#This Row],[JUMLAH]]="","",(NOTA[[#This Row],[JUMLAH]]-NOTA[[#This Row],[DISC 1-]])*NOTA[[#This Row],[DISC 2]])</f>
        <v/>
      </c>
      <c r="Z871" s="74" t="str">
        <f>IF(NOTA[[#This Row],[JUMLAH]]="","",NOTA[[#This Row],[DISC 1-]]+NOTA[[#This Row],[DISC 2-]])</f>
        <v/>
      </c>
      <c r="AA871" s="74" t="str">
        <f>IF(NOTA[[#This Row],[JUMLAH]]="","",NOTA[[#This Row],[JUMLAH]]-NOTA[[#This Row],[DISC]])</f>
        <v/>
      </c>
      <c r="AB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74" t="str">
        <f>IF(OR(NOTA[[#This Row],[QTY]]="",NOTA[[#This Row],[HARGA SATUAN]]="",),"",NOTA[[#This Row],[QTY]]*NOTA[[#This Row],[HARGA SATUAN]])</f>
        <v/>
      </c>
      <c r="AF871" s="72" t="str">
        <f ca="1">IF(NOTA[ID_H]="","",INDEX(NOTA[TANGGAL],MATCH(,INDIRECT(ADDRESS(ROW(NOTA[TANGGAL]),COLUMN(NOTA[TANGGAL]))&amp;":"&amp;ADDRESS(ROW(),COLUMN(NOTA[TANGGAL]))),-1)))</f>
        <v/>
      </c>
      <c r="AG871" s="68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9" t="str">
        <f>IF(NOTA[[#This Row],[ID_P]]="","",MATCH(NOTA[[#This Row],[ID_P]],[1]!B_MSK[N_ID],0))</f>
        <v/>
      </c>
      <c r="D872" s="69" t="str">
        <f ca="1">IF(NOTA[[#This Row],[NAMA BARANG]]="","",INDEX(NOTA[ID],MATCH(,INDIRECT(ADDRESS(ROW(NOTA[ID]),COLUMN(NOTA[ID]))&amp;":"&amp;ADDRESS(ROW(),COLUMN(NOTA[ID]))),-1)))</f>
        <v/>
      </c>
      <c r="E872" s="155"/>
      <c r="F872" s="70"/>
      <c r="G872" s="70"/>
      <c r="H872" s="71"/>
      <c r="I872" s="70"/>
      <c r="J872" s="72"/>
      <c r="K872" s="70"/>
      <c r="L872" s="70"/>
      <c r="M872" s="73"/>
      <c r="N872" s="70"/>
      <c r="O872" s="70"/>
      <c r="P872" s="68"/>
      <c r="Q872" s="168"/>
      <c r="R872" s="73"/>
      <c r="S872" s="75"/>
      <c r="T872" s="75"/>
      <c r="U872" s="74"/>
      <c r="V872" s="87"/>
      <c r="W872" s="74" t="str">
        <f>IF(NOTA[[#This Row],[HARGA/ CTN]]="",NOTA[[#This Row],[JUMLAH_H]],NOTA[[#This Row],[HARGA/ CTN]]*NOTA[[#This Row],[C]])</f>
        <v/>
      </c>
      <c r="X872" s="74" t="str">
        <f>IF(NOTA[[#This Row],[JUMLAH]]="","",NOTA[[#This Row],[JUMLAH]]*NOTA[[#This Row],[DISC 1]])</f>
        <v/>
      </c>
      <c r="Y872" s="74" t="str">
        <f>IF(NOTA[[#This Row],[JUMLAH]]="","",(NOTA[[#This Row],[JUMLAH]]-NOTA[[#This Row],[DISC 1-]])*NOTA[[#This Row],[DISC 2]])</f>
        <v/>
      </c>
      <c r="Z872" s="74" t="str">
        <f>IF(NOTA[[#This Row],[JUMLAH]]="","",NOTA[[#This Row],[DISC 1-]]+NOTA[[#This Row],[DISC 2-]])</f>
        <v/>
      </c>
      <c r="AA872" s="74" t="str">
        <f>IF(NOTA[[#This Row],[JUMLAH]]="","",NOTA[[#This Row],[JUMLAH]]-NOTA[[#This Row],[DISC]])</f>
        <v/>
      </c>
      <c r="AB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74" t="str">
        <f>IF(OR(NOTA[[#This Row],[QTY]]="",NOTA[[#This Row],[HARGA SATUAN]]="",),"",NOTA[[#This Row],[QTY]]*NOTA[[#This Row],[HARGA SATUAN]])</f>
        <v/>
      </c>
      <c r="AF872" s="72" t="str">
        <f ca="1">IF(NOTA[ID_H]="","",INDEX(NOTA[TANGGAL],MATCH(,INDIRECT(ADDRESS(ROW(NOTA[TANGGAL]),COLUMN(NOTA[TANGGAL]))&amp;":"&amp;ADDRESS(ROW(),COLUMN(NOTA[TANGGAL]))),-1)))</f>
        <v/>
      </c>
      <c r="AG872" s="68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9" t="str">
        <f>IF(NOTA[[#This Row],[ID_P]]="","",MATCH(NOTA[[#This Row],[ID_P]],[1]!B_MSK[N_ID],0))</f>
        <v/>
      </c>
      <c r="D873" s="69" t="str">
        <f ca="1">IF(NOTA[[#This Row],[NAMA BARANG]]="","",INDEX(NOTA[ID],MATCH(,INDIRECT(ADDRESS(ROW(NOTA[ID]),COLUMN(NOTA[ID]))&amp;":"&amp;ADDRESS(ROW(),COLUMN(NOTA[ID]))),-1)))</f>
        <v/>
      </c>
      <c r="E873" s="155"/>
      <c r="F873" s="70"/>
      <c r="G873" s="70"/>
      <c r="H873" s="71"/>
      <c r="I873" s="70"/>
      <c r="J873" s="72"/>
      <c r="K873" s="70"/>
      <c r="L873" s="70"/>
      <c r="M873" s="73"/>
      <c r="N873" s="70"/>
      <c r="O873" s="70"/>
      <c r="P873" s="68"/>
      <c r="Q873" s="168"/>
      <c r="R873" s="73"/>
      <c r="S873" s="75"/>
      <c r="T873" s="75"/>
      <c r="U873" s="74"/>
      <c r="V873" s="87"/>
      <c r="W873" s="74" t="str">
        <f>IF(NOTA[[#This Row],[HARGA/ CTN]]="",NOTA[[#This Row],[JUMLAH_H]],NOTA[[#This Row],[HARGA/ CTN]]*NOTA[[#This Row],[C]])</f>
        <v/>
      </c>
      <c r="X873" s="74" t="str">
        <f>IF(NOTA[[#This Row],[JUMLAH]]="","",NOTA[[#This Row],[JUMLAH]]*NOTA[[#This Row],[DISC 1]])</f>
        <v/>
      </c>
      <c r="Y873" s="74" t="str">
        <f>IF(NOTA[[#This Row],[JUMLAH]]="","",(NOTA[[#This Row],[JUMLAH]]-NOTA[[#This Row],[DISC 1-]])*NOTA[[#This Row],[DISC 2]])</f>
        <v/>
      </c>
      <c r="Z873" s="74" t="str">
        <f>IF(NOTA[[#This Row],[JUMLAH]]="","",NOTA[[#This Row],[DISC 1-]]+NOTA[[#This Row],[DISC 2-]])</f>
        <v/>
      </c>
      <c r="AA873" s="74" t="str">
        <f>IF(NOTA[[#This Row],[JUMLAH]]="","",NOTA[[#This Row],[JUMLAH]]-NOTA[[#This Row],[DISC]])</f>
        <v/>
      </c>
      <c r="AB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74" t="str">
        <f>IF(OR(NOTA[[#This Row],[QTY]]="",NOTA[[#This Row],[HARGA SATUAN]]="",),"",NOTA[[#This Row],[QTY]]*NOTA[[#This Row],[HARGA SATUAN]])</f>
        <v/>
      </c>
      <c r="AF873" s="72" t="str">
        <f ca="1">IF(NOTA[ID_H]="","",INDEX(NOTA[TANGGAL],MATCH(,INDIRECT(ADDRESS(ROW(NOTA[TANGGAL]),COLUMN(NOTA[TANGGAL]))&amp;":"&amp;ADDRESS(ROW(),COLUMN(NOTA[TANGGAL]))),-1)))</f>
        <v/>
      </c>
      <c r="AG873" s="68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9" t="str">
        <f>IF(NOTA[[#This Row],[ID_P]]="","",MATCH(NOTA[[#This Row],[ID_P]],[1]!B_MSK[N_ID],0))</f>
        <v/>
      </c>
      <c r="D874" s="69" t="str">
        <f ca="1">IF(NOTA[[#This Row],[NAMA BARANG]]="","",INDEX(NOTA[ID],MATCH(,INDIRECT(ADDRESS(ROW(NOTA[ID]),COLUMN(NOTA[ID]))&amp;":"&amp;ADDRESS(ROW(),COLUMN(NOTA[ID]))),-1)))</f>
        <v/>
      </c>
      <c r="E874" s="155"/>
      <c r="F874" s="70"/>
      <c r="G874" s="70"/>
      <c r="H874" s="71"/>
      <c r="I874" s="70"/>
      <c r="J874" s="72"/>
      <c r="K874" s="70"/>
      <c r="L874" s="70"/>
      <c r="M874" s="73"/>
      <c r="N874" s="70"/>
      <c r="O874" s="70"/>
      <c r="P874" s="68"/>
      <c r="Q874" s="168"/>
      <c r="R874" s="73"/>
      <c r="S874" s="75"/>
      <c r="T874" s="75"/>
      <c r="U874" s="74"/>
      <c r="V874" s="87"/>
      <c r="W874" s="74" t="str">
        <f>IF(NOTA[[#This Row],[HARGA/ CTN]]="",NOTA[[#This Row],[JUMLAH_H]],NOTA[[#This Row],[HARGA/ CTN]]*NOTA[[#This Row],[C]])</f>
        <v/>
      </c>
      <c r="X874" s="74" t="str">
        <f>IF(NOTA[[#This Row],[JUMLAH]]="","",NOTA[[#This Row],[JUMLAH]]*NOTA[[#This Row],[DISC 1]])</f>
        <v/>
      </c>
      <c r="Y874" s="74" t="str">
        <f>IF(NOTA[[#This Row],[JUMLAH]]="","",(NOTA[[#This Row],[JUMLAH]]-NOTA[[#This Row],[DISC 1-]])*NOTA[[#This Row],[DISC 2]])</f>
        <v/>
      </c>
      <c r="Z874" s="74" t="str">
        <f>IF(NOTA[[#This Row],[JUMLAH]]="","",NOTA[[#This Row],[DISC 1-]]+NOTA[[#This Row],[DISC 2-]])</f>
        <v/>
      </c>
      <c r="AA874" s="74" t="str">
        <f>IF(NOTA[[#This Row],[JUMLAH]]="","",NOTA[[#This Row],[JUMLAH]]-NOTA[[#This Row],[DISC]])</f>
        <v/>
      </c>
      <c r="AB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74" t="str">
        <f>IF(OR(NOTA[[#This Row],[QTY]]="",NOTA[[#This Row],[HARGA SATUAN]]="",),"",NOTA[[#This Row],[QTY]]*NOTA[[#This Row],[HARGA SATUAN]])</f>
        <v/>
      </c>
      <c r="AF874" s="72" t="str">
        <f ca="1">IF(NOTA[ID_H]="","",INDEX(NOTA[TANGGAL],MATCH(,INDIRECT(ADDRESS(ROW(NOTA[TANGGAL]),COLUMN(NOTA[TANGGAL]))&amp;":"&amp;ADDRESS(ROW(),COLUMN(NOTA[TANGGAL]))),-1)))</f>
        <v/>
      </c>
      <c r="AG874" s="68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9" t="str">
        <f>IF(NOTA[[#This Row],[ID_P]]="","",MATCH(NOTA[[#This Row],[ID_P]],[1]!B_MSK[N_ID],0))</f>
        <v/>
      </c>
      <c r="D875" s="69" t="str">
        <f ca="1">IF(NOTA[[#This Row],[NAMA BARANG]]="","",INDEX(NOTA[ID],MATCH(,INDIRECT(ADDRESS(ROW(NOTA[ID]),COLUMN(NOTA[ID]))&amp;":"&amp;ADDRESS(ROW(),COLUMN(NOTA[ID]))),-1)))</f>
        <v/>
      </c>
      <c r="E875" s="155"/>
      <c r="F875" s="70"/>
      <c r="G875" s="70"/>
      <c r="H875" s="71"/>
      <c r="I875" s="70"/>
      <c r="J875" s="72"/>
      <c r="K875" s="70"/>
      <c r="L875" s="70"/>
      <c r="M875" s="73"/>
      <c r="N875" s="70"/>
      <c r="O875" s="70"/>
      <c r="P875" s="68"/>
      <c r="Q875" s="168"/>
      <c r="R875" s="73"/>
      <c r="S875" s="75"/>
      <c r="T875" s="75"/>
      <c r="U875" s="74"/>
      <c r="V875" s="87"/>
      <c r="W875" s="74" t="str">
        <f>IF(NOTA[[#This Row],[HARGA/ CTN]]="",NOTA[[#This Row],[JUMLAH_H]],NOTA[[#This Row],[HARGA/ CTN]]*NOTA[[#This Row],[C]])</f>
        <v/>
      </c>
      <c r="X875" s="74" t="str">
        <f>IF(NOTA[[#This Row],[JUMLAH]]="","",NOTA[[#This Row],[JUMLAH]]*NOTA[[#This Row],[DISC 1]])</f>
        <v/>
      </c>
      <c r="Y875" s="74" t="str">
        <f>IF(NOTA[[#This Row],[JUMLAH]]="","",(NOTA[[#This Row],[JUMLAH]]-NOTA[[#This Row],[DISC 1-]])*NOTA[[#This Row],[DISC 2]])</f>
        <v/>
      </c>
      <c r="Z875" s="74" t="str">
        <f>IF(NOTA[[#This Row],[JUMLAH]]="","",NOTA[[#This Row],[DISC 1-]]+NOTA[[#This Row],[DISC 2-]])</f>
        <v/>
      </c>
      <c r="AA875" s="74" t="str">
        <f>IF(NOTA[[#This Row],[JUMLAH]]="","",NOTA[[#This Row],[JUMLAH]]-NOTA[[#This Row],[DISC]])</f>
        <v/>
      </c>
      <c r="AB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74" t="str">
        <f>IF(OR(NOTA[[#This Row],[QTY]]="",NOTA[[#This Row],[HARGA SATUAN]]="",),"",NOTA[[#This Row],[QTY]]*NOTA[[#This Row],[HARGA SATUAN]])</f>
        <v/>
      </c>
      <c r="AF875" s="72" t="str">
        <f ca="1">IF(NOTA[ID_H]="","",INDEX(NOTA[TANGGAL],MATCH(,INDIRECT(ADDRESS(ROW(NOTA[TANGGAL]),COLUMN(NOTA[TANGGAL]))&amp;":"&amp;ADDRESS(ROW(),COLUMN(NOTA[TANGGAL]))),-1)))</f>
        <v/>
      </c>
      <c r="AG875" s="68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9" t="str">
        <f>IF(NOTA[[#This Row],[ID_P]]="","",MATCH(NOTA[[#This Row],[ID_P]],[1]!B_MSK[N_ID],0))</f>
        <v/>
      </c>
      <c r="D876" s="69" t="str">
        <f ca="1">IF(NOTA[[#This Row],[NAMA BARANG]]="","",INDEX(NOTA[ID],MATCH(,INDIRECT(ADDRESS(ROW(NOTA[ID]),COLUMN(NOTA[ID]))&amp;":"&amp;ADDRESS(ROW(),COLUMN(NOTA[ID]))),-1)))</f>
        <v/>
      </c>
      <c r="E876" s="155"/>
      <c r="F876" s="70"/>
      <c r="G876" s="70"/>
      <c r="H876" s="71"/>
      <c r="I876" s="70"/>
      <c r="J876" s="72"/>
      <c r="K876" s="70"/>
      <c r="L876" s="70"/>
      <c r="M876" s="73"/>
      <c r="N876" s="70"/>
      <c r="O876" s="70"/>
      <c r="P876" s="68"/>
      <c r="Q876" s="168"/>
      <c r="R876" s="73"/>
      <c r="S876" s="75"/>
      <c r="T876" s="75"/>
      <c r="U876" s="74"/>
      <c r="V876" s="87"/>
      <c r="W876" s="74" t="str">
        <f>IF(NOTA[[#This Row],[HARGA/ CTN]]="",NOTA[[#This Row],[JUMLAH_H]],NOTA[[#This Row],[HARGA/ CTN]]*NOTA[[#This Row],[C]])</f>
        <v/>
      </c>
      <c r="X876" s="74" t="str">
        <f>IF(NOTA[[#This Row],[JUMLAH]]="","",NOTA[[#This Row],[JUMLAH]]*NOTA[[#This Row],[DISC 1]])</f>
        <v/>
      </c>
      <c r="Y876" s="74" t="str">
        <f>IF(NOTA[[#This Row],[JUMLAH]]="","",(NOTA[[#This Row],[JUMLAH]]-NOTA[[#This Row],[DISC 1-]])*NOTA[[#This Row],[DISC 2]])</f>
        <v/>
      </c>
      <c r="Z876" s="74" t="str">
        <f>IF(NOTA[[#This Row],[JUMLAH]]="","",NOTA[[#This Row],[DISC 1-]]+NOTA[[#This Row],[DISC 2-]])</f>
        <v/>
      </c>
      <c r="AA876" s="74" t="str">
        <f>IF(NOTA[[#This Row],[JUMLAH]]="","",NOTA[[#This Row],[JUMLAH]]-NOTA[[#This Row],[DISC]])</f>
        <v/>
      </c>
      <c r="AB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74" t="str">
        <f>IF(OR(NOTA[[#This Row],[QTY]]="",NOTA[[#This Row],[HARGA SATUAN]]="",),"",NOTA[[#This Row],[QTY]]*NOTA[[#This Row],[HARGA SATUAN]])</f>
        <v/>
      </c>
      <c r="AF876" s="72" t="str">
        <f ca="1">IF(NOTA[ID_H]="","",INDEX(NOTA[TANGGAL],MATCH(,INDIRECT(ADDRESS(ROW(NOTA[TANGGAL]),COLUMN(NOTA[TANGGAL]))&amp;":"&amp;ADDRESS(ROW(),COLUMN(NOTA[TANGGAL]))),-1)))</f>
        <v/>
      </c>
      <c r="AG876" s="68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9" t="str">
        <f>IF(NOTA[[#This Row],[ID_P]]="","",MATCH(NOTA[[#This Row],[ID_P]],[1]!B_MSK[N_ID],0))</f>
        <v/>
      </c>
      <c r="D877" s="69" t="str">
        <f ca="1">IF(NOTA[[#This Row],[NAMA BARANG]]="","",INDEX(NOTA[ID],MATCH(,INDIRECT(ADDRESS(ROW(NOTA[ID]),COLUMN(NOTA[ID]))&amp;":"&amp;ADDRESS(ROW(),COLUMN(NOTA[ID]))),-1)))</f>
        <v/>
      </c>
      <c r="E877" s="155"/>
      <c r="F877" s="70"/>
      <c r="G877" s="70"/>
      <c r="H877" s="71"/>
      <c r="I877" s="70"/>
      <c r="J877" s="72"/>
      <c r="K877" s="70"/>
      <c r="L877" s="70"/>
      <c r="M877" s="73"/>
      <c r="N877" s="70"/>
      <c r="O877" s="70"/>
      <c r="P877" s="68"/>
      <c r="Q877" s="168"/>
      <c r="R877" s="73"/>
      <c r="S877" s="75"/>
      <c r="T877" s="75"/>
      <c r="U877" s="74"/>
      <c r="V877" s="87"/>
      <c r="W877" s="74" t="str">
        <f>IF(NOTA[[#This Row],[HARGA/ CTN]]="",NOTA[[#This Row],[JUMLAH_H]],NOTA[[#This Row],[HARGA/ CTN]]*NOTA[[#This Row],[C]])</f>
        <v/>
      </c>
      <c r="X877" s="74" t="str">
        <f>IF(NOTA[[#This Row],[JUMLAH]]="","",NOTA[[#This Row],[JUMLAH]]*NOTA[[#This Row],[DISC 1]])</f>
        <v/>
      </c>
      <c r="Y877" s="74" t="str">
        <f>IF(NOTA[[#This Row],[JUMLAH]]="","",(NOTA[[#This Row],[JUMLAH]]-NOTA[[#This Row],[DISC 1-]])*NOTA[[#This Row],[DISC 2]])</f>
        <v/>
      </c>
      <c r="Z877" s="74" t="str">
        <f>IF(NOTA[[#This Row],[JUMLAH]]="","",NOTA[[#This Row],[DISC 1-]]+NOTA[[#This Row],[DISC 2-]])</f>
        <v/>
      </c>
      <c r="AA877" s="74" t="str">
        <f>IF(NOTA[[#This Row],[JUMLAH]]="","",NOTA[[#This Row],[JUMLAH]]-NOTA[[#This Row],[DISC]])</f>
        <v/>
      </c>
      <c r="AB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74" t="str">
        <f>IF(OR(NOTA[[#This Row],[QTY]]="",NOTA[[#This Row],[HARGA SATUAN]]="",),"",NOTA[[#This Row],[QTY]]*NOTA[[#This Row],[HARGA SATUAN]])</f>
        <v/>
      </c>
      <c r="AF877" s="72" t="str">
        <f ca="1">IF(NOTA[ID_H]="","",INDEX(NOTA[TANGGAL],MATCH(,INDIRECT(ADDRESS(ROW(NOTA[TANGGAL]),COLUMN(NOTA[TANGGAL]))&amp;":"&amp;ADDRESS(ROW(),COLUMN(NOTA[TANGGAL]))),-1)))</f>
        <v/>
      </c>
      <c r="AG877" s="68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9" t="str">
        <f>IF(NOTA[[#This Row],[ID_P]]="","",MATCH(NOTA[[#This Row],[ID_P]],[1]!B_MSK[N_ID],0))</f>
        <v/>
      </c>
      <c r="D878" s="69" t="str">
        <f ca="1">IF(NOTA[[#This Row],[NAMA BARANG]]="","",INDEX(NOTA[ID],MATCH(,INDIRECT(ADDRESS(ROW(NOTA[ID]),COLUMN(NOTA[ID]))&amp;":"&amp;ADDRESS(ROW(),COLUMN(NOTA[ID]))),-1)))</f>
        <v/>
      </c>
      <c r="E878" s="155"/>
      <c r="F878" s="70"/>
      <c r="G878" s="70"/>
      <c r="H878" s="71"/>
      <c r="I878" s="70"/>
      <c r="J878" s="72"/>
      <c r="K878" s="70"/>
      <c r="L878" s="70"/>
      <c r="M878" s="73"/>
      <c r="N878" s="70"/>
      <c r="O878" s="70"/>
      <c r="P878" s="68"/>
      <c r="Q878" s="168"/>
      <c r="R878" s="73"/>
      <c r="S878" s="75"/>
      <c r="T878" s="75"/>
      <c r="U878" s="74"/>
      <c r="V878" s="87"/>
      <c r="W878" s="74" t="str">
        <f>IF(NOTA[[#This Row],[HARGA/ CTN]]="",NOTA[[#This Row],[JUMLAH_H]],NOTA[[#This Row],[HARGA/ CTN]]*NOTA[[#This Row],[C]])</f>
        <v/>
      </c>
      <c r="X878" s="74" t="str">
        <f>IF(NOTA[[#This Row],[JUMLAH]]="","",NOTA[[#This Row],[JUMLAH]]*NOTA[[#This Row],[DISC 1]])</f>
        <v/>
      </c>
      <c r="Y878" s="74" t="str">
        <f>IF(NOTA[[#This Row],[JUMLAH]]="","",(NOTA[[#This Row],[JUMLAH]]-NOTA[[#This Row],[DISC 1-]])*NOTA[[#This Row],[DISC 2]])</f>
        <v/>
      </c>
      <c r="Z878" s="74" t="str">
        <f>IF(NOTA[[#This Row],[JUMLAH]]="","",NOTA[[#This Row],[DISC 1-]]+NOTA[[#This Row],[DISC 2-]])</f>
        <v/>
      </c>
      <c r="AA878" s="74" t="str">
        <f>IF(NOTA[[#This Row],[JUMLAH]]="","",NOTA[[#This Row],[JUMLAH]]-NOTA[[#This Row],[DISC]])</f>
        <v/>
      </c>
      <c r="AB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74" t="str">
        <f>IF(OR(NOTA[[#This Row],[QTY]]="",NOTA[[#This Row],[HARGA SATUAN]]="",),"",NOTA[[#This Row],[QTY]]*NOTA[[#This Row],[HARGA SATUAN]])</f>
        <v/>
      </c>
      <c r="AF878" s="72" t="str">
        <f ca="1">IF(NOTA[ID_H]="","",INDEX(NOTA[TANGGAL],MATCH(,INDIRECT(ADDRESS(ROW(NOTA[TANGGAL]),COLUMN(NOTA[TANGGAL]))&amp;":"&amp;ADDRESS(ROW(),COLUMN(NOTA[TANGGAL]))),-1)))</f>
        <v/>
      </c>
      <c r="AG878" s="68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9" t="str">
        <f>IF(NOTA[[#This Row],[ID_P]]="","",MATCH(NOTA[[#This Row],[ID_P]],[1]!B_MSK[N_ID],0))</f>
        <v/>
      </c>
      <c r="D879" s="69" t="str">
        <f ca="1">IF(NOTA[[#This Row],[NAMA BARANG]]="","",INDEX(NOTA[ID],MATCH(,INDIRECT(ADDRESS(ROW(NOTA[ID]),COLUMN(NOTA[ID]))&amp;":"&amp;ADDRESS(ROW(),COLUMN(NOTA[ID]))),-1)))</f>
        <v/>
      </c>
      <c r="E879" s="155"/>
      <c r="F879" s="70"/>
      <c r="G879" s="70"/>
      <c r="H879" s="71"/>
      <c r="I879" s="70"/>
      <c r="J879" s="72"/>
      <c r="K879" s="70"/>
      <c r="L879" s="70"/>
      <c r="M879" s="73"/>
      <c r="N879" s="70"/>
      <c r="O879" s="70"/>
      <c r="P879" s="68"/>
      <c r="Q879" s="168"/>
      <c r="R879" s="73"/>
      <c r="S879" s="75"/>
      <c r="T879" s="75"/>
      <c r="U879" s="74"/>
      <c r="V879" s="87"/>
      <c r="W879" s="74" t="str">
        <f>IF(NOTA[[#This Row],[HARGA/ CTN]]="",NOTA[[#This Row],[JUMLAH_H]],NOTA[[#This Row],[HARGA/ CTN]]*NOTA[[#This Row],[C]])</f>
        <v/>
      </c>
      <c r="X879" s="74" t="str">
        <f>IF(NOTA[[#This Row],[JUMLAH]]="","",NOTA[[#This Row],[JUMLAH]]*NOTA[[#This Row],[DISC 1]])</f>
        <v/>
      </c>
      <c r="Y879" s="74" t="str">
        <f>IF(NOTA[[#This Row],[JUMLAH]]="","",(NOTA[[#This Row],[JUMLAH]]-NOTA[[#This Row],[DISC 1-]])*NOTA[[#This Row],[DISC 2]])</f>
        <v/>
      </c>
      <c r="Z879" s="74" t="str">
        <f>IF(NOTA[[#This Row],[JUMLAH]]="","",NOTA[[#This Row],[DISC 1-]]+NOTA[[#This Row],[DISC 2-]])</f>
        <v/>
      </c>
      <c r="AA879" s="74" t="str">
        <f>IF(NOTA[[#This Row],[JUMLAH]]="","",NOTA[[#This Row],[JUMLAH]]-NOTA[[#This Row],[DISC]])</f>
        <v/>
      </c>
      <c r="AB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74" t="str">
        <f>IF(OR(NOTA[[#This Row],[QTY]]="",NOTA[[#This Row],[HARGA SATUAN]]="",),"",NOTA[[#This Row],[QTY]]*NOTA[[#This Row],[HARGA SATUAN]])</f>
        <v/>
      </c>
      <c r="AF879" s="72" t="str">
        <f ca="1">IF(NOTA[ID_H]="","",INDEX(NOTA[TANGGAL],MATCH(,INDIRECT(ADDRESS(ROW(NOTA[TANGGAL]),COLUMN(NOTA[TANGGAL]))&amp;":"&amp;ADDRESS(ROW(),COLUMN(NOTA[TANGGAL]))),-1)))</f>
        <v/>
      </c>
      <c r="AG879" s="68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69" t="str">
        <f>IF(NOTA[[#This Row],[ID_P]]="","",MATCH(NOTA[[#This Row],[ID_P]],[1]!B_MSK[N_ID],0))</f>
        <v/>
      </c>
      <c r="D880" s="69" t="str">
        <f ca="1">IF(NOTA[[#This Row],[NAMA BARANG]]="","",INDEX(NOTA[ID],MATCH(,INDIRECT(ADDRESS(ROW(NOTA[ID]),COLUMN(NOTA[ID]))&amp;":"&amp;ADDRESS(ROW(),COLUMN(NOTA[ID]))),-1)))</f>
        <v/>
      </c>
      <c r="E880" s="155"/>
      <c r="F880" s="70"/>
      <c r="G880" s="70"/>
      <c r="H880" s="71"/>
      <c r="I880" s="70"/>
      <c r="J880" s="72"/>
      <c r="K880" s="70"/>
      <c r="L880" s="70"/>
      <c r="M880" s="73"/>
      <c r="N880" s="70"/>
      <c r="O880" s="70"/>
      <c r="P880" s="68"/>
      <c r="Q880" s="168"/>
      <c r="R880" s="73"/>
      <c r="S880" s="75"/>
      <c r="T880" s="75"/>
      <c r="U880" s="74"/>
      <c r="V880" s="87"/>
      <c r="W880" s="74" t="str">
        <f>IF(NOTA[[#This Row],[HARGA/ CTN]]="",NOTA[[#This Row],[JUMLAH_H]],NOTA[[#This Row],[HARGA/ CTN]]*NOTA[[#This Row],[C]])</f>
        <v/>
      </c>
      <c r="X880" s="74" t="str">
        <f>IF(NOTA[[#This Row],[JUMLAH]]="","",NOTA[[#This Row],[JUMLAH]]*NOTA[[#This Row],[DISC 1]])</f>
        <v/>
      </c>
      <c r="Y880" s="74" t="str">
        <f>IF(NOTA[[#This Row],[JUMLAH]]="","",(NOTA[[#This Row],[JUMLAH]]-NOTA[[#This Row],[DISC 1-]])*NOTA[[#This Row],[DISC 2]])</f>
        <v/>
      </c>
      <c r="Z880" s="74" t="str">
        <f>IF(NOTA[[#This Row],[JUMLAH]]="","",NOTA[[#This Row],[DISC 1-]]+NOTA[[#This Row],[DISC 2-]])</f>
        <v/>
      </c>
      <c r="AA880" s="74" t="str">
        <f>IF(NOTA[[#This Row],[JUMLAH]]="","",NOTA[[#This Row],[JUMLAH]]-NOTA[[#This Row],[DISC]])</f>
        <v/>
      </c>
      <c r="AB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74" t="str">
        <f>IF(OR(NOTA[[#This Row],[QTY]]="",NOTA[[#This Row],[HARGA SATUAN]]="",),"",NOTA[[#This Row],[QTY]]*NOTA[[#This Row],[HARGA SATUAN]])</f>
        <v/>
      </c>
      <c r="AF880" s="72" t="str">
        <f ca="1">IF(NOTA[ID_H]="","",INDEX(NOTA[TANGGAL],MATCH(,INDIRECT(ADDRESS(ROW(NOTA[TANGGAL]),COLUMN(NOTA[TANGGAL]))&amp;":"&amp;ADDRESS(ROW(),COLUMN(NOTA[TANGGAL]))),-1)))</f>
        <v/>
      </c>
      <c r="AG880" s="68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9" t="str">
        <f>IF(NOTA[[#This Row],[ID_P]]="","",MATCH(NOTA[[#This Row],[ID_P]],[1]!B_MSK[N_ID],0))</f>
        <v/>
      </c>
      <c r="D881" s="69" t="str">
        <f ca="1">IF(NOTA[[#This Row],[NAMA BARANG]]="","",INDEX(NOTA[ID],MATCH(,INDIRECT(ADDRESS(ROW(NOTA[ID]),COLUMN(NOTA[ID]))&amp;":"&amp;ADDRESS(ROW(),COLUMN(NOTA[ID]))),-1)))</f>
        <v/>
      </c>
      <c r="E881" s="155"/>
      <c r="F881" s="70"/>
      <c r="G881" s="70"/>
      <c r="H881" s="71"/>
      <c r="I881" s="70"/>
      <c r="J881" s="72"/>
      <c r="K881" s="70"/>
      <c r="L881" s="70"/>
      <c r="M881" s="73"/>
      <c r="N881" s="70"/>
      <c r="O881" s="70"/>
      <c r="P881" s="68"/>
      <c r="Q881" s="168"/>
      <c r="R881" s="73"/>
      <c r="S881" s="75"/>
      <c r="T881" s="75"/>
      <c r="U881" s="74"/>
      <c r="V881" s="87"/>
      <c r="W881" s="74" t="str">
        <f>IF(NOTA[[#This Row],[HARGA/ CTN]]="",NOTA[[#This Row],[JUMLAH_H]],NOTA[[#This Row],[HARGA/ CTN]]*NOTA[[#This Row],[C]])</f>
        <v/>
      </c>
      <c r="X881" s="74" t="str">
        <f>IF(NOTA[[#This Row],[JUMLAH]]="","",NOTA[[#This Row],[JUMLAH]]*NOTA[[#This Row],[DISC 1]])</f>
        <v/>
      </c>
      <c r="Y881" s="74" t="str">
        <f>IF(NOTA[[#This Row],[JUMLAH]]="","",(NOTA[[#This Row],[JUMLAH]]-NOTA[[#This Row],[DISC 1-]])*NOTA[[#This Row],[DISC 2]])</f>
        <v/>
      </c>
      <c r="Z881" s="74" t="str">
        <f>IF(NOTA[[#This Row],[JUMLAH]]="","",NOTA[[#This Row],[DISC 1-]]+NOTA[[#This Row],[DISC 2-]])</f>
        <v/>
      </c>
      <c r="AA881" s="74" t="str">
        <f>IF(NOTA[[#This Row],[JUMLAH]]="","",NOTA[[#This Row],[JUMLAH]]-NOTA[[#This Row],[DISC]])</f>
        <v/>
      </c>
      <c r="AB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74" t="str">
        <f>IF(OR(NOTA[[#This Row],[QTY]]="",NOTA[[#This Row],[HARGA SATUAN]]="",),"",NOTA[[#This Row],[QTY]]*NOTA[[#This Row],[HARGA SATUAN]])</f>
        <v/>
      </c>
      <c r="AF881" s="72" t="str">
        <f ca="1">IF(NOTA[ID_H]="","",INDEX(NOTA[TANGGAL],MATCH(,INDIRECT(ADDRESS(ROW(NOTA[TANGGAL]),COLUMN(NOTA[TANGGAL]))&amp;":"&amp;ADDRESS(ROW(),COLUMN(NOTA[TANGGAL]))),-1)))</f>
        <v/>
      </c>
      <c r="AG881" s="68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9" t="str">
        <f>IF(NOTA[[#This Row],[ID_P]]="","",MATCH(NOTA[[#This Row],[ID_P]],[1]!B_MSK[N_ID],0))</f>
        <v/>
      </c>
      <c r="D882" s="69" t="str">
        <f ca="1">IF(NOTA[[#This Row],[NAMA BARANG]]="","",INDEX(NOTA[ID],MATCH(,INDIRECT(ADDRESS(ROW(NOTA[ID]),COLUMN(NOTA[ID]))&amp;":"&amp;ADDRESS(ROW(),COLUMN(NOTA[ID]))),-1)))</f>
        <v/>
      </c>
      <c r="E882" s="155"/>
      <c r="F882" s="70"/>
      <c r="G882" s="70"/>
      <c r="H882" s="71"/>
      <c r="I882" s="70"/>
      <c r="J882" s="72"/>
      <c r="K882" s="70"/>
      <c r="L882" s="70"/>
      <c r="M882" s="73"/>
      <c r="N882" s="70"/>
      <c r="O882" s="70"/>
      <c r="P882" s="68"/>
      <c r="Q882" s="168"/>
      <c r="R882" s="73"/>
      <c r="S882" s="75"/>
      <c r="T882" s="75"/>
      <c r="U882" s="74"/>
      <c r="V882" s="87"/>
      <c r="W882" s="74" t="str">
        <f>IF(NOTA[[#This Row],[HARGA/ CTN]]="",NOTA[[#This Row],[JUMLAH_H]],NOTA[[#This Row],[HARGA/ CTN]]*NOTA[[#This Row],[C]])</f>
        <v/>
      </c>
      <c r="X882" s="74" t="str">
        <f>IF(NOTA[[#This Row],[JUMLAH]]="","",NOTA[[#This Row],[JUMLAH]]*NOTA[[#This Row],[DISC 1]])</f>
        <v/>
      </c>
      <c r="Y882" s="74" t="str">
        <f>IF(NOTA[[#This Row],[JUMLAH]]="","",(NOTA[[#This Row],[JUMLAH]]-NOTA[[#This Row],[DISC 1-]])*NOTA[[#This Row],[DISC 2]])</f>
        <v/>
      </c>
      <c r="Z882" s="74" t="str">
        <f>IF(NOTA[[#This Row],[JUMLAH]]="","",NOTA[[#This Row],[DISC 1-]]+NOTA[[#This Row],[DISC 2-]])</f>
        <v/>
      </c>
      <c r="AA882" s="74" t="str">
        <f>IF(NOTA[[#This Row],[JUMLAH]]="","",NOTA[[#This Row],[JUMLAH]]-NOTA[[#This Row],[DISC]])</f>
        <v/>
      </c>
      <c r="AB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74" t="str">
        <f>IF(OR(NOTA[[#This Row],[QTY]]="",NOTA[[#This Row],[HARGA SATUAN]]="",),"",NOTA[[#This Row],[QTY]]*NOTA[[#This Row],[HARGA SATUAN]])</f>
        <v/>
      </c>
      <c r="AF882" s="72" t="str">
        <f ca="1">IF(NOTA[ID_H]="","",INDEX(NOTA[TANGGAL],MATCH(,INDIRECT(ADDRESS(ROW(NOTA[TANGGAL]),COLUMN(NOTA[TANGGAL]))&amp;":"&amp;ADDRESS(ROW(),COLUMN(NOTA[TANGGAL]))),-1)))</f>
        <v/>
      </c>
      <c r="AG882" s="68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9" t="str">
        <f>IF(NOTA[[#This Row],[ID_P]]="","",MATCH(NOTA[[#This Row],[ID_P]],[1]!B_MSK[N_ID],0))</f>
        <v/>
      </c>
      <c r="D883" s="69" t="str">
        <f ca="1">IF(NOTA[[#This Row],[NAMA BARANG]]="","",INDEX(NOTA[ID],MATCH(,INDIRECT(ADDRESS(ROW(NOTA[ID]),COLUMN(NOTA[ID]))&amp;":"&amp;ADDRESS(ROW(),COLUMN(NOTA[ID]))),-1)))</f>
        <v/>
      </c>
      <c r="E883" s="155"/>
      <c r="F883" s="70"/>
      <c r="G883" s="70"/>
      <c r="H883" s="71"/>
      <c r="I883" s="70"/>
      <c r="J883" s="72"/>
      <c r="K883" s="70"/>
      <c r="L883" s="70"/>
      <c r="M883" s="73"/>
      <c r="N883" s="70"/>
      <c r="O883" s="70"/>
      <c r="P883" s="68"/>
      <c r="Q883" s="168"/>
      <c r="R883" s="73"/>
      <c r="S883" s="75"/>
      <c r="T883" s="75"/>
      <c r="U883" s="74"/>
      <c r="V883" s="87"/>
      <c r="W883" s="74" t="str">
        <f>IF(NOTA[[#This Row],[HARGA/ CTN]]="",NOTA[[#This Row],[JUMLAH_H]],NOTA[[#This Row],[HARGA/ CTN]]*NOTA[[#This Row],[C]])</f>
        <v/>
      </c>
      <c r="X883" s="74" t="str">
        <f>IF(NOTA[[#This Row],[JUMLAH]]="","",NOTA[[#This Row],[JUMLAH]]*NOTA[[#This Row],[DISC 1]])</f>
        <v/>
      </c>
      <c r="Y883" s="74" t="str">
        <f>IF(NOTA[[#This Row],[JUMLAH]]="","",(NOTA[[#This Row],[JUMLAH]]-NOTA[[#This Row],[DISC 1-]])*NOTA[[#This Row],[DISC 2]])</f>
        <v/>
      </c>
      <c r="Z883" s="74" t="str">
        <f>IF(NOTA[[#This Row],[JUMLAH]]="","",NOTA[[#This Row],[DISC 1-]]+NOTA[[#This Row],[DISC 2-]])</f>
        <v/>
      </c>
      <c r="AA883" s="74" t="str">
        <f>IF(NOTA[[#This Row],[JUMLAH]]="","",NOTA[[#This Row],[JUMLAH]]-NOTA[[#This Row],[DISC]])</f>
        <v/>
      </c>
      <c r="AB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74" t="str">
        <f>IF(OR(NOTA[[#This Row],[QTY]]="",NOTA[[#This Row],[HARGA SATUAN]]="",),"",NOTA[[#This Row],[QTY]]*NOTA[[#This Row],[HARGA SATUAN]])</f>
        <v/>
      </c>
      <c r="AF883" s="72" t="str">
        <f ca="1">IF(NOTA[ID_H]="","",INDEX(NOTA[TANGGAL],MATCH(,INDIRECT(ADDRESS(ROW(NOTA[TANGGAL]),COLUMN(NOTA[TANGGAL]))&amp;":"&amp;ADDRESS(ROW(),COLUMN(NOTA[TANGGAL]))),-1)))</f>
        <v/>
      </c>
      <c r="AG883" s="68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9" t="str">
        <f>IF(NOTA[[#This Row],[ID_P]]="","",MATCH(NOTA[[#This Row],[ID_P]],[1]!B_MSK[N_ID],0))</f>
        <v/>
      </c>
      <c r="D884" s="69" t="str">
        <f ca="1">IF(NOTA[[#This Row],[NAMA BARANG]]="","",INDEX(NOTA[ID],MATCH(,INDIRECT(ADDRESS(ROW(NOTA[ID]),COLUMN(NOTA[ID]))&amp;":"&amp;ADDRESS(ROW(),COLUMN(NOTA[ID]))),-1)))</f>
        <v/>
      </c>
      <c r="E884" s="155"/>
      <c r="F884" s="70"/>
      <c r="G884" s="70"/>
      <c r="H884" s="71"/>
      <c r="I884" s="70"/>
      <c r="J884" s="72"/>
      <c r="K884" s="70"/>
      <c r="L884" s="70"/>
      <c r="M884" s="73"/>
      <c r="N884" s="70"/>
      <c r="O884" s="70"/>
      <c r="P884" s="68"/>
      <c r="Q884" s="168"/>
      <c r="R884" s="73"/>
      <c r="S884" s="75"/>
      <c r="T884" s="75"/>
      <c r="U884" s="74"/>
      <c r="V884" s="87"/>
      <c r="W884" s="74" t="str">
        <f>IF(NOTA[[#This Row],[HARGA/ CTN]]="",NOTA[[#This Row],[JUMLAH_H]],NOTA[[#This Row],[HARGA/ CTN]]*NOTA[[#This Row],[C]])</f>
        <v/>
      </c>
      <c r="X884" s="74" t="str">
        <f>IF(NOTA[[#This Row],[JUMLAH]]="","",NOTA[[#This Row],[JUMLAH]]*NOTA[[#This Row],[DISC 1]])</f>
        <v/>
      </c>
      <c r="Y884" s="74" t="str">
        <f>IF(NOTA[[#This Row],[JUMLAH]]="","",(NOTA[[#This Row],[JUMLAH]]-NOTA[[#This Row],[DISC 1-]])*NOTA[[#This Row],[DISC 2]])</f>
        <v/>
      </c>
      <c r="Z884" s="74" t="str">
        <f>IF(NOTA[[#This Row],[JUMLAH]]="","",NOTA[[#This Row],[DISC 1-]]+NOTA[[#This Row],[DISC 2-]])</f>
        <v/>
      </c>
      <c r="AA884" s="74" t="str">
        <f>IF(NOTA[[#This Row],[JUMLAH]]="","",NOTA[[#This Row],[JUMLAH]]-NOTA[[#This Row],[DISC]])</f>
        <v/>
      </c>
      <c r="AB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74" t="str">
        <f>IF(OR(NOTA[[#This Row],[QTY]]="",NOTA[[#This Row],[HARGA SATUAN]]="",),"",NOTA[[#This Row],[QTY]]*NOTA[[#This Row],[HARGA SATUAN]])</f>
        <v/>
      </c>
      <c r="AF884" s="72" t="str">
        <f ca="1">IF(NOTA[ID_H]="","",INDEX(NOTA[TANGGAL],MATCH(,INDIRECT(ADDRESS(ROW(NOTA[TANGGAL]),COLUMN(NOTA[TANGGAL]))&amp;":"&amp;ADDRESS(ROW(),COLUMN(NOTA[TANGGAL]))),-1)))</f>
        <v/>
      </c>
      <c r="AG884" s="68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9" t="str">
        <f>IF(NOTA[[#This Row],[ID_P]]="","",MATCH(NOTA[[#This Row],[ID_P]],[1]!B_MSK[N_ID],0))</f>
        <v/>
      </c>
      <c r="D885" s="69" t="str">
        <f ca="1">IF(NOTA[[#This Row],[NAMA BARANG]]="","",INDEX(NOTA[ID],MATCH(,INDIRECT(ADDRESS(ROW(NOTA[ID]),COLUMN(NOTA[ID]))&amp;":"&amp;ADDRESS(ROW(),COLUMN(NOTA[ID]))),-1)))</f>
        <v/>
      </c>
      <c r="E885" s="155"/>
      <c r="F885" s="70"/>
      <c r="G885" s="70"/>
      <c r="H885" s="71"/>
      <c r="I885" s="70"/>
      <c r="J885" s="72"/>
      <c r="K885" s="70"/>
      <c r="L885" s="70"/>
      <c r="M885" s="73"/>
      <c r="N885" s="70"/>
      <c r="O885" s="70"/>
      <c r="P885" s="68"/>
      <c r="Q885" s="168"/>
      <c r="R885" s="73"/>
      <c r="S885" s="75"/>
      <c r="T885" s="75"/>
      <c r="U885" s="74"/>
      <c r="V885" s="87"/>
      <c r="W885" s="74" t="str">
        <f>IF(NOTA[[#This Row],[HARGA/ CTN]]="",NOTA[[#This Row],[JUMLAH_H]],NOTA[[#This Row],[HARGA/ CTN]]*NOTA[[#This Row],[C]])</f>
        <v/>
      </c>
      <c r="X885" s="74" t="str">
        <f>IF(NOTA[[#This Row],[JUMLAH]]="","",NOTA[[#This Row],[JUMLAH]]*NOTA[[#This Row],[DISC 1]])</f>
        <v/>
      </c>
      <c r="Y885" s="74" t="str">
        <f>IF(NOTA[[#This Row],[JUMLAH]]="","",(NOTA[[#This Row],[JUMLAH]]-NOTA[[#This Row],[DISC 1-]])*NOTA[[#This Row],[DISC 2]])</f>
        <v/>
      </c>
      <c r="Z885" s="74" t="str">
        <f>IF(NOTA[[#This Row],[JUMLAH]]="","",NOTA[[#This Row],[DISC 1-]]+NOTA[[#This Row],[DISC 2-]])</f>
        <v/>
      </c>
      <c r="AA885" s="74" t="str">
        <f>IF(NOTA[[#This Row],[JUMLAH]]="","",NOTA[[#This Row],[JUMLAH]]-NOTA[[#This Row],[DISC]])</f>
        <v/>
      </c>
      <c r="AB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74" t="str">
        <f>IF(OR(NOTA[[#This Row],[QTY]]="",NOTA[[#This Row],[HARGA SATUAN]]="",),"",NOTA[[#This Row],[QTY]]*NOTA[[#This Row],[HARGA SATUAN]])</f>
        <v/>
      </c>
      <c r="AF885" s="72" t="str">
        <f ca="1">IF(NOTA[ID_H]="","",INDEX(NOTA[TANGGAL],MATCH(,INDIRECT(ADDRESS(ROW(NOTA[TANGGAL]),COLUMN(NOTA[TANGGAL]))&amp;":"&amp;ADDRESS(ROW(),COLUMN(NOTA[TANGGAL]))),-1)))</f>
        <v/>
      </c>
      <c r="AG885" s="68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9" t="str">
        <f>IF(NOTA[[#This Row],[ID_P]]="","",MATCH(NOTA[[#This Row],[ID_P]],[1]!B_MSK[N_ID],0))</f>
        <v/>
      </c>
      <c r="D886" s="69" t="str">
        <f ca="1">IF(NOTA[[#This Row],[NAMA BARANG]]="","",INDEX(NOTA[ID],MATCH(,INDIRECT(ADDRESS(ROW(NOTA[ID]),COLUMN(NOTA[ID]))&amp;":"&amp;ADDRESS(ROW(),COLUMN(NOTA[ID]))),-1)))</f>
        <v/>
      </c>
      <c r="E886" s="155"/>
      <c r="F886" s="70"/>
      <c r="G886" s="70"/>
      <c r="H886" s="71"/>
      <c r="I886" s="70"/>
      <c r="J886" s="72"/>
      <c r="K886" s="70"/>
      <c r="L886" s="70"/>
      <c r="M886" s="73"/>
      <c r="N886" s="70"/>
      <c r="O886" s="70"/>
      <c r="P886" s="68"/>
      <c r="Q886" s="168"/>
      <c r="R886" s="73"/>
      <c r="S886" s="75"/>
      <c r="T886" s="75"/>
      <c r="U886" s="74"/>
      <c r="V886" s="87"/>
      <c r="W886" s="74" t="str">
        <f>IF(NOTA[[#This Row],[HARGA/ CTN]]="",NOTA[[#This Row],[JUMLAH_H]],NOTA[[#This Row],[HARGA/ CTN]]*NOTA[[#This Row],[C]])</f>
        <v/>
      </c>
      <c r="X886" s="74" t="str">
        <f>IF(NOTA[[#This Row],[JUMLAH]]="","",NOTA[[#This Row],[JUMLAH]]*NOTA[[#This Row],[DISC 1]])</f>
        <v/>
      </c>
      <c r="Y886" s="74" t="str">
        <f>IF(NOTA[[#This Row],[JUMLAH]]="","",(NOTA[[#This Row],[JUMLAH]]-NOTA[[#This Row],[DISC 1-]])*NOTA[[#This Row],[DISC 2]])</f>
        <v/>
      </c>
      <c r="Z886" s="74" t="str">
        <f>IF(NOTA[[#This Row],[JUMLAH]]="","",NOTA[[#This Row],[DISC 1-]]+NOTA[[#This Row],[DISC 2-]])</f>
        <v/>
      </c>
      <c r="AA886" s="74" t="str">
        <f>IF(NOTA[[#This Row],[JUMLAH]]="","",NOTA[[#This Row],[JUMLAH]]-NOTA[[#This Row],[DISC]])</f>
        <v/>
      </c>
      <c r="AB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74" t="str">
        <f>IF(OR(NOTA[[#This Row],[QTY]]="",NOTA[[#This Row],[HARGA SATUAN]]="",),"",NOTA[[#This Row],[QTY]]*NOTA[[#This Row],[HARGA SATUAN]])</f>
        <v/>
      </c>
      <c r="AF886" s="72" t="str">
        <f ca="1">IF(NOTA[ID_H]="","",INDEX(NOTA[TANGGAL],MATCH(,INDIRECT(ADDRESS(ROW(NOTA[TANGGAL]),COLUMN(NOTA[TANGGAL]))&amp;":"&amp;ADDRESS(ROW(),COLUMN(NOTA[TANGGAL]))),-1)))</f>
        <v/>
      </c>
      <c r="AG886" s="68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9" t="str">
        <f>IF(NOTA[[#This Row],[ID_P]]="","",MATCH(NOTA[[#This Row],[ID_P]],[1]!B_MSK[N_ID],0))</f>
        <v/>
      </c>
      <c r="D887" s="69" t="str">
        <f ca="1">IF(NOTA[[#This Row],[NAMA BARANG]]="","",INDEX(NOTA[ID],MATCH(,INDIRECT(ADDRESS(ROW(NOTA[ID]),COLUMN(NOTA[ID]))&amp;":"&amp;ADDRESS(ROW(),COLUMN(NOTA[ID]))),-1)))</f>
        <v/>
      </c>
      <c r="E887" s="155"/>
      <c r="F887" s="70"/>
      <c r="G887" s="70"/>
      <c r="H887" s="71"/>
      <c r="I887" s="70"/>
      <c r="J887" s="72"/>
      <c r="K887" s="70"/>
      <c r="L887" s="70"/>
      <c r="M887" s="73"/>
      <c r="N887" s="70"/>
      <c r="O887" s="70"/>
      <c r="P887" s="68"/>
      <c r="Q887" s="168"/>
      <c r="R887" s="73"/>
      <c r="S887" s="75"/>
      <c r="T887" s="75"/>
      <c r="U887" s="74"/>
      <c r="V887" s="87"/>
      <c r="W887" s="74" t="str">
        <f>IF(NOTA[[#This Row],[HARGA/ CTN]]="",NOTA[[#This Row],[JUMLAH_H]],NOTA[[#This Row],[HARGA/ CTN]]*NOTA[[#This Row],[C]])</f>
        <v/>
      </c>
      <c r="X887" s="74" t="str">
        <f>IF(NOTA[[#This Row],[JUMLAH]]="","",NOTA[[#This Row],[JUMLAH]]*NOTA[[#This Row],[DISC 1]])</f>
        <v/>
      </c>
      <c r="Y887" s="74" t="str">
        <f>IF(NOTA[[#This Row],[JUMLAH]]="","",(NOTA[[#This Row],[JUMLAH]]-NOTA[[#This Row],[DISC 1-]])*NOTA[[#This Row],[DISC 2]])</f>
        <v/>
      </c>
      <c r="Z887" s="74" t="str">
        <f>IF(NOTA[[#This Row],[JUMLAH]]="","",NOTA[[#This Row],[DISC 1-]]+NOTA[[#This Row],[DISC 2-]])</f>
        <v/>
      </c>
      <c r="AA887" s="74" t="str">
        <f>IF(NOTA[[#This Row],[JUMLAH]]="","",NOTA[[#This Row],[JUMLAH]]-NOTA[[#This Row],[DISC]])</f>
        <v/>
      </c>
      <c r="AB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74" t="str">
        <f>IF(OR(NOTA[[#This Row],[QTY]]="",NOTA[[#This Row],[HARGA SATUAN]]="",),"",NOTA[[#This Row],[QTY]]*NOTA[[#This Row],[HARGA SATUAN]])</f>
        <v/>
      </c>
      <c r="AF887" s="72" t="str">
        <f ca="1">IF(NOTA[ID_H]="","",INDEX(NOTA[TANGGAL],MATCH(,INDIRECT(ADDRESS(ROW(NOTA[TANGGAL]),COLUMN(NOTA[TANGGAL]))&amp;":"&amp;ADDRESS(ROW(),COLUMN(NOTA[TANGGAL]))),-1)))</f>
        <v/>
      </c>
      <c r="AG887" s="68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9" t="str">
        <f>IF(NOTA[[#This Row],[ID_P]]="","",MATCH(NOTA[[#This Row],[ID_P]],[1]!B_MSK[N_ID],0))</f>
        <v/>
      </c>
      <c r="D888" s="69" t="str">
        <f ca="1">IF(NOTA[[#This Row],[NAMA BARANG]]="","",INDEX(NOTA[ID],MATCH(,INDIRECT(ADDRESS(ROW(NOTA[ID]),COLUMN(NOTA[ID]))&amp;":"&amp;ADDRESS(ROW(),COLUMN(NOTA[ID]))),-1)))</f>
        <v/>
      </c>
      <c r="E888" s="155"/>
      <c r="F888" s="70"/>
      <c r="G888" s="70"/>
      <c r="H888" s="71"/>
      <c r="I888" s="70"/>
      <c r="J888" s="72"/>
      <c r="K888" s="70"/>
      <c r="L888" s="70"/>
      <c r="M888" s="73"/>
      <c r="N888" s="70"/>
      <c r="O888" s="70"/>
      <c r="P888" s="68"/>
      <c r="Q888" s="168"/>
      <c r="R888" s="73"/>
      <c r="S888" s="75"/>
      <c r="T888" s="75"/>
      <c r="U888" s="74"/>
      <c r="V888" s="87"/>
      <c r="W888" s="74" t="str">
        <f>IF(NOTA[[#This Row],[HARGA/ CTN]]="",NOTA[[#This Row],[JUMLAH_H]],NOTA[[#This Row],[HARGA/ CTN]]*NOTA[[#This Row],[C]])</f>
        <v/>
      </c>
      <c r="X888" s="74" t="str">
        <f>IF(NOTA[[#This Row],[JUMLAH]]="","",NOTA[[#This Row],[JUMLAH]]*NOTA[[#This Row],[DISC 1]])</f>
        <v/>
      </c>
      <c r="Y888" s="74" t="str">
        <f>IF(NOTA[[#This Row],[JUMLAH]]="","",(NOTA[[#This Row],[JUMLAH]]-NOTA[[#This Row],[DISC 1-]])*NOTA[[#This Row],[DISC 2]])</f>
        <v/>
      </c>
      <c r="Z888" s="74" t="str">
        <f>IF(NOTA[[#This Row],[JUMLAH]]="","",NOTA[[#This Row],[DISC 1-]]+NOTA[[#This Row],[DISC 2-]])</f>
        <v/>
      </c>
      <c r="AA888" s="74" t="str">
        <f>IF(NOTA[[#This Row],[JUMLAH]]="","",NOTA[[#This Row],[JUMLAH]]-NOTA[[#This Row],[DISC]])</f>
        <v/>
      </c>
      <c r="AB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74" t="str">
        <f>IF(OR(NOTA[[#This Row],[QTY]]="",NOTA[[#This Row],[HARGA SATUAN]]="",),"",NOTA[[#This Row],[QTY]]*NOTA[[#This Row],[HARGA SATUAN]])</f>
        <v/>
      </c>
      <c r="AF888" s="72" t="str">
        <f ca="1">IF(NOTA[ID_H]="","",INDEX(NOTA[TANGGAL],MATCH(,INDIRECT(ADDRESS(ROW(NOTA[TANGGAL]),COLUMN(NOTA[TANGGAL]))&amp;":"&amp;ADDRESS(ROW(),COLUMN(NOTA[TANGGAL]))),-1)))</f>
        <v/>
      </c>
      <c r="AG888" s="68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9" t="str">
        <f>IF(NOTA[[#This Row],[ID_P]]="","",MATCH(NOTA[[#This Row],[ID_P]],[1]!B_MSK[N_ID],0))</f>
        <v/>
      </c>
      <c r="D889" s="69" t="str">
        <f ca="1">IF(NOTA[[#This Row],[NAMA BARANG]]="","",INDEX(NOTA[ID],MATCH(,INDIRECT(ADDRESS(ROW(NOTA[ID]),COLUMN(NOTA[ID]))&amp;":"&amp;ADDRESS(ROW(),COLUMN(NOTA[ID]))),-1)))</f>
        <v/>
      </c>
      <c r="E889" s="155"/>
      <c r="F889" s="31"/>
      <c r="G889" s="70"/>
      <c r="H889" s="71"/>
      <c r="I889" s="70"/>
      <c r="J889" s="72"/>
      <c r="K889" s="70"/>
      <c r="L889" s="70"/>
      <c r="M889" s="73"/>
      <c r="N889" s="70"/>
      <c r="O889" s="70"/>
      <c r="P889" s="68"/>
      <c r="Q889" s="168"/>
      <c r="R889" s="73"/>
      <c r="S889" s="75"/>
      <c r="T889" s="75"/>
      <c r="U889" s="74"/>
      <c r="V889" s="87"/>
      <c r="W889" s="74" t="str">
        <f>IF(NOTA[[#This Row],[HARGA/ CTN]]="",NOTA[[#This Row],[JUMLAH_H]],NOTA[[#This Row],[HARGA/ CTN]]*NOTA[[#This Row],[C]])</f>
        <v/>
      </c>
      <c r="X889" s="74" t="str">
        <f>IF(NOTA[[#This Row],[JUMLAH]]="","",NOTA[[#This Row],[JUMLAH]]*NOTA[[#This Row],[DISC 1]])</f>
        <v/>
      </c>
      <c r="Y889" s="74" t="str">
        <f>IF(NOTA[[#This Row],[JUMLAH]]="","",(NOTA[[#This Row],[JUMLAH]]-NOTA[[#This Row],[DISC 1-]])*NOTA[[#This Row],[DISC 2]])</f>
        <v/>
      </c>
      <c r="Z889" s="74" t="str">
        <f>IF(NOTA[[#This Row],[JUMLAH]]="","",NOTA[[#This Row],[DISC 1-]]+NOTA[[#This Row],[DISC 2-]])</f>
        <v/>
      </c>
      <c r="AA889" s="74" t="str">
        <f>IF(NOTA[[#This Row],[JUMLAH]]="","",NOTA[[#This Row],[JUMLAH]]-NOTA[[#This Row],[DISC]])</f>
        <v/>
      </c>
      <c r="AB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74" t="str">
        <f>IF(OR(NOTA[[#This Row],[QTY]]="",NOTA[[#This Row],[HARGA SATUAN]]="",),"",NOTA[[#This Row],[QTY]]*NOTA[[#This Row],[HARGA SATUAN]])</f>
        <v/>
      </c>
      <c r="AF889" s="72" t="str">
        <f ca="1">IF(NOTA[ID_H]="","",INDEX(NOTA[TANGGAL],MATCH(,INDIRECT(ADDRESS(ROW(NOTA[TANGGAL]),COLUMN(NOTA[TANGGAL]))&amp;":"&amp;ADDRESS(ROW(),COLUMN(NOTA[TANGGAL]))),-1)))</f>
        <v/>
      </c>
      <c r="AG889" s="68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9" t="str">
        <f>IF(NOTA[[#This Row],[ID_P]]="","",MATCH(NOTA[[#This Row],[ID_P]],[1]!B_MSK[N_ID],0))</f>
        <v/>
      </c>
      <c r="D890" s="69" t="str">
        <f ca="1">IF(NOTA[[#This Row],[NAMA BARANG]]="","",INDEX(NOTA[ID],MATCH(,INDIRECT(ADDRESS(ROW(NOTA[ID]),COLUMN(NOTA[ID]))&amp;":"&amp;ADDRESS(ROW(),COLUMN(NOTA[ID]))),-1)))</f>
        <v/>
      </c>
      <c r="E890" s="155"/>
      <c r="F890" s="70"/>
      <c r="G890" s="70"/>
      <c r="H890" s="71"/>
      <c r="I890" s="70"/>
      <c r="J890" s="72"/>
      <c r="K890" s="70"/>
      <c r="L890" s="70"/>
      <c r="M890" s="73"/>
      <c r="N890" s="70"/>
      <c r="O890" s="70"/>
      <c r="P890" s="68"/>
      <c r="Q890" s="168"/>
      <c r="R890" s="73"/>
      <c r="S890" s="75"/>
      <c r="T890" s="75"/>
      <c r="U890" s="74"/>
      <c r="V890" s="87"/>
      <c r="W890" s="74" t="str">
        <f>IF(NOTA[[#This Row],[HARGA/ CTN]]="",NOTA[[#This Row],[JUMLAH_H]],NOTA[[#This Row],[HARGA/ CTN]]*NOTA[[#This Row],[C]])</f>
        <v/>
      </c>
      <c r="X890" s="74" t="str">
        <f>IF(NOTA[[#This Row],[JUMLAH]]="","",NOTA[[#This Row],[JUMLAH]]*NOTA[[#This Row],[DISC 1]])</f>
        <v/>
      </c>
      <c r="Y890" s="74" t="str">
        <f>IF(NOTA[[#This Row],[JUMLAH]]="","",(NOTA[[#This Row],[JUMLAH]]-NOTA[[#This Row],[DISC 1-]])*NOTA[[#This Row],[DISC 2]])</f>
        <v/>
      </c>
      <c r="Z890" s="74" t="str">
        <f>IF(NOTA[[#This Row],[JUMLAH]]="","",NOTA[[#This Row],[DISC 1-]]+NOTA[[#This Row],[DISC 2-]])</f>
        <v/>
      </c>
      <c r="AA890" s="74" t="str">
        <f>IF(NOTA[[#This Row],[JUMLAH]]="","",NOTA[[#This Row],[JUMLAH]]-NOTA[[#This Row],[DISC]])</f>
        <v/>
      </c>
      <c r="AB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74" t="str">
        <f>IF(OR(NOTA[[#This Row],[QTY]]="",NOTA[[#This Row],[HARGA SATUAN]]="",),"",NOTA[[#This Row],[QTY]]*NOTA[[#This Row],[HARGA SATUAN]])</f>
        <v/>
      </c>
      <c r="AF890" s="72" t="str">
        <f ca="1">IF(NOTA[ID_H]="","",INDEX(NOTA[TANGGAL],MATCH(,INDIRECT(ADDRESS(ROW(NOTA[TANGGAL]),COLUMN(NOTA[TANGGAL]))&amp;":"&amp;ADDRESS(ROW(),COLUMN(NOTA[TANGGAL]))),-1)))</f>
        <v/>
      </c>
      <c r="AG890" s="68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22" t="str">
        <f>IF(NOTA[[#This Row],[ID_P]]="","",MATCH(NOTA[[#This Row],[ID_P]],[1]!B_MSK[N_ID],0))</f>
        <v/>
      </c>
      <c r="D891" s="22" t="str">
        <f ca="1">IF(NOTA[[#This Row],[NAMA BARANG]]="","",INDEX(NOTA[ID],MATCH(,INDIRECT(ADDRESS(ROW(NOTA[ID]),COLUMN(NOTA[ID]))&amp;":"&amp;ADDRESS(ROW(),COLUMN(NOTA[ID]))),-1)))</f>
        <v/>
      </c>
      <c r="E891" s="76"/>
      <c r="H891" s="24"/>
      <c r="Q891" s="158"/>
      <c r="R891" s="27"/>
      <c r="S891" s="21"/>
      <c r="U891" s="29"/>
      <c r="V891" s="88"/>
      <c r="W891" s="29" t="str">
        <f>IF(NOTA[[#This Row],[HARGA/ CTN]]="",NOTA[[#This Row],[JUMLAH_H]],NOTA[[#This Row],[HARGA/ CTN]]*NOTA[[#This Row],[C]])</f>
        <v/>
      </c>
      <c r="X891" s="29" t="str">
        <f>IF(NOTA[[#This Row],[JUMLAH]]="","",NOTA[[#This Row],[JUMLAH]]*NOTA[[#This Row],[DISC 1]])</f>
        <v/>
      </c>
      <c r="Y891" s="29" t="str">
        <f>IF(NOTA[[#This Row],[JUMLAH]]="","",(NOTA[[#This Row],[JUMLAH]]-NOTA[[#This Row],[DISC 1-]])*NOTA[[#This Row],[DISC 2]])</f>
        <v/>
      </c>
      <c r="Z891" s="29" t="str">
        <f>IF(NOTA[[#This Row],[JUMLAH]]="","",NOTA[[#This Row],[DISC 1-]]+NOTA[[#This Row],[DISC 2-]])</f>
        <v/>
      </c>
      <c r="AA891" s="29" t="str">
        <f>IF(NOTA[[#This Row],[JUMLAH]]="","",NOTA[[#This Row],[JUMLAH]]-NOTA[[#This Row],[DISC]])</f>
        <v/>
      </c>
      <c r="AB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29" t="str">
        <f>IF(OR(NOTA[[#This Row],[QTY]]="",NOTA[[#This Row],[HARGA SATUAN]]="",),"",NOTA[[#This Row],[QTY]]*NOTA[[#This Row],[HARGA SATUAN]])</f>
        <v/>
      </c>
      <c r="AF891" s="18" t="str">
        <f ca="1">IF(NOTA[ID_H]="","",INDEX(NOTA[TANGGAL],MATCH(,INDIRECT(ADDRESS(ROW(NOTA[TANGGAL]),COLUMN(NOTA[TANGGAL]))&amp;":"&amp;ADDRESS(ROW(),COLUMN(NOTA[TANGGAL]))),-1)))</f>
        <v/>
      </c>
      <c r="AG891" s="19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22" t="str">
        <f>IF(NOTA[[#This Row],[ID_P]]="","",MATCH(NOTA[[#This Row],[ID_P]],[1]!B_MSK[N_ID],0))</f>
        <v/>
      </c>
      <c r="D892" s="22" t="str">
        <f ca="1">IF(NOTA[[#This Row],[NAMA BARANG]]="","",INDEX(NOTA[ID],MATCH(,INDIRECT(ADDRESS(ROW(NOTA[ID]),COLUMN(NOTA[ID]))&amp;":"&amp;ADDRESS(ROW(),COLUMN(NOTA[ID]))),-1)))</f>
        <v/>
      </c>
      <c r="E892" s="76"/>
      <c r="H892" s="24"/>
      <c r="Q892" s="158"/>
      <c r="R892" s="27"/>
      <c r="S892" s="21"/>
      <c r="U892" s="29"/>
      <c r="V892" s="88"/>
      <c r="W892" s="29" t="str">
        <f>IF(NOTA[[#This Row],[HARGA/ CTN]]="",NOTA[[#This Row],[JUMLAH_H]],NOTA[[#This Row],[HARGA/ CTN]]*NOTA[[#This Row],[C]])</f>
        <v/>
      </c>
      <c r="X892" s="29" t="str">
        <f>IF(NOTA[[#This Row],[JUMLAH]]="","",NOTA[[#This Row],[JUMLAH]]*NOTA[[#This Row],[DISC 1]])</f>
        <v/>
      </c>
      <c r="Y892" s="29" t="str">
        <f>IF(NOTA[[#This Row],[JUMLAH]]="","",(NOTA[[#This Row],[JUMLAH]]-NOTA[[#This Row],[DISC 1-]])*NOTA[[#This Row],[DISC 2]])</f>
        <v/>
      </c>
      <c r="Z892" s="29" t="str">
        <f>IF(NOTA[[#This Row],[JUMLAH]]="","",NOTA[[#This Row],[DISC 1-]]+NOTA[[#This Row],[DISC 2-]])</f>
        <v/>
      </c>
      <c r="AA892" s="29" t="str">
        <f>IF(NOTA[[#This Row],[JUMLAH]]="","",NOTA[[#This Row],[JUMLAH]]-NOTA[[#This Row],[DISC]])</f>
        <v/>
      </c>
      <c r="AB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29" t="str">
        <f>IF(OR(NOTA[[#This Row],[QTY]]="",NOTA[[#This Row],[HARGA SATUAN]]="",),"",NOTA[[#This Row],[QTY]]*NOTA[[#This Row],[HARGA SATUAN]])</f>
        <v/>
      </c>
      <c r="AF892" s="18" t="str">
        <f ca="1">IF(NOTA[ID_H]="","",INDEX(NOTA[TANGGAL],MATCH(,INDIRECT(ADDRESS(ROW(NOTA[TANGGAL]),COLUMN(NOTA[TANGGAL]))&amp;":"&amp;ADDRESS(ROW(),COLUMN(NOTA[TANGGAL]))),-1)))</f>
        <v/>
      </c>
      <c r="AG892" s="19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22" t="str">
        <f>IF(NOTA[[#This Row],[ID_P]]="","",MATCH(NOTA[[#This Row],[ID_P]],[1]!B_MSK[N_ID],0))</f>
        <v/>
      </c>
      <c r="D893" s="22" t="str">
        <f ca="1">IF(NOTA[[#This Row],[NAMA BARANG]]="","",INDEX(NOTA[ID],MATCH(,INDIRECT(ADDRESS(ROW(NOTA[ID]),COLUMN(NOTA[ID]))&amp;":"&amp;ADDRESS(ROW(),COLUMN(NOTA[ID]))),-1)))</f>
        <v/>
      </c>
      <c r="E893" s="76"/>
      <c r="H893" s="24"/>
      <c r="Q893" s="158"/>
      <c r="R893" s="27"/>
      <c r="S893" s="21"/>
      <c r="U893" s="29"/>
      <c r="V893" s="88"/>
      <c r="W893" s="29" t="str">
        <f>IF(NOTA[[#This Row],[HARGA/ CTN]]="",NOTA[[#This Row],[JUMLAH_H]],NOTA[[#This Row],[HARGA/ CTN]]*NOTA[[#This Row],[C]])</f>
        <v/>
      </c>
      <c r="X893" s="29" t="str">
        <f>IF(NOTA[[#This Row],[JUMLAH]]="","",NOTA[[#This Row],[JUMLAH]]*NOTA[[#This Row],[DISC 1]])</f>
        <v/>
      </c>
      <c r="Y893" s="29" t="str">
        <f>IF(NOTA[[#This Row],[JUMLAH]]="","",(NOTA[[#This Row],[JUMLAH]]-NOTA[[#This Row],[DISC 1-]])*NOTA[[#This Row],[DISC 2]])</f>
        <v/>
      </c>
      <c r="Z893" s="29" t="str">
        <f>IF(NOTA[[#This Row],[JUMLAH]]="","",NOTA[[#This Row],[DISC 1-]]+NOTA[[#This Row],[DISC 2-]])</f>
        <v/>
      </c>
      <c r="AA893" s="29" t="str">
        <f>IF(NOTA[[#This Row],[JUMLAH]]="","",NOTA[[#This Row],[JUMLAH]]-NOTA[[#This Row],[DISC]])</f>
        <v/>
      </c>
      <c r="AB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9" t="str">
        <f>IF(OR(NOTA[[#This Row],[QTY]]="",NOTA[[#This Row],[HARGA SATUAN]]="",),"",NOTA[[#This Row],[QTY]]*NOTA[[#This Row],[HARGA SATUAN]])</f>
        <v/>
      </c>
      <c r="AF893" s="18" t="str">
        <f ca="1">IF(NOTA[ID_H]="","",INDEX(NOTA[TANGGAL],MATCH(,INDIRECT(ADDRESS(ROW(NOTA[TANGGAL]),COLUMN(NOTA[TANGGAL]))&amp;":"&amp;ADDRESS(ROW(),COLUMN(NOTA[TANGGAL]))),-1)))</f>
        <v/>
      </c>
      <c r="AG893" s="19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22" t="str">
        <f>IF(NOTA[[#This Row],[ID_P]]="","",MATCH(NOTA[[#This Row],[ID_P]],[1]!B_MSK[N_ID],0))</f>
        <v/>
      </c>
      <c r="D894" s="22" t="str">
        <f ca="1">IF(NOTA[[#This Row],[NAMA BARANG]]="","",INDEX(NOTA[ID],MATCH(,INDIRECT(ADDRESS(ROW(NOTA[ID]),COLUMN(NOTA[ID]))&amp;":"&amp;ADDRESS(ROW(),COLUMN(NOTA[ID]))),-1)))</f>
        <v/>
      </c>
      <c r="E894" s="76"/>
      <c r="H894" s="24"/>
      <c r="Q894" s="158"/>
      <c r="R894" s="27"/>
      <c r="S894" s="21"/>
      <c r="U894" s="29"/>
      <c r="V894" s="88"/>
      <c r="W894" s="29" t="str">
        <f>IF(NOTA[[#This Row],[HARGA/ CTN]]="",NOTA[[#This Row],[JUMLAH_H]],NOTA[[#This Row],[HARGA/ CTN]]*NOTA[[#This Row],[C]])</f>
        <v/>
      </c>
      <c r="X894" s="29" t="str">
        <f>IF(NOTA[[#This Row],[JUMLAH]]="","",NOTA[[#This Row],[JUMLAH]]*NOTA[[#This Row],[DISC 1]])</f>
        <v/>
      </c>
      <c r="Y894" s="29" t="str">
        <f>IF(NOTA[[#This Row],[JUMLAH]]="","",(NOTA[[#This Row],[JUMLAH]]-NOTA[[#This Row],[DISC 1-]])*NOTA[[#This Row],[DISC 2]])</f>
        <v/>
      </c>
      <c r="Z894" s="29" t="str">
        <f>IF(NOTA[[#This Row],[JUMLAH]]="","",NOTA[[#This Row],[DISC 1-]]+NOTA[[#This Row],[DISC 2-]])</f>
        <v/>
      </c>
      <c r="AA894" s="29" t="str">
        <f>IF(NOTA[[#This Row],[JUMLAH]]="","",NOTA[[#This Row],[JUMLAH]]-NOTA[[#This Row],[DISC]])</f>
        <v/>
      </c>
      <c r="AB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29" t="str">
        <f>IF(OR(NOTA[[#This Row],[QTY]]="",NOTA[[#This Row],[HARGA SATUAN]]="",),"",NOTA[[#This Row],[QTY]]*NOTA[[#This Row],[HARGA SATUAN]])</f>
        <v/>
      </c>
      <c r="AF894" s="18" t="str">
        <f ca="1">IF(NOTA[ID_H]="","",INDEX(NOTA[TANGGAL],MATCH(,INDIRECT(ADDRESS(ROW(NOTA[TANGGAL]),COLUMN(NOTA[TANGGAL]))&amp;":"&amp;ADDRESS(ROW(),COLUMN(NOTA[TANGGAL]))),-1)))</f>
        <v/>
      </c>
      <c r="AG894" s="19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22" t="str">
        <f>IF(NOTA[[#This Row],[ID_P]]="","",MATCH(NOTA[[#This Row],[ID_P]],[1]!B_MSK[N_ID],0))</f>
        <v/>
      </c>
      <c r="D895" s="22" t="str">
        <f ca="1">IF(NOTA[[#This Row],[NAMA BARANG]]="","",INDEX(NOTA[ID],MATCH(,INDIRECT(ADDRESS(ROW(NOTA[ID]),COLUMN(NOTA[ID]))&amp;":"&amp;ADDRESS(ROW(),COLUMN(NOTA[ID]))),-1)))</f>
        <v/>
      </c>
      <c r="E895" s="76"/>
      <c r="H895" s="24"/>
      <c r="Q895" s="158"/>
      <c r="R895" s="27"/>
      <c r="S895" s="21"/>
      <c r="U895" s="29"/>
      <c r="V895" s="88"/>
      <c r="W895" s="29" t="str">
        <f>IF(NOTA[[#This Row],[HARGA/ CTN]]="",NOTA[[#This Row],[JUMLAH_H]],NOTA[[#This Row],[HARGA/ CTN]]*NOTA[[#This Row],[C]])</f>
        <v/>
      </c>
      <c r="X895" s="29" t="str">
        <f>IF(NOTA[[#This Row],[JUMLAH]]="","",NOTA[[#This Row],[JUMLAH]]*NOTA[[#This Row],[DISC 1]])</f>
        <v/>
      </c>
      <c r="Y895" s="29" t="str">
        <f>IF(NOTA[[#This Row],[JUMLAH]]="","",(NOTA[[#This Row],[JUMLAH]]-NOTA[[#This Row],[DISC 1-]])*NOTA[[#This Row],[DISC 2]])</f>
        <v/>
      </c>
      <c r="Z895" s="29" t="str">
        <f>IF(NOTA[[#This Row],[JUMLAH]]="","",NOTA[[#This Row],[DISC 1-]]+NOTA[[#This Row],[DISC 2-]])</f>
        <v/>
      </c>
      <c r="AA895" s="29" t="str">
        <f>IF(NOTA[[#This Row],[JUMLAH]]="","",NOTA[[#This Row],[JUMLAH]]-NOTA[[#This Row],[DISC]])</f>
        <v/>
      </c>
      <c r="AB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9" t="str">
        <f>IF(OR(NOTA[[#This Row],[QTY]]="",NOTA[[#This Row],[HARGA SATUAN]]="",),"",NOTA[[#This Row],[QTY]]*NOTA[[#This Row],[HARGA SATUAN]])</f>
        <v/>
      </c>
      <c r="AF895" s="18" t="str">
        <f ca="1">IF(NOTA[ID_H]="","",INDEX(NOTA[TANGGAL],MATCH(,INDIRECT(ADDRESS(ROW(NOTA[TANGGAL]),COLUMN(NOTA[TANGGAL]))&amp;":"&amp;ADDRESS(ROW(),COLUMN(NOTA[TANGGAL]))),-1)))</f>
        <v/>
      </c>
      <c r="AG895" s="19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22" t="str">
        <f>IF(NOTA[[#This Row],[ID_P]]="","",MATCH(NOTA[[#This Row],[ID_P]],[1]!B_MSK[N_ID],0))</f>
        <v/>
      </c>
      <c r="D896" s="22" t="str">
        <f ca="1">IF(NOTA[[#This Row],[NAMA BARANG]]="","",INDEX(NOTA[ID],MATCH(,INDIRECT(ADDRESS(ROW(NOTA[ID]),COLUMN(NOTA[ID]))&amp;":"&amp;ADDRESS(ROW(),COLUMN(NOTA[ID]))),-1)))</f>
        <v/>
      </c>
      <c r="E896" s="76"/>
      <c r="H896" s="24"/>
      <c r="Q896" s="158"/>
      <c r="R896" s="27"/>
      <c r="S896" s="21"/>
      <c r="U896" s="29"/>
      <c r="V896" s="88"/>
      <c r="W896" s="29" t="str">
        <f>IF(NOTA[[#This Row],[HARGA/ CTN]]="",NOTA[[#This Row],[JUMLAH_H]],NOTA[[#This Row],[HARGA/ CTN]]*NOTA[[#This Row],[C]])</f>
        <v/>
      </c>
      <c r="X896" s="29" t="str">
        <f>IF(NOTA[[#This Row],[JUMLAH]]="","",NOTA[[#This Row],[JUMLAH]]*NOTA[[#This Row],[DISC 1]])</f>
        <v/>
      </c>
      <c r="Y896" s="29" t="str">
        <f>IF(NOTA[[#This Row],[JUMLAH]]="","",(NOTA[[#This Row],[JUMLAH]]-NOTA[[#This Row],[DISC 1-]])*NOTA[[#This Row],[DISC 2]])</f>
        <v/>
      </c>
      <c r="Z896" s="29" t="str">
        <f>IF(NOTA[[#This Row],[JUMLAH]]="","",NOTA[[#This Row],[DISC 1-]]+NOTA[[#This Row],[DISC 2-]])</f>
        <v/>
      </c>
      <c r="AA896" s="29" t="str">
        <f>IF(NOTA[[#This Row],[JUMLAH]]="","",NOTA[[#This Row],[JUMLAH]]-NOTA[[#This Row],[DISC]])</f>
        <v/>
      </c>
      <c r="AB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29" t="str">
        <f>IF(OR(NOTA[[#This Row],[QTY]]="",NOTA[[#This Row],[HARGA SATUAN]]="",),"",NOTA[[#This Row],[QTY]]*NOTA[[#This Row],[HARGA SATUAN]])</f>
        <v/>
      </c>
      <c r="AF896" s="18" t="str">
        <f ca="1">IF(NOTA[ID_H]="","",INDEX(NOTA[TANGGAL],MATCH(,INDIRECT(ADDRESS(ROW(NOTA[TANGGAL]),COLUMN(NOTA[TANGGAL]))&amp;":"&amp;ADDRESS(ROW(),COLUMN(NOTA[TANGGAL]))),-1)))</f>
        <v/>
      </c>
      <c r="AG896" s="19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22" t="str">
        <f>IF(NOTA[[#This Row],[ID_P]]="","",MATCH(NOTA[[#This Row],[ID_P]],[1]!B_MSK[N_ID],0))</f>
        <v/>
      </c>
      <c r="D897" s="22" t="str">
        <f ca="1">IF(NOTA[[#This Row],[NAMA BARANG]]="","",INDEX(NOTA[ID],MATCH(,INDIRECT(ADDRESS(ROW(NOTA[ID]),COLUMN(NOTA[ID]))&amp;":"&amp;ADDRESS(ROW(),COLUMN(NOTA[ID]))),-1)))</f>
        <v/>
      </c>
      <c r="E897" s="76"/>
      <c r="H897" s="24"/>
      <c r="Q897" s="158"/>
      <c r="R897" s="27"/>
      <c r="S897" s="21"/>
      <c r="U897" s="29"/>
      <c r="V897" s="88"/>
      <c r="W897" s="29" t="str">
        <f>IF(NOTA[[#This Row],[HARGA/ CTN]]="",NOTA[[#This Row],[JUMLAH_H]],NOTA[[#This Row],[HARGA/ CTN]]*NOTA[[#This Row],[C]])</f>
        <v/>
      </c>
      <c r="X897" s="29" t="str">
        <f>IF(NOTA[[#This Row],[JUMLAH]]="","",NOTA[[#This Row],[JUMLAH]]*NOTA[[#This Row],[DISC 1]])</f>
        <v/>
      </c>
      <c r="Y897" s="29" t="str">
        <f>IF(NOTA[[#This Row],[JUMLAH]]="","",(NOTA[[#This Row],[JUMLAH]]-NOTA[[#This Row],[DISC 1-]])*NOTA[[#This Row],[DISC 2]])</f>
        <v/>
      </c>
      <c r="Z897" s="29" t="str">
        <f>IF(NOTA[[#This Row],[JUMLAH]]="","",NOTA[[#This Row],[DISC 1-]]+NOTA[[#This Row],[DISC 2-]])</f>
        <v/>
      </c>
      <c r="AA897" s="29" t="str">
        <f>IF(NOTA[[#This Row],[JUMLAH]]="","",NOTA[[#This Row],[JUMLAH]]-NOTA[[#This Row],[DISC]])</f>
        <v/>
      </c>
      <c r="AB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29" t="str">
        <f>IF(OR(NOTA[[#This Row],[QTY]]="",NOTA[[#This Row],[HARGA SATUAN]]="",),"",NOTA[[#This Row],[QTY]]*NOTA[[#This Row],[HARGA SATUAN]])</f>
        <v/>
      </c>
      <c r="AF897" s="18" t="str">
        <f ca="1">IF(NOTA[ID_H]="","",INDEX(NOTA[TANGGAL],MATCH(,INDIRECT(ADDRESS(ROW(NOTA[TANGGAL]),COLUMN(NOTA[TANGGAL]))&amp;":"&amp;ADDRESS(ROW(),COLUMN(NOTA[TANGGAL]))),-1)))</f>
        <v/>
      </c>
      <c r="AG897" s="19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22" t="str">
        <f>IF(NOTA[[#This Row],[ID_P]]="","",MATCH(NOTA[[#This Row],[ID_P]],[1]!B_MSK[N_ID],0))</f>
        <v/>
      </c>
      <c r="D898" s="22" t="str">
        <f ca="1">IF(NOTA[[#This Row],[NAMA BARANG]]="","",INDEX(NOTA[ID],MATCH(,INDIRECT(ADDRESS(ROW(NOTA[ID]),COLUMN(NOTA[ID]))&amp;":"&amp;ADDRESS(ROW(),COLUMN(NOTA[ID]))),-1)))</f>
        <v/>
      </c>
      <c r="E898" s="76"/>
      <c r="H898" s="24"/>
      <c r="Q898" s="158"/>
      <c r="R898" s="27"/>
      <c r="S898" s="21"/>
      <c r="U898" s="29"/>
      <c r="V898" s="88"/>
      <c r="W898" s="29" t="str">
        <f>IF(NOTA[[#This Row],[HARGA/ CTN]]="",NOTA[[#This Row],[JUMLAH_H]],NOTA[[#This Row],[HARGA/ CTN]]*NOTA[[#This Row],[C]])</f>
        <v/>
      </c>
      <c r="X898" s="29" t="str">
        <f>IF(NOTA[[#This Row],[JUMLAH]]="","",NOTA[[#This Row],[JUMLAH]]*NOTA[[#This Row],[DISC 1]])</f>
        <v/>
      </c>
      <c r="Y898" s="29" t="str">
        <f>IF(NOTA[[#This Row],[JUMLAH]]="","",(NOTA[[#This Row],[JUMLAH]]-NOTA[[#This Row],[DISC 1-]])*NOTA[[#This Row],[DISC 2]])</f>
        <v/>
      </c>
      <c r="Z898" s="29" t="str">
        <f>IF(NOTA[[#This Row],[JUMLAH]]="","",NOTA[[#This Row],[DISC 1-]]+NOTA[[#This Row],[DISC 2-]])</f>
        <v/>
      </c>
      <c r="AA898" s="29" t="str">
        <f>IF(NOTA[[#This Row],[JUMLAH]]="","",NOTA[[#This Row],[JUMLAH]]-NOTA[[#This Row],[DISC]])</f>
        <v/>
      </c>
      <c r="AB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29" t="str">
        <f>IF(OR(NOTA[[#This Row],[QTY]]="",NOTA[[#This Row],[HARGA SATUAN]]="",),"",NOTA[[#This Row],[QTY]]*NOTA[[#This Row],[HARGA SATUAN]])</f>
        <v/>
      </c>
      <c r="AF898" s="18" t="str">
        <f ca="1">IF(NOTA[ID_H]="","",INDEX(NOTA[TANGGAL],MATCH(,INDIRECT(ADDRESS(ROW(NOTA[TANGGAL]),COLUMN(NOTA[TANGGAL]))&amp;":"&amp;ADDRESS(ROW(),COLUMN(NOTA[TANGGAL]))),-1)))</f>
        <v/>
      </c>
      <c r="AG898" s="19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22" t="str">
        <f>IF(NOTA[[#This Row],[ID_P]]="","",MATCH(NOTA[[#This Row],[ID_P]],[1]!B_MSK[N_ID],0))</f>
        <v/>
      </c>
      <c r="D899" s="22" t="str">
        <f ca="1">IF(NOTA[[#This Row],[NAMA BARANG]]="","",INDEX(NOTA[ID],MATCH(,INDIRECT(ADDRESS(ROW(NOTA[ID]),COLUMN(NOTA[ID]))&amp;":"&amp;ADDRESS(ROW(),COLUMN(NOTA[ID]))),-1)))</f>
        <v/>
      </c>
      <c r="E899" s="76"/>
      <c r="H899" s="24"/>
      <c r="Q899" s="158"/>
      <c r="R899" s="27"/>
      <c r="S899" s="21"/>
      <c r="U899" s="29"/>
      <c r="V899" s="88"/>
      <c r="W899" s="29" t="str">
        <f>IF(NOTA[[#This Row],[HARGA/ CTN]]="",NOTA[[#This Row],[JUMLAH_H]],NOTA[[#This Row],[HARGA/ CTN]]*NOTA[[#This Row],[C]])</f>
        <v/>
      </c>
      <c r="X899" s="29" t="str">
        <f>IF(NOTA[[#This Row],[JUMLAH]]="","",NOTA[[#This Row],[JUMLAH]]*NOTA[[#This Row],[DISC 1]])</f>
        <v/>
      </c>
      <c r="Y899" s="29" t="str">
        <f>IF(NOTA[[#This Row],[JUMLAH]]="","",(NOTA[[#This Row],[JUMLAH]]-NOTA[[#This Row],[DISC 1-]])*NOTA[[#This Row],[DISC 2]])</f>
        <v/>
      </c>
      <c r="Z899" s="29" t="str">
        <f>IF(NOTA[[#This Row],[JUMLAH]]="","",NOTA[[#This Row],[DISC 1-]]+NOTA[[#This Row],[DISC 2-]])</f>
        <v/>
      </c>
      <c r="AA899" s="29" t="str">
        <f>IF(NOTA[[#This Row],[JUMLAH]]="","",NOTA[[#This Row],[JUMLAH]]-NOTA[[#This Row],[DISC]])</f>
        <v/>
      </c>
      <c r="AB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29" t="str">
        <f>IF(OR(NOTA[[#This Row],[QTY]]="",NOTA[[#This Row],[HARGA SATUAN]]="",),"",NOTA[[#This Row],[QTY]]*NOTA[[#This Row],[HARGA SATUAN]])</f>
        <v/>
      </c>
      <c r="AF899" s="18" t="str">
        <f ca="1">IF(NOTA[ID_H]="","",INDEX(NOTA[TANGGAL],MATCH(,INDIRECT(ADDRESS(ROW(NOTA[TANGGAL]),COLUMN(NOTA[TANGGAL]))&amp;":"&amp;ADDRESS(ROW(),COLUMN(NOTA[TANGGAL]))),-1)))</f>
        <v/>
      </c>
      <c r="AG899" s="19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22" t="str">
        <f>IF(NOTA[[#This Row],[ID_P]]="","",MATCH(NOTA[[#This Row],[ID_P]],[1]!B_MSK[N_ID],0))</f>
        <v/>
      </c>
      <c r="D900" s="22" t="str">
        <f ca="1">IF(NOTA[[#This Row],[NAMA BARANG]]="","",INDEX(NOTA[ID],MATCH(,INDIRECT(ADDRESS(ROW(NOTA[ID]),COLUMN(NOTA[ID]))&amp;":"&amp;ADDRESS(ROW(),COLUMN(NOTA[ID]))),-1)))</f>
        <v/>
      </c>
      <c r="E900" s="76"/>
      <c r="H900" s="24"/>
      <c r="Q900" s="158"/>
      <c r="R900" s="27"/>
      <c r="S900" s="21"/>
      <c r="U900" s="29"/>
      <c r="V900" s="88"/>
      <c r="W900" s="29" t="str">
        <f>IF(NOTA[[#This Row],[HARGA/ CTN]]="",NOTA[[#This Row],[JUMLAH_H]],NOTA[[#This Row],[HARGA/ CTN]]*NOTA[[#This Row],[C]])</f>
        <v/>
      </c>
      <c r="X900" s="29" t="str">
        <f>IF(NOTA[[#This Row],[JUMLAH]]="","",NOTA[[#This Row],[JUMLAH]]*NOTA[[#This Row],[DISC 1]])</f>
        <v/>
      </c>
      <c r="Y900" s="29" t="str">
        <f>IF(NOTA[[#This Row],[JUMLAH]]="","",(NOTA[[#This Row],[JUMLAH]]-NOTA[[#This Row],[DISC 1-]])*NOTA[[#This Row],[DISC 2]])</f>
        <v/>
      </c>
      <c r="Z900" s="29" t="str">
        <f>IF(NOTA[[#This Row],[JUMLAH]]="","",NOTA[[#This Row],[DISC 1-]]+NOTA[[#This Row],[DISC 2-]])</f>
        <v/>
      </c>
      <c r="AA900" s="29" t="str">
        <f>IF(NOTA[[#This Row],[JUMLAH]]="","",NOTA[[#This Row],[JUMLAH]]-NOTA[[#This Row],[DISC]])</f>
        <v/>
      </c>
      <c r="AB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29" t="str">
        <f>IF(OR(NOTA[[#This Row],[QTY]]="",NOTA[[#This Row],[HARGA SATUAN]]="",),"",NOTA[[#This Row],[QTY]]*NOTA[[#This Row],[HARGA SATUAN]])</f>
        <v/>
      </c>
      <c r="AF900" s="18" t="str">
        <f ca="1">IF(NOTA[ID_H]="","",INDEX(NOTA[TANGGAL],MATCH(,INDIRECT(ADDRESS(ROW(NOTA[TANGGAL]),COLUMN(NOTA[TANGGAL]))&amp;":"&amp;ADDRESS(ROW(),COLUMN(NOTA[TANGGAL]))),-1)))</f>
        <v/>
      </c>
      <c r="AG900" s="19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22" t="str">
        <f>IF(NOTA[[#This Row],[ID_P]]="","",MATCH(NOTA[[#This Row],[ID_P]],[1]!B_MSK[N_ID],0))</f>
        <v/>
      </c>
      <c r="D901" s="22" t="str">
        <f ca="1">IF(NOTA[[#This Row],[NAMA BARANG]]="","",INDEX(NOTA[ID],MATCH(,INDIRECT(ADDRESS(ROW(NOTA[ID]),COLUMN(NOTA[ID]))&amp;":"&amp;ADDRESS(ROW(),COLUMN(NOTA[ID]))),-1)))</f>
        <v/>
      </c>
      <c r="E901" s="76"/>
      <c r="H901" s="24"/>
      <c r="Q901" s="158"/>
      <c r="R901" s="27"/>
      <c r="S901" s="21"/>
      <c r="U901" s="29"/>
      <c r="V901" s="88"/>
      <c r="W901" s="29" t="str">
        <f>IF(NOTA[[#This Row],[HARGA/ CTN]]="",NOTA[[#This Row],[JUMLAH_H]],NOTA[[#This Row],[HARGA/ CTN]]*NOTA[[#This Row],[C]])</f>
        <v/>
      </c>
      <c r="X901" s="29" t="str">
        <f>IF(NOTA[[#This Row],[JUMLAH]]="","",NOTA[[#This Row],[JUMLAH]]*NOTA[[#This Row],[DISC 1]])</f>
        <v/>
      </c>
      <c r="Y901" s="29" t="str">
        <f>IF(NOTA[[#This Row],[JUMLAH]]="","",(NOTA[[#This Row],[JUMLAH]]-NOTA[[#This Row],[DISC 1-]])*NOTA[[#This Row],[DISC 2]])</f>
        <v/>
      </c>
      <c r="Z901" s="29" t="str">
        <f>IF(NOTA[[#This Row],[JUMLAH]]="","",NOTA[[#This Row],[DISC 1-]]+NOTA[[#This Row],[DISC 2-]])</f>
        <v/>
      </c>
      <c r="AA901" s="29" t="str">
        <f>IF(NOTA[[#This Row],[JUMLAH]]="","",NOTA[[#This Row],[JUMLAH]]-NOTA[[#This Row],[DISC]])</f>
        <v/>
      </c>
      <c r="AB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29" t="str">
        <f>IF(OR(NOTA[[#This Row],[QTY]]="",NOTA[[#This Row],[HARGA SATUAN]]="",),"",NOTA[[#This Row],[QTY]]*NOTA[[#This Row],[HARGA SATUAN]])</f>
        <v/>
      </c>
      <c r="AF901" s="18" t="str">
        <f ca="1">IF(NOTA[ID_H]="","",INDEX(NOTA[TANGGAL],MATCH(,INDIRECT(ADDRESS(ROW(NOTA[TANGGAL]),COLUMN(NOTA[TANGGAL]))&amp;":"&amp;ADDRESS(ROW(),COLUMN(NOTA[TANGGAL]))),-1)))</f>
        <v/>
      </c>
      <c r="AG901" s="19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22" t="str">
        <f>IF(NOTA[[#This Row],[ID_P]]="","",MATCH(NOTA[[#This Row],[ID_P]],[1]!B_MSK[N_ID],0))</f>
        <v/>
      </c>
      <c r="D902" s="22" t="str">
        <f ca="1">IF(NOTA[[#This Row],[NAMA BARANG]]="","",INDEX(NOTA[ID],MATCH(,INDIRECT(ADDRESS(ROW(NOTA[ID]),COLUMN(NOTA[ID]))&amp;":"&amp;ADDRESS(ROW(),COLUMN(NOTA[ID]))),-1)))</f>
        <v/>
      </c>
      <c r="E902" s="76"/>
      <c r="H902" s="24"/>
      <c r="Q902" s="158"/>
      <c r="R902" s="27"/>
      <c r="S902" s="21"/>
      <c r="U902" s="29"/>
      <c r="V902" s="88"/>
      <c r="W902" s="29" t="str">
        <f>IF(NOTA[[#This Row],[HARGA/ CTN]]="",NOTA[[#This Row],[JUMLAH_H]],NOTA[[#This Row],[HARGA/ CTN]]*NOTA[[#This Row],[C]])</f>
        <v/>
      </c>
      <c r="X902" s="29" t="str">
        <f>IF(NOTA[[#This Row],[JUMLAH]]="","",NOTA[[#This Row],[JUMLAH]]*NOTA[[#This Row],[DISC 1]])</f>
        <v/>
      </c>
      <c r="Y902" s="29" t="str">
        <f>IF(NOTA[[#This Row],[JUMLAH]]="","",(NOTA[[#This Row],[JUMLAH]]-NOTA[[#This Row],[DISC 1-]])*NOTA[[#This Row],[DISC 2]])</f>
        <v/>
      </c>
      <c r="Z902" s="29" t="str">
        <f>IF(NOTA[[#This Row],[JUMLAH]]="","",NOTA[[#This Row],[DISC 1-]]+NOTA[[#This Row],[DISC 2-]])</f>
        <v/>
      </c>
      <c r="AA902" s="29" t="str">
        <f>IF(NOTA[[#This Row],[JUMLAH]]="","",NOTA[[#This Row],[JUMLAH]]-NOTA[[#This Row],[DISC]])</f>
        <v/>
      </c>
      <c r="AB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29" t="str">
        <f>IF(OR(NOTA[[#This Row],[QTY]]="",NOTA[[#This Row],[HARGA SATUAN]]="",),"",NOTA[[#This Row],[QTY]]*NOTA[[#This Row],[HARGA SATUAN]])</f>
        <v/>
      </c>
      <c r="AF902" s="18" t="str">
        <f ca="1">IF(NOTA[ID_H]="","",INDEX(NOTA[TANGGAL],MATCH(,INDIRECT(ADDRESS(ROW(NOTA[TANGGAL]),COLUMN(NOTA[TANGGAL]))&amp;":"&amp;ADDRESS(ROW(),COLUMN(NOTA[TANGGAL]))),-1)))</f>
        <v/>
      </c>
      <c r="AG902" s="19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22" t="str">
        <f>IF(NOTA[[#This Row],[ID_P]]="","",MATCH(NOTA[[#This Row],[ID_P]],[1]!B_MSK[N_ID],0))</f>
        <v/>
      </c>
      <c r="D903" s="22" t="str">
        <f ca="1">IF(NOTA[[#This Row],[NAMA BARANG]]="","",INDEX(NOTA[ID],MATCH(,INDIRECT(ADDRESS(ROW(NOTA[ID]),COLUMN(NOTA[ID]))&amp;":"&amp;ADDRESS(ROW(),COLUMN(NOTA[ID]))),-1)))</f>
        <v/>
      </c>
      <c r="E903" s="76"/>
      <c r="H903" s="24"/>
      <c r="Q903" s="158"/>
      <c r="R903" s="27"/>
      <c r="S903" s="21"/>
      <c r="U903" s="29"/>
      <c r="V903" s="88"/>
      <c r="W903" s="29" t="str">
        <f>IF(NOTA[[#This Row],[HARGA/ CTN]]="",NOTA[[#This Row],[JUMLAH_H]],NOTA[[#This Row],[HARGA/ CTN]]*NOTA[[#This Row],[C]])</f>
        <v/>
      </c>
      <c r="X903" s="29" t="str">
        <f>IF(NOTA[[#This Row],[JUMLAH]]="","",NOTA[[#This Row],[JUMLAH]]*NOTA[[#This Row],[DISC 1]])</f>
        <v/>
      </c>
      <c r="Y903" s="29" t="str">
        <f>IF(NOTA[[#This Row],[JUMLAH]]="","",(NOTA[[#This Row],[JUMLAH]]-NOTA[[#This Row],[DISC 1-]])*NOTA[[#This Row],[DISC 2]])</f>
        <v/>
      </c>
      <c r="Z903" s="29" t="str">
        <f>IF(NOTA[[#This Row],[JUMLAH]]="","",NOTA[[#This Row],[DISC 1-]]+NOTA[[#This Row],[DISC 2-]])</f>
        <v/>
      </c>
      <c r="AA903" s="29" t="str">
        <f>IF(NOTA[[#This Row],[JUMLAH]]="","",NOTA[[#This Row],[JUMLAH]]-NOTA[[#This Row],[DISC]])</f>
        <v/>
      </c>
      <c r="AB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29" t="str">
        <f>IF(OR(NOTA[[#This Row],[QTY]]="",NOTA[[#This Row],[HARGA SATUAN]]="",),"",NOTA[[#This Row],[QTY]]*NOTA[[#This Row],[HARGA SATUAN]])</f>
        <v/>
      </c>
      <c r="AF903" s="18" t="str">
        <f ca="1">IF(NOTA[ID_H]="","",INDEX(NOTA[TANGGAL],MATCH(,INDIRECT(ADDRESS(ROW(NOTA[TANGGAL]),COLUMN(NOTA[TANGGAL]))&amp;":"&amp;ADDRESS(ROW(),COLUMN(NOTA[TANGGAL]))),-1)))</f>
        <v/>
      </c>
      <c r="AG903" s="19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2" t="str">
        <f>IF(NOTA[[#This Row],[ID_P]]="","",MATCH(NOTA[[#This Row],[ID_P]],[1]!B_MSK[N_ID],0))</f>
        <v/>
      </c>
      <c r="D904" s="22" t="str">
        <f ca="1">IF(NOTA[[#This Row],[NAMA BARANG]]="","",INDEX(NOTA[ID],MATCH(,INDIRECT(ADDRESS(ROW(NOTA[ID]),COLUMN(NOTA[ID]))&amp;":"&amp;ADDRESS(ROW(),COLUMN(NOTA[ID]))),-1)))</f>
        <v/>
      </c>
      <c r="E904" s="76"/>
      <c r="H904" s="24"/>
      <c r="Q904" s="158"/>
      <c r="R904" s="27"/>
      <c r="S904" s="21"/>
      <c r="U904" s="29"/>
      <c r="V904" s="88"/>
      <c r="W904" s="29" t="str">
        <f>IF(NOTA[[#This Row],[HARGA/ CTN]]="",NOTA[[#This Row],[JUMLAH_H]],NOTA[[#This Row],[HARGA/ CTN]]*NOTA[[#This Row],[C]])</f>
        <v/>
      </c>
      <c r="X904" s="29" t="str">
        <f>IF(NOTA[[#This Row],[JUMLAH]]="","",NOTA[[#This Row],[JUMLAH]]*NOTA[[#This Row],[DISC 1]])</f>
        <v/>
      </c>
      <c r="Y904" s="29" t="str">
        <f>IF(NOTA[[#This Row],[JUMLAH]]="","",(NOTA[[#This Row],[JUMLAH]]-NOTA[[#This Row],[DISC 1-]])*NOTA[[#This Row],[DISC 2]])</f>
        <v/>
      </c>
      <c r="Z904" s="29" t="str">
        <f>IF(NOTA[[#This Row],[JUMLAH]]="","",NOTA[[#This Row],[DISC 1-]]+NOTA[[#This Row],[DISC 2-]])</f>
        <v/>
      </c>
      <c r="AA904" s="29" t="str">
        <f>IF(NOTA[[#This Row],[JUMLAH]]="","",NOTA[[#This Row],[JUMLAH]]-NOTA[[#This Row],[DISC]])</f>
        <v/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29" t="str">
        <f>IF(OR(NOTA[[#This Row],[QTY]]="",NOTA[[#This Row],[HARGA SATUAN]]="",),"",NOTA[[#This Row],[QTY]]*NOTA[[#This Row],[HARGA SATUAN]])</f>
        <v/>
      </c>
      <c r="AF904" s="18" t="str">
        <f ca="1">IF(NOTA[ID_H]="","",INDEX(NOTA[TANGGAL],MATCH(,INDIRECT(ADDRESS(ROW(NOTA[TANGGAL]),COLUMN(NOTA[TANGGAL]))&amp;":"&amp;ADDRESS(ROW(),COLUMN(NOTA[TANGGAL]))),-1)))</f>
        <v/>
      </c>
      <c r="AG904" s="19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2" t="str">
        <f>IF(NOTA[[#This Row],[ID_P]]="","",MATCH(NOTA[[#This Row],[ID_P]],[1]!B_MSK[N_ID],0))</f>
        <v/>
      </c>
      <c r="D905" s="22" t="str">
        <f ca="1">IF(NOTA[[#This Row],[NAMA BARANG]]="","",INDEX(NOTA[ID],MATCH(,INDIRECT(ADDRESS(ROW(NOTA[ID]),COLUMN(NOTA[ID]))&amp;":"&amp;ADDRESS(ROW(),COLUMN(NOTA[ID]))),-1)))</f>
        <v/>
      </c>
      <c r="E905" s="76"/>
      <c r="H905" s="24"/>
      <c r="Q905" s="158"/>
      <c r="R905" s="27"/>
      <c r="S905" s="21"/>
      <c r="U905" s="29"/>
      <c r="V905" s="88"/>
      <c r="W905" s="29" t="str">
        <f>IF(NOTA[[#This Row],[HARGA/ CTN]]="",NOTA[[#This Row],[JUMLAH_H]],NOTA[[#This Row],[HARGA/ CTN]]*NOTA[[#This Row],[C]])</f>
        <v/>
      </c>
      <c r="X905" s="29" t="str">
        <f>IF(NOTA[[#This Row],[JUMLAH]]="","",NOTA[[#This Row],[JUMLAH]]*NOTA[[#This Row],[DISC 1]])</f>
        <v/>
      </c>
      <c r="Y905" s="29" t="str">
        <f>IF(NOTA[[#This Row],[JUMLAH]]="","",(NOTA[[#This Row],[JUMLAH]]-NOTA[[#This Row],[DISC 1-]])*NOTA[[#This Row],[DISC 2]])</f>
        <v/>
      </c>
      <c r="Z905" s="29" t="str">
        <f>IF(NOTA[[#This Row],[JUMLAH]]="","",NOTA[[#This Row],[DISC 1-]]+NOTA[[#This Row],[DISC 2-]])</f>
        <v/>
      </c>
      <c r="AA905" s="29" t="str">
        <f>IF(NOTA[[#This Row],[JUMLAH]]="","",NOTA[[#This Row],[JUMLAH]]-NOTA[[#This Row],[DISC]])</f>
        <v/>
      </c>
      <c r="AB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29" t="str">
        <f>IF(OR(NOTA[[#This Row],[QTY]]="",NOTA[[#This Row],[HARGA SATUAN]]="",),"",NOTA[[#This Row],[QTY]]*NOTA[[#This Row],[HARGA SATUAN]])</f>
        <v/>
      </c>
      <c r="AF905" s="18" t="str">
        <f ca="1">IF(NOTA[ID_H]="","",INDEX(NOTA[TANGGAL],MATCH(,INDIRECT(ADDRESS(ROW(NOTA[TANGGAL]),COLUMN(NOTA[TANGGAL]))&amp;":"&amp;ADDRESS(ROW(),COLUMN(NOTA[TANGGAL]))),-1)))</f>
        <v/>
      </c>
      <c r="AG905" s="19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2" t="str">
        <f>IF(NOTA[[#This Row],[ID_P]]="","",MATCH(NOTA[[#This Row],[ID_P]],[1]!B_MSK[N_ID],0))</f>
        <v/>
      </c>
      <c r="D906" s="22" t="str">
        <f ca="1">IF(NOTA[[#This Row],[NAMA BARANG]]="","",INDEX(NOTA[ID],MATCH(,INDIRECT(ADDRESS(ROW(NOTA[ID]),COLUMN(NOTA[ID]))&amp;":"&amp;ADDRESS(ROW(),COLUMN(NOTA[ID]))),-1)))</f>
        <v/>
      </c>
      <c r="E906" s="76"/>
      <c r="H906" s="24"/>
      <c r="Q906" s="158"/>
      <c r="R906" s="27"/>
      <c r="S906" s="21"/>
      <c r="U906" s="29"/>
      <c r="V906" s="88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2" t="str">
        <f>IF(NOTA[[#This Row],[ID_P]]="","",MATCH(NOTA[[#This Row],[ID_P]],[1]!B_MSK[N_ID],0))</f>
        <v/>
      </c>
      <c r="D907" s="22" t="str">
        <f ca="1">IF(NOTA[[#This Row],[NAMA BARANG]]="","",INDEX(NOTA[ID],MATCH(,INDIRECT(ADDRESS(ROW(NOTA[ID]),COLUMN(NOTA[ID]))&amp;":"&amp;ADDRESS(ROW(),COLUMN(NOTA[ID]))),-1)))</f>
        <v/>
      </c>
      <c r="E907" s="76"/>
      <c r="H907" s="24"/>
      <c r="Q907" s="158"/>
      <c r="R907" s="27"/>
      <c r="S907" s="21"/>
      <c r="U907" s="29"/>
      <c r="V907" s="88"/>
      <c r="W907" s="29" t="str">
        <f>IF(NOTA[[#This Row],[HARGA/ CTN]]="",NOTA[[#This Row],[JUMLAH_H]],NOTA[[#This Row],[HARGA/ CTN]]*NOTA[[#This Row],[C]])</f>
        <v/>
      </c>
      <c r="X907" s="29" t="str">
        <f>IF(NOTA[[#This Row],[JUMLAH]]="","",NOTA[[#This Row],[JUMLAH]]*NOTA[[#This Row],[DISC 1]])</f>
        <v/>
      </c>
      <c r="Y907" s="29" t="str">
        <f>IF(NOTA[[#This Row],[JUMLAH]]="","",(NOTA[[#This Row],[JUMLAH]]-NOTA[[#This Row],[DISC 1-]])*NOTA[[#This Row],[DISC 2]])</f>
        <v/>
      </c>
      <c r="Z907" s="29" t="str">
        <f>IF(NOTA[[#This Row],[JUMLAH]]="","",NOTA[[#This Row],[DISC 1-]]+NOTA[[#This Row],[DISC 2-]])</f>
        <v/>
      </c>
      <c r="AA907" s="29" t="str">
        <f>IF(NOTA[[#This Row],[JUMLAH]]="","",NOTA[[#This Row],[JUMLAH]]-NOTA[[#This Row],[DISC]])</f>
        <v/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29" t="str">
        <f>IF(OR(NOTA[[#This Row],[QTY]]="",NOTA[[#This Row],[HARGA SATUAN]]="",),"",NOTA[[#This Row],[QTY]]*NOTA[[#This Row],[HARGA SATUAN]])</f>
        <v/>
      </c>
      <c r="AF907" s="18" t="str">
        <f ca="1">IF(NOTA[ID_H]="","",INDEX(NOTA[TANGGAL],MATCH(,INDIRECT(ADDRESS(ROW(NOTA[TANGGAL]),COLUMN(NOTA[TANGGAL]))&amp;":"&amp;ADDRESS(ROW(),COLUMN(NOTA[TANGGAL]))),-1)))</f>
        <v/>
      </c>
      <c r="AG907" s="19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2" t="str">
        <f>IF(NOTA[[#This Row],[ID_P]]="","",MATCH(NOTA[[#This Row],[ID_P]],[1]!B_MSK[N_ID],0))</f>
        <v/>
      </c>
      <c r="D908" s="22" t="str">
        <f ca="1">IF(NOTA[[#This Row],[NAMA BARANG]]="","",INDEX(NOTA[ID],MATCH(,INDIRECT(ADDRESS(ROW(NOTA[ID]),COLUMN(NOTA[ID]))&amp;":"&amp;ADDRESS(ROW(),COLUMN(NOTA[ID]))),-1)))</f>
        <v/>
      </c>
      <c r="E908" s="76"/>
      <c r="H908" s="24"/>
      <c r="Q908" s="158"/>
      <c r="R908" s="27"/>
      <c r="S908" s="21"/>
      <c r="U908" s="29"/>
      <c r="V908" s="88"/>
      <c r="W908" s="29" t="str">
        <f>IF(NOTA[[#This Row],[HARGA/ CTN]]="",NOTA[[#This Row],[JUMLAH_H]],NOTA[[#This Row],[HARGA/ CTN]]*NOTA[[#This Row],[C]])</f>
        <v/>
      </c>
      <c r="X908" s="29" t="str">
        <f>IF(NOTA[[#This Row],[JUMLAH]]="","",NOTA[[#This Row],[JUMLAH]]*NOTA[[#This Row],[DISC 1]])</f>
        <v/>
      </c>
      <c r="Y908" s="29" t="str">
        <f>IF(NOTA[[#This Row],[JUMLAH]]="","",(NOTA[[#This Row],[JUMLAH]]-NOTA[[#This Row],[DISC 1-]])*NOTA[[#This Row],[DISC 2]])</f>
        <v/>
      </c>
      <c r="Z908" s="29" t="str">
        <f>IF(NOTA[[#This Row],[JUMLAH]]="","",NOTA[[#This Row],[DISC 1-]]+NOTA[[#This Row],[DISC 2-]])</f>
        <v/>
      </c>
      <c r="AA908" s="29" t="str">
        <f>IF(NOTA[[#This Row],[JUMLAH]]="","",NOTA[[#This Row],[JUMLAH]]-NOTA[[#This Row],[DISC]])</f>
        <v/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29" t="str">
        <f>IF(OR(NOTA[[#This Row],[QTY]]="",NOTA[[#This Row],[HARGA SATUAN]]="",),"",NOTA[[#This Row],[QTY]]*NOTA[[#This Row],[HARGA SATUAN]])</f>
        <v/>
      </c>
      <c r="AF908" s="18" t="str">
        <f ca="1">IF(NOTA[ID_H]="","",INDEX(NOTA[TANGGAL],MATCH(,INDIRECT(ADDRESS(ROW(NOTA[TANGGAL]),COLUMN(NOTA[TANGGAL]))&amp;":"&amp;ADDRESS(ROW(),COLUMN(NOTA[TANGGAL]))),-1)))</f>
        <v/>
      </c>
      <c r="AG908" s="19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2" t="str">
        <f>IF(NOTA[[#This Row],[ID_P]]="","",MATCH(NOTA[[#This Row],[ID_P]],[1]!B_MSK[N_ID],0))</f>
        <v/>
      </c>
      <c r="D909" s="22" t="str">
        <f ca="1">IF(NOTA[[#This Row],[NAMA BARANG]]="","",INDEX(NOTA[ID],MATCH(,INDIRECT(ADDRESS(ROW(NOTA[ID]),COLUMN(NOTA[ID]))&amp;":"&amp;ADDRESS(ROW(),COLUMN(NOTA[ID]))),-1)))</f>
        <v/>
      </c>
      <c r="E909" s="76"/>
      <c r="H909" s="24"/>
      <c r="Q909" s="158"/>
      <c r="R909" s="27"/>
      <c r="S909" s="21"/>
      <c r="U909" s="29"/>
      <c r="V909" s="88"/>
      <c r="W909" s="29" t="str">
        <f>IF(NOTA[[#This Row],[HARGA/ CTN]]="",NOTA[[#This Row],[JUMLAH_H]],NOTA[[#This Row],[HARGA/ CTN]]*NOTA[[#This Row],[C]])</f>
        <v/>
      </c>
      <c r="X909" s="29" t="str">
        <f>IF(NOTA[[#This Row],[JUMLAH]]="","",NOTA[[#This Row],[JUMLAH]]*NOTA[[#This Row],[DISC 1]])</f>
        <v/>
      </c>
      <c r="Y909" s="29" t="str">
        <f>IF(NOTA[[#This Row],[JUMLAH]]="","",(NOTA[[#This Row],[JUMLAH]]-NOTA[[#This Row],[DISC 1-]])*NOTA[[#This Row],[DISC 2]])</f>
        <v/>
      </c>
      <c r="Z909" s="29" t="str">
        <f>IF(NOTA[[#This Row],[JUMLAH]]="","",NOTA[[#This Row],[DISC 1-]]+NOTA[[#This Row],[DISC 2-]])</f>
        <v/>
      </c>
      <c r="AA909" s="29" t="str">
        <f>IF(NOTA[[#This Row],[JUMLAH]]="","",NOTA[[#This Row],[JUMLAH]]-NOTA[[#This Row],[DISC]])</f>
        <v/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29" t="str">
        <f>IF(OR(NOTA[[#This Row],[QTY]]="",NOTA[[#This Row],[HARGA SATUAN]]="",),"",NOTA[[#This Row],[QTY]]*NOTA[[#This Row],[HARGA SATUAN]])</f>
        <v/>
      </c>
      <c r="AF909" s="18" t="str">
        <f ca="1">IF(NOTA[ID_H]="","",INDEX(NOTA[TANGGAL],MATCH(,INDIRECT(ADDRESS(ROW(NOTA[TANGGAL]),COLUMN(NOTA[TANGGAL]))&amp;":"&amp;ADDRESS(ROW(),COLUMN(NOTA[TANGGAL]))),-1)))</f>
        <v/>
      </c>
      <c r="AG909" s="19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2" t="str">
        <f>IF(NOTA[[#This Row],[ID_P]]="","",MATCH(NOTA[[#This Row],[ID_P]],[1]!B_MSK[N_ID],0))</f>
        <v/>
      </c>
      <c r="D910" s="22" t="str">
        <f ca="1">IF(NOTA[[#This Row],[NAMA BARANG]]="","",INDEX(NOTA[ID],MATCH(,INDIRECT(ADDRESS(ROW(NOTA[ID]),COLUMN(NOTA[ID]))&amp;":"&amp;ADDRESS(ROW(),COLUMN(NOTA[ID]))),-1)))</f>
        <v/>
      </c>
      <c r="E910" s="76"/>
      <c r="H910" s="24"/>
      <c r="Q910" s="158"/>
      <c r="R910" s="27"/>
      <c r="S910" s="21"/>
      <c r="U910" s="29"/>
      <c r="V910" s="88"/>
      <c r="W910" s="29" t="str">
        <f>IF(NOTA[[#This Row],[HARGA/ CTN]]="",NOTA[[#This Row],[JUMLAH_H]],NOTA[[#This Row],[HARGA/ CTN]]*NOTA[[#This Row],[C]])</f>
        <v/>
      </c>
      <c r="X910" s="29" t="str">
        <f>IF(NOTA[[#This Row],[JUMLAH]]="","",NOTA[[#This Row],[JUMLAH]]*NOTA[[#This Row],[DISC 1]])</f>
        <v/>
      </c>
      <c r="Y910" s="29" t="str">
        <f>IF(NOTA[[#This Row],[JUMLAH]]="","",(NOTA[[#This Row],[JUMLAH]]-NOTA[[#This Row],[DISC 1-]])*NOTA[[#This Row],[DISC 2]])</f>
        <v/>
      </c>
      <c r="Z910" s="29" t="str">
        <f>IF(NOTA[[#This Row],[JUMLAH]]="","",NOTA[[#This Row],[DISC 1-]]+NOTA[[#This Row],[DISC 2-]])</f>
        <v/>
      </c>
      <c r="AA910" s="29" t="str">
        <f>IF(NOTA[[#This Row],[JUMLAH]]="","",NOTA[[#This Row],[JUMLAH]]-NOTA[[#This Row],[DISC]])</f>
        <v/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29" t="str">
        <f>IF(OR(NOTA[[#This Row],[QTY]]="",NOTA[[#This Row],[HARGA SATUAN]]="",),"",NOTA[[#This Row],[QTY]]*NOTA[[#This Row],[HARGA SATUAN]])</f>
        <v/>
      </c>
      <c r="AF910" s="18" t="str">
        <f ca="1">IF(NOTA[ID_H]="","",INDEX(NOTA[TANGGAL],MATCH(,INDIRECT(ADDRESS(ROW(NOTA[TANGGAL]),COLUMN(NOTA[TANGGAL]))&amp;":"&amp;ADDRESS(ROW(),COLUMN(NOTA[TANGGAL]))),-1)))</f>
        <v/>
      </c>
      <c r="AG910" s="19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2" t="str">
        <f>IF(NOTA[[#This Row],[ID_P]]="","",MATCH(NOTA[[#This Row],[ID_P]],[1]!B_MSK[N_ID],0))</f>
        <v/>
      </c>
      <c r="D911" s="22" t="str">
        <f ca="1">IF(NOTA[[#This Row],[NAMA BARANG]]="","",INDEX(NOTA[ID],MATCH(,INDIRECT(ADDRESS(ROW(NOTA[ID]),COLUMN(NOTA[ID]))&amp;":"&amp;ADDRESS(ROW(),COLUMN(NOTA[ID]))),-1)))</f>
        <v/>
      </c>
      <c r="E911" s="76"/>
      <c r="H911" s="24"/>
      <c r="Q911" s="158"/>
      <c r="R911" s="27"/>
      <c r="S911" s="21"/>
      <c r="U911" s="29"/>
      <c r="V911" s="88"/>
      <c r="W911" s="29" t="str">
        <f>IF(NOTA[[#This Row],[HARGA/ CTN]]="",NOTA[[#This Row],[JUMLAH_H]],NOTA[[#This Row],[HARGA/ CTN]]*NOTA[[#This Row],[C]])</f>
        <v/>
      </c>
      <c r="X911" s="29" t="str">
        <f>IF(NOTA[[#This Row],[JUMLAH]]="","",NOTA[[#This Row],[JUMLAH]]*NOTA[[#This Row],[DISC 1]])</f>
        <v/>
      </c>
      <c r="Y911" s="29" t="str">
        <f>IF(NOTA[[#This Row],[JUMLAH]]="","",(NOTA[[#This Row],[JUMLAH]]-NOTA[[#This Row],[DISC 1-]])*NOTA[[#This Row],[DISC 2]])</f>
        <v/>
      </c>
      <c r="Z911" s="29" t="str">
        <f>IF(NOTA[[#This Row],[JUMLAH]]="","",NOTA[[#This Row],[DISC 1-]]+NOTA[[#This Row],[DISC 2-]])</f>
        <v/>
      </c>
      <c r="AA911" s="29" t="str">
        <f>IF(NOTA[[#This Row],[JUMLAH]]="","",NOTA[[#This Row],[JUMLAH]]-NOTA[[#This Row],[DISC]])</f>
        <v/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29" t="str">
        <f>IF(OR(NOTA[[#This Row],[QTY]]="",NOTA[[#This Row],[HARGA SATUAN]]="",),"",NOTA[[#This Row],[QTY]]*NOTA[[#This Row],[HARGA SATUAN]])</f>
        <v/>
      </c>
      <c r="AF911" s="18" t="str">
        <f ca="1">IF(NOTA[ID_H]="","",INDEX(NOTA[TANGGAL],MATCH(,INDIRECT(ADDRESS(ROW(NOTA[TANGGAL]),COLUMN(NOTA[TANGGAL]))&amp;":"&amp;ADDRESS(ROW(),COLUMN(NOTA[TANGGAL]))),-1)))</f>
        <v/>
      </c>
      <c r="AG911" s="19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2" t="str">
        <f>IF(NOTA[[#This Row],[ID_P]]="","",MATCH(NOTA[[#This Row],[ID_P]],[1]!B_MSK[N_ID],0))</f>
        <v/>
      </c>
      <c r="D912" s="22" t="str">
        <f ca="1">IF(NOTA[[#This Row],[NAMA BARANG]]="","",INDEX(NOTA[ID],MATCH(,INDIRECT(ADDRESS(ROW(NOTA[ID]),COLUMN(NOTA[ID]))&amp;":"&amp;ADDRESS(ROW(),COLUMN(NOTA[ID]))),-1)))</f>
        <v/>
      </c>
      <c r="E912" s="76"/>
      <c r="H912" s="24"/>
      <c r="Q912" s="158"/>
      <c r="R912" s="27"/>
      <c r="S912" s="21"/>
      <c r="U912" s="29"/>
      <c r="V912" s="88"/>
      <c r="W912" s="29" t="str">
        <f>IF(NOTA[[#This Row],[HARGA/ CTN]]="",NOTA[[#This Row],[JUMLAH_H]],NOTA[[#This Row],[HARGA/ CTN]]*NOTA[[#This Row],[C]])</f>
        <v/>
      </c>
      <c r="X912" s="29" t="str">
        <f>IF(NOTA[[#This Row],[JUMLAH]]="","",NOTA[[#This Row],[JUMLAH]]*NOTA[[#This Row],[DISC 1]])</f>
        <v/>
      </c>
      <c r="Y912" s="29" t="str">
        <f>IF(NOTA[[#This Row],[JUMLAH]]="","",(NOTA[[#This Row],[JUMLAH]]-NOTA[[#This Row],[DISC 1-]])*NOTA[[#This Row],[DISC 2]])</f>
        <v/>
      </c>
      <c r="Z912" s="29" t="str">
        <f>IF(NOTA[[#This Row],[JUMLAH]]="","",NOTA[[#This Row],[DISC 1-]]+NOTA[[#This Row],[DISC 2-]])</f>
        <v/>
      </c>
      <c r="AA912" s="29" t="str">
        <f>IF(NOTA[[#This Row],[JUMLAH]]="","",NOTA[[#This Row],[JUMLAH]]-NOTA[[#This Row],[DISC]])</f>
        <v/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29" t="str">
        <f>IF(OR(NOTA[[#This Row],[QTY]]="",NOTA[[#This Row],[HARGA SATUAN]]="",),"",NOTA[[#This Row],[QTY]]*NOTA[[#This Row],[HARGA SATUAN]])</f>
        <v/>
      </c>
      <c r="AF912" s="18" t="str">
        <f ca="1">IF(NOTA[ID_H]="","",INDEX(NOTA[TANGGAL],MATCH(,INDIRECT(ADDRESS(ROW(NOTA[TANGGAL]),COLUMN(NOTA[TANGGAL]))&amp;":"&amp;ADDRESS(ROW(),COLUMN(NOTA[TANGGAL]))),-1)))</f>
        <v/>
      </c>
      <c r="AG912" s="19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2" t="str">
        <f>IF(NOTA[[#This Row],[ID_P]]="","",MATCH(NOTA[[#This Row],[ID_P]],[1]!B_MSK[N_ID],0))</f>
        <v/>
      </c>
      <c r="D913" s="22" t="str">
        <f ca="1">IF(NOTA[[#This Row],[NAMA BARANG]]="","",INDEX(NOTA[ID],MATCH(,INDIRECT(ADDRESS(ROW(NOTA[ID]),COLUMN(NOTA[ID]))&amp;":"&amp;ADDRESS(ROW(),COLUMN(NOTA[ID]))),-1)))</f>
        <v/>
      </c>
      <c r="E913" s="76"/>
      <c r="H913" s="24"/>
      <c r="Q913" s="158"/>
      <c r="R913" s="27"/>
      <c r="S913" s="21"/>
      <c r="U913" s="29"/>
      <c r="V913" s="88"/>
      <c r="W913" s="29" t="str">
        <f>IF(NOTA[[#This Row],[HARGA/ CTN]]="",NOTA[[#This Row],[JUMLAH_H]],NOTA[[#This Row],[HARGA/ CTN]]*NOTA[[#This Row],[C]])</f>
        <v/>
      </c>
      <c r="X913" s="29" t="str">
        <f>IF(NOTA[[#This Row],[JUMLAH]]="","",NOTA[[#This Row],[JUMLAH]]*NOTA[[#This Row],[DISC 1]])</f>
        <v/>
      </c>
      <c r="Y913" s="29" t="str">
        <f>IF(NOTA[[#This Row],[JUMLAH]]="","",(NOTA[[#This Row],[JUMLAH]]-NOTA[[#This Row],[DISC 1-]])*NOTA[[#This Row],[DISC 2]])</f>
        <v/>
      </c>
      <c r="Z913" s="29" t="str">
        <f>IF(NOTA[[#This Row],[JUMLAH]]="","",NOTA[[#This Row],[DISC 1-]]+NOTA[[#This Row],[DISC 2-]])</f>
        <v/>
      </c>
      <c r="AA913" s="29" t="str">
        <f>IF(NOTA[[#This Row],[JUMLAH]]="","",NOTA[[#This Row],[JUMLAH]]-NOTA[[#This Row],[DISC]])</f>
        <v/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29" t="str">
        <f>IF(OR(NOTA[[#This Row],[QTY]]="",NOTA[[#This Row],[HARGA SATUAN]]="",),"",NOTA[[#This Row],[QTY]]*NOTA[[#This Row],[HARGA SATUAN]])</f>
        <v/>
      </c>
      <c r="AF913" s="18" t="str">
        <f ca="1">IF(NOTA[ID_H]="","",INDEX(NOTA[TANGGAL],MATCH(,INDIRECT(ADDRESS(ROW(NOTA[TANGGAL]),COLUMN(NOTA[TANGGAL]))&amp;":"&amp;ADDRESS(ROW(),COLUMN(NOTA[TANGGAL]))),-1)))</f>
        <v/>
      </c>
      <c r="AG913" s="19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2" t="str">
        <f>IF(NOTA[[#This Row],[ID_P]]="","",MATCH(NOTA[[#This Row],[ID_P]],[1]!B_MSK[N_ID],0))</f>
        <v/>
      </c>
      <c r="D914" s="22" t="str">
        <f ca="1">IF(NOTA[[#This Row],[NAMA BARANG]]="","",INDEX(NOTA[ID],MATCH(,INDIRECT(ADDRESS(ROW(NOTA[ID]),COLUMN(NOTA[ID]))&amp;":"&amp;ADDRESS(ROW(),COLUMN(NOTA[ID]))),-1)))</f>
        <v/>
      </c>
      <c r="E914" s="76"/>
      <c r="H914" s="24"/>
      <c r="Q914" s="158"/>
      <c r="R914" s="27"/>
      <c r="S914" s="21"/>
      <c r="U914" s="29"/>
      <c r="V914" s="88"/>
      <c r="W914" s="29" t="str">
        <f>IF(NOTA[[#This Row],[HARGA/ CTN]]="",NOTA[[#This Row],[JUMLAH_H]],NOTA[[#This Row],[HARGA/ CTN]]*NOTA[[#This Row],[C]])</f>
        <v/>
      </c>
      <c r="X914" s="29" t="str">
        <f>IF(NOTA[[#This Row],[JUMLAH]]="","",NOTA[[#This Row],[JUMLAH]]*NOTA[[#This Row],[DISC 1]])</f>
        <v/>
      </c>
      <c r="Y914" s="29" t="str">
        <f>IF(NOTA[[#This Row],[JUMLAH]]="","",(NOTA[[#This Row],[JUMLAH]]-NOTA[[#This Row],[DISC 1-]])*NOTA[[#This Row],[DISC 2]])</f>
        <v/>
      </c>
      <c r="Z914" s="29" t="str">
        <f>IF(NOTA[[#This Row],[JUMLAH]]="","",NOTA[[#This Row],[DISC 1-]]+NOTA[[#This Row],[DISC 2-]])</f>
        <v/>
      </c>
      <c r="AA914" s="29" t="str">
        <f>IF(NOTA[[#This Row],[JUMLAH]]="","",NOTA[[#This Row],[JUMLAH]]-NOTA[[#This Row],[DISC]])</f>
        <v/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29" t="str">
        <f>IF(OR(NOTA[[#This Row],[QTY]]="",NOTA[[#This Row],[HARGA SATUAN]]="",),"",NOTA[[#This Row],[QTY]]*NOTA[[#This Row],[HARGA SATUAN]])</f>
        <v/>
      </c>
      <c r="AF914" s="18" t="str">
        <f ca="1">IF(NOTA[ID_H]="","",INDEX(NOTA[TANGGAL],MATCH(,INDIRECT(ADDRESS(ROW(NOTA[TANGGAL]),COLUMN(NOTA[TANGGAL]))&amp;":"&amp;ADDRESS(ROW(),COLUMN(NOTA[TANGGAL]))),-1)))</f>
        <v/>
      </c>
      <c r="AG914" s="19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2" t="str">
        <f>IF(NOTA[[#This Row],[ID_P]]="","",MATCH(NOTA[[#This Row],[ID_P]],[1]!B_MSK[N_ID],0))</f>
        <v/>
      </c>
      <c r="D915" s="22" t="str">
        <f ca="1">IF(NOTA[[#This Row],[NAMA BARANG]]="","",INDEX(NOTA[ID],MATCH(,INDIRECT(ADDRESS(ROW(NOTA[ID]),COLUMN(NOTA[ID]))&amp;":"&amp;ADDRESS(ROW(),COLUMN(NOTA[ID]))),-1)))</f>
        <v/>
      </c>
      <c r="E915" s="76"/>
      <c r="H915" s="24"/>
      <c r="Q915" s="158"/>
      <c r="R915" s="27"/>
      <c r="S915" s="21"/>
      <c r="U915" s="29"/>
      <c r="V915" s="88"/>
      <c r="W915" s="29" t="str">
        <f>IF(NOTA[[#This Row],[HARGA/ CTN]]="",NOTA[[#This Row],[JUMLAH_H]],NOTA[[#This Row],[HARGA/ CTN]]*NOTA[[#This Row],[C]])</f>
        <v/>
      </c>
      <c r="X915" s="29" t="str">
        <f>IF(NOTA[[#This Row],[JUMLAH]]="","",NOTA[[#This Row],[JUMLAH]]*NOTA[[#This Row],[DISC 1]])</f>
        <v/>
      </c>
      <c r="Y915" s="29" t="str">
        <f>IF(NOTA[[#This Row],[JUMLAH]]="","",(NOTA[[#This Row],[JUMLAH]]-NOTA[[#This Row],[DISC 1-]])*NOTA[[#This Row],[DISC 2]])</f>
        <v/>
      </c>
      <c r="Z915" s="29" t="str">
        <f>IF(NOTA[[#This Row],[JUMLAH]]="","",NOTA[[#This Row],[DISC 1-]]+NOTA[[#This Row],[DISC 2-]])</f>
        <v/>
      </c>
      <c r="AA915" s="29" t="str">
        <f>IF(NOTA[[#This Row],[JUMLAH]]="","",NOTA[[#This Row],[JUMLAH]]-NOTA[[#This Row],[DISC]])</f>
        <v/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9" t="str">
        <f>IF(OR(NOTA[[#This Row],[QTY]]="",NOTA[[#This Row],[HARGA SATUAN]]="",),"",NOTA[[#This Row],[QTY]]*NOTA[[#This Row],[HARGA SATUAN]])</f>
        <v/>
      </c>
      <c r="AF915" s="18" t="str">
        <f ca="1">IF(NOTA[ID_H]="","",INDEX(NOTA[TANGGAL],MATCH(,INDIRECT(ADDRESS(ROW(NOTA[TANGGAL]),COLUMN(NOTA[TANGGAL]))&amp;":"&amp;ADDRESS(ROW(),COLUMN(NOTA[TANGGAL]))),-1)))</f>
        <v/>
      </c>
      <c r="AG915" s="19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2" t="str">
        <f>IF(NOTA[[#This Row],[ID_P]]="","",MATCH(NOTA[[#This Row],[ID_P]],[1]!B_MSK[N_ID],0))</f>
        <v/>
      </c>
      <c r="D916" s="22" t="str">
        <f ca="1">IF(NOTA[[#This Row],[NAMA BARANG]]="","",INDEX(NOTA[ID],MATCH(,INDIRECT(ADDRESS(ROW(NOTA[ID]),COLUMN(NOTA[ID]))&amp;":"&amp;ADDRESS(ROW(),COLUMN(NOTA[ID]))),-1)))</f>
        <v/>
      </c>
      <c r="E916" s="76"/>
      <c r="H916" s="24"/>
      <c r="Q916" s="158"/>
      <c r="R916" s="27"/>
      <c r="S916" s="21"/>
      <c r="U916" s="29"/>
      <c r="V916" s="88"/>
      <c r="W916" s="29" t="str">
        <f>IF(NOTA[[#This Row],[HARGA/ CTN]]="",NOTA[[#This Row],[JUMLAH_H]],NOTA[[#This Row],[HARGA/ CTN]]*NOTA[[#This Row],[C]])</f>
        <v/>
      </c>
      <c r="X916" s="29" t="str">
        <f>IF(NOTA[[#This Row],[JUMLAH]]="","",NOTA[[#This Row],[JUMLAH]]*NOTA[[#This Row],[DISC 1]])</f>
        <v/>
      </c>
      <c r="Y916" s="29" t="str">
        <f>IF(NOTA[[#This Row],[JUMLAH]]="","",(NOTA[[#This Row],[JUMLAH]]-NOTA[[#This Row],[DISC 1-]])*NOTA[[#This Row],[DISC 2]])</f>
        <v/>
      </c>
      <c r="Z916" s="29" t="str">
        <f>IF(NOTA[[#This Row],[JUMLAH]]="","",NOTA[[#This Row],[DISC 1-]]+NOTA[[#This Row],[DISC 2-]])</f>
        <v/>
      </c>
      <c r="AA916" s="29" t="str">
        <f>IF(NOTA[[#This Row],[JUMLAH]]="","",NOTA[[#This Row],[JUMLAH]]-NOTA[[#This Row],[DISC]])</f>
        <v/>
      </c>
      <c r="AB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29" t="str">
        <f>IF(OR(NOTA[[#This Row],[QTY]]="",NOTA[[#This Row],[HARGA SATUAN]]="",),"",NOTA[[#This Row],[QTY]]*NOTA[[#This Row],[HARGA SATUAN]])</f>
        <v/>
      </c>
      <c r="AF916" s="18" t="str">
        <f ca="1">IF(NOTA[ID_H]="","",INDEX(NOTA[TANGGAL],MATCH(,INDIRECT(ADDRESS(ROW(NOTA[TANGGAL]),COLUMN(NOTA[TANGGAL]))&amp;":"&amp;ADDRESS(ROW(),COLUMN(NOTA[TANGGAL]))),-1)))</f>
        <v/>
      </c>
      <c r="AG916" s="19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2" t="str">
        <f>IF(NOTA[[#This Row],[ID_P]]="","",MATCH(NOTA[[#This Row],[ID_P]],[1]!B_MSK[N_ID],0))</f>
        <v/>
      </c>
      <c r="D917" s="22" t="str">
        <f ca="1">IF(NOTA[[#This Row],[NAMA BARANG]]="","",INDEX(NOTA[ID],MATCH(,INDIRECT(ADDRESS(ROW(NOTA[ID]),COLUMN(NOTA[ID]))&amp;":"&amp;ADDRESS(ROW(),COLUMN(NOTA[ID]))),-1)))</f>
        <v/>
      </c>
      <c r="E917" s="76"/>
      <c r="H917" s="24"/>
      <c r="Q917" s="158"/>
      <c r="R917" s="27"/>
      <c r="S917" s="21"/>
      <c r="U917" s="29"/>
      <c r="V917" s="88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2" t="str">
        <f>IF(NOTA[[#This Row],[ID_P]]="","",MATCH(NOTA[[#This Row],[ID_P]],[1]!B_MSK[N_ID],0))</f>
        <v/>
      </c>
      <c r="D918" s="22" t="str">
        <f ca="1">IF(NOTA[[#This Row],[NAMA BARANG]]="","",INDEX(NOTA[ID],MATCH(,INDIRECT(ADDRESS(ROW(NOTA[ID]),COLUMN(NOTA[ID]))&amp;":"&amp;ADDRESS(ROW(),COLUMN(NOTA[ID]))),-1)))</f>
        <v/>
      </c>
      <c r="E918" s="76"/>
      <c r="H918" s="24"/>
      <c r="Q918" s="158"/>
      <c r="R918" s="27"/>
      <c r="S918" s="21"/>
      <c r="U918" s="29"/>
      <c r="V918" s="88"/>
      <c r="W918" s="29" t="str">
        <f>IF(NOTA[[#This Row],[HARGA/ CTN]]="",NOTA[[#This Row],[JUMLAH_H]],NOTA[[#This Row],[HARGA/ CTN]]*NOTA[[#This Row],[C]])</f>
        <v/>
      </c>
      <c r="X918" s="29" t="str">
        <f>IF(NOTA[[#This Row],[JUMLAH]]="","",NOTA[[#This Row],[JUMLAH]]*NOTA[[#This Row],[DISC 1]])</f>
        <v/>
      </c>
      <c r="Y918" s="29" t="str">
        <f>IF(NOTA[[#This Row],[JUMLAH]]="","",(NOTA[[#This Row],[JUMLAH]]-NOTA[[#This Row],[DISC 1-]])*NOTA[[#This Row],[DISC 2]])</f>
        <v/>
      </c>
      <c r="Z918" s="29" t="str">
        <f>IF(NOTA[[#This Row],[JUMLAH]]="","",NOTA[[#This Row],[DISC 1-]]+NOTA[[#This Row],[DISC 2-]])</f>
        <v/>
      </c>
      <c r="AA918" s="29" t="str">
        <f>IF(NOTA[[#This Row],[JUMLAH]]="","",NOTA[[#This Row],[JUMLAH]]-NOTA[[#This Row],[DISC]])</f>
        <v/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29" t="str">
        <f>IF(OR(NOTA[[#This Row],[QTY]]="",NOTA[[#This Row],[HARGA SATUAN]]="",),"",NOTA[[#This Row],[QTY]]*NOTA[[#This Row],[HARGA SATUAN]])</f>
        <v/>
      </c>
      <c r="AF918" s="18" t="str">
        <f ca="1">IF(NOTA[ID_H]="","",INDEX(NOTA[TANGGAL],MATCH(,INDIRECT(ADDRESS(ROW(NOTA[TANGGAL]),COLUMN(NOTA[TANGGAL]))&amp;":"&amp;ADDRESS(ROW(),COLUMN(NOTA[TANGGAL]))),-1)))</f>
        <v/>
      </c>
      <c r="AG918" s="19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2" t="str">
        <f>IF(NOTA[[#This Row],[ID_P]]="","",MATCH(NOTA[[#This Row],[ID_P]],[1]!B_MSK[N_ID],0))</f>
        <v/>
      </c>
      <c r="D919" s="22" t="str">
        <f ca="1">IF(NOTA[[#This Row],[NAMA BARANG]]="","",INDEX(NOTA[ID],MATCH(,INDIRECT(ADDRESS(ROW(NOTA[ID]),COLUMN(NOTA[ID]))&amp;":"&amp;ADDRESS(ROW(),COLUMN(NOTA[ID]))),-1)))</f>
        <v/>
      </c>
      <c r="E919" s="76"/>
      <c r="H919" s="24"/>
      <c r="Q919" s="158"/>
      <c r="R919" s="27"/>
      <c r="S919" s="21"/>
      <c r="U919" s="29"/>
      <c r="V919" s="88"/>
      <c r="W919" s="29" t="str">
        <f>IF(NOTA[[#This Row],[HARGA/ CTN]]="",NOTA[[#This Row],[JUMLAH_H]],NOTA[[#This Row],[HARGA/ CTN]]*NOTA[[#This Row],[C]])</f>
        <v/>
      </c>
      <c r="X919" s="29" t="str">
        <f>IF(NOTA[[#This Row],[JUMLAH]]="","",NOTA[[#This Row],[JUMLAH]]*NOTA[[#This Row],[DISC 1]])</f>
        <v/>
      </c>
      <c r="Y919" s="29" t="str">
        <f>IF(NOTA[[#This Row],[JUMLAH]]="","",(NOTA[[#This Row],[JUMLAH]]-NOTA[[#This Row],[DISC 1-]])*NOTA[[#This Row],[DISC 2]])</f>
        <v/>
      </c>
      <c r="Z919" s="29" t="str">
        <f>IF(NOTA[[#This Row],[JUMLAH]]="","",NOTA[[#This Row],[DISC 1-]]+NOTA[[#This Row],[DISC 2-]])</f>
        <v/>
      </c>
      <c r="AA919" s="29" t="str">
        <f>IF(NOTA[[#This Row],[JUMLAH]]="","",NOTA[[#This Row],[JUMLAH]]-NOTA[[#This Row],[DISC]])</f>
        <v/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29" t="str">
        <f>IF(OR(NOTA[[#This Row],[QTY]]="",NOTA[[#This Row],[HARGA SATUAN]]="",),"",NOTA[[#This Row],[QTY]]*NOTA[[#This Row],[HARGA SATUAN]])</f>
        <v/>
      </c>
      <c r="AF919" s="18" t="str">
        <f ca="1">IF(NOTA[ID_H]="","",INDEX(NOTA[TANGGAL],MATCH(,INDIRECT(ADDRESS(ROW(NOTA[TANGGAL]),COLUMN(NOTA[TANGGAL]))&amp;":"&amp;ADDRESS(ROW(),COLUMN(NOTA[TANGGAL]))),-1)))</f>
        <v/>
      </c>
      <c r="AG919" s="19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2" t="str">
        <f>IF(NOTA[[#This Row],[ID_P]]="","",MATCH(NOTA[[#This Row],[ID_P]],[1]!B_MSK[N_ID],0))</f>
        <v/>
      </c>
      <c r="D920" s="22" t="str">
        <f ca="1">IF(NOTA[[#This Row],[NAMA BARANG]]="","",INDEX(NOTA[ID],MATCH(,INDIRECT(ADDRESS(ROW(NOTA[ID]),COLUMN(NOTA[ID]))&amp;":"&amp;ADDRESS(ROW(),COLUMN(NOTA[ID]))),-1)))</f>
        <v/>
      </c>
      <c r="E920" s="76"/>
      <c r="H920" s="24"/>
      <c r="Q920" s="158"/>
      <c r="R920" s="27"/>
      <c r="S920" s="21"/>
      <c r="U920" s="29"/>
      <c r="V920" s="88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2" t="str">
        <f>IF(NOTA[[#This Row],[ID_P]]="","",MATCH(NOTA[[#This Row],[ID_P]],[1]!B_MSK[N_ID],0))</f>
        <v/>
      </c>
      <c r="D921" s="22" t="str">
        <f ca="1">IF(NOTA[[#This Row],[NAMA BARANG]]="","",INDEX(NOTA[ID],MATCH(,INDIRECT(ADDRESS(ROW(NOTA[ID]),COLUMN(NOTA[ID]))&amp;":"&amp;ADDRESS(ROW(),COLUMN(NOTA[ID]))),-1)))</f>
        <v/>
      </c>
      <c r="E921" s="76"/>
      <c r="H921" s="24"/>
      <c r="Q921" s="158"/>
      <c r="R921" s="27"/>
      <c r="S921" s="21"/>
      <c r="U921" s="29"/>
      <c r="V921" s="88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2" t="str">
        <f>IF(NOTA[[#This Row],[ID_P]]="","",MATCH(NOTA[[#This Row],[ID_P]],[1]!B_MSK[N_ID],0))</f>
        <v/>
      </c>
      <c r="D922" s="22" t="str">
        <f ca="1">IF(NOTA[[#This Row],[NAMA BARANG]]="","",INDEX(NOTA[ID],MATCH(,INDIRECT(ADDRESS(ROW(NOTA[ID]),COLUMN(NOTA[ID]))&amp;":"&amp;ADDRESS(ROW(),COLUMN(NOTA[ID]))),-1)))</f>
        <v/>
      </c>
      <c r="E922" s="76"/>
      <c r="H922" s="24"/>
      <c r="Q922" s="158"/>
      <c r="R922" s="27"/>
      <c r="S922" s="21"/>
      <c r="U922" s="29"/>
      <c r="V922" s="88"/>
      <c r="W922" s="29" t="str">
        <f>IF(NOTA[[#This Row],[HARGA/ CTN]]="",NOTA[[#This Row],[JUMLAH_H]],NOTA[[#This Row],[HARGA/ CTN]]*NOTA[[#This Row],[C]])</f>
        <v/>
      </c>
      <c r="X922" s="29" t="str">
        <f>IF(NOTA[[#This Row],[JUMLAH]]="","",NOTA[[#This Row],[JUMLAH]]*NOTA[[#This Row],[DISC 1]])</f>
        <v/>
      </c>
      <c r="Y922" s="29" t="str">
        <f>IF(NOTA[[#This Row],[JUMLAH]]="","",(NOTA[[#This Row],[JUMLAH]]-NOTA[[#This Row],[DISC 1-]])*NOTA[[#This Row],[DISC 2]])</f>
        <v/>
      </c>
      <c r="Z922" s="29" t="str">
        <f>IF(NOTA[[#This Row],[JUMLAH]]="","",NOTA[[#This Row],[DISC 1-]]+NOTA[[#This Row],[DISC 2-]])</f>
        <v/>
      </c>
      <c r="AA922" s="29" t="str">
        <f>IF(NOTA[[#This Row],[JUMLAH]]="","",NOTA[[#This Row],[JUMLAH]]-NOTA[[#This Row],[DISC]])</f>
        <v/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29" t="str">
        <f>IF(OR(NOTA[[#This Row],[QTY]]="",NOTA[[#This Row],[HARGA SATUAN]]="",),"",NOTA[[#This Row],[QTY]]*NOTA[[#This Row],[HARGA SATUAN]])</f>
        <v/>
      </c>
      <c r="AF922" s="18" t="str">
        <f ca="1">IF(NOTA[ID_H]="","",INDEX(NOTA[TANGGAL],MATCH(,INDIRECT(ADDRESS(ROW(NOTA[TANGGAL]),COLUMN(NOTA[TANGGAL]))&amp;":"&amp;ADDRESS(ROW(),COLUMN(NOTA[TANGGAL]))),-1)))</f>
        <v/>
      </c>
      <c r="AG922" s="19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8" t="str">
        <f>IF(NOTA[[#This Row],[ID_P]]="","",MATCH(NOTA[[#This Row],[ID_P]],[1]!B_MSK[N_ID],0))</f>
        <v/>
      </c>
      <c r="D923" s="78" t="str">
        <f ca="1">IF(NOTA[[#This Row],[NAMA BARANG]]="","",INDEX(NOTA[ID],MATCH(,INDIRECT(ADDRESS(ROW(NOTA[ID]),COLUMN(NOTA[ID]))&amp;":"&amp;ADDRESS(ROW(),COLUMN(NOTA[ID]))),-1)))</f>
        <v/>
      </c>
      <c r="E923" s="79"/>
      <c r="F923" s="80"/>
      <c r="G923" s="80"/>
      <c r="H923" s="81"/>
      <c r="I923" s="80"/>
      <c r="J923" s="82"/>
      <c r="K923" s="80"/>
      <c r="L923" s="80"/>
      <c r="M923" s="83"/>
      <c r="N923" s="80"/>
      <c r="O923" s="80"/>
      <c r="P923" s="77"/>
      <c r="Q923" s="169"/>
      <c r="R923" s="83"/>
      <c r="S923" s="85"/>
      <c r="T923" s="85"/>
      <c r="U923" s="84"/>
      <c r="V923" s="88"/>
      <c r="W923" s="84" t="str">
        <f>IF(NOTA[[#This Row],[HARGA/ CTN]]="",NOTA[[#This Row],[JUMLAH_H]],NOTA[[#This Row],[HARGA/ CTN]]*NOTA[[#This Row],[C]])</f>
        <v/>
      </c>
      <c r="X923" s="84" t="str">
        <f>IF(NOTA[[#This Row],[JUMLAH]]="","",NOTA[[#This Row],[JUMLAH]]*NOTA[[#This Row],[DISC 1]])</f>
        <v/>
      </c>
      <c r="Y923" s="84" t="str">
        <f>IF(NOTA[[#This Row],[JUMLAH]]="","",(NOTA[[#This Row],[JUMLAH]]-NOTA[[#This Row],[DISC 1-]])*NOTA[[#This Row],[DISC 2]])</f>
        <v/>
      </c>
      <c r="Z923" s="84" t="str">
        <f>IF(NOTA[[#This Row],[JUMLAH]]="","",NOTA[[#This Row],[DISC 1-]]+NOTA[[#This Row],[DISC 2-]])</f>
        <v/>
      </c>
      <c r="AA923" s="84" t="str">
        <f>IF(NOTA[[#This Row],[JUMLAH]]="","",NOTA[[#This Row],[JUMLAH]]-NOTA[[#This Row],[DISC]])</f>
        <v/>
      </c>
      <c r="AB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84" t="str">
        <f>IF(OR(NOTA[[#This Row],[QTY]]="",NOTA[[#This Row],[HARGA SATUAN]]="",),"",NOTA[[#This Row],[QTY]]*NOTA[[#This Row],[HARGA SATUAN]])</f>
        <v/>
      </c>
      <c r="AF923" s="82" t="str">
        <f ca="1">IF(NOTA[ID_H]="","",INDEX(NOTA[TANGGAL],MATCH(,INDIRECT(ADDRESS(ROW(NOTA[TANGGAL]),COLUMN(NOTA[TANGGAL]))&amp;":"&amp;ADDRESS(ROW(),COLUMN(NOTA[TANGGAL]))),-1)))</f>
        <v/>
      </c>
      <c r="AG923" s="77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8" t="str">
        <f>IF(NOTA[[#This Row],[ID_P]]="","",MATCH(NOTA[[#This Row],[ID_P]],[1]!B_MSK[N_ID],0))</f>
        <v/>
      </c>
      <c r="D924" s="78" t="str">
        <f ca="1">IF(NOTA[[#This Row],[NAMA BARANG]]="","",INDEX(NOTA[ID],MATCH(,INDIRECT(ADDRESS(ROW(NOTA[ID]),COLUMN(NOTA[ID]))&amp;":"&amp;ADDRESS(ROW(),COLUMN(NOTA[ID]))),-1)))</f>
        <v/>
      </c>
      <c r="E924" s="79"/>
      <c r="F924" s="80"/>
      <c r="G924" s="80"/>
      <c r="H924" s="81"/>
      <c r="I924" s="80"/>
      <c r="J924" s="82"/>
      <c r="K924" s="80"/>
      <c r="L924" s="80"/>
      <c r="M924" s="83"/>
      <c r="N924" s="80"/>
      <c r="O924" s="80"/>
      <c r="P924" s="77"/>
      <c r="Q924" s="169"/>
      <c r="R924" s="83"/>
      <c r="S924" s="85"/>
      <c r="T924" s="85"/>
      <c r="U924" s="84"/>
      <c r="V924" s="88"/>
      <c r="W924" s="84" t="str">
        <f>IF(NOTA[[#This Row],[HARGA/ CTN]]="",NOTA[[#This Row],[JUMLAH_H]],NOTA[[#This Row],[HARGA/ CTN]]*NOTA[[#This Row],[C]])</f>
        <v/>
      </c>
      <c r="X924" s="84" t="str">
        <f>IF(NOTA[[#This Row],[JUMLAH]]="","",NOTA[[#This Row],[JUMLAH]]*NOTA[[#This Row],[DISC 1]])</f>
        <v/>
      </c>
      <c r="Y924" s="84" t="str">
        <f>IF(NOTA[[#This Row],[JUMLAH]]="","",(NOTA[[#This Row],[JUMLAH]]-NOTA[[#This Row],[DISC 1-]])*NOTA[[#This Row],[DISC 2]])</f>
        <v/>
      </c>
      <c r="Z924" s="84" t="str">
        <f>IF(NOTA[[#This Row],[JUMLAH]]="","",NOTA[[#This Row],[DISC 1-]]+NOTA[[#This Row],[DISC 2-]])</f>
        <v/>
      </c>
      <c r="AA924" s="84" t="str">
        <f>IF(NOTA[[#This Row],[JUMLAH]]="","",NOTA[[#This Row],[JUMLAH]]-NOTA[[#This Row],[DISC]])</f>
        <v/>
      </c>
      <c r="AB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84" t="str">
        <f>IF(OR(NOTA[[#This Row],[QTY]]="",NOTA[[#This Row],[HARGA SATUAN]]="",),"",NOTA[[#This Row],[QTY]]*NOTA[[#This Row],[HARGA SATUAN]])</f>
        <v/>
      </c>
      <c r="AF924" s="82" t="str">
        <f ca="1">IF(NOTA[ID_H]="","",INDEX(NOTA[TANGGAL],MATCH(,INDIRECT(ADDRESS(ROW(NOTA[TANGGAL]),COLUMN(NOTA[TANGGAL]))&amp;":"&amp;ADDRESS(ROW(),COLUMN(NOTA[TANGGAL]))),-1)))</f>
        <v/>
      </c>
      <c r="AG924" s="77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8" t="str">
        <f>IF(NOTA[[#This Row],[ID_P]]="","",MATCH(NOTA[[#This Row],[ID_P]],[1]!B_MSK[N_ID],0))</f>
        <v/>
      </c>
      <c r="D925" s="78" t="str">
        <f ca="1">IF(NOTA[[#This Row],[NAMA BARANG]]="","",INDEX(NOTA[ID],MATCH(,INDIRECT(ADDRESS(ROW(NOTA[ID]),COLUMN(NOTA[ID]))&amp;":"&amp;ADDRESS(ROW(),COLUMN(NOTA[ID]))),-1)))</f>
        <v/>
      </c>
      <c r="E925" s="79"/>
      <c r="F925" s="80"/>
      <c r="G925" s="80"/>
      <c r="H925" s="81"/>
      <c r="I925" s="80"/>
      <c r="J925" s="82"/>
      <c r="K925" s="80"/>
      <c r="L925" s="80"/>
      <c r="M925" s="83"/>
      <c r="N925" s="80"/>
      <c r="O925" s="80"/>
      <c r="P925" s="77"/>
      <c r="Q925" s="169"/>
      <c r="R925" s="83"/>
      <c r="S925" s="85"/>
      <c r="T925" s="85"/>
      <c r="U925" s="84"/>
      <c r="V925" s="88"/>
      <c r="W925" s="84" t="str">
        <f>IF(NOTA[[#This Row],[HARGA/ CTN]]="",NOTA[[#This Row],[JUMLAH_H]],NOTA[[#This Row],[HARGA/ CTN]]*NOTA[[#This Row],[C]])</f>
        <v/>
      </c>
      <c r="X925" s="84" t="str">
        <f>IF(NOTA[[#This Row],[JUMLAH]]="","",NOTA[[#This Row],[JUMLAH]]*NOTA[[#This Row],[DISC 1]])</f>
        <v/>
      </c>
      <c r="Y925" s="84" t="str">
        <f>IF(NOTA[[#This Row],[JUMLAH]]="","",(NOTA[[#This Row],[JUMLAH]]-NOTA[[#This Row],[DISC 1-]])*NOTA[[#This Row],[DISC 2]])</f>
        <v/>
      </c>
      <c r="Z925" s="84" t="str">
        <f>IF(NOTA[[#This Row],[JUMLAH]]="","",NOTA[[#This Row],[DISC 1-]]+NOTA[[#This Row],[DISC 2-]])</f>
        <v/>
      </c>
      <c r="AA925" s="84" t="str">
        <f>IF(NOTA[[#This Row],[JUMLAH]]="","",NOTA[[#This Row],[JUMLAH]]-NOTA[[#This Row],[DISC]])</f>
        <v/>
      </c>
      <c r="AB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84" t="str">
        <f>IF(OR(NOTA[[#This Row],[QTY]]="",NOTA[[#This Row],[HARGA SATUAN]]="",),"",NOTA[[#This Row],[QTY]]*NOTA[[#This Row],[HARGA SATUAN]])</f>
        <v/>
      </c>
      <c r="AF925" s="82" t="str">
        <f ca="1">IF(NOTA[ID_H]="","",INDEX(NOTA[TANGGAL],MATCH(,INDIRECT(ADDRESS(ROW(NOTA[TANGGAL]),COLUMN(NOTA[TANGGAL]))&amp;":"&amp;ADDRESS(ROW(),COLUMN(NOTA[TANGGAL]))),-1)))</f>
        <v/>
      </c>
      <c r="AG925" s="77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8" t="str">
        <f>IF(NOTA[[#This Row],[ID_P]]="","",MATCH(NOTA[[#This Row],[ID_P]],[1]!B_MSK[N_ID],0))</f>
        <v/>
      </c>
      <c r="D926" s="78" t="str">
        <f ca="1">IF(NOTA[[#This Row],[NAMA BARANG]]="","",INDEX(NOTA[ID],MATCH(,INDIRECT(ADDRESS(ROW(NOTA[ID]),COLUMN(NOTA[ID]))&amp;":"&amp;ADDRESS(ROW(),COLUMN(NOTA[ID]))),-1)))</f>
        <v/>
      </c>
      <c r="E926" s="79"/>
      <c r="F926" s="80"/>
      <c r="G926" s="80"/>
      <c r="H926" s="81"/>
      <c r="I926" s="80"/>
      <c r="J926" s="82"/>
      <c r="K926" s="80"/>
      <c r="L926" s="80"/>
      <c r="M926" s="83"/>
      <c r="N926" s="80"/>
      <c r="O926" s="80"/>
      <c r="P926" s="77"/>
      <c r="Q926" s="169"/>
      <c r="R926" s="83"/>
      <c r="S926" s="85"/>
      <c r="T926" s="85"/>
      <c r="U926" s="84"/>
      <c r="V926" s="88"/>
      <c r="W926" s="84" t="str">
        <f>IF(NOTA[[#This Row],[HARGA/ CTN]]="",NOTA[[#This Row],[JUMLAH_H]],NOTA[[#This Row],[HARGA/ CTN]]*NOTA[[#This Row],[C]])</f>
        <v/>
      </c>
      <c r="X926" s="84" t="str">
        <f>IF(NOTA[[#This Row],[JUMLAH]]="","",NOTA[[#This Row],[JUMLAH]]*NOTA[[#This Row],[DISC 1]])</f>
        <v/>
      </c>
      <c r="Y926" s="84" t="str">
        <f>IF(NOTA[[#This Row],[JUMLAH]]="","",(NOTA[[#This Row],[JUMLAH]]-NOTA[[#This Row],[DISC 1-]])*NOTA[[#This Row],[DISC 2]])</f>
        <v/>
      </c>
      <c r="Z926" s="84" t="str">
        <f>IF(NOTA[[#This Row],[JUMLAH]]="","",NOTA[[#This Row],[DISC 1-]]+NOTA[[#This Row],[DISC 2-]])</f>
        <v/>
      </c>
      <c r="AA926" s="84" t="str">
        <f>IF(NOTA[[#This Row],[JUMLAH]]="","",NOTA[[#This Row],[JUMLAH]]-NOTA[[#This Row],[DISC]])</f>
        <v/>
      </c>
      <c r="AB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84" t="str">
        <f>IF(OR(NOTA[[#This Row],[QTY]]="",NOTA[[#This Row],[HARGA SATUAN]]="",),"",NOTA[[#This Row],[QTY]]*NOTA[[#This Row],[HARGA SATUAN]])</f>
        <v/>
      </c>
      <c r="AF926" s="82" t="str">
        <f ca="1">IF(NOTA[ID_H]="","",INDEX(NOTA[TANGGAL],MATCH(,INDIRECT(ADDRESS(ROW(NOTA[TANGGAL]),COLUMN(NOTA[TANGGAL]))&amp;":"&amp;ADDRESS(ROW(),COLUMN(NOTA[TANGGAL]))),-1)))</f>
        <v/>
      </c>
      <c r="AG926" s="77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8" t="str">
        <f>IF(NOTA[[#This Row],[ID_P]]="","",MATCH(NOTA[[#This Row],[ID_P]],[1]!B_MSK[N_ID],0))</f>
        <v/>
      </c>
      <c r="D927" s="78" t="str">
        <f ca="1">IF(NOTA[[#This Row],[NAMA BARANG]]="","",INDEX(NOTA[ID],MATCH(,INDIRECT(ADDRESS(ROW(NOTA[ID]),COLUMN(NOTA[ID]))&amp;":"&amp;ADDRESS(ROW(),COLUMN(NOTA[ID]))),-1)))</f>
        <v/>
      </c>
      <c r="E927" s="79"/>
      <c r="F927" s="80"/>
      <c r="G927" s="80"/>
      <c r="H927" s="81"/>
      <c r="I927" s="80"/>
      <c r="J927" s="82"/>
      <c r="K927" s="80"/>
      <c r="L927" s="80"/>
      <c r="M927" s="83"/>
      <c r="N927" s="80"/>
      <c r="O927" s="80"/>
      <c r="P927" s="77"/>
      <c r="Q927" s="169"/>
      <c r="R927" s="83"/>
      <c r="S927" s="85"/>
      <c r="T927" s="85"/>
      <c r="U927" s="84"/>
      <c r="V927" s="88"/>
      <c r="W927" s="84" t="str">
        <f>IF(NOTA[[#This Row],[HARGA/ CTN]]="",NOTA[[#This Row],[JUMLAH_H]],NOTA[[#This Row],[HARGA/ CTN]]*NOTA[[#This Row],[C]])</f>
        <v/>
      </c>
      <c r="X927" s="84" t="str">
        <f>IF(NOTA[[#This Row],[JUMLAH]]="","",NOTA[[#This Row],[JUMLAH]]*NOTA[[#This Row],[DISC 1]])</f>
        <v/>
      </c>
      <c r="Y927" s="84" t="str">
        <f>IF(NOTA[[#This Row],[JUMLAH]]="","",(NOTA[[#This Row],[JUMLAH]]-NOTA[[#This Row],[DISC 1-]])*NOTA[[#This Row],[DISC 2]])</f>
        <v/>
      </c>
      <c r="Z927" s="84" t="str">
        <f>IF(NOTA[[#This Row],[JUMLAH]]="","",NOTA[[#This Row],[DISC 1-]]+NOTA[[#This Row],[DISC 2-]])</f>
        <v/>
      </c>
      <c r="AA927" s="84" t="str">
        <f>IF(NOTA[[#This Row],[JUMLAH]]="","",NOTA[[#This Row],[JUMLAH]]-NOTA[[#This Row],[DISC]])</f>
        <v/>
      </c>
      <c r="AB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84" t="str">
        <f>IF(OR(NOTA[[#This Row],[QTY]]="",NOTA[[#This Row],[HARGA SATUAN]]="",),"",NOTA[[#This Row],[QTY]]*NOTA[[#This Row],[HARGA SATUAN]])</f>
        <v/>
      </c>
      <c r="AF927" s="82" t="str">
        <f ca="1">IF(NOTA[ID_H]="","",INDEX(NOTA[TANGGAL],MATCH(,INDIRECT(ADDRESS(ROW(NOTA[TANGGAL]),COLUMN(NOTA[TANGGAL]))&amp;":"&amp;ADDRESS(ROW(),COLUMN(NOTA[TANGGAL]))),-1)))</f>
        <v/>
      </c>
      <c r="AG927" s="77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8" t="str">
        <f>IF(NOTA[[#This Row],[ID_P]]="","",MATCH(NOTA[[#This Row],[ID_P]],[1]!B_MSK[N_ID],0))</f>
        <v/>
      </c>
      <c r="D928" s="78" t="str">
        <f ca="1">IF(NOTA[[#This Row],[NAMA BARANG]]="","",INDEX(NOTA[ID],MATCH(,INDIRECT(ADDRESS(ROW(NOTA[ID]),COLUMN(NOTA[ID]))&amp;":"&amp;ADDRESS(ROW(),COLUMN(NOTA[ID]))),-1)))</f>
        <v/>
      </c>
      <c r="E928" s="79"/>
      <c r="F928" s="80"/>
      <c r="G928" s="80"/>
      <c r="H928" s="81"/>
      <c r="I928" s="80"/>
      <c r="J928" s="82"/>
      <c r="K928" s="80"/>
      <c r="L928" s="80"/>
      <c r="M928" s="83"/>
      <c r="N928" s="80"/>
      <c r="O928" s="80"/>
      <c r="P928" s="77"/>
      <c r="Q928" s="169"/>
      <c r="R928" s="83"/>
      <c r="S928" s="85"/>
      <c r="T928" s="85"/>
      <c r="U928" s="84"/>
      <c r="V928" s="88"/>
      <c r="W928" s="84" t="str">
        <f>IF(NOTA[[#This Row],[HARGA/ CTN]]="",NOTA[[#This Row],[JUMLAH_H]],NOTA[[#This Row],[HARGA/ CTN]]*NOTA[[#This Row],[C]])</f>
        <v/>
      </c>
      <c r="X928" s="84" t="str">
        <f>IF(NOTA[[#This Row],[JUMLAH]]="","",NOTA[[#This Row],[JUMLAH]]*NOTA[[#This Row],[DISC 1]])</f>
        <v/>
      </c>
      <c r="Y928" s="84" t="str">
        <f>IF(NOTA[[#This Row],[JUMLAH]]="","",(NOTA[[#This Row],[JUMLAH]]-NOTA[[#This Row],[DISC 1-]])*NOTA[[#This Row],[DISC 2]])</f>
        <v/>
      </c>
      <c r="Z928" s="84" t="str">
        <f>IF(NOTA[[#This Row],[JUMLAH]]="","",NOTA[[#This Row],[DISC 1-]]+NOTA[[#This Row],[DISC 2-]])</f>
        <v/>
      </c>
      <c r="AA928" s="84" t="str">
        <f>IF(NOTA[[#This Row],[JUMLAH]]="","",NOTA[[#This Row],[JUMLAH]]-NOTA[[#This Row],[DISC]])</f>
        <v/>
      </c>
      <c r="AB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84" t="str">
        <f>IF(OR(NOTA[[#This Row],[QTY]]="",NOTA[[#This Row],[HARGA SATUAN]]="",),"",NOTA[[#This Row],[QTY]]*NOTA[[#This Row],[HARGA SATUAN]])</f>
        <v/>
      </c>
      <c r="AF928" s="82" t="str">
        <f ca="1">IF(NOTA[ID_H]="","",INDEX(NOTA[TANGGAL],MATCH(,INDIRECT(ADDRESS(ROW(NOTA[TANGGAL]),COLUMN(NOTA[TANGGAL]))&amp;":"&amp;ADDRESS(ROW(),COLUMN(NOTA[TANGGAL]))),-1)))</f>
        <v/>
      </c>
      <c r="AG928" s="77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8" t="str">
        <f>IF(NOTA[[#This Row],[ID_P]]="","",MATCH(NOTA[[#This Row],[ID_P]],[1]!B_MSK[N_ID],0))</f>
        <v/>
      </c>
      <c r="D929" s="78" t="str">
        <f ca="1">IF(NOTA[[#This Row],[NAMA BARANG]]="","",INDEX(NOTA[ID],MATCH(,INDIRECT(ADDRESS(ROW(NOTA[ID]),COLUMN(NOTA[ID]))&amp;":"&amp;ADDRESS(ROW(),COLUMN(NOTA[ID]))),-1)))</f>
        <v/>
      </c>
      <c r="E929" s="79"/>
      <c r="F929" s="80"/>
      <c r="G929" s="80"/>
      <c r="H929" s="81"/>
      <c r="I929" s="80"/>
      <c r="J929" s="82"/>
      <c r="K929" s="80"/>
      <c r="L929" s="80"/>
      <c r="M929" s="83"/>
      <c r="N929" s="80"/>
      <c r="O929" s="80"/>
      <c r="P929" s="77"/>
      <c r="Q929" s="169"/>
      <c r="R929" s="83"/>
      <c r="S929" s="85"/>
      <c r="T929" s="85"/>
      <c r="U929" s="84"/>
      <c r="V929" s="88"/>
      <c r="W929" s="84" t="str">
        <f>IF(NOTA[[#This Row],[HARGA/ CTN]]="",NOTA[[#This Row],[JUMLAH_H]],NOTA[[#This Row],[HARGA/ CTN]]*NOTA[[#This Row],[C]])</f>
        <v/>
      </c>
      <c r="X929" s="84" t="str">
        <f>IF(NOTA[[#This Row],[JUMLAH]]="","",NOTA[[#This Row],[JUMLAH]]*NOTA[[#This Row],[DISC 1]])</f>
        <v/>
      </c>
      <c r="Y929" s="84" t="str">
        <f>IF(NOTA[[#This Row],[JUMLAH]]="","",(NOTA[[#This Row],[JUMLAH]]-NOTA[[#This Row],[DISC 1-]])*NOTA[[#This Row],[DISC 2]])</f>
        <v/>
      </c>
      <c r="Z929" s="84" t="str">
        <f>IF(NOTA[[#This Row],[JUMLAH]]="","",NOTA[[#This Row],[DISC 1-]]+NOTA[[#This Row],[DISC 2-]])</f>
        <v/>
      </c>
      <c r="AA929" s="84" t="str">
        <f>IF(NOTA[[#This Row],[JUMLAH]]="","",NOTA[[#This Row],[JUMLAH]]-NOTA[[#This Row],[DISC]])</f>
        <v/>
      </c>
      <c r="AB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84" t="str">
        <f>IF(OR(NOTA[[#This Row],[QTY]]="",NOTA[[#This Row],[HARGA SATUAN]]="",),"",NOTA[[#This Row],[QTY]]*NOTA[[#This Row],[HARGA SATUAN]])</f>
        <v/>
      </c>
      <c r="AF929" s="82" t="str">
        <f ca="1">IF(NOTA[ID_H]="","",INDEX(NOTA[TANGGAL],MATCH(,INDIRECT(ADDRESS(ROW(NOTA[TANGGAL]),COLUMN(NOTA[TANGGAL]))&amp;":"&amp;ADDRESS(ROW(),COLUMN(NOTA[TANGGAL]))),-1)))</f>
        <v/>
      </c>
      <c r="AG929" s="77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8" t="str">
        <f>IF(NOTA[[#This Row],[ID_P]]="","",MATCH(NOTA[[#This Row],[ID_P]],[1]!B_MSK[N_ID],0))</f>
        <v/>
      </c>
      <c r="D930" s="78" t="str">
        <f ca="1">IF(NOTA[[#This Row],[NAMA BARANG]]="","",INDEX(NOTA[ID],MATCH(,INDIRECT(ADDRESS(ROW(NOTA[ID]),COLUMN(NOTA[ID]))&amp;":"&amp;ADDRESS(ROW(),COLUMN(NOTA[ID]))),-1)))</f>
        <v/>
      </c>
      <c r="E930" s="79"/>
      <c r="F930" s="80"/>
      <c r="G930" s="80"/>
      <c r="H930" s="81"/>
      <c r="I930" s="80"/>
      <c r="J930" s="82"/>
      <c r="K930" s="80"/>
      <c r="L930" s="80"/>
      <c r="M930" s="83"/>
      <c r="N930" s="80"/>
      <c r="O930" s="80"/>
      <c r="P930" s="77"/>
      <c r="Q930" s="169"/>
      <c r="R930" s="83"/>
      <c r="S930" s="85"/>
      <c r="T930" s="85"/>
      <c r="U930" s="84"/>
      <c r="V930" s="88"/>
      <c r="W930" s="84" t="str">
        <f>IF(NOTA[[#This Row],[HARGA/ CTN]]="",NOTA[[#This Row],[JUMLAH_H]],NOTA[[#This Row],[HARGA/ CTN]]*NOTA[[#This Row],[C]])</f>
        <v/>
      </c>
      <c r="X930" s="84" t="str">
        <f>IF(NOTA[[#This Row],[JUMLAH]]="","",NOTA[[#This Row],[JUMLAH]]*NOTA[[#This Row],[DISC 1]])</f>
        <v/>
      </c>
      <c r="Y930" s="84" t="str">
        <f>IF(NOTA[[#This Row],[JUMLAH]]="","",(NOTA[[#This Row],[JUMLAH]]-NOTA[[#This Row],[DISC 1-]])*NOTA[[#This Row],[DISC 2]])</f>
        <v/>
      </c>
      <c r="Z930" s="84" t="str">
        <f>IF(NOTA[[#This Row],[JUMLAH]]="","",NOTA[[#This Row],[DISC 1-]]+NOTA[[#This Row],[DISC 2-]])</f>
        <v/>
      </c>
      <c r="AA930" s="84" t="str">
        <f>IF(NOTA[[#This Row],[JUMLAH]]="","",NOTA[[#This Row],[JUMLAH]]-NOTA[[#This Row],[DISC]])</f>
        <v/>
      </c>
      <c r="AB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84" t="str">
        <f>IF(OR(NOTA[[#This Row],[QTY]]="",NOTA[[#This Row],[HARGA SATUAN]]="",),"",NOTA[[#This Row],[QTY]]*NOTA[[#This Row],[HARGA SATUAN]])</f>
        <v/>
      </c>
      <c r="AF930" s="82" t="str">
        <f ca="1">IF(NOTA[ID_H]="","",INDEX(NOTA[TANGGAL],MATCH(,INDIRECT(ADDRESS(ROW(NOTA[TANGGAL]),COLUMN(NOTA[TANGGAL]))&amp;":"&amp;ADDRESS(ROW(),COLUMN(NOTA[TANGGAL]))),-1)))</f>
        <v/>
      </c>
      <c r="AG930" s="77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8" t="str">
        <f>IF(NOTA[[#This Row],[ID_P]]="","",MATCH(NOTA[[#This Row],[ID_P]],[1]!B_MSK[N_ID],0))</f>
        <v/>
      </c>
      <c r="D931" s="78" t="str">
        <f ca="1">IF(NOTA[[#This Row],[NAMA BARANG]]="","",INDEX(NOTA[ID],MATCH(,INDIRECT(ADDRESS(ROW(NOTA[ID]),COLUMN(NOTA[ID]))&amp;":"&amp;ADDRESS(ROW(),COLUMN(NOTA[ID]))),-1)))</f>
        <v/>
      </c>
      <c r="E931" s="79"/>
      <c r="F931" s="80"/>
      <c r="G931" s="80"/>
      <c r="H931" s="81"/>
      <c r="I931" s="80"/>
      <c r="J931" s="82"/>
      <c r="K931" s="80"/>
      <c r="L931" s="80"/>
      <c r="M931" s="83"/>
      <c r="N931" s="80"/>
      <c r="O931" s="80"/>
      <c r="P931" s="77"/>
      <c r="Q931" s="169"/>
      <c r="R931" s="83"/>
      <c r="S931" s="85"/>
      <c r="T931" s="85"/>
      <c r="U931" s="84"/>
      <c r="V931" s="88"/>
      <c r="W931" s="84" t="str">
        <f>IF(NOTA[[#This Row],[HARGA/ CTN]]="",NOTA[[#This Row],[JUMLAH_H]],NOTA[[#This Row],[HARGA/ CTN]]*NOTA[[#This Row],[C]])</f>
        <v/>
      </c>
      <c r="X931" s="84" t="str">
        <f>IF(NOTA[[#This Row],[JUMLAH]]="","",NOTA[[#This Row],[JUMLAH]]*NOTA[[#This Row],[DISC 1]])</f>
        <v/>
      </c>
      <c r="Y931" s="84" t="str">
        <f>IF(NOTA[[#This Row],[JUMLAH]]="","",(NOTA[[#This Row],[JUMLAH]]-NOTA[[#This Row],[DISC 1-]])*NOTA[[#This Row],[DISC 2]])</f>
        <v/>
      </c>
      <c r="Z931" s="84" t="str">
        <f>IF(NOTA[[#This Row],[JUMLAH]]="","",NOTA[[#This Row],[DISC 1-]]+NOTA[[#This Row],[DISC 2-]])</f>
        <v/>
      </c>
      <c r="AA931" s="84" t="str">
        <f>IF(NOTA[[#This Row],[JUMLAH]]="","",NOTA[[#This Row],[JUMLAH]]-NOTA[[#This Row],[DISC]])</f>
        <v/>
      </c>
      <c r="AB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84" t="str">
        <f>IF(OR(NOTA[[#This Row],[QTY]]="",NOTA[[#This Row],[HARGA SATUAN]]="",),"",NOTA[[#This Row],[QTY]]*NOTA[[#This Row],[HARGA SATUAN]])</f>
        <v/>
      </c>
      <c r="AF931" s="82" t="str">
        <f ca="1">IF(NOTA[ID_H]="","",INDEX(NOTA[TANGGAL],MATCH(,INDIRECT(ADDRESS(ROW(NOTA[TANGGAL]),COLUMN(NOTA[TANGGAL]))&amp;":"&amp;ADDRESS(ROW(),COLUMN(NOTA[TANGGAL]))),-1)))</f>
        <v/>
      </c>
      <c r="AG931" s="77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8" t="str">
        <f>IF(NOTA[[#This Row],[ID_P]]="","",MATCH(NOTA[[#This Row],[ID_P]],[1]!B_MSK[N_ID],0))</f>
        <v/>
      </c>
      <c r="D932" s="78" t="str">
        <f ca="1">IF(NOTA[[#This Row],[NAMA BARANG]]="","",INDEX(NOTA[ID],MATCH(,INDIRECT(ADDRESS(ROW(NOTA[ID]),COLUMN(NOTA[ID]))&amp;":"&amp;ADDRESS(ROW(),COLUMN(NOTA[ID]))),-1)))</f>
        <v/>
      </c>
      <c r="E932" s="79"/>
      <c r="F932" s="80"/>
      <c r="G932" s="80"/>
      <c r="H932" s="81"/>
      <c r="I932" s="80"/>
      <c r="J932" s="82"/>
      <c r="K932" s="80"/>
      <c r="L932" s="80"/>
      <c r="M932" s="83"/>
      <c r="N932" s="80"/>
      <c r="O932" s="80"/>
      <c r="P932" s="77"/>
      <c r="Q932" s="169"/>
      <c r="R932" s="83"/>
      <c r="S932" s="85"/>
      <c r="T932" s="85"/>
      <c r="U932" s="84"/>
      <c r="V932" s="88"/>
      <c r="W932" s="84" t="str">
        <f>IF(NOTA[[#This Row],[HARGA/ CTN]]="",NOTA[[#This Row],[JUMLAH_H]],NOTA[[#This Row],[HARGA/ CTN]]*NOTA[[#This Row],[C]])</f>
        <v/>
      </c>
      <c r="X932" s="84" t="str">
        <f>IF(NOTA[[#This Row],[JUMLAH]]="","",NOTA[[#This Row],[JUMLAH]]*NOTA[[#This Row],[DISC 1]])</f>
        <v/>
      </c>
      <c r="Y932" s="84" t="str">
        <f>IF(NOTA[[#This Row],[JUMLAH]]="","",(NOTA[[#This Row],[JUMLAH]]-NOTA[[#This Row],[DISC 1-]])*NOTA[[#This Row],[DISC 2]])</f>
        <v/>
      </c>
      <c r="Z932" s="84" t="str">
        <f>IF(NOTA[[#This Row],[JUMLAH]]="","",NOTA[[#This Row],[DISC 1-]]+NOTA[[#This Row],[DISC 2-]])</f>
        <v/>
      </c>
      <c r="AA932" s="84" t="str">
        <f>IF(NOTA[[#This Row],[JUMLAH]]="","",NOTA[[#This Row],[JUMLAH]]-NOTA[[#This Row],[DISC]])</f>
        <v/>
      </c>
      <c r="AB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84" t="str">
        <f>IF(OR(NOTA[[#This Row],[QTY]]="",NOTA[[#This Row],[HARGA SATUAN]]="",),"",NOTA[[#This Row],[QTY]]*NOTA[[#This Row],[HARGA SATUAN]])</f>
        <v/>
      </c>
      <c r="AF932" s="82" t="str">
        <f ca="1">IF(NOTA[ID_H]="","",INDEX(NOTA[TANGGAL],MATCH(,INDIRECT(ADDRESS(ROW(NOTA[TANGGAL]),COLUMN(NOTA[TANGGAL]))&amp;":"&amp;ADDRESS(ROW(),COLUMN(NOTA[TANGGAL]))),-1)))</f>
        <v/>
      </c>
      <c r="AG932" s="77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8" t="str">
        <f>IF(NOTA[[#This Row],[ID_P]]="","",MATCH(NOTA[[#This Row],[ID_P]],[1]!B_MSK[N_ID],0))</f>
        <v/>
      </c>
      <c r="D933" s="78" t="str">
        <f ca="1">IF(NOTA[[#This Row],[NAMA BARANG]]="","",INDEX(NOTA[ID],MATCH(,INDIRECT(ADDRESS(ROW(NOTA[ID]),COLUMN(NOTA[ID]))&amp;":"&amp;ADDRESS(ROW(),COLUMN(NOTA[ID]))),-1)))</f>
        <v/>
      </c>
      <c r="E933" s="79"/>
      <c r="F933" s="80"/>
      <c r="G933" s="80"/>
      <c r="H933" s="81"/>
      <c r="I933" s="80"/>
      <c r="J933" s="82"/>
      <c r="K933" s="80"/>
      <c r="L933" s="80"/>
      <c r="M933" s="83"/>
      <c r="N933" s="80"/>
      <c r="O933" s="80"/>
      <c r="P933" s="77"/>
      <c r="Q933" s="169"/>
      <c r="R933" s="83"/>
      <c r="S933" s="85"/>
      <c r="T933" s="85"/>
      <c r="U933" s="84"/>
      <c r="V933" s="88"/>
      <c r="W933" s="84" t="str">
        <f>IF(NOTA[[#This Row],[HARGA/ CTN]]="",NOTA[[#This Row],[JUMLAH_H]],NOTA[[#This Row],[HARGA/ CTN]]*NOTA[[#This Row],[C]])</f>
        <v/>
      </c>
      <c r="X933" s="84" t="str">
        <f>IF(NOTA[[#This Row],[JUMLAH]]="","",NOTA[[#This Row],[JUMLAH]]*NOTA[[#This Row],[DISC 1]])</f>
        <v/>
      </c>
      <c r="Y933" s="84" t="str">
        <f>IF(NOTA[[#This Row],[JUMLAH]]="","",(NOTA[[#This Row],[JUMLAH]]-NOTA[[#This Row],[DISC 1-]])*NOTA[[#This Row],[DISC 2]])</f>
        <v/>
      </c>
      <c r="Z933" s="84" t="str">
        <f>IF(NOTA[[#This Row],[JUMLAH]]="","",NOTA[[#This Row],[DISC 1-]]+NOTA[[#This Row],[DISC 2-]])</f>
        <v/>
      </c>
      <c r="AA933" s="84" t="str">
        <f>IF(NOTA[[#This Row],[JUMLAH]]="","",NOTA[[#This Row],[JUMLAH]]-NOTA[[#This Row],[DISC]])</f>
        <v/>
      </c>
      <c r="AB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84" t="str">
        <f>IF(OR(NOTA[[#This Row],[QTY]]="",NOTA[[#This Row],[HARGA SATUAN]]="",),"",NOTA[[#This Row],[QTY]]*NOTA[[#This Row],[HARGA SATUAN]])</f>
        <v/>
      </c>
      <c r="AF933" s="82" t="str">
        <f ca="1">IF(NOTA[ID_H]="","",INDEX(NOTA[TANGGAL],MATCH(,INDIRECT(ADDRESS(ROW(NOTA[TANGGAL]),COLUMN(NOTA[TANGGAL]))&amp;":"&amp;ADDRESS(ROW(),COLUMN(NOTA[TANGGAL]))),-1)))</f>
        <v/>
      </c>
      <c r="AG933" s="77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8" t="str">
        <f>IF(NOTA[[#This Row],[ID_P]]="","",MATCH(NOTA[[#This Row],[ID_P]],[1]!B_MSK[N_ID],0))</f>
        <v/>
      </c>
      <c r="D934" s="78" t="str">
        <f ca="1">IF(NOTA[[#This Row],[NAMA BARANG]]="","",INDEX(NOTA[ID],MATCH(,INDIRECT(ADDRESS(ROW(NOTA[ID]),COLUMN(NOTA[ID]))&amp;":"&amp;ADDRESS(ROW(),COLUMN(NOTA[ID]))),-1)))</f>
        <v/>
      </c>
      <c r="E934" s="79"/>
      <c r="F934" s="80"/>
      <c r="G934" s="80"/>
      <c r="H934" s="81"/>
      <c r="I934" s="80"/>
      <c r="J934" s="82"/>
      <c r="K934" s="80"/>
      <c r="L934" s="80"/>
      <c r="M934" s="83"/>
      <c r="N934" s="80"/>
      <c r="O934" s="80"/>
      <c r="P934" s="77"/>
      <c r="Q934" s="169"/>
      <c r="R934" s="83"/>
      <c r="S934" s="85"/>
      <c r="T934" s="85"/>
      <c r="U934" s="84"/>
      <c r="V934" s="88"/>
      <c r="W934" s="84" t="str">
        <f>IF(NOTA[[#This Row],[HARGA/ CTN]]="",NOTA[[#This Row],[JUMLAH_H]],NOTA[[#This Row],[HARGA/ CTN]]*NOTA[[#This Row],[C]])</f>
        <v/>
      </c>
      <c r="X934" s="84" t="str">
        <f>IF(NOTA[[#This Row],[JUMLAH]]="","",NOTA[[#This Row],[JUMLAH]]*NOTA[[#This Row],[DISC 1]])</f>
        <v/>
      </c>
      <c r="Y934" s="84" t="str">
        <f>IF(NOTA[[#This Row],[JUMLAH]]="","",(NOTA[[#This Row],[JUMLAH]]-NOTA[[#This Row],[DISC 1-]])*NOTA[[#This Row],[DISC 2]])</f>
        <v/>
      </c>
      <c r="Z934" s="84" t="str">
        <f>IF(NOTA[[#This Row],[JUMLAH]]="","",NOTA[[#This Row],[DISC 1-]]+NOTA[[#This Row],[DISC 2-]])</f>
        <v/>
      </c>
      <c r="AA934" s="84" t="str">
        <f>IF(NOTA[[#This Row],[JUMLAH]]="","",NOTA[[#This Row],[JUMLAH]]-NOTA[[#This Row],[DISC]])</f>
        <v/>
      </c>
      <c r="AB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84" t="str">
        <f>IF(OR(NOTA[[#This Row],[QTY]]="",NOTA[[#This Row],[HARGA SATUAN]]="",),"",NOTA[[#This Row],[QTY]]*NOTA[[#This Row],[HARGA SATUAN]])</f>
        <v/>
      </c>
      <c r="AF934" s="82" t="str">
        <f ca="1">IF(NOTA[ID_H]="","",INDEX(NOTA[TANGGAL],MATCH(,INDIRECT(ADDRESS(ROW(NOTA[TANGGAL]),COLUMN(NOTA[TANGGAL]))&amp;":"&amp;ADDRESS(ROW(),COLUMN(NOTA[TANGGAL]))),-1)))</f>
        <v/>
      </c>
      <c r="AG934" s="77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8" t="str">
        <f>IF(NOTA[[#This Row],[ID_P]]="","",MATCH(NOTA[[#This Row],[ID_P]],[1]!B_MSK[N_ID],0))</f>
        <v/>
      </c>
      <c r="D935" s="78" t="str">
        <f ca="1">IF(NOTA[[#This Row],[NAMA BARANG]]="","",INDEX(NOTA[ID],MATCH(,INDIRECT(ADDRESS(ROW(NOTA[ID]),COLUMN(NOTA[ID]))&amp;":"&amp;ADDRESS(ROW(),COLUMN(NOTA[ID]))),-1)))</f>
        <v/>
      </c>
      <c r="E935" s="79"/>
      <c r="F935" s="80"/>
      <c r="G935" s="80"/>
      <c r="H935" s="81"/>
      <c r="I935" s="80"/>
      <c r="J935" s="82"/>
      <c r="K935" s="80"/>
      <c r="L935" s="80"/>
      <c r="M935" s="83"/>
      <c r="N935" s="80"/>
      <c r="O935" s="80"/>
      <c r="P935" s="77"/>
      <c r="Q935" s="169"/>
      <c r="R935" s="83"/>
      <c r="S935" s="85"/>
      <c r="T935" s="85"/>
      <c r="U935" s="84"/>
      <c r="V935" s="88"/>
      <c r="W935" s="84" t="str">
        <f>IF(NOTA[[#This Row],[HARGA/ CTN]]="",NOTA[[#This Row],[JUMLAH_H]],NOTA[[#This Row],[HARGA/ CTN]]*NOTA[[#This Row],[C]])</f>
        <v/>
      </c>
      <c r="X935" s="84" t="str">
        <f>IF(NOTA[[#This Row],[JUMLAH]]="","",NOTA[[#This Row],[JUMLAH]]*NOTA[[#This Row],[DISC 1]])</f>
        <v/>
      </c>
      <c r="Y935" s="84" t="str">
        <f>IF(NOTA[[#This Row],[JUMLAH]]="","",(NOTA[[#This Row],[JUMLAH]]-NOTA[[#This Row],[DISC 1-]])*NOTA[[#This Row],[DISC 2]])</f>
        <v/>
      </c>
      <c r="Z935" s="84" t="str">
        <f>IF(NOTA[[#This Row],[JUMLAH]]="","",NOTA[[#This Row],[DISC 1-]]+NOTA[[#This Row],[DISC 2-]])</f>
        <v/>
      </c>
      <c r="AA935" s="84" t="str">
        <f>IF(NOTA[[#This Row],[JUMLAH]]="","",NOTA[[#This Row],[JUMLAH]]-NOTA[[#This Row],[DISC]])</f>
        <v/>
      </c>
      <c r="AB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84" t="str">
        <f>IF(OR(NOTA[[#This Row],[QTY]]="",NOTA[[#This Row],[HARGA SATUAN]]="",),"",NOTA[[#This Row],[QTY]]*NOTA[[#This Row],[HARGA SATUAN]])</f>
        <v/>
      </c>
      <c r="AF935" s="82" t="str">
        <f ca="1">IF(NOTA[ID_H]="","",INDEX(NOTA[TANGGAL],MATCH(,INDIRECT(ADDRESS(ROW(NOTA[TANGGAL]),COLUMN(NOTA[TANGGAL]))&amp;":"&amp;ADDRESS(ROW(),COLUMN(NOTA[TANGGAL]))),-1)))</f>
        <v/>
      </c>
      <c r="AG935" s="77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8" t="str">
        <f>IF(NOTA[[#This Row],[ID_P]]="","",MATCH(NOTA[[#This Row],[ID_P]],[1]!B_MSK[N_ID],0))</f>
        <v/>
      </c>
      <c r="D936" s="78" t="str">
        <f ca="1">IF(NOTA[[#This Row],[NAMA BARANG]]="","",INDEX(NOTA[ID],MATCH(,INDIRECT(ADDRESS(ROW(NOTA[ID]),COLUMN(NOTA[ID]))&amp;":"&amp;ADDRESS(ROW(),COLUMN(NOTA[ID]))),-1)))</f>
        <v/>
      </c>
      <c r="E936" s="79"/>
      <c r="F936" s="80"/>
      <c r="G936" s="80"/>
      <c r="H936" s="81"/>
      <c r="I936" s="80"/>
      <c r="J936" s="82"/>
      <c r="K936" s="80"/>
      <c r="L936" s="80"/>
      <c r="M936" s="83"/>
      <c r="N936" s="80"/>
      <c r="O936" s="80"/>
      <c r="P936" s="77"/>
      <c r="Q936" s="169"/>
      <c r="R936" s="83"/>
      <c r="S936" s="85"/>
      <c r="T936" s="85"/>
      <c r="U936" s="84"/>
      <c r="V936" s="88"/>
      <c r="W936" s="84" t="str">
        <f>IF(NOTA[[#This Row],[HARGA/ CTN]]="",NOTA[[#This Row],[JUMLAH_H]],NOTA[[#This Row],[HARGA/ CTN]]*NOTA[[#This Row],[C]])</f>
        <v/>
      </c>
      <c r="X936" s="84" t="str">
        <f>IF(NOTA[[#This Row],[JUMLAH]]="","",NOTA[[#This Row],[JUMLAH]]*NOTA[[#This Row],[DISC 1]])</f>
        <v/>
      </c>
      <c r="Y936" s="84" t="str">
        <f>IF(NOTA[[#This Row],[JUMLAH]]="","",(NOTA[[#This Row],[JUMLAH]]-NOTA[[#This Row],[DISC 1-]])*NOTA[[#This Row],[DISC 2]])</f>
        <v/>
      </c>
      <c r="Z936" s="84" t="str">
        <f>IF(NOTA[[#This Row],[JUMLAH]]="","",NOTA[[#This Row],[DISC 1-]]+NOTA[[#This Row],[DISC 2-]])</f>
        <v/>
      </c>
      <c r="AA936" s="84" t="str">
        <f>IF(NOTA[[#This Row],[JUMLAH]]="","",NOTA[[#This Row],[JUMLAH]]-NOTA[[#This Row],[DISC]])</f>
        <v/>
      </c>
      <c r="AB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84" t="str">
        <f>IF(OR(NOTA[[#This Row],[QTY]]="",NOTA[[#This Row],[HARGA SATUAN]]="",),"",NOTA[[#This Row],[QTY]]*NOTA[[#This Row],[HARGA SATUAN]])</f>
        <v/>
      </c>
      <c r="AF936" s="82" t="str">
        <f ca="1">IF(NOTA[ID_H]="","",INDEX(NOTA[TANGGAL],MATCH(,INDIRECT(ADDRESS(ROW(NOTA[TANGGAL]),COLUMN(NOTA[TANGGAL]))&amp;":"&amp;ADDRESS(ROW(),COLUMN(NOTA[TANGGAL]))),-1)))</f>
        <v/>
      </c>
      <c r="AG936" s="77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8" t="str">
        <f>IF(NOTA[[#This Row],[ID_P]]="","",MATCH(NOTA[[#This Row],[ID_P]],[1]!B_MSK[N_ID],0))</f>
        <v/>
      </c>
      <c r="D937" s="78" t="str">
        <f ca="1">IF(NOTA[[#This Row],[NAMA BARANG]]="","",INDEX(NOTA[ID],MATCH(,INDIRECT(ADDRESS(ROW(NOTA[ID]),COLUMN(NOTA[ID]))&amp;":"&amp;ADDRESS(ROW(),COLUMN(NOTA[ID]))),-1)))</f>
        <v/>
      </c>
      <c r="E937" s="79"/>
      <c r="F937" s="80"/>
      <c r="G937" s="80"/>
      <c r="H937" s="81"/>
      <c r="I937" s="80"/>
      <c r="J937" s="82"/>
      <c r="K937" s="80"/>
      <c r="L937" s="80"/>
      <c r="M937" s="83"/>
      <c r="N937" s="80"/>
      <c r="O937" s="80"/>
      <c r="P937" s="77"/>
      <c r="Q937" s="169"/>
      <c r="R937" s="83"/>
      <c r="S937" s="85"/>
      <c r="T937" s="85"/>
      <c r="U937" s="84"/>
      <c r="V937" s="88"/>
      <c r="W937" s="84" t="str">
        <f>IF(NOTA[[#This Row],[HARGA/ CTN]]="",NOTA[[#This Row],[JUMLAH_H]],NOTA[[#This Row],[HARGA/ CTN]]*NOTA[[#This Row],[C]])</f>
        <v/>
      </c>
      <c r="X937" s="84" t="str">
        <f>IF(NOTA[[#This Row],[JUMLAH]]="","",NOTA[[#This Row],[JUMLAH]]*NOTA[[#This Row],[DISC 1]])</f>
        <v/>
      </c>
      <c r="Y937" s="84" t="str">
        <f>IF(NOTA[[#This Row],[JUMLAH]]="","",(NOTA[[#This Row],[JUMLAH]]-NOTA[[#This Row],[DISC 1-]])*NOTA[[#This Row],[DISC 2]])</f>
        <v/>
      </c>
      <c r="Z937" s="84" t="str">
        <f>IF(NOTA[[#This Row],[JUMLAH]]="","",NOTA[[#This Row],[DISC 1-]]+NOTA[[#This Row],[DISC 2-]])</f>
        <v/>
      </c>
      <c r="AA937" s="84" t="str">
        <f>IF(NOTA[[#This Row],[JUMLAH]]="","",NOTA[[#This Row],[JUMLAH]]-NOTA[[#This Row],[DISC]])</f>
        <v/>
      </c>
      <c r="AB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84" t="str">
        <f>IF(OR(NOTA[[#This Row],[QTY]]="",NOTA[[#This Row],[HARGA SATUAN]]="",),"",NOTA[[#This Row],[QTY]]*NOTA[[#This Row],[HARGA SATUAN]])</f>
        <v/>
      </c>
      <c r="AF937" s="82" t="str">
        <f ca="1">IF(NOTA[ID_H]="","",INDEX(NOTA[TANGGAL],MATCH(,INDIRECT(ADDRESS(ROW(NOTA[TANGGAL]),COLUMN(NOTA[TANGGAL]))&amp;":"&amp;ADDRESS(ROW(),COLUMN(NOTA[TANGGAL]))),-1)))</f>
        <v/>
      </c>
      <c r="AG937" s="77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78" t="str">
        <f>IF(NOTA[[#This Row],[ID_P]]="","",MATCH(NOTA[[#This Row],[ID_P]],[1]!B_MSK[N_ID],0))</f>
        <v/>
      </c>
      <c r="D938" s="78" t="str">
        <f ca="1">IF(NOTA[[#This Row],[NAMA BARANG]]="","",INDEX(NOTA[ID],MATCH(,INDIRECT(ADDRESS(ROW(NOTA[ID]),COLUMN(NOTA[ID]))&amp;":"&amp;ADDRESS(ROW(),COLUMN(NOTA[ID]))),-1)))</f>
        <v/>
      </c>
      <c r="E938" s="79"/>
      <c r="F938" s="80"/>
      <c r="G938" s="80"/>
      <c r="H938" s="81"/>
      <c r="I938" s="80"/>
      <c r="J938" s="82"/>
      <c r="K938" s="80"/>
      <c r="M938" s="83"/>
      <c r="N938" s="80"/>
      <c r="O938" s="80"/>
      <c r="P938" s="77"/>
      <c r="Q938" s="169"/>
      <c r="R938" s="83"/>
      <c r="S938" s="85"/>
      <c r="T938" s="85"/>
      <c r="U938" s="84"/>
      <c r="V938" s="88"/>
      <c r="W938" s="84" t="str">
        <f>IF(NOTA[[#This Row],[HARGA/ CTN]]="",NOTA[[#This Row],[JUMLAH_H]],NOTA[[#This Row],[HARGA/ CTN]]*NOTA[[#This Row],[C]])</f>
        <v/>
      </c>
      <c r="X938" s="84" t="str">
        <f>IF(NOTA[[#This Row],[JUMLAH]]="","",NOTA[[#This Row],[JUMLAH]]*NOTA[[#This Row],[DISC 1]])</f>
        <v/>
      </c>
      <c r="Y938" s="84" t="str">
        <f>IF(NOTA[[#This Row],[JUMLAH]]="","",(NOTA[[#This Row],[JUMLAH]]-NOTA[[#This Row],[DISC 1-]])*NOTA[[#This Row],[DISC 2]])</f>
        <v/>
      </c>
      <c r="Z938" s="84" t="str">
        <f>IF(NOTA[[#This Row],[JUMLAH]]="","",NOTA[[#This Row],[DISC 1-]]+NOTA[[#This Row],[DISC 2-]])</f>
        <v/>
      </c>
      <c r="AA938" s="84" t="str">
        <f>IF(NOTA[[#This Row],[JUMLAH]]="","",NOTA[[#This Row],[JUMLAH]]-NOTA[[#This Row],[DISC]])</f>
        <v/>
      </c>
      <c r="AB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84" t="str">
        <f>IF(OR(NOTA[[#This Row],[QTY]]="",NOTA[[#This Row],[HARGA SATUAN]]="",),"",NOTA[[#This Row],[QTY]]*NOTA[[#This Row],[HARGA SATUAN]])</f>
        <v/>
      </c>
      <c r="AF938" s="82" t="str">
        <f ca="1">IF(NOTA[ID_H]="","",INDEX(NOTA[TANGGAL],MATCH(,INDIRECT(ADDRESS(ROW(NOTA[TANGGAL]),COLUMN(NOTA[TANGGAL]))&amp;":"&amp;ADDRESS(ROW(),COLUMN(NOTA[TANGGAL]))),-1)))</f>
        <v/>
      </c>
      <c r="AG938" s="77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78" t="str">
        <f>IF(NOTA[[#This Row],[ID_P]]="","",MATCH(NOTA[[#This Row],[ID_P]],[1]!B_MSK[N_ID],0))</f>
        <v/>
      </c>
      <c r="D939" s="78" t="str">
        <f ca="1">IF(NOTA[[#This Row],[NAMA BARANG]]="","",INDEX(NOTA[ID],MATCH(,INDIRECT(ADDRESS(ROW(NOTA[ID]),COLUMN(NOTA[ID]))&amp;":"&amp;ADDRESS(ROW(),COLUMN(NOTA[ID]))),-1)))</f>
        <v/>
      </c>
      <c r="E939" s="79"/>
      <c r="F939" s="80"/>
      <c r="G939" s="80"/>
      <c r="H939" s="81"/>
      <c r="I939" s="80"/>
      <c r="J939" s="82"/>
      <c r="K939" s="80"/>
      <c r="L939" s="80"/>
      <c r="M939" s="83"/>
      <c r="N939" s="80"/>
      <c r="O939" s="80"/>
      <c r="P939" s="77"/>
      <c r="Q939" s="169"/>
      <c r="R939" s="83"/>
      <c r="S939" s="85"/>
      <c r="T939" s="85"/>
      <c r="U939" s="84"/>
      <c r="V939" s="88"/>
      <c r="W939" s="84" t="str">
        <f>IF(NOTA[[#This Row],[HARGA/ CTN]]="",NOTA[[#This Row],[JUMLAH_H]],NOTA[[#This Row],[HARGA/ CTN]]*NOTA[[#This Row],[C]])</f>
        <v/>
      </c>
      <c r="X939" s="84" t="str">
        <f>IF(NOTA[[#This Row],[JUMLAH]]="","",NOTA[[#This Row],[JUMLAH]]*NOTA[[#This Row],[DISC 1]])</f>
        <v/>
      </c>
      <c r="Y939" s="84" t="str">
        <f>IF(NOTA[[#This Row],[JUMLAH]]="","",(NOTA[[#This Row],[JUMLAH]]-NOTA[[#This Row],[DISC 1-]])*NOTA[[#This Row],[DISC 2]])</f>
        <v/>
      </c>
      <c r="Z939" s="84" t="str">
        <f>IF(NOTA[[#This Row],[JUMLAH]]="","",NOTA[[#This Row],[DISC 1-]]+NOTA[[#This Row],[DISC 2-]])</f>
        <v/>
      </c>
      <c r="AA939" s="84" t="str">
        <f>IF(NOTA[[#This Row],[JUMLAH]]="","",NOTA[[#This Row],[JUMLAH]]-NOTA[[#This Row],[DISC]])</f>
        <v/>
      </c>
      <c r="AB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84" t="str">
        <f>IF(OR(NOTA[[#This Row],[QTY]]="",NOTA[[#This Row],[HARGA SATUAN]]="",),"",NOTA[[#This Row],[QTY]]*NOTA[[#This Row],[HARGA SATUAN]])</f>
        <v/>
      </c>
      <c r="AF939" s="82" t="str">
        <f ca="1">IF(NOTA[ID_H]="","",INDEX(NOTA[TANGGAL],MATCH(,INDIRECT(ADDRESS(ROW(NOTA[TANGGAL]),COLUMN(NOTA[TANGGAL]))&amp;":"&amp;ADDRESS(ROW(),COLUMN(NOTA[TANGGAL]))),-1)))</f>
        <v/>
      </c>
      <c r="AG939" s="77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78" t="str">
        <f>IF(NOTA[[#This Row],[ID_P]]="","",MATCH(NOTA[[#This Row],[ID_P]],[1]!B_MSK[N_ID],0))</f>
        <v/>
      </c>
      <c r="D940" s="78" t="str">
        <f ca="1">IF(NOTA[[#This Row],[NAMA BARANG]]="","",INDEX(NOTA[ID],MATCH(,INDIRECT(ADDRESS(ROW(NOTA[ID]),COLUMN(NOTA[ID]))&amp;":"&amp;ADDRESS(ROW(),COLUMN(NOTA[ID]))),-1)))</f>
        <v/>
      </c>
      <c r="E940" s="79"/>
      <c r="F940" s="80"/>
      <c r="G940" s="80"/>
      <c r="H940" s="81"/>
      <c r="I940" s="80"/>
      <c r="J940" s="82"/>
      <c r="K940" s="80"/>
      <c r="M940" s="83"/>
      <c r="N940" s="80"/>
      <c r="O940" s="80"/>
      <c r="P940" s="77"/>
      <c r="Q940" s="169"/>
      <c r="R940" s="83"/>
      <c r="S940" s="85"/>
      <c r="T940" s="85"/>
      <c r="U940" s="84"/>
      <c r="V940" s="88"/>
      <c r="W940" s="84" t="str">
        <f>IF(NOTA[[#This Row],[HARGA/ CTN]]="",NOTA[[#This Row],[JUMLAH_H]],NOTA[[#This Row],[HARGA/ CTN]]*NOTA[[#This Row],[C]])</f>
        <v/>
      </c>
      <c r="X940" s="84" t="str">
        <f>IF(NOTA[[#This Row],[JUMLAH]]="","",NOTA[[#This Row],[JUMLAH]]*NOTA[[#This Row],[DISC 1]])</f>
        <v/>
      </c>
      <c r="Y940" s="84" t="str">
        <f>IF(NOTA[[#This Row],[JUMLAH]]="","",(NOTA[[#This Row],[JUMLAH]]-NOTA[[#This Row],[DISC 1-]])*NOTA[[#This Row],[DISC 2]])</f>
        <v/>
      </c>
      <c r="Z940" s="84" t="str">
        <f>IF(NOTA[[#This Row],[JUMLAH]]="","",NOTA[[#This Row],[DISC 1-]]+NOTA[[#This Row],[DISC 2-]])</f>
        <v/>
      </c>
      <c r="AA940" s="84" t="str">
        <f>IF(NOTA[[#This Row],[JUMLAH]]="","",NOTA[[#This Row],[JUMLAH]]-NOTA[[#This Row],[DISC]])</f>
        <v/>
      </c>
      <c r="AB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84" t="str">
        <f>IF(OR(NOTA[[#This Row],[QTY]]="",NOTA[[#This Row],[HARGA SATUAN]]="",),"",NOTA[[#This Row],[QTY]]*NOTA[[#This Row],[HARGA SATUAN]])</f>
        <v/>
      </c>
      <c r="AF940" s="82" t="str">
        <f ca="1">IF(NOTA[ID_H]="","",INDEX(NOTA[TANGGAL],MATCH(,INDIRECT(ADDRESS(ROW(NOTA[TANGGAL]),COLUMN(NOTA[TANGGAL]))&amp;":"&amp;ADDRESS(ROW(),COLUMN(NOTA[TANGGAL]))),-1)))</f>
        <v/>
      </c>
      <c r="AG940" s="77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2" t="str">
        <f>IF(NOTA[[#This Row],[ID_P]]="","",MATCH(NOTA[[#This Row],[ID_P]],[1]!B_MSK[N_ID],0))</f>
        <v/>
      </c>
      <c r="D941" s="22" t="str">
        <f ca="1">IF(NOTA[[#This Row],[NAMA BARANG]]="","",INDEX(NOTA[ID],MATCH(,INDIRECT(ADDRESS(ROW(NOTA[ID]),COLUMN(NOTA[ID]))&amp;":"&amp;ADDRESS(ROW(),COLUMN(NOTA[ID]))),-1)))</f>
        <v/>
      </c>
      <c r="E941" s="76"/>
      <c r="H941" s="24"/>
      <c r="Q941" s="158"/>
      <c r="R941" s="27"/>
      <c r="S941" s="21"/>
      <c r="U941" s="29"/>
      <c r="V941" s="88"/>
      <c r="W941" s="29" t="str">
        <f>IF(NOTA[[#This Row],[HARGA/ CTN]]="",NOTA[[#This Row],[JUMLAH_H]],NOTA[[#This Row],[HARGA/ CTN]]*NOTA[[#This Row],[C]])</f>
        <v/>
      </c>
      <c r="X941" s="29" t="str">
        <f>IF(NOTA[[#This Row],[JUMLAH]]="","",NOTA[[#This Row],[JUMLAH]]*NOTA[[#This Row],[DISC 1]])</f>
        <v/>
      </c>
      <c r="Y941" s="29" t="str">
        <f>IF(NOTA[[#This Row],[JUMLAH]]="","",(NOTA[[#This Row],[JUMLAH]]-NOTA[[#This Row],[DISC 1-]])*NOTA[[#This Row],[DISC 2]])</f>
        <v/>
      </c>
      <c r="Z941" s="29" t="str">
        <f>IF(NOTA[[#This Row],[JUMLAH]]="","",NOTA[[#This Row],[DISC 1-]]+NOTA[[#This Row],[DISC 2-]])</f>
        <v/>
      </c>
      <c r="AA941" s="29" t="str">
        <f>IF(NOTA[[#This Row],[JUMLAH]]="","",NOTA[[#This Row],[JUMLAH]]-NOTA[[#This Row],[DISC]])</f>
        <v/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29" t="str">
        <f>IF(OR(NOTA[[#This Row],[QTY]]="",NOTA[[#This Row],[HARGA SATUAN]]="",),"",NOTA[[#This Row],[QTY]]*NOTA[[#This Row],[HARGA SATUAN]])</f>
        <v/>
      </c>
      <c r="AF941" s="18" t="str">
        <f ca="1">IF(NOTA[ID_H]="","",INDEX(NOTA[TANGGAL],MATCH(,INDIRECT(ADDRESS(ROW(NOTA[TANGGAL]),COLUMN(NOTA[TANGGAL]))&amp;":"&amp;ADDRESS(ROW(),COLUMN(NOTA[TANGGAL]))),-1)))</f>
        <v/>
      </c>
      <c r="AG941" s="19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2" t="str">
        <f>IF(NOTA[[#This Row],[ID_P]]="","",MATCH(NOTA[[#This Row],[ID_P]],[1]!B_MSK[N_ID],0))</f>
        <v/>
      </c>
      <c r="D942" s="22" t="str">
        <f ca="1">IF(NOTA[[#This Row],[NAMA BARANG]]="","",INDEX(NOTA[ID],MATCH(,INDIRECT(ADDRESS(ROW(NOTA[ID]),COLUMN(NOTA[ID]))&amp;":"&amp;ADDRESS(ROW(),COLUMN(NOTA[ID]))),-1)))</f>
        <v/>
      </c>
      <c r="E942" s="76"/>
      <c r="H942" s="24"/>
      <c r="Q942" s="158"/>
      <c r="R942" s="27"/>
      <c r="S942" s="21"/>
      <c r="U942" s="29"/>
      <c r="V942" s="88"/>
      <c r="W942" s="29" t="str">
        <f>IF(NOTA[[#This Row],[HARGA/ CTN]]="",NOTA[[#This Row],[JUMLAH_H]],NOTA[[#This Row],[HARGA/ CTN]]*NOTA[[#This Row],[C]])</f>
        <v/>
      </c>
      <c r="X942" s="29" t="str">
        <f>IF(NOTA[[#This Row],[JUMLAH]]="","",NOTA[[#This Row],[JUMLAH]]*NOTA[[#This Row],[DISC 1]])</f>
        <v/>
      </c>
      <c r="Y942" s="29" t="str">
        <f>IF(NOTA[[#This Row],[JUMLAH]]="","",(NOTA[[#This Row],[JUMLAH]]-NOTA[[#This Row],[DISC 1-]])*NOTA[[#This Row],[DISC 2]])</f>
        <v/>
      </c>
      <c r="Z942" s="29" t="str">
        <f>IF(NOTA[[#This Row],[JUMLAH]]="","",NOTA[[#This Row],[DISC 1-]]+NOTA[[#This Row],[DISC 2-]])</f>
        <v/>
      </c>
      <c r="AA942" s="29" t="str">
        <f>IF(NOTA[[#This Row],[JUMLAH]]="","",NOTA[[#This Row],[JUMLAH]]-NOTA[[#This Row],[DISC]])</f>
        <v/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29" t="str">
        <f>IF(OR(NOTA[[#This Row],[QTY]]="",NOTA[[#This Row],[HARGA SATUAN]]="",),"",NOTA[[#This Row],[QTY]]*NOTA[[#This Row],[HARGA SATUAN]])</f>
        <v/>
      </c>
      <c r="AF942" s="18" t="str">
        <f ca="1">IF(NOTA[ID_H]="","",INDEX(NOTA[TANGGAL],MATCH(,INDIRECT(ADDRESS(ROW(NOTA[TANGGAL]),COLUMN(NOTA[TANGGAL]))&amp;":"&amp;ADDRESS(ROW(),COLUMN(NOTA[TANGGAL]))),-1)))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2" t="str">
        <f>IF(NOTA[[#This Row],[ID_P]]="","",MATCH(NOTA[[#This Row],[ID_P]],[1]!B_MSK[N_ID],0))</f>
        <v/>
      </c>
      <c r="D943" s="22" t="str">
        <f ca="1">IF(NOTA[[#This Row],[NAMA BARANG]]="","",INDEX(NOTA[ID],MATCH(,INDIRECT(ADDRESS(ROW(NOTA[ID]),COLUMN(NOTA[ID]))&amp;":"&amp;ADDRESS(ROW(),COLUMN(NOTA[ID]))),-1)))</f>
        <v/>
      </c>
      <c r="E943" s="76"/>
      <c r="H943" s="24"/>
      <c r="Q943" s="158"/>
      <c r="R943" s="27"/>
      <c r="S943" s="21"/>
      <c r="U943" s="29"/>
      <c r="V943" s="88"/>
      <c r="W943" s="29" t="str">
        <f>IF(NOTA[[#This Row],[HARGA/ CTN]]="",NOTA[[#This Row],[JUMLAH_H]],NOTA[[#This Row],[HARGA/ CTN]]*NOTA[[#This Row],[C]])</f>
        <v/>
      </c>
      <c r="X943" s="29" t="str">
        <f>IF(NOTA[[#This Row],[JUMLAH]]="","",NOTA[[#This Row],[JUMLAH]]*NOTA[[#This Row],[DISC 1]])</f>
        <v/>
      </c>
      <c r="Y943" s="29" t="str">
        <f>IF(NOTA[[#This Row],[JUMLAH]]="","",(NOTA[[#This Row],[JUMLAH]]-NOTA[[#This Row],[DISC 1-]])*NOTA[[#This Row],[DISC 2]])</f>
        <v/>
      </c>
      <c r="Z943" s="29" t="str">
        <f>IF(NOTA[[#This Row],[JUMLAH]]="","",NOTA[[#This Row],[DISC 1-]]+NOTA[[#This Row],[DISC 2-]])</f>
        <v/>
      </c>
      <c r="AA943" s="29" t="str">
        <f>IF(NOTA[[#This Row],[JUMLAH]]="","",NOTA[[#This Row],[JUMLAH]]-NOTA[[#This Row],[DISC]])</f>
        <v/>
      </c>
      <c r="AB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29" t="str">
        <f>IF(OR(NOTA[[#This Row],[QTY]]="",NOTA[[#This Row],[HARGA SATUAN]]="",),"",NOTA[[#This Row],[QTY]]*NOTA[[#This Row],[HARGA SATUAN]])</f>
        <v/>
      </c>
      <c r="AF943" s="18" t="str">
        <f ca="1">IF(NOTA[ID_H]="","",INDEX(NOTA[TANGGAL],MATCH(,INDIRECT(ADDRESS(ROW(NOTA[TANGGAL]),COLUMN(NOTA[TANGGAL]))&amp;":"&amp;ADDRESS(ROW(),COLUMN(NOTA[TANGGAL]))),-1)))</f>
        <v/>
      </c>
      <c r="AG943" s="19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</sheetData>
  <conditionalFormatting sqref="B1:C1048576">
    <cfRule type="duplicateValues" dxfId="229" priority="16"/>
    <cfRule type="duplicateValues" dxfId="228" priority="17"/>
  </conditionalFormatting>
  <conditionalFormatting sqref="B1:B1048576">
    <cfRule type="duplicateValues" dxfId="227" priority="14"/>
  </conditionalFormatting>
  <conditionalFormatting sqref="H46:H48">
    <cfRule type="duplicateValues" dxfId="226" priority="7"/>
  </conditionalFormatting>
  <conditionalFormatting sqref="H3:H19">
    <cfRule type="duplicateValues" dxfId="225" priority="6"/>
  </conditionalFormatting>
  <conditionalFormatting sqref="H21:H23">
    <cfRule type="duplicateValues" dxfId="224" priority="5"/>
  </conditionalFormatting>
  <conditionalFormatting sqref="H25:H26">
    <cfRule type="duplicateValues" dxfId="223" priority="4"/>
  </conditionalFormatting>
  <conditionalFormatting sqref="H35:H37">
    <cfRule type="duplicateValues" dxfId="222" priority="3"/>
  </conditionalFormatting>
  <conditionalFormatting sqref="H39 H27:H28">
    <cfRule type="duplicateValues" dxfId="221" priority="557"/>
  </conditionalFormatting>
  <conditionalFormatting sqref="H29:H33">
    <cfRule type="duplicateValues" dxfId="220" priority="1"/>
  </conditionalFormatting>
  <conditionalFormatting sqref="B3:B943">
    <cfRule type="duplicateValues" dxfId="219" priority="976"/>
  </conditionalFormatting>
  <conditionalFormatting sqref="H531:H539 I106 H1:H2 I191 H468:H495 H49:H52 H107:H190 H54:H105 H20 H24 H34 H38 H40:H45 H192:H281 H541:H1048576 H283:H330 H332:H466">
    <cfRule type="duplicateValues" dxfId="218" priority="98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662</v>
      </c>
      <c r="D2" t="s">
        <v>23</v>
      </c>
      <c r="E2" t="s">
        <v>61</v>
      </c>
      <c r="F2" t="s">
        <v>71</v>
      </c>
      <c r="G2">
        <f>COUNTIF(NOTA[SUPPLIER],CONV[[#This Row],[1]])</f>
        <v>30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26</v>
      </c>
    </row>
    <row r="4" spans="1:7" x14ac:dyDescent="0.25">
      <c r="A4" t="s">
        <v>35</v>
      </c>
      <c r="B4">
        <f>COUNTIF(NOTA[FAKTUR],NM_FAKTUR)</f>
        <v>65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3" zoomScale="85" zoomScaleNormal="85" workbookViewId="0">
      <selection activeCell="C66" sqref="C66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 t="e">
        <f ca="1">MATCH(PAJAK[[#This Row],[ID]],[2]!Table1[ID],0)</f>
        <v>#REF!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 t="e">
        <f ca="1">MATCH(PAJAK[[#This Row],[ID]],[2]!Table1[ID],0)</f>
        <v>#REF!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 t="e">
        <f ca="1">MATCH(PAJAK[[#This Row],[ID]],[2]!Table1[ID],0)</f>
        <v>#REF!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 t="e">
        <f ca="1">MATCH(PAJAK[[#This Row],[ID]],[2]!Table1[ID],0)</f>
        <v>#REF!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0">
        <f ca="1">HYPERLINK("[NOTA_.XLSX]NOTA!c"&amp;PAJAK[[#This Row],[//]],IF(PAJAK[[#This Row],[//]]="","",INDEX(INDIRECT("NOTA["&amp;PAJAK[#Headers]&amp;"]"),PAJAK[[#This Row],[//]]-2)))</f>
        <v>5</v>
      </c>
      <c r="C6" s="140" t="str">
        <f ca="1">IF(PAJAK[[#This Row],[//]]="","",INDEX(INDIRECT("NOTA["&amp;PAJAK[#Headers]&amp;"]"),PAJAK[[#This Row],[//]]-2))</f>
        <v>KEN_0410_097-3</v>
      </c>
      <c r="D6" s="140" t="e">
        <f ca="1">MATCH(PAJAK[[#This Row],[ID]],[2]!Table1[ID],0)</f>
        <v>#REF!</v>
      </c>
      <c r="E6" s="141">
        <f ca="1">IF(PAJAK[[#This Row],[ID]]="","",COUNTIF(NOTA[ID_H],PAJAK[[#This Row],[ID]]))</f>
        <v>3</v>
      </c>
      <c r="F6" s="140" t="str">
        <f ca="1">IF(PAJAK[[#This Row],[//]]="","",INDEX(CONV[2],MATCH(INDEX(INDIRECT("NOTA["&amp;PAJAK[#Headers]&amp;"]"),PAJAK[[#This Row],[//]]-2),CONV[1],0),0))</f>
        <v>PT KENKO SINAR INDONESIA</v>
      </c>
      <c r="G6" s="142">
        <f ca="1">IF(PAJAK[[#This Row],[//]]="","",INDEX(NOTA[TGL_H],PAJAK[[#This Row],[//]]-2))</f>
        <v>44838</v>
      </c>
      <c r="H6" s="142">
        <f ca="1">IF(PAJAK[[#This Row],[//]]="","",INDEX(INDIRECT("NOTA["&amp;PAJAK[#Headers]&amp;"]"),PAJAK[[#This Row],[//]]-2))</f>
        <v>44835</v>
      </c>
      <c r="I6" s="141" t="str">
        <f ca="1">IF(PAJAK[[#This Row],[//]]="","",INDEX(INDIRECT("NOTA["&amp;PAJAK[#Headers]&amp;"]"),PAJAK[[#This Row],[//]]-2))</f>
        <v>22100097</v>
      </c>
      <c r="J6" s="140" t="str">
        <f ca="1">IF(OR(PAJAK[[#This Row],[//]]="",INDEX(INDIRECT("NOTA["&amp;PAJAK[#Headers]&amp;"]"),PAJAK[[#This Row],[//]]-2)=""),"",INDEX(INDIRECT("NOTA["&amp;PAJAK[#Headers]&amp;"]"),PAJAK[[#This Row],[//]]-2))</f>
        <v/>
      </c>
      <c r="K6" s="143">
        <f ca="1">IF(PAJAK[[#This Row],[//]]="","",SUMIF(NOTA[ID_H],PAJAK[[#This Row],[ID]],NOTA[JUMLAH]))</f>
        <v>29678400</v>
      </c>
      <c r="L6" s="143">
        <f ca="1">IF(PAJAK[[#This Row],[//]]="","",SUMIF(NOTA[ID_H],PAJAK[[#This Row],[ID]],NOTA[DISC]))</f>
        <v>5045328</v>
      </c>
      <c r="M6" s="143">
        <f ca="1">PAJAK[[#This Row],[SUB TOTAL]]-PAJAK[[#This Row],[DISKON]]</f>
        <v>24633072</v>
      </c>
      <c r="N6" s="143">
        <f ca="1">IF(PAJAK[[#This Row],[//]]="","",INDEX(INDIRECT("NOTA["&amp;PAJAK[#Headers]&amp;"]"),PAJAK[[#This Row],[//]]-2+PAJAK[[#This Row],[QB]]-1))</f>
        <v>0</v>
      </c>
      <c r="O6" s="143">
        <f ca="1">(PAJAK[[#This Row],[SUB T-DISC]]-PAJAK[[#This Row],[DISC DLL]])/111%</f>
        <v>22191956.756756756</v>
      </c>
      <c r="P6" s="143">
        <f ca="1">PAJAK[[#This Row],[DPP]]*PAJAK[[#This Row],[PPN]]</f>
        <v>2441115.2432432431</v>
      </c>
      <c r="Q6" s="143">
        <f ca="1">PAJAK[[#This Row],[DPP]]+PAJAK[[#This Row],[PPN 11%]]</f>
        <v>24633072</v>
      </c>
      <c r="R6" s="143" t="str">
        <f ca="1">IF(ISNUMBER(PAJAK[[#This Row],[//]]),PPN,"")</f>
        <v>11%</v>
      </c>
    </row>
    <row r="7" spans="1:18" x14ac:dyDescent="0.25">
      <c r="A7" s="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3">
        <f ca="1">HYPERLINK("[NOTA_.XLSX]NOTA!c"&amp;PAJAK[[#This Row],[//]],IF(PAJAK[[#This Row],[//]]="","",INDEX(INDIRECT("NOTA["&amp;PAJAK[#Headers]&amp;"]"),PAJAK[[#This Row],[//]]-2)))</f>
        <v>10</v>
      </c>
      <c r="C7" s="3" t="str">
        <f ca="1">IF(PAJAK[[#This Row],[//]]="","",INDEX(INDIRECT("NOTA["&amp;PAJAK[#Headers]&amp;"]"),PAJAK[[#This Row],[//]]-2))</f>
        <v>SAM_0610_115-3</v>
      </c>
      <c r="D7" s="3" t="e">
        <f ca="1">MATCH(PAJAK[[#This Row],[ID]],[2]!Table1[ID],0)</f>
        <v>#REF!</v>
      </c>
      <c r="E7" s="7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 t="e">
        <f ca="1">MATCH(PAJAK[[#This Row],[ID]],[2]!Table1[ID],0)</f>
        <v>#REF!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 t="e">
        <f ca="1">MATCH(PAJAK[[#This Row],[ID]],[2]!Table1[ID],0)</f>
        <v>#REF!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 t="e">
        <f ca="1">MATCH(PAJAK[[#This Row],[ID]],[2]!Table1[ID],0)</f>
        <v>#REF!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15">
        <f ca="1">HYPERLINK("[NOTA_.XLSX]NOTA!c"&amp;PAJAK[[#This Row],[//]],IF(PAJAK[[#This Row],[//]]="","",INDEX(INDIRECT("NOTA["&amp;PAJAK[#Headers]&amp;"]"),PAJAK[[#This Row],[//]]-2)))</f>
        <v>15</v>
      </c>
      <c r="C11" t="str">
        <f ca="1">IF(PAJAK[[#This Row],[//]]="","",INDEX(INDIRECT("NOTA["&amp;PAJAK[#Headers]&amp;"]"),PAJAK[[#This Row],[//]]-2))</f>
        <v>KEN_1010_448-2</v>
      </c>
      <c r="D11" t="e">
        <f ca="1">MATCH(PAJAK[[#This Row],[ID]],[2]!Table1[ID],0)</f>
        <v>#REF!</v>
      </c>
      <c r="E11" s="5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 t="e">
        <f ca="1">MATCH(PAJAK[[#This Row],[ID]],[2]!Table1[ID],0)</f>
        <v>#REF!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 t="e">
        <f ca="1">MATCH(PAJAK[[#This Row],[ID]],[2]!Table1[ID],0)</f>
        <v>#REF!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 t="e">
        <f ca="1">MATCH(PAJAK[[#This Row],[ID]],[2]!Table1[ID],0)</f>
        <v>#REF!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 t="e">
        <f ca="1">MATCH(PAJAK[[#This Row],[ID]],[2]!Table1[ID],0)</f>
        <v>#REF!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 t="e">
        <f ca="1">MATCH(PAJAK[[#This Row],[ID]],[2]!Table1[ID],0)</f>
        <v>#REF!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 t="e">
        <f ca="1">MATCH(PAJAK[[#This Row],[ID]],[2]!Table1[ID],0)</f>
        <v>#REF!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 t="e">
        <f ca="1">MATCH(PAJAK[[#This Row],[ID]],[2]!Table1[ID],0)</f>
        <v>#REF!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 t="e">
        <f ca="1">MATCH(PAJAK[[#This Row],[ID]],[2]!Table1[ID],0)</f>
        <v>#REF!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 t="e">
        <f ca="1">MATCH(PAJAK[[#This Row],[ID]],[2]!Table1[ID],0)</f>
        <v>#REF!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 t="e">
        <f ca="1">MATCH(PAJAK[[#This Row],[ID]],[2]!Table1[ID],0)</f>
        <v>#REF!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 t="e">
        <f ca="1">MATCH(PAJAK[[#This Row],[ID]],[2]!Table1[ID],0)</f>
        <v>#REF!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 t="e">
        <f ca="1">MATCH(PAJAK[[#This Row],[ID]],[2]!Table1[ID],0)</f>
        <v>#REF!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1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73">
        <f ca="1">HYPERLINK("[NOTA_.XLSX]NOTA!c"&amp;PAJAK[[#This Row],[//]],IF(PAJAK[[#This Row],[//]]="","",INDEX(INDIRECT("NOTA["&amp;PAJAK[#Headers]&amp;"]"),PAJAK[[#This Row],[//]]-2)))</f>
        <v>56</v>
      </c>
      <c r="C28" s="140" t="str">
        <f ca="1">IF(PAJAK[[#This Row],[//]]="","",INDEX(INDIRECT("NOTA["&amp;PAJAK[#Headers]&amp;"]"),PAJAK[[#This Row],[//]]-2))</f>
        <v>KEN_1710_116-5</v>
      </c>
      <c r="D28" s="140" t="e">
        <f ca="1">MATCH(PAJAK[[#This Row],[ID]],[2]!Table1[ID],0)</f>
        <v>#REF!</v>
      </c>
      <c r="E28" s="141">
        <f ca="1">IF(PAJAK[[#This Row],[ID]]="","",COUNTIF(NOTA[ID_H],PAJAK[[#This Row],[ID]]))</f>
        <v>5</v>
      </c>
      <c r="F28" s="140" t="str">
        <f ca="1">IF(PAJAK[[#This Row],[//]]="","",INDEX(CONV[2],MATCH(INDEX(INDIRECT("NOTA["&amp;PAJAK[#Headers]&amp;"]"),PAJAK[[#This Row],[//]]-2),CONV[1],0),0))</f>
        <v>PT KENKO SINAR INDONESIA</v>
      </c>
      <c r="G28" s="142">
        <f ca="1">IF(PAJAK[[#This Row],[//]]="","",INDEX(NOTA[TGL_H],PAJAK[[#This Row],[//]]-2))</f>
        <v>44851</v>
      </c>
      <c r="H28" s="142">
        <f ca="1">IF(PAJAK[[#This Row],[//]]="","",INDEX(INDIRECT("NOTA["&amp;PAJAK[#Headers]&amp;"]"),PAJAK[[#This Row],[//]]-2))</f>
        <v>44848</v>
      </c>
      <c r="I28" s="141" t="str">
        <f ca="1">IF(PAJAK[[#This Row],[//]]="","",INDEX(INDIRECT("NOTA["&amp;PAJAK[#Headers]&amp;"]"),PAJAK[[#This Row],[//]]-2))</f>
        <v>22101116</v>
      </c>
      <c r="J28" s="140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43">
        <f ca="1">IF(PAJAK[[#This Row],[//]]="","",SUMIF(NOTA[ID_H],PAJAK[[#This Row],[ID]],NOTA[JUMLAH]))</f>
        <v>40268400</v>
      </c>
      <c r="L28" s="143">
        <f ca="1">IF(PAJAK[[#This Row],[//]]="","",SUMIF(NOTA[ID_H],PAJAK[[#This Row],[ID]],NOTA[DISC]))</f>
        <v>6845628</v>
      </c>
      <c r="M28" s="143">
        <f ca="1">PAJAK[[#This Row],[SUB TOTAL]]-PAJAK[[#This Row],[DISKON]]</f>
        <v>33422772</v>
      </c>
      <c r="N28" s="143">
        <f ca="1">IF(PAJAK[[#This Row],[//]]="","",INDEX(INDIRECT("NOTA["&amp;PAJAK[#Headers]&amp;"]"),PAJAK[[#This Row],[//]]-2+PAJAK[[#This Row],[QB]]-1))</f>
        <v>0</v>
      </c>
      <c r="O28" s="143">
        <f ca="1">(PAJAK[[#This Row],[SUB T-DISC]]-PAJAK[[#This Row],[DISC DLL]])/111%</f>
        <v>30110605.405405402</v>
      </c>
      <c r="P28" s="143">
        <f ca="1">PAJAK[[#This Row],[DPP]]*PAJAK[[#This Row],[PPN]]</f>
        <v>3312166.5945945941</v>
      </c>
      <c r="Q28" s="143">
        <f ca="1">PAJAK[[#This Row],[DPP]]+PAJAK[[#This Row],[PPN 11%]]</f>
        <v>33422771.999999996</v>
      </c>
      <c r="R28" s="143" t="str">
        <f ca="1">IF(ISNUMBER(PAJAK[[#This Row],[//]]),PPN,"")</f>
        <v>11%</v>
      </c>
    </row>
    <row r="29" spans="1:18" x14ac:dyDescent="0.25">
      <c r="A29" s="1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71">
        <f ca="1">HYPERLINK("[NOTA_.XLSX]NOTA!c"&amp;PAJAK[[#This Row],[//]],IF(PAJAK[[#This Row],[//]]="","",INDEX(INDIRECT("NOTA["&amp;PAJAK[#Headers]&amp;"]"),PAJAK[[#This Row],[//]]-2)))</f>
        <v>64</v>
      </c>
      <c r="C29" s="144" t="str">
        <f ca="1">IF(PAJAK[[#This Row],[//]]="","",INDEX(INDIRECT("NOTA["&amp;PAJAK[#Headers]&amp;"]"),PAJAK[[#This Row],[//]]-2))</f>
        <v>ATA_2010_411-6</v>
      </c>
      <c r="D29" s="144" t="e">
        <f ca="1">MATCH(PAJAK[[#This Row],[ID]],[2]!Table1[ID],0)</f>
        <v>#REF!</v>
      </c>
      <c r="E29" s="172">
        <f ca="1">IF(PAJAK[[#This Row],[ID]]="","",COUNTIF(NOTA[ID_H],PAJAK[[#This Row],[ID]]))</f>
        <v>6</v>
      </c>
      <c r="F29" s="140" t="str">
        <f ca="1">IF(PAJAK[[#This Row],[//]]="","",INDEX(CONV[2],MATCH(INDEX(INDIRECT("NOTA["&amp;PAJAK[#Headers]&amp;"]"),PAJAK[[#This Row],[//]]-2),CONV[1],0),0))</f>
        <v>PT ATALI MAKMUR</v>
      </c>
      <c r="G29" s="142">
        <f ca="1">IF(PAJAK[[#This Row],[//]]="","",INDEX(NOTA[TGL_H],PAJAK[[#This Row],[//]]-2))</f>
        <v>44854</v>
      </c>
      <c r="H29" s="142">
        <f ca="1">IF(PAJAK[[#This Row],[//]]="","",INDEX(INDIRECT("NOTA["&amp;PAJAK[#Headers]&amp;"]"),PAJAK[[#This Row],[//]]-2))</f>
        <v>44851</v>
      </c>
      <c r="I29" s="141" t="str">
        <f ca="1">IF(PAJAK[[#This Row],[//]]="","",INDEX(INDIRECT("NOTA["&amp;PAJAK[#Headers]&amp;"]"),PAJAK[[#This Row],[//]]-2))</f>
        <v>SA221016411</v>
      </c>
      <c r="J29" s="140" t="str">
        <f ca="1">IF(OR(PAJAK[[#This Row],[//]]="",INDEX(INDIRECT("NOTA["&amp;PAJAK[#Headers]&amp;"]"),PAJAK[[#This Row],[//]]-2)=""),"",INDEX(INDIRECT("NOTA["&amp;PAJAK[#Headers]&amp;"]"),PAJAK[[#This Row],[//]]-2))</f>
        <v/>
      </c>
      <c r="K29" s="143">
        <f ca="1">IF(PAJAK[[#This Row],[//]]="","",SUMIF(NOTA[ID_H],PAJAK[[#This Row],[ID]],NOTA[JUMLAH]))</f>
        <v>12801600</v>
      </c>
      <c r="L29" s="143">
        <f ca="1">IF(PAJAK[[#This Row],[//]]="","",SUMIF(NOTA[ID_H],PAJAK[[#This Row],[ID]],NOTA[DISC]))</f>
        <v>2160270</v>
      </c>
      <c r="M29" s="143">
        <f ca="1">PAJAK[[#This Row],[SUB TOTAL]]-PAJAK[[#This Row],[DISKON]]</f>
        <v>10641330</v>
      </c>
      <c r="N29" s="143">
        <f ca="1">IF(PAJAK[[#This Row],[//]]="","",INDEX(INDIRECT("NOTA["&amp;PAJAK[#Headers]&amp;"]"),PAJAK[[#This Row],[//]]-2+PAJAK[[#This Row],[QB]]-1))</f>
        <v>0</v>
      </c>
      <c r="O29" s="143">
        <f ca="1">(PAJAK[[#This Row],[SUB T-DISC]]-PAJAK[[#This Row],[DISC DLL]])/111%</f>
        <v>9586783.7837837823</v>
      </c>
      <c r="P29" s="143">
        <f ca="1">PAJAK[[#This Row],[DPP]]*PAJAK[[#This Row],[PPN]]</f>
        <v>1054546.2162162161</v>
      </c>
      <c r="Q29" s="143">
        <f ca="1">PAJAK[[#This Row],[DPP]]+PAJAK[[#This Row],[PPN 11%]]</f>
        <v>10641329.999999998</v>
      </c>
      <c r="R29" s="143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 s="14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73">
        <f ca="1">HYPERLINK("[NOTA_.XLSX]NOTA!c"&amp;PAJAK[[#This Row],[//]],IF(PAJAK[[#This Row],[//]]="","",INDEX(INDIRECT("NOTA["&amp;PAJAK[#Headers]&amp;"]"),PAJAK[[#This Row],[//]]-2)))</f>
        <v>66</v>
      </c>
      <c r="C31" s="140" t="str">
        <f ca="1">IF(PAJAK[[#This Row],[//]]="","",INDEX(INDIRECT("NOTA["&amp;PAJAK[#Headers]&amp;"]"),PAJAK[[#This Row],[//]]-2))</f>
        <v>ATA_2010_243-2</v>
      </c>
      <c r="D31" s="140" t="e">
        <f ca="1">MATCH(PAJAK[[#This Row],[ID]],[2]!Table1[ID],0)</f>
        <v>#REF!</v>
      </c>
      <c r="E31" s="141">
        <f ca="1">IF(PAJAK[[#This Row],[ID]]="","",COUNTIF(NOTA[ID_H],PAJAK[[#This Row],[ID]]))</f>
        <v>2</v>
      </c>
      <c r="F31" s="140" t="str">
        <f ca="1">IF(PAJAK[[#This Row],[//]]="","",INDEX(CONV[2],MATCH(INDEX(INDIRECT("NOTA["&amp;PAJAK[#Headers]&amp;"]"),PAJAK[[#This Row],[//]]-2),CONV[1],0),0))</f>
        <v>PT ATALI MAKMUR</v>
      </c>
      <c r="G31" s="142">
        <f ca="1">IF(PAJAK[[#This Row],[//]]="","",INDEX(NOTA[TGL_H],PAJAK[[#This Row],[//]]-2))</f>
        <v>44854</v>
      </c>
      <c r="H31" s="142">
        <f ca="1">IF(PAJAK[[#This Row],[//]]="","",INDEX(INDIRECT("NOTA["&amp;PAJAK[#Headers]&amp;"]"),PAJAK[[#This Row],[//]]-2))</f>
        <v>44847</v>
      </c>
      <c r="I31" s="141" t="str">
        <f ca="1">IF(PAJAK[[#This Row],[//]]="","",INDEX(INDIRECT("NOTA["&amp;PAJAK[#Headers]&amp;"]"),PAJAK[[#This Row],[//]]-2))</f>
        <v>SA221016243</v>
      </c>
      <c r="J31" s="140" t="str">
        <f ca="1">IF(OR(PAJAK[[#This Row],[//]]="",INDEX(INDIRECT("NOTA["&amp;PAJAK[#Headers]&amp;"]"),PAJAK[[#This Row],[//]]-2)=""),"",INDEX(INDIRECT("NOTA["&amp;PAJAK[#Headers]&amp;"]"),PAJAK[[#This Row],[//]]-2))</f>
        <v/>
      </c>
      <c r="K31" s="143">
        <f ca="1">IF(PAJAK[[#This Row],[//]]="","",SUMIF(NOTA[ID_H],PAJAK[[#This Row],[ID]],NOTA[JUMLAH]))</f>
        <v>17532000</v>
      </c>
      <c r="L31" s="143">
        <f ca="1">IF(PAJAK[[#This Row],[//]]="","",SUMIF(NOTA[ID_H],PAJAK[[#This Row],[ID]],NOTA[DISC]))</f>
        <v>2952540</v>
      </c>
      <c r="M31" s="143">
        <f ca="1">PAJAK[[#This Row],[SUB TOTAL]]-PAJAK[[#This Row],[DISKON]]</f>
        <v>14579460</v>
      </c>
      <c r="N31" s="143">
        <f ca="1">IF(PAJAK[[#This Row],[//]]="","",INDEX(INDIRECT("NOTA["&amp;PAJAK[#Headers]&amp;"]"),PAJAK[[#This Row],[//]]-2+PAJAK[[#This Row],[QB]]-1))</f>
        <v>215460</v>
      </c>
      <c r="O31" s="143">
        <f ca="1">(PAJAK[[#This Row],[SUB T-DISC]]-PAJAK[[#This Row],[DISC DLL]])/111%</f>
        <v>12940540.540540539</v>
      </c>
      <c r="P31" s="143">
        <f ca="1">PAJAK[[#This Row],[DPP]]*PAJAK[[#This Row],[PPN]]</f>
        <v>1423459.4594594592</v>
      </c>
      <c r="Q31" s="143">
        <f ca="1">PAJAK[[#This Row],[DPP]]+PAJAK[[#This Row],[PPN 11%]]</f>
        <v>14363999.999999998</v>
      </c>
      <c r="R31" s="143" t="str">
        <f ca="1">IF(ISNUMBER(PAJAK[[#This Row],[//]]),PPN,"")</f>
        <v>11%</v>
      </c>
    </row>
    <row r="32" spans="1:18" x14ac:dyDescent="0.25">
      <c r="A32" s="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2">
        <f ca="1">HYPERLINK("[NOTA_.XLSX]NOTA!c"&amp;PAJAK[[#This Row],[//]],IF(PAJAK[[#This Row],[//]]="","",INDEX(INDIRECT("NOTA["&amp;PAJAK[#Headers]&amp;"]"),PAJAK[[#This Row],[//]]-2)))</f>
        <v>67</v>
      </c>
      <c r="C32" s="3" t="str">
        <f ca="1">IF(PAJAK[[#This Row],[//]]="","",INDEX(INDIRECT("NOTA["&amp;PAJAK[#Headers]&amp;"]"),PAJAK[[#This Row],[//]]-2))</f>
        <v>KAL_2010_048-6</v>
      </c>
      <c r="D32" s="3" t="e">
        <f ca="1">MATCH(PAJAK[[#This Row],[ID]],[2]!Table1[ID],0)</f>
        <v>#REF!</v>
      </c>
      <c r="E32" s="7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 t="e">
        <f ca="1">MATCH(PAJAK[[#This Row],[ID]],[2]!Table1[ID],0)</f>
        <v>#REF!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15">
        <f ca="1">HYPERLINK("[NOTA_.XLSX]NOTA!c"&amp;PAJAK[[#This Row],[//]],IF(PAJAK[[#This Row],[//]]="","",INDEX(INDIRECT("NOTA["&amp;PAJAK[#Headers]&amp;"]"),PAJAK[[#This Row],[//]]-2)))</f>
        <v>69</v>
      </c>
      <c r="C34" t="str">
        <f ca="1">IF(PAJAK[[#This Row],[//]]="","",INDEX(INDIRECT("NOTA["&amp;PAJAK[#Headers]&amp;"]"),PAJAK[[#This Row],[//]]-2))</f>
        <v>ATA_2010_282-11</v>
      </c>
      <c r="D34" t="e">
        <f ca="1">MATCH(PAJAK[[#This Row],[ID]],[2]!Table1[ID],0)</f>
        <v>#REF!</v>
      </c>
      <c r="E34" s="5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 t="e">
        <f ca="1">MATCH(PAJAK[[#This Row],[ID]],[2]!Table1[ID],0)</f>
        <v>#REF!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326</v>
      </c>
      <c r="B36" s="3">
        <f ca="1">HYPERLINK("[NOTA_.XLSX]NOTA!c"&amp;PAJAK[[#This Row],[//]],IF(PAJAK[[#This Row],[//]]="","",INDEX(INDIRECT("NOTA["&amp;PAJAK[#Headers]&amp;"]"),PAJAK[[#This Row],[//]]-2)))</f>
        <v>77</v>
      </c>
      <c r="C36" s="3" t="str">
        <f ca="1">IF(PAJAK[[#This Row],[//]]="","",INDEX(INDIRECT("NOTA["&amp;PAJAK[#Headers]&amp;"]"),PAJAK[[#This Row],[//]]-2))</f>
        <v>KEN_2010_904-4</v>
      </c>
      <c r="D36" s="3" t="e">
        <f ca="1">MATCH(PAJAK[[#This Row],[ID]],[2]!Table1[ID],0)</f>
        <v>#REF!</v>
      </c>
      <c r="E36" s="7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44854</v>
      </c>
      <c r="H36" s="2">
        <f ca="1">IF(PAJAK[[#This Row],[//]]="","",INDEX(INDIRECT("NOTA["&amp;PAJAK[#Headers]&amp;"]"),PAJAK[[#This Row],[//]]-2))</f>
        <v>44846</v>
      </c>
      <c r="I36" s="7" t="str">
        <f ca="1">IF(PAJAK[[#This Row],[//]]="","",INDEX(INDIRECT("NOTA["&amp;PAJAK[#Headers]&amp;"]"),PAJAK[[#This Row],[//]]-2))</f>
        <v>22100904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37600</v>
      </c>
      <c r="K36" s="1">
        <f ca="1">IF(PAJAK[[#This Row],[//]]="","",SUMIF(NOTA[ID_H],PAJAK[[#This Row],[ID]],NOTA[JUMLAH]))</f>
        <v>47595600</v>
      </c>
      <c r="L36" s="1">
        <f ca="1">IF(PAJAK[[#This Row],[//]]="","",SUMIF(NOTA[ID_H],PAJAK[[#This Row],[ID]],NOTA[DISC]))</f>
        <v>8091252</v>
      </c>
      <c r="M36" s="1">
        <f ca="1">PAJAK[[#This Row],[SUB TOTAL]]-PAJAK[[#This Row],[DISKON]]</f>
        <v>39504348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35589502.702702701</v>
      </c>
      <c r="P36" s="1">
        <f ca="1">PAJAK[[#This Row],[DPP]]*PAJAK[[#This Row],[PPN]]</f>
        <v>3914845.297297297</v>
      </c>
      <c r="Q36" s="1">
        <f ca="1">PAJAK[[#This Row],[DPP]]+PAJAK[[#This Row],[PPN 11%]]</f>
        <v>39504348</v>
      </c>
      <c r="R36" s="1" t="str">
        <f ca="1">IF(ISNUMBER(PAJAK[[#This Row],[//]]),PPN,"")</f>
        <v>11%</v>
      </c>
    </row>
    <row r="37" spans="1:18" x14ac:dyDescent="0.25">
      <c r="A37" s="1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331</v>
      </c>
      <c r="B37" s="171">
        <f ca="1">HYPERLINK("[NOTA_.XLSX]NOTA!c"&amp;PAJAK[[#This Row],[//]],IF(PAJAK[[#This Row],[//]]="","",INDEX(INDIRECT("NOTA["&amp;PAJAK[#Headers]&amp;"]"),PAJAK[[#This Row],[//]]-2)))</f>
        <v>78</v>
      </c>
      <c r="C37" s="144" t="str">
        <f ca="1">IF(PAJAK[[#This Row],[//]]="","",INDEX(INDIRECT("NOTA["&amp;PAJAK[#Headers]&amp;"]"),PAJAK[[#This Row],[//]]-2))</f>
        <v>KEN_2010_921-8</v>
      </c>
      <c r="D37" s="144" t="e">
        <f ca="1">MATCH(PAJAK[[#This Row],[ID]],[2]!Table1[ID],0)</f>
        <v>#REF!</v>
      </c>
      <c r="E37" s="172">
        <f ca="1">IF(PAJAK[[#This Row],[ID]]="","",COUNTIF(NOTA[ID_H],PAJAK[[#This Row],[ID]]))</f>
        <v>8</v>
      </c>
      <c r="F37" s="140" t="str">
        <f ca="1">IF(PAJAK[[#This Row],[//]]="","",INDEX(CONV[2],MATCH(INDEX(INDIRECT("NOTA["&amp;PAJAK[#Headers]&amp;"]"),PAJAK[[#This Row],[//]]-2),CONV[1],0),0))</f>
        <v>PT KENKO SINAR INDONESIA</v>
      </c>
      <c r="G37" s="142">
        <f ca="1">IF(PAJAK[[#This Row],[//]]="","",INDEX(NOTA[TGL_H],PAJAK[[#This Row],[//]]-2))</f>
        <v>44854</v>
      </c>
      <c r="H37" s="142">
        <f ca="1">IF(PAJAK[[#This Row],[//]]="","",INDEX(INDIRECT("NOTA["&amp;PAJAK[#Headers]&amp;"]"),PAJAK[[#This Row],[//]]-2))</f>
        <v>44846</v>
      </c>
      <c r="I37" s="141" t="str">
        <f ca="1">IF(PAJAK[[#This Row],[//]]="","",INDEX(INDIRECT("NOTA["&amp;PAJAK[#Headers]&amp;"]"),PAJAK[[#This Row],[//]]-2))</f>
        <v>22100921</v>
      </c>
      <c r="J37" s="140" t="str">
        <f ca="1">IF(OR(PAJAK[[#This Row],[//]]="",INDEX(INDIRECT("NOTA["&amp;PAJAK[#Headers]&amp;"]"),PAJAK[[#This Row],[//]]-2)=""),"",INDEX(INDIRECT("NOTA["&amp;PAJAK[#Headers]&amp;"]"),PAJAK[[#This Row],[//]]-2))</f>
        <v>SA 37610</v>
      </c>
      <c r="K37" s="143">
        <f ca="1">IF(PAJAK[[#This Row],[//]]="","",SUMIF(NOTA[ID_H],PAJAK[[#This Row],[ID]],NOTA[JUMLAH]))</f>
        <v>34922400</v>
      </c>
      <c r="L37" s="143">
        <f ca="1">IF(PAJAK[[#This Row],[//]]="","",SUMIF(NOTA[ID_H],PAJAK[[#This Row],[ID]],NOTA[DISC]))</f>
        <v>5936808</v>
      </c>
      <c r="M37" s="143">
        <f ca="1">PAJAK[[#This Row],[SUB TOTAL]]-PAJAK[[#This Row],[DISKON]]</f>
        <v>28985592</v>
      </c>
      <c r="N37" s="143">
        <f ca="1">IF(PAJAK[[#This Row],[//]]="","",INDEX(INDIRECT("NOTA["&amp;PAJAK[#Headers]&amp;"]"),PAJAK[[#This Row],[//]]-2+PAJAK[[#This Row],[QB]]-1))</f>
        <v>0</v>
      </c>
      <c r="O37" s="143">
        <f ca="1">(PAJAK[[#This Row],[SUB T-DISC]]-PAJAK[[#This Row],[DISC DLL]])/111%</f>
        <v>26113145.945945945</v>
      </c>
      <c r="P37" s="143">
        <f ca="1">PAJAK[[#This Row],[DPP]]*PAJAK[[#This Row],[PPN]]</f>
        <v>2872446.054054054</v>
      </c>
      <c r="Q37" s="143">
        <f ca="1">PAJAK[[#This Row],[DPP]]+PAJAK[[#This Row],[PPN 11%]]</f>
        <v>28985592</v>
      </c>
      <c r="R37" s="143" t="str">
        <f ca="1">IF(ISNUMBER(PAJAK[[#This Row],[//]]),PPN,"")</f>
        <v>11%</v>
      </c>
    </row>
    <row r="38" spans="1:18" x14ac:dyDescent="0.25">
      <c r="A38" s="1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340</v>
      </c>
      <c r="B38" s="171">
        <f ca="1">HYPERLINK("[NOTA_.XLSX]NOTA!c"&amp;PAJAK[[#This Row],[//]],IF(PAJAK[[#This Row],[//]]="","",INDEX(INDIRECT("NOTA["&amp;PAJAK[#Headers]&amp;"]"),PAJAK[[#This Row],[//]]-2)))</f>
        <v>79</v>
      </c>
      <c r="C38" s="144" t="str">
        <f ca="1">IF(PAJAK[[#This Row],[//]]="","",INDEX(INDIRECT("NOTA["&amp;PAJAK[#Headers]&amp;"]"),PAJAK[[#This Row],[//]]-2))</f>
        <v>KEN_2010_015-8</v>
      </c>
      <c r="D38" s="144" t="e">
        <f ca="1">MATCH(PAJAK[[#This Row],[ID]],[2]!Table1[ID],0)</f>
        <v>#REF!</v>
      </c>
      <c r="E38" s="172">
        <f ca="1">IF(PAJAK[[#This Row],[ID]]="","",COUNTIF(NOTA[ID_H],PAJAK[[#This Row],[ID]]))</f>
        <v>8</v>
      </c>
      <c r="F38" s="140" t="str">
        <f ca="1">IF(PAJAK[[#This Row],[//]]="","",INDEX(CONV[2],MATCH(INDEX(INDIRECT("NOTA["&amp;PAJAK[#Headers]&amp;"]"),PAJAK[[#This Row],[//]]-2),CONV[1],0),0))</f>
        <v>PT KENKO SINAR INDONESIA</v>
      </c>
      <c r="G38" s="142">
        <f ca="1">IF(PAJAK[[#This Row],[//]]="","",INDEX(NOTA[TGL_H],PAJAK[[#This Row],[//]]-2))</f>
        <v>44854</v>
      </c>
      <c r="H38" s="142">
        <f ca="1">IF(PAJAK[[#This Row],[//]]="","",INDEX(INDIRECT("NOTA["&amp;PAJAK[#Headers]&amp;"]"),PAJAK[[#This Row],[//]]-2))</f>
        <v>44847</v>
      </c>
      <c r="I38" s="141" t="str">
        <f ca="1">IF(PAJAK[[#This Row],[//]]="","",INDEX(INDIRECT("NOTA["&amp;PAJAK[#Headers]&amp;"]"),PAJAK[[#This Row],[//]]-2))</f>
        <v>22101015</v>
      </c>
      <c r="J38" s="140" t="str">
        <f ca="1">IF(OR(PAJAK[[#This Row],[//]]="",INDEX(INDIRECT("NOTA["&amp;PAJAK[#Headers]&amp;"]"),PAJAK[[#This Row],[//]]-2)=""),"",INDEX(INDIRECT("NOTA["&amp;PAJAK[#Headers]&amp;"]"),PAJAK[[#This Row],[//]]-2))</f>
        <v>SA 37616</v>
      </c>
      <c r="K38" s="143">
        <f ca="1">IF(PAJAK[[#This Row],[//]]="","",SUMIF(NOTA[ID_H],PAJAK[[#This Row],[ID]],NOTA[JUMLAH]))</f>
        <v>51513200</v>
      </c>
      <c r="L38" s="143">
        <f ca="1">IF(PAJAK[[#This Row],[//]]="","",SUMIF(NOTA[ID_H],PAJAK[[#This Row],[ID]],NOTA[DISC]))</f>
        <v>8757244</v>
      </c>
      <c r="M38" s="143">
        <f ca="1">PAJAK[[#This Row],[SUB TOTAL]]-PAJAK[[#This Row],[DISKON]]</f>
        <v>42755956</v>
      </c>
      <c r="N38" s="143">
        <f ca="1">IF(PAJAK[[#This Row],[//]]="","",INDEX(INDIRECT("NOTA["&amp;PAJAK[#Headers]&amp;"]"),PAJAK[[#This Row],[//]]-2+PAJAK[[#This Row],[QB]]-1))</f>
        <v>0</v>
      </c>
      <c r="O38" s="143">
        <f ca="1">(PAJAK[[#This Row],[SUB T-DISC]]-PAJAK[[#This Row],[DISC DLL]])/111%</f>
        <v>38518879.279279277</v>
      </c>
      <c r="P38" s="143">
        <f ca="1">PAJAK[[#This Row],[DPP]]*PAJAK[[#This Row],[PPN]]</f>
        <v>4237076.7207207205</v>
      </c>
      <c r="Q38" s="143">
        <f ca="1">PAJAK[[#This Row],[DPP]]+PAJAK[[#This Row],[PPN 11%]]</f>
        <v>42755956</v>
      </c>
      <c r="R38" s="143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349</v>
      </c>
      <c r="B39" s="15">
        <f ca="1">HYPERLINK("[NOTA_.XLSX]NOTA!c"&amp;PAJAK[[#This Row],[//]],IF(PAJAK[[#This Row],[//]]="","",INDEX(INDIRECT("NOTA["&amp;PAJAK[#Headers]&amp;"]"),PAJAK[[#This Row],[//]]-2)))</f>
        <v>80</v>
      </c>
      <c r="C39" t="str">
        <f ca="1">IF(PAJAK[[#This Row],[//]]="","",INDEX(INDIRECT("NOTA["&amp;PAJAK[#Headers]&amp;"]"),PAJAK[[#This Row],[//]]-2))</f>
        <v>KEN_2110_207-10</v>
      </c>
      <c r="D39" t="e">
        <f ca="1">MATCH(PAJAK[[#This Row],[ID]],[2]!Table1[ID],0)</f>
        <v>#REF!</v>
      </c>
      <c r="E39" s="5">
        <f ca="1">IF(PAJAK[[#This Row],[ID]]="","",COUNTIF(NOTA[ID_H],PAJAK[[#This Row],[ID]]))</f>
        <v>10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44855</v>
      </c>
      <c r="H39" s="2">
        <f ca="1">IF(PAJAK[[#This Row],[//]]="","",INDEX(INDIRECT("NOTA["&amp;PAJAK[#Headers]&amp;"]"),PAJAK[[#This Row],[//]]-2))</f>
        <v>44849</v>
      </c>
      <c r="I39" s="7" t="str">
        <f ca="1">IF(PAJAK[[#This Row],[//]]="","",INDEX(INDIRECT("NOTA["&amp;PAJAK[#Headers]&amp;"]"),PAJAK[[#This Row],[//]]-2))</f>
        <v>22101207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37660</v>
      </c>
      <c r="K39" s="1">
        <f ca="1">IF(PAJAK[[#This Row],[//]]="","",SUMIF(NOTA[ID_H],PAJAK[[#This Row],[ID]],NOTA[JUMLAH]))</f>
        <v>31128400</v>
      </c>
      <c r="L39" s="1">
        <f ca="1">IF(PAJAK[[#This Row],[//]]="","",SUMIF(NOTA[ID_H],PAJAK[[#This Row],[ID]],NOTA[DISC]))</f>
        <v>5291828</v>
      </c>
      <c r="M39" s="1">
        <f ca="1">PAJAK[[#This Row],[SUB TOTAL]]-PAJAK[[#This Row],[DISKON]]</f>
        <v>25836572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23276190.990990989</v>
      </c>
      <c r="P39" s="1">
        <f ca="1">PAJAK[[#This Row],[DPP]]*PAJAK[[#This Row],[PPN]]</f>
        <v>2560381.0090090088</v>
      </c>
      <c r="Q39" s="1">
        <f ca="1">PAJAK[[#This Row],[DPP]]+PAJAK[[#This Row],[PPN 11%]]</f>
        <v>25836571.999999996</v>
      </c>
      <c r="R39" s="1" t="str">
        <f ca="1">IF(ISNUMBER(PAJAK[[#This Row],[//]]),PPN,"")</f>
        <v>11%</v>
      </c>
    </row>
    <row r="40" spans="1:18" s="144" customFormat="1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360</v>
      </c>
      <c r="B40" s="15">
        <f ca="1">HYPERLINK("[NOTA_.XLSX]NOTA!c"&amp;PAJAK[[#This Row],[//]],IF(PAJAK[[#This Row],[//]]="","",INDEX(INDIRECT("NOTA["&amp;PAJAK[#Headers]&amp;"]"),PAJAK[[#This Row],[//]]-2)))</f>
        <v>81</v>
      </c>
      <c r="C40" t="str">
        <f ca="1">IF(PAJAK[[#This Row],[//]]="","",INDEX(INDIRECT("NOTA["&amp;PAJAK[#Headers]&amp;"]"),PAJAK[[#This Row],[//]]-2))</f>
        <v>ATA_2110_384-2</v>
      </c>
      <c r="D40" t="e">
        <f ca="1">MATCH(PAJAK[[#This Row],[ID]],[2]!Table1[ID],0)</f>
        <v>#REF!</v>
      </c>
      <c r="E40" s="5">
        <f ca="1">IF(PAJAK[[#This Row],[ID]]="","",COUNTIF(NOTA[ID_H],PAJAK[[#This Row],[ID]]))</f>
        <v>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44855</v>
      </c>
      <c r="H40" s="2">
        <f ca="1">IF(PAJAK[[#This Row],[//]]="","",INDEX(INDIRECT("NOTA["&amp;PAJAK[#Headers]&amp;"]"),PAJAK[[#This Row],[//]]-2))</f>
        <v>44849</v>
      </c>
      <c r="I40" s="7" t="str">
        <f ca="1">IF(PAJAK[[#This Row],[//]]="","",INDEX(INDIRECT("NOTA["&amp;PAJAK[#Headers]&amp;"]"),PAJAK[[#This Row],[//]]-2))</f>
        <v>SA221016384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3091200</v>
      </c>
      <c r="L40" s="1">
        <f ca="1">IF(PAJAK[[#This Row],[//]]="","",SUMIF(NOTA[ID_H],PAJAK[[#This Row],[ID]],NOTA[DISC]))</f>
        <v>521640</v>
      </c>
      <c r="M40" s="1">
        <f ca="1">PAJAK[[#This Row],[SUB TOTAL]]-PAJAK[[#This Row],[DISKON]]</f>
        <v>2569560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2314918.9189189188</v>
      </c>
      <c r="P40" s="1">
        <f ca="1">PAJAK[[#This Row],[DPP]]*PAJAK[[#This Row],[PPN]]</f>
        <v>254641.08108108107</v>
      </c>
      <c r="Q40" s="1">
        <f ca="1">PAJAK[[#This Row],[DPP]]+PAJAK[[#This Row],[PPN 11%]]</f>
        <v>2569560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363</v>
      </c>
      <c r="B41" s="3">
        <f ca="1">HYPERLINK("[NOTA_.XLSX]NOTA!c"&amp;PAJAK[[#This Row],[//]],IF(PAJAK[[#This Row],[//]]="","",INDEX(INDIRECT("NOTA["&amp;PAJAK[#Headers]&amp;"]"),PAJAK[[#This Row],[//]]-2)))</f>
        <v>82</v>
      </c>
      <c r="C41" s="3" t="str">
        <f ca="1">IF(PAJAK[[#This Row],[//]]="","",INDEX(INDIRECT("NOTA["&amp;PAJAK[#Headers]&amp;"]"),PAJAK[[#This Row],[//]]-2))</f>
        <v>SAM_2110_405-1</v>
      </c>
      <c r="D41" s="3" t="e">
        <f ca="1">MATCH(PAJAK[[#This Row],[ID]],[2]!Table1[ID],0)</f>
        <v>#REF!</v>
      </c>
      <c r="E41" s="7">
        <f ca="1">IF(PAJAK[[#This Row],[ID]]="","",COUNTIF(NOTA[ID_H],PAJAK[[#This Row],[ID]]))</f>
        <v>1</v>
      </c>
      <c r="F41" s="3" t="str">
        <f ca="1">IF(PAJAK[[#This Row],[//]]="","",INDEX(CONV[2],MATCH(INDEX(INDIRECT("NOTA["&amp;PAJAK[#Headers]&amp;"]"),PAJAK[[#This Row],[//]]-2),CONV[1],0),0))</f>
        <v>CV SAMUDERA ANGKASA JAYA</v>
      </c>
      <c r="G41" s="2">
        <f ca="1">IF(PAJAK[[#This Row],[//]]="","",INDEX(NOTA[TGL_H],PAJAK[[#This Row],[//]]-2))</f>
        <v>44855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JL-24405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9350000</v>
      </c>
      <c r="L41" s="1">
        <f ca="1">IF(PAJAK[[#This Row],[//]]="","",SUMIF(NOTA[ID_H],PAJAK[[#This Row],[ID]],NOTA[DISC]))</f>
        <v>467500</v>
      </c>
      <c r="M41" s="1">
        <f ca="1">PAJAK[[#This Row],[SUB TOTAL]]-PAJAK[[#This Row],[DISKON]]</f>
        <v>8882500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8002252.2522522518</v>
      </c>
      <c r="P41" s="1">
        <f ca="1">PAJAK[[#This Row],[DPP]]*PAJAK[[#This Row],[PPN]]</f>
        <v>880247.74774774769</v>
      </c>
      <c r="Q41" s="1">
        <f ca="1">PAJAK[[#This Row],[DPP]]+PAJAK[[#This Row],[PPN 11%]]</f>
        <v>8882500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371</v>
      </c>
      <c r="B42" s="3">
        <f ca="1">HYPERLINK("[NOTA_.XLSX]NOTA!c"&amp;PAJAK[[#This Row],[//]],IF(PAJAK[[#This Row],[//]]="","",INDEX(INDIRECT("NOTA["&amp;PAJAK[#Headers]&amp;"]"),PAJAK[[#This Row],[//]]-2)))</f>
        <v>84</v>
      </c>
      <c r="C42" s="3" t="str">
        <f ca="1">IF(PAJAK[[#This Row],[//]]="","",INDEX(INDIRECT("NOTA["&amp;PAJAK[#Headers]&amp;"]"),PAJAK[[#This Row],[//]]-2))</f>
        <v>KEN_2210_338-5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5</v>
      </c>
      <c r="F42" s="3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44851</v>
      </c>
      <c r="I42" s="7" t="str">
        <f ca="1">IF(PAJAK[[#This Row],[//]]="","",INDEX(INDIRECT("NOTA["&amp;PAJAK[#Headers]&amp;"]"),PAJAK[[#This Row],[//]]-2))</f>
        <v>22101338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16626000</v>
      </c>
      <c r="L42" s="1">
        <f ca="1">IF(PAJAK[[#This Row],[//]]="","",SUMIF(NOTA[ID_H],PAJAK[[#This Row],[ID]],NOTA[DISC]))</f>
        <v>2826420</v>
      </c>
      <c r="M42" s="1">
        <f ca="1">PAJAK[[#This Row],[SUB TOTAL]]-PAJAK[[#This Row],[DISKON]]</f>
        <v>13799580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12432054.054054054</v>
      </c>
      <c r="P42" s="1">
        <f ca="1">PAJAK[[#This Row],[DPP]]*PAJAK[[#This Row],[PPN]]</f>
        <v>1367525.9459459458</v>
      </c>
      <c r="Q42" s="1">
        <f ca="1">PAJAK[[#This Row],[DPP]]+PAJAK[[#This Row],[PPN 11%]]</f>
        <v>13799580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377</v>
      </c>
      <c r="B43" s="3">
        <f ca="1">HYPERLINK("[NOTA_.XLSX]NOTA!c"&amp;PAJAK[[#This Row],[//]],IF(PAJAK[[#This Row],[//]]="","",INDEX(INDIRECT("NOTA["&amp;PAJAK[#Headers]&amp;"]"),PAJAK[[#This Row],[//]]-2)))</f>
        <v>85</v>
      </c>
      <c r="C43" s="3" t="str">
        <f ca="1">IF(PAJAK[[#This Row],[//]]="","",INDEX(INDIRECT("NOTA["&amp;PAJAK[#Headers]&amp;"]"),PAJAK[[#This Row],[//]]-2))</f>
        <v>KEN_2210_484-11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11</v>
      </c>
      <c r="F43" s="3" t="str">
        <f ca="1">IF(PAJAK[[#This Row],[//]]="","",INDEX(CONV[2],MATCH(INDEX(INDIRECT("NOTA["&amp;PAJAK[#Headers]&amp;"]"),PAJAK[[#This Row],[//]]-2),CONV[1],0),0))</f>
        <v>PT KENKO SINAR INDONESIA</v>
      </c>
      <c r="G43" s="2">
        <f ca="1">IF(PAJAK[[#This Row],[//]]="","",INDEX(NOTA[TGL_H],PAJAK[[#This Row],[//]]-2))</f>
        <v>44856</v>
      </c>
      <c r="H43" s="2">
        <f ca="1">IF(PAJAK[[#This Row],[//]]="","",INDEX(INDIRECT("NOTA["&amp;PAJAK[#Headers]&amp;"]"),PAJAK[[#This Row],[//]]-2))</f>
        <v>44853</v>
      </c>
      <c r="I43" s="7" t="str">
        <f ca="1">IF(PAJAK[[#This Row],[//]]="","",INDEX(INDIRECT("NOTA["&amp;PAJAK[#Headers]&amp;"]"),PAJAK[[#This Row],[//]]-2))</f>
        <v>22101484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45016800</v>
      </c>
      <c r="L43" s="1">
        <f ca="1">IF(PAJAK[[#This Row],[//]]="","",SUMIF(NOTA[ID_H],PAJAK[[#This Row],[ID]],NOTA[DISC]))</f>
        <v>7652856</v>
      </c>
      <c r="M43" s="1">
        <f ca="1">PAJAK[[#This Row],[SUB TOTAL]]-PAJAK[[#This Row],[DISKON]]</f>
        <v>37363944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33661210.810810804</v>
      </c>
      <c r="P43" s="1">
        <f ca="1">PAJAK[[#This Row],[DPP]]*PAJAK[[#This Row],[PPN]]</f>
        <v>3702733.1891891886</v>
      </c>
      <c r="Q43" s="1">
        <f ca="1">PAJAK[[#This Row],[DPP]]+PAJAK[[#This Row],[PPN 11%]]</f>
        <v>37363943.999999993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389</v>
      </c>
      <c r="B44" s="3">
        <f ca="1">HYPERLINK("[NOTA_.XLSX]NOTA!c"&amp;PAJAK[[#This Row],[//]],IF(PAJAK[[#This Row],[//]]="","",INDEX(INDIRECT("NOTA["&amp;PAJAK[#Headers]&amp;"]"),PAJAK[[#This Row],[//]]-2)))</f>
        <v>86</v>
      </c>
      <c r="C44" s="3" t="str">
        <f ca="1">IF(PAJAK[[#This Row],[//]]="","",INDEX(INDIRECT("NOTA["&amp;PAJAK[#Headers]&amp;"]"),PAJAK[[#This Row],[//]]-2))</f>
        <v>ATA_2210_532-6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6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44856</v>
      </c>
      <c r="H44" s="2">
        <f ca="1">IF(PAJAK[[#This Row],[//]]="","",INDEX(INDIRECT("NOTA["&amp;PAJAK[#Headers]&amp;"]"),PAJAK[[#This Row],[//]]-2))</f>
        <v>44852</v>
      </c>
      <c r="I44" s="7" t="str">
        <f ca="1">IF(PAJAK[[#This Row],[//]]="","",INDEX(INDIRECT("NOTA["&amp;PAJAK[#Headers]&amp;"]"),PAJAK[[#This Row],[//]]-2))</f>
        <v>SA221016532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13332000</v>
      </c>
      <c r="L44" s="1">
        <f ca="1">IF(PAJAK[[#This Row],[//]]="","",SUMIF(NOTA[ID_H],PAJAK[[#This Row],[ID]],NOTA[DISC]))</f>
        <v>2243077.5</v>
      </c>
      <c r="M44" s="1">
        <f ca="1">PAJAK[[#This Row],[SUB TOTAL]]-PAJAK[[#This Row],[DISKON]]</f>
        <v>11088922.5</v>
      </c>
      <c r="N44" s="1">
        <f ca="1">IF(PAJAK[[#This Row],[//]]="","",INDEX(INDIRECT("NOTA["&amp;PAJAK[#Headers]&amp;"]"),PAJAK[[#This Row],[//]]-2+PAJAK[[#This Row],[QB]]-1))</f>
        <v>241600</v>
      </c>
      <c r="O44" s="1">
        <f ca="1">(PAJAK[[#This Row],[SUB T-DISC]]-PAJAK[[#This Row],[DISC DLL]])/111%</f>
        <v>9772362.6126126125</v>
      </c>
      <c r="P44" s="1">
        <f ca="1">PAJAK[[#This Row],[DPP]]*PAJAK[[#This Row],[PPN]]</f>
        <v>1074959.8873873875</v>
      </c>
      <c r="Q44" s="1">
        <f ca="1">PAJAK[[#This Row],[DPP]]+PAJAK[[#This Row],[PPN 11%]]</f>
        <v>10847322.5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396</v>
      </c>
      <c r="B45" s="3">
        <f ca="1">HYPERLINK("[NOTA_.XLSX]NOTA!c"&amp;PAJAK[[#This Row],[//]],IF(PAJAK[[#This Row],[//]]="","",INDEX(INDIRECT("NOTA["&amp;PAJAK[#Headers]&amp;"]"),PAJAK[[#This Row],[//]]-2)))</f>
        <v>87</v>
      </c>
      <c r="C45" s="3" t="str">
        <f ca="1">IF(PAJAK[[#This Row],[//]]="","",INDEX(INDIRECT("NOTA["&amp;PAJAK[#Headers]&amp;"]"),PAJAK[[#This Row],[//]]-2))</f>
        <v>ATA_2210_587-11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11</v>
      </c>
      <c r="F45" s="3" t="str">
        <f ca="1">IF(PAJAK[[#This Row],[//]]="","",INDEX(CONV[2],MATCH(INDEX(INDIRECT("NOTA["&amp;PAJAK[#Headers]&amp;"]"),PAJAK[[#This Row],[//]]-2),CONV[1],0),0))</f>
        <v>PT ATALI MAKMUR</v>
      </c>
      <c r="G45" s="2">
        <f ca="1">IF(PAJAK[[#This Row],[//]]="","",INDEX(NOTA[TGL_H],PAJAK[[#This Row],[//]]-2))</f>
        <v>44856</v>
      </c>
      <c r="H45" s="2">
        <f ca="1">IF(PAJAK[[#This Row],[//]]="","",INDEX(INDIRECT("NOTA["&amp;PAJAK[#Headers]&amp;"]"),PAJAK[[#This Row],[//]]-2))</f>
        <v>44853</v>
      </c>
      <c r="I45" s="7" t="str">
        <f ca="1">IF(PAJAK[[#This Row],[//]]="","",INDEX(INDIRECT("NOTA["&amp;PAJAK[#Headers]&amp;"]"),PAJAK[[#This Row],[//]]-2))</f>
        <v>SA221016587</v>
      </c>
      <c r="J45" s="3" t="str">
        <f ca="1">IF(OR(PAJAK[[#This Row],[//]]="",INDEX(INDIRECT("NOTA["&amp;PAJAK[#Headers]&amp;"]"),PAJAK[[#This Row],[//]]-2)=""),"",INDEX(INDIRECT("NOTA["&amp;PAJAK[#Headers]&amp;"]"),PAJAK[[#This Row],[//]]-2))</f>
        <v/>
      </c>
      <c r="K45" s="1">
        <f ca="1">IF(PAJAK[[#This Row],[//]]="","",SUMIF(NOTA[ID_H],PAJAK[[#This Row],[ID]],NOTA[JUMLAH]))</f>
        <v>43106000</v>
      </c>
      <c r="L45" s="1">
        <f ca="1">IF(PAJAK[[#This Row],[//]]="","",SUMIF(NOTA[ID_H],PAJAK[[#This Row],[ID]],NOTA[DISC]))</f>
        <v>7274137.5</v>
      </c>
      <c r="M45" s="1">
        <f ca="1">PAJAK[[#This Row],[SUB TOTAL]]-PAJAK[[#This Row],[DISKON]]</f>
        <v>35831862.5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32280957.207207203</v>
      </c>
      <c r="P45" s="1">
        <f ca="1">PAJAK[[#This Row],[DPP]]*PAJAK[[#This Row],[PPN]]</f>
        <v>3550905.2927927924</v>
      </c>
      <c r="Q45" s="1">
        <f ca="1">PAJAK[[#This Row],[DPP]]+PAJAK[[#This Row],[PPN 11%]]</f>
        <v>35831862.499999993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408</v>
      </c>
      <c r="B46" s="3">
        <f ca="1">HYPERLINK("[NOTA_.XLSX]NOTA!c"&amp;PAJAK[[#This Row],[//]],IF(PAJAK[[#This Row],[//]]="","",INDEX(INDIRECT("NOTA["&amp;PAJAK[#Headers]&amp;"]"),PAJAK[[#This Row],[//]]-2)))</f>
        <v>88</v>
      </c>
      <c r="C46" s="3" t="str">
        <f ca="1">IF(PAJAK[[#This Row],[//]]="","",INDEX(INDIRECT("NOTA["&amp;PAJAK[#Headers]&amp;"]"),PAJAK[[#This Row],[//]]-2))</f>
        <v>ATA_2210_588-12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12</v>
      </c>
      <c r="F46" s="3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44856</v>
      </c>
      <c r="H46" s="2">
        <f ca="1">IF(PAJAK[[#This Row],[//]]="","",INDEX(INDIRECT("NOTA["&amp;PAJAK[#Headers]&amp;"]"),PAJAK[[#This Row],[//]]-2))</f>
        <v>44853</v>
      </c>
      <c r="I46" s="7" t="str">
        <f ca="1">IF(PAJAK[[#This Row],[//]]="","",INDEX(INDIRECT("NOTA["&amp;PAJAK[#Headers]&amp;"]"),PAJAK[[#This Row],[//]]-2))</f>
        <v>SA221016588</v>
      </c>
      <c r="J46" s="3" t="str">
        <f ca="1">IF(OR(PAJAK[[#This Row],[//]]="",INDEX(INDIRECT("NOTA["&amp;PAJAK[#Headers]&amp;"]"),PAJAK[[#This Row],[//]]-2)=""),"",INDEX(INDIRECT("NOTA["&amp;PAJAK[#Headers]&amp;"]"),PAJAK[[#This Row],[//]]-2))</f>
        <v/>
      </c>
      <c r="K46" s="1">
        <f ca="1">IF(PAJAK[[#This Row],[//]]="","",SUMIF(NOTA[ID_H],PAJAK[[#This Row],[ID]],NOTA[JUMLAH]))</f>
        <v>42629200</v>
      </c>
      <c r="L46" s="1">
        <f ca="1">IF(PAJAK[[#This Row],[//]]="","",SUMIF(NOTA[ID_H],PAJAK[[#This Row],[ID]],NOTA[DISC]))</f>
        <v>7193677.5</v>
      </c>
      <c r="M46" s="1">
        <f ca="1">PAJAK[[#This Row],[SUB TOTAL]]-PAJAK[[#This Row],[DISKON]]</f>
        <v>35435522.5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31923894.14414414</v>
      </c>
      <c r="P46" s="1">
        <f ca="1">PAJAK[[#This Row],[DPP]]*PAJAK[[#This Row],[PPN]]</f>
        <v>3511628.3558558556</v>
      </c>
      <c r="Q46" s="1">
        <f ca="1">PAJAK[[#This Row],[DPP]]+PAJAK[[#This Row],[PPN 11%]]</f>
        <v>35435522.499999993</v>
      </c>
      <c r="R46" s="1" t="str">
        <f ca="1">IF(ISNUMBER(PAJAK[[#This Row],[//]]),PPN,"")</f>
        <v>11%</v>
      </c>
    </row>
    <row r="47" spans="1:18" x14ac:dyDescent="0.25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421</v>
      </c>
      <c r="B47" s="15">
        <f ca="1">HYPERLINK("[NOTA_.XLSX]NOTA!c"&amp;PAJAK[[#This Row],[//]],IF(PAJAK[[#This Row],[//]]="","",INDEX(INDIRECT("NOTA["&amp;PAJAK[#Headers]&amp;"]"),PAJAK[[#This Row],[//]]-2)))</f>
        <v>89</v>
      </c>
      <c r="C47" t="str">
        <f ca="1">IF(PAJAK[[#This Row],[//]]="","",INDEX(INDIRECT("NOTA["&amp;PAJAK[#Headers]&amp;"]"),PAJAK[[#This Row],[//]]-2))</f>
        <v>ATA_2210_590-2</v>
      </c>
      <c r="D47" t="e">
        <f ca="1">MATCH(PAJAK[[#This Row],[ID]],[2]!Table1[ID],0)</f>
        <v>#REF!</v>
      </c>
      <c r="E47" s="5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ATALI MAKMUR</v>
      </c>
      <c r="G47" s="2">
        <f ca="1">IF(PAJAK[[#This Row],[//]]="","",INDEX(NOTA[TGL_H],PAJAK[[#This Row],[//]]-2))</f>
        <v>44856</v>
      </c>
      <c r="H47" s="2">
        <f ca="1">IF(PAJAK[[#This Row],[//]]="","",INDEX(INDIRECT("NOTA["&amp;PAJAK[#Headers]&amp;"]"),PAJAK[[#This Row],[//]]-2))</f>
        <v>44853</v>
      </c>
      <c r="I47" s="7" t="str">
        <f ca="1">IF(PAJAK[[#This Row],[//]]="","",INDEX(INDIRECT("NOTA["&amp;PAJAK[#Headers]&amp;"]"),PAJAK[[#This Row],[//]]-2))</f>
        <v>SA221016590</v>
      </c>
      <c r="J47" s="3" t="str">
        <f ca="1">IF(OR(PAJAK[[#This Row],[//]]="",INDEX(INDIRECT("NOTA["&amp;PAJAK[#Headers]&amp;"]"),PAJAK[[#This Row],[//]]-2)=""),"",INDEX(INDIRECT("NOTA["&amp;PAJAK[#Headers]&amp;"]"),PAJAK[[#This Row],[//]]-2))</f>
        <v/>
      </c>
      <c r="K47" s="1">
        <f ca="1">IF(PAJAK[[#This Row],[//]]="","",SUMIF(NOTA[ID_H],PAJAK[[#This Row],[ID]],NOTA[JUMLAH]))</f>
        <v>17532000</v>
      </c>
      <c r="L47" s="1">
        <f ca="1">IF(PAJAK[[#This Row],[//]]="","",SUMIF(NOTA[ID_H],PAJAK[[#This Row],[ID]],NOTA[DISC]))</f>
        <v>2952540</v>
      </c>
      <c r="M47" s="1">
        <f ca="1">PAJAK[[#This Row],[SUB TOTAL]]-PAJAK[[#This Row],[DISKON]]</f>
        <v>14579460</v>
      </c>
      <c r="N47" s="1">
        <f ca="1">IF(PAJAK[[#This Row],[//]]="","",INDEX(INDIRECT("NOTA["&amp;PAJAK[#Headers]&amp;"]"),PAJAK[[#This Row],[//]]-2+PAJAK[[#This Row],[QB]]-1))</f>
        <v>215460</v>
      </c>
      <c r="O47" s="1">
        <f ca="1">(PAJAK[[#This Row],[SUB T-DISC]]-PAJAK[[#This Row],[DISC DLL]])/111%</f>
        <v>12940540.540540539</v>
      </c>
      <c r="P47" s="1">
        <f ca="1">PAJAK[[#This Row],[DPP]]*PAJAK[[#This Row],[PPN]]</f>
        <v>1423459.4594594592</v>
      </c>
      <c r="Q47" s="1">
        <f ca="1">PAJAK[[#This Row],[DPP]]+PAJAK[[#This Row],[PPN 11%]]</f>
        <v>14363999.999999998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424</v>
      </c>
      <c r="B48" s="15">
        <f ca="1">HYPERLINK("[NOTA_.XLSX]NOTA!c"&amp;PAJAK[[#This Row],[//]],IF(PAJAK[[#This Row],[//]]="","",INDEX(INDIRECT("NOTA["&amp;PAJAK[#Headers]&amp;"]"),PAJAK[[#This Row],[//]]-2)))</f>
        <v>90</v>
      </c>
      <c r="C48" t="str">
        <f ca="1">IF(PAJAK[[#This Row],[//]]="","",INDEX(INDIRECT("NOTA["&amp;PAJAK[#Headers]&amp;"]"),PAJAK[[#This Row],[//]]-2))</f>
        <v>ATA_2210_643-3</v>
      </c>
      <c r="D48" t="e">
        <f ca="1">MATCH(PAJAK[[#This Row],[ID]],[2]!Table1[ID],0)</f>
        <v>#REF!</v>
      </c>
      <c r="E48" s="5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44856</v>
      </c>
      <c r="H48" s="2">
        <f ca="1">IF(PAJAK[[#This Row],[//]]="","",INDEX(INDIRECT("NOTA["&amp;PAJAK[#Headers]&amp;"]"),PAJAK[[#This Row],[//]]-2))</f>
        <v>44854</v>
      </c>
      <c r="I48" s="7" t="str">
        <f ca="1">IF(PAJAK[[#This Row],[//]]="","",INDEX(INDIRECT("NOTA["&amp;PAJAK[#Headers]&amp;"]"),PAJAK[[#This Row],[//]]-2))</f>
        <v>SA221016643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21211200</v>
      </c>
      <c r="L48" s="1">
        <f ca="1">IF(PAJAK[[#This Row],[//]]="","",SUMIF(NOTA[ID_H],PAJAK[[#This Row],[ID]],NOTA[DISC]))</f>
        <v>3579390</v>
      </c>
      <c r="M48" s="1">
        <f ca="1">PAJAK[[#This Row],[SUB TOTAL]]-PAJAK[[#This Row],[DISKON]]</f>
        <v>17631810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15884513.513513513</v>
      </c>
      <c r="P48" s="1">
        <f ca="1">PAJAK[[#This Row],[DPP]]*PAJAK[[#This Row],[PPN]]</f>
        <v>1747296.4864864864</v>
      </c>
      <c r="Q48" s="1">
        <f ca="1">PAJAK[[#This Row],[DPP]]+PAJAK[[#This Row],[PPN 11%]]</f>
        <v>17631810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428</v>
      </c>
      <c r="B49" s="15">
        <f ca="1">HYPERLINK("[NOTA_.XLSX]NOTA!c"&amp;PAJAK[[#This Row],[//]],IF(PAJAK[[#This Row],[//]]="","",INDEX(INDIRECT("NOTA["&amp;PAJAK[#Headers]&amp;"]"),PAJAK[[#This Row],[//]]-2)))</f>
        <v>91</v>
      </c>
      <c r="C49" t="str">
        <f ca="1">IF(PAJAK[[#This Row],[//]]="","",INDEX(INDIRECT("NOTA["&amp;PAJAK[#Headers]&amp;"]"),PAJAK[[#This Row],[//]]-2))</f>
        <v>KAL_2410_120-2</v>
      </c>
      <c r="D49" t="e">
        <f ca="1">MATCH(PAJAK[[#This Row],[ID]],[2]!Table1[ID],0)</f>
        <v>#REF!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KALINDO SUKSES</v>
      </c>
      <c r="G49" s="2">
        <f ca="1">IF(PAJAK[[#This Row],[//]]="","",INDEX(NOTA[TGL_H],PAJAK[[#This Row],[//]]-2))</f>
        <v>44858</v>
      </c>
      <c r="H49" s="2">
        <f ca="1">IF(PAJAK[[#This Row],[//]]="","",INDEX(INDIRECT("NOTA["&amp;PAJAK[#Headers]&amp;"]"),PAJAK[[#This Row],[//]]-2))</f>
        <v>44855</v>
      </c>
      <c r="I49" s="7" t="str">
        <f ca="1">IF(PAJAK[[#This Row],[//]]="","",INDEX(INDIRECT("NOTA["&amp;PAJAK[#Headers]&amp;"]"),PAJAK[[#This Row],[//]]-2))</f>
        <v>SN22102120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10080000</v>
      </c>
      <c r="L49" s="1">
        <f ca="1">IF(PAJAK[[#This Row],[//]]="","",SUMIF(NOTA[ID_H],PAJAK[[#This Row],[ID]],NOTA[DISC]))</f>
        <v>1701000</v>
      </c>
      <c r="M49" s="1">
        <f ca="1">PAJAK[[#This Row],[SUB TOTAL]]-PAJAK[[#This Row],[DISKON]]</f>
        <v>8379000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7548648.6486486476</v>
      </c>
      <c r="P49" s="1">
        <f ca="1">PAJAK[[#This Row],[DPP]]*PAJAK[[#This Row],[PPN]]</f>
        <v>830351.35135135124</v>
      </c>
      <c r="Q49" s="1">
        <f ca="1">PAJAK[[#This Row],[DPP]]+PAJAK[[#This Row],[PPN 11%]]</f>
        <v>8378999.9999999991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431</v>
      </c>
      <c r="B50" s="15">
        <f ca="1">HYPERLINK("[NOTA_.XLSX]NOTA!c"&amp;PAJAK[[#This Row],[//]],IF(PAJAK[[#This Row],[//]]="","",INDEX(INDIRECT("NOTA["&amp;PAJAK[#Headers]&amp;"]"),PAJAK[[#This Row],[//]]-2)))</f>
        <v>92</v>
      </c>
      <c r="C50" t="str">
        <f ca="1">IF(PAJAK[[#This Row],[//]]="","",INDEX(INDIRECT("NOTA["&amp;PAJAK[#Headers]&amp;"]"),PAJAK[[#This Row],[//]]-2))</f>
        <v>ATA_2410_685-2</v>
      </c>
      <c r="D50" t="e">
        <f ca="1">MATCH(PAJAK[[#This Row],[ID]],[2]!Table1[ID],0)</f>
        <v>#REF!</v>
      </c>
      <c r="E50" s="5">
        <f ca="1">IF(PAJAK[[#This Row],[ID]]="","",COUNTIF(NOTA[ID_H],PAJAK[[#This Row],[ID]]))</f>
        <v>2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44858</v>
      </c>
      <c r="H50" s="2">
        <f ca="1">IF(PAJAK[[#This Row],[//]]="","",INDEX(INDIRECT("NOTA["&amp;PAJAK[#Headers]&amp;"]"),PAJAK[[#This Row],[//]]-2))</f>
        <v>44855</v>
      </c>
      <c r="I50" s="7" t="str">
        <f ca="1">IF(PAJAK[[#This Row],[//]]="","",INDEX(INDIRECT("NOTA["&amp;PAJAK[#Headers]&amp;"]"),PAJAK[[#This Row],[//]]-2))</f>
        <v>SA221016685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9915000</v>
      </c>
      <c r="L50" s="1">
        <f ca="1">IF(PAJAK[[#This Row],[//]]="","",SUMIF(NOTA[ID_H],PAJAK[[#This Row],[ID]],NOTA[DISC]))</f>
        <v>1673156.25</v>
      </c>
      <c r="M50" s="1">
        <f ca="1">PAJAK[[#This Row],[SUB TOTAL]]-PAJAK[[#This Row],[DISKON]]</f>
        <v>8241843.75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7425084.4594594585</v>
      </c>
      <c r="P50" s="1">
        <f ca="1">PAJAK[[#This Row],[DPP]]*PAJAK[[#This Row],[PPN]]</f>
        <v>816759.29054054047</v>
      </c>
      <c r="Q50" s="1">
        <f ca="1">PAJAK[[#This Row],[DPP]]+PAJAK[[#This Row],[PPN 11%]]</f>
        <v>8241843.7499999991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451</v>
      </c>
      <c r="B51" s="15">
        <f ca="1">HYPERLINK("[NOTA_.XLSX]NOTA!c"&amp;PAJAK[[#This Row],[//]],IF(PAJAK[[#This Row],[//]]="","",INDEX(INDIRECT("NOTA["&amp;PAJAK[#Headers]&amp;"]"),PAJAK[[#This Row],[//]]-2)))</f>
        <v>99</v>
      </c>
      <c r="C51" t="str">
        <f ca="1">IF(PAJAK[[#This Row],[//]]="","",INDEX(INDIRECT("NOTA["&amp;PAJAK[#Headers]&amp;"]"),PAJAK[[#This Row],[//]]-2))</f>
        <v>KEN_2710_602-7</v>
      </c>
      <c r="D51" t="e">
        <f ca="1">MATCH(PAJAK[[#This Row],[ID]],[2]!Table1[ID],0)</f>
        <v>#REF!</v>
      </c>
      <c r="E51" s="5">
        <f ca="1">IF(PAJAK[[#This Row],[ID]]="","",COUNTIF(NOTA[ID_H],PAJAK[[#This Row],[ID]]))</f>
        <v>7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44861</v>
      </c>
      <c r="H51" s="2">
        <f ca="1">IF(PAJAK[[#This Row],[//]]="","",INDEX(INDIRECT("NOTA["&amp;PAJAK[#Headers]&amp;"]"),PAJAK[[#This Row],[//]]-2))</f>
        <v>44854</v>
      </c>
      <c r="I51" s="7" t="str">
        <f ca="1">IF(PAJAK[[#This Row],[//]]="","",INDEX(INDIRECT("NOTA["&amp;PAJAK[#Headers]&amp;"]"),PAJAK[[#This Row],[//]]-2))</f>
        <v>22101602</v>
      </c>
      <c r="J51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51" s="1">
        <f ca="1">IF(PAJAK[[#This Row],[//]]="","",SUMIF(NOTA[ID_H],PAJAK[[#This Row],[ID]],NOTA[JUMLAH]))</f>
        <v>50158000</v>
      </c>
      <c r="L51" s="1">
        <f ca="1">IF(PAJAK[[#This Row],[//]]="","",SUMIF(NOTA[ID_H],PAJAK[[#This Row],[ID]],NOTA[DISC]))</f>
        <v>8526860</v>
      </c>
      <c r="M51" s="1">
        <f ca="1">PAJAK[[#This Row],[SUB TOTAL]]-PAJAK[[#This Row],[DISKON]]</f>
        <v>41631140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37505531.531531528</v>
      </c>
      <c r="P51" s="1">
        <f ca="1">PAJAK[[#This Row],[DPP]]*PAJAK[[#This Row],[PPN]]</f>
        <v>4125608.4684684682</v>
      </c>
      <c r="Q51" s="1">
        <f ca="1">PAJAK[[#This Row],[DPP]]+PAJAK[[#This Row],[PPN 11%]]</f>
        <v>41631139.999999993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459</v>
      </c>
      <c r="B52" s="12">
        <f ca="1">HYPERLINK("[NOTA_.XLSX]NOTA!c"&amp;PAJAK[[#This Row],[//]],IF(PAJAK[[#This Row],[//]]="","",INDEX(INDIRECT("NOTA["&amp;PAJAK[#Headers]&amp;"]"),PAJAK[[#This Row],[//]]-2)))</f>
        <v>100</v>
      </c>
      <c r="C52" s="3" t="str">
        <f ca="1">IF(PAJAK[[#This Row],[//]]="","",INDEX(INDIRECT("NOTA["&amp;PAJAK[#Headers]&amp;"]"),PAJAK[[#This Row],[//]]-2))</f>
        <v>KEN_2710_616-6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44861</v>
      </c>
      <c r="H52" s="2">
        <f ca="1">IF(PAJAK[[#This Row],[//]]="","",INDEX(INDIRECT("NOTA["&amp;PAJAK[#Headers]&amp;"]"),PAJAK[[#This Row],[//]]-2))</f>
        <v>44854</v>
      </c>
      <c r="I52" s="7" t="str">
        <f ca="1">IF(PAJAK[[#This Row],[//]]="","",INDEX(INDIRECT("NOTA["&amp;PAJAK[#Headers]&amp;"]"),PAJAK[[#This Row],[//]]-2))</f>
        <v>22101616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52" s="1">
        <f ca="1">IF(PAJAK[[#This Row],[//]]="","",SUMIF(NOTA[ID_H],PAJAK[[#This Row],[ID]],NOTA[JUMLAH]))</f>
        <v>14843600</v>
      </c>
      <c r="L52" s="1">
        <f ca="1">IF(PAJAK[[#This Row],[//]]="","",SUMIF(NOTA[ID_H],PAJAK[[#This Row],[ID]],NOTA[DISC]))</f>
        <v>2523412</v>
      </c>
      <c r="M52" s="1">
        <f ca="1">PAJAK[[#This Row],[SUB TOTAL]]-PAJAK[[#This Row],[DISKON]]</f>
        <v>12320188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11099268.468468467</v>
      </c>
      <c r="P52" s="1">
        <f ca="1">PAJAK[[#This Row],[DPP]]*PAJAK[[#This Row],[PPN]]</f>
        <v>1220919.5315315314</v>
      </c>
      <c r="Q52" s="1">
        <f ca="1">PAJAK[[#This Row],[DPP]]+PAJAK[[#This Row],[PPN 11%]]</f>
        <v>12320187.999999998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466</v>
      </c>
      <c r="B53" s="15">
        <f ca="1">HYPERLINK("[NOTA_.XLSX]NOTA!c"&amp;PAJAK[[#This Row],[//]],IF(PAJAK[[#This Row],[//]]="","",INDEX(INDIRECT("NOTA["&amp;PAJAK[#Headers]&amp;"]"),PAJAK[[#This Row],[//]]-2)))</f>
        <v>101</v>
      </c>
      <c r="C53" t="str">
        <f ca="1">IF(PAJAK[[#This Row],[//]]="","",INDEX(INDIRECT("NOTA["&amp;PAJAK[#Headers]&amp;"]"),PAJAK[[#This Row],[//]]-2))</f>
        <v>KEN_2710_711-2</v>
      </c>
      <c r="D53" t="e">
        <f ca="1">MATCH(PAJAK[[#This Row],[ID]],[2]!Table1[ID],0)</f>
        <v>#REF!</v>
      </c>
      <c r="E53" s="5">
        <f ca="1">IF(PAJAK[[#This Row],[ID]]="","",COUNTIF(NOTA[ID_H],PAJAK[[#This Row],[ID]]))</f>
        <v>2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44861</v>
      </c>
      <c r="H53" s="2">
        <f ca="1">IF(PAJAK[[#This Row],[//]]="","",INDEX(INDIRECT("NOTA["&amp;PAJAK[#Headers]&amp;"]"),PAJAK[[#This Row],[//]]-2))</f>
        <v>44855</v>
      </c>
      <c r="I53" s="7" t="str">
        <f ca="1">IF(PAJAK[[#This Row],[//]]="","",INDEX(INDIRECT("NOTA["&amp;PAJAK[#Headers]&amp;"]"),PAJAK[[#This Row],[//]]-2))</f>
        <v>22101711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53" s="1">
        <f ca="1">IF(PAJAK[[#This Row],[//]]="","",SUMIF(NOTA[ID_H],PAJAK[[#This Row],[ID]],NOTA[JUMLAH]))</f>
        <v>11620800</v>
      </c>
      <c r="L53" s="1">
        <f ca="1">IF(PAJAK[[#This Row],[//]]="","",SUMIF(NOTA[ID_H],PAJAK[[#This Row],[ID]],NOTA[DISC]))</f>
        <v>1975536</v>
      </c>
      <c r="M53" s="1">
        <f ca="1">PAJAK[[#This Row],[SUB TOTAL]]-PAJAK[[#This Row],[DISKON]]</f>
        <v>9645264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8689427.0270270258</v>
      </c>
      <c r="P53" s="1">
        <f ca="1">PAJAK[[#This Row],[DPP]]*PAJAK[[#This Row],[PPN]]</f>
        <v>955836.9729729729</v>
      </c>
      <c r="Q53" s="1">
        <f ca="1">PAJAK[[#This Row],[DPP]]+PAJAK[[#This Row],[PPN 11%]]</f>
        <v>9645263.9999999981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469</v>
      </c>
      <c r="B54" s="15">
        <f ca="1">HYPERLINK("[NOTA_.XLSX]NOTA!c"&amp;PAJAK[[#This Row],[//]],IF(PAJAK[[#This Row],[//]]="","",INDEX(INDIRECT("NOTA["&amp;PAJAK[#Headers]&amp;"]"),PAJAK[[#This Row],[//]]-2)))</f>
        <v>102</v>
      </c>
      <c r="C54" t="str">
        <f ca="1">IF(PAJAK[[#This Row],[//]]="","",INDEX(INDIRECT("NOTA["&amp;PAJAK[#Headers]&amp;"]"),PAJAK[[#This Row],[//]]-2))</f>
        <v>LAY_2710_010-1</v>
      </c>
      <c r="D54" t="e">
        <f ca="1">MATCH(PAJAK[[#This Row],[ID]],[2]!Table1[ID],0)</f>
        <v>#REF!</v>
      </c>
      <c r="E54" s="5">
        <f ca="1">IF(PAJAK[[#This Row],[ID]]="","",COUNTIF(NOTA[ID_H],PAJAK[[#This Row],[ID]]))</f>
        <v>1</v>
      </c>
      <c r="F54" s="3" t="str">
        <f ca="1">IF(PAJAK[[#This Row],[//]]="","",INDEX(CONV[2],MATCH(INDEX(INDIRECT("NOTA["&amp;PAJAK[#Headers]&amp;"]"),PAJAK[[#This Row],[//]]-2),CONV[1],0),0))</f>
        <v>PT MITRA GLOBAL NIAGA</v>
      </c>
      <c r="G54" s="2">
        <f ca="1">IF(PAJAK[[#This Row],[//]]="","",INDEX(NOTA[TGL_H],PAJAK[[#This Row],[//]]-2))</f>
        <v>44861</v>
      </c>
      <c r="H54" s="2">
        <f ca="1">IF(PAJAK[[#This Row],[//]]="","",INDEX(INDIRECT("NOTA["&amp;PAJAK[#Headers]&amp;"]"),PAJAK[[#This Row],[//]]-2))</f>
        <v>44856</v>
      </c>
      <c r="I54" s="7" t="str">
        <f ca="1">IF(PAJAK[[#This Row],[//]]="","",INDEX(INDIRECT("NOTA["&amp;PAJAK[#Headers]&amp;"]"),PAJAK[[#This Row],[//]]-2))</f>
        <v>L310010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6000000</v>
      </c>
      <c r="L54" s="1">
        <f ca="1">IF(PAJAK[[#This Row],[//]]="","",SUMIF(NOTA[ID_H],PAJAK[[#This Row],[ID]],NOTA[DISC]))</f>
        <v>0</v>
      </c>
      <c r="M54" s="1">
        <f ca="1">PAJAK[[#This Row],[SUB TOTAL]]-PAJAK[[#This Row],[DISKON]]</f>
        <v>6000000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5405405.405405405</v>
      </c>
      <c r="P54" s="1">
        <f ca="1">PAJAK[[#This Row],[DPP]]*PAJAK[[#This Row],[PPN]]</f>
        <v>594594.59459459456</v>
      </c>
      <c r="Q54" s="1">
        <f ca="1">PAJAK[[#This Row],[DPP]]+PAJAK[[#This Row],[PPN 11%]]</f>
        <v>6000000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475</v>
      </c>
      <c r="B55" s="15">
        <f ca="1">HYPERLINK("[NOTA_.XLSX]NOTA!c"&amp;PAJAK[[#This Row],[//]],IF(PAJAK[[#This Row],[//]]="","",INDEX(INDIRECT("NOTA["&amp;PAJAK[#Headers]&amp;"]"),PAJAK[[#This Row],[//]]-2)))</f>
        <v>105</v>
      </c>
      <c r="C55" t="str">
        <f ca="1">IF(PAJAK[[#This Row],[//]]="","",INDEX(INDIRECT("NOTA["&amp;PAJAK[#Headers]&amp;"]"),PAJAK[[#This Row],[//]]-2))</f>
        <v>ATA_2810_883-2</v>
      </c>
      <c r="D55" t="e">
        <f ca="1">MATCH(PAJAK[[#This Row],[ID]],[2]!Table1[ID],0)</f>
        <v>#REF!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44862</v>
      </c>
      <c r="H55" s="2">
        <f ca="1">IF(PAJAK[[#This Row],[//]]="","",INDEX(INDIRECT("NOTA["&amp;PAJAK[#Headers]&amp;"]"),PAJAK[[#This Row],[//]]-2))</f>
        <v>44858</v>
      </c>
      <c r="I55" s="7" t="str">
        <f ca="1">IF(PAJAK[[#This Row],[//]]="","",INDEX(INDIRECT("NOTA["&amp;PAJAK[#Headers]&amp;"]"),PAJAK[[#This Row],[//]]-2))</f>
        <v>SA221016883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84780000</v>
      </c>
      <c r="L55" s="1">
        <f ca="1">IF(PAJAK[[#This Row],[//]]="","",SUMIF(NOTA[ID_H],PAJAK[[#This Row],[ID]],NOTA[DISC]))</f>
        <v>14306625</v>
      </c>
      <c r="M55" s="1">
        <f ca="1">PAJAK[[#This Row],[SUB TOTAL]]-PAJAK[[#This Row],[DISKON]]</f>
        <v>70473375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63489527.027027018</v>
      </c>
      <c r="P55" s="1">
        <f ca="1">PAJAK[[#This Row],[DPP]]*PAJAK[[#This Row],[PPN]]</f>
        <v>6983847.9729729723</v>
      </c>
      <c r="Q55" s="1">
        <f ca="1">PAJAK[[#This Row],[DPP]]+PAJAK[[#This Row],[PPN 11%]]</f>
        <v>70473374.999999985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478</v>
      </c>
      <c r="B56" s="15">
        <f ca="1">HYPERLINK("[NOTA_.XLSX]NOTA!c"&amp;PAJAK[[#This Row],[//]],IF(PAJAK[[#This Row],[//]]="","",INDEX(INDIRECT("NOTA["&amp;PAJAK[#Headers]&amp;"]"),PAJAK[[#This Row],[//]]-2)))</f>
        <v>106</v>
      </c>
      <c r="C56" t="str">
        <f ca="1">IF(PAJAK[[#This Row],[//]]="","",INDEX(INDIRECT("NOTA["&amp;PAJAK[#Headers]&amp;"]"),PAJAK[[#This Row],[//]]-2))</f>
        <v>ATA_2810_937-5</v>
      </c>
      <c r="D56" t="e">
        <f ca="1">MATCH(PAJAK[[#This Row],[ID]],[2]!Table1[ID],0)</f>
        <v>#REF!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44862</v>
      </c>
      <c r="H56" s="2">
        <f ca="1">IF(PAJAK[[#This Row],[//]]="","",INDEX(INDIRECT("NOTA["&amp;PAJAK[#Headers]&amp;"]"),PAJAK[[#This Row],[//]]-2))</f>
        <v>44858</v>
      </c>
      <c r="I56" s="7" t="str">
        <f ca="1">IF(PAJAK[[#This Row],[//]]="","",INDEX(INDIRECT("NOTA["&amp;PAJAK[#Headers]&amp;"]"),PAJAK[[#This Row],[//]]-2))</f>
        <v>SA221016937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7020000</v>
      </c>
      <c r="L56" s="1">
        <f ca="1">IF(PAJAK[[#This Row],[//]]="","",SUMIF(NOTA[ID_H],PAJAK[[#This Row],[ID]],NOTA[DISC]))</f>
        <v>1184625</v>
      </c>
      <c r="M56" s="1">
        <f ca="1">PAJAK[[#This Row],[SUB TOTAL]]-PAJAK[[#This Row],[DISKON]]</f>
        <v>5835375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5257094.5945945941</v>
      </c>
      <c r="P56" s="1">
        <f ca="1">PAJAK[[#This Row],[DPP]]*PAJAK[[#This Row],[PPN]]</f>
        <v>578280.40540540533</v>
      </c>
      <c r="Q56" s="1">
        <f ca="1">PAJAK[[#This Row],[DPP]]+PAJAK[[#This Row],[PPN 11%]]</f>
        <v>5835374.9999999991</v>
      </c>
      <c r="R56" s="1" t="str">
        <f ca="1">IF(ISNUMBER(PAJAK[[#This Row],[//]]),PPN,"")</f>
        <v>11%</v>
      </c>
    </row>
    <row r="57" spans="1:18" s="144" customFormat="1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484</v>
      </c>
      <c r="B57" s="15">
        <f ca="1">HYPERLINK("[NOTA_.XLSX]NOTA!c"&amp;PAJAK[[#This Row],[//]],IF(PAJAK[[#This Row],[//]]="","",INDEX(INDIRECT("NOTA["&amp;PAJAK[#Headers]&amp;"]"),PAJAK[[#This Row],[//]]-2)))</f>
        <v>107</v>
      </c>
      <c r="C57" t="str">
        <f ca="1">IF(PAJAK[[#This Row],[//]]="","",INDEX(INDIRECT("NOTA["&amp;PAJAK[#Headers]&amp;"]"),PAJAK[[#This Row],[//]]-2))</f>
        <v>KEN_2810_889-4</v>
      </c>
      <c r="D57" t="e">
        <f ca="1">MATCH(PAJAK[[#This Row],[ID]],[2]!Table1[ID],0)</f>
        <v>#REF!</v>
      </c>
      <c r="E57" s="5">
        <f ca="1">IF(PAJAK[[#This Row],[ID]]="","",COUNTIF(NOTA[ID_H],PAJAK[[#This Row],[ID]]))</f>
        <v>4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44862</v>
      </c>
      <c r="H57" s="2">
        <f ca="1">IF(PAJAK[[#This Row],[//]]="","",INDEX(INDIRECT("NOTA["&amp;PAJAK[#Headers]&amp;"]"),PAJAK[[#This Row],[//]]-2))</f>
        <v>44858</v>
      </c>
      <c r="I57" s="7" t="str">
        <f ca="1">IF(PAJAK[[#This Row],[//]]="","",INDEX(INDIRECT("NOTA["&amp;PAJAK[#Headers]&amp;"]"),PAJAK[[#This Row],[//]]-2))</f>
        <v>22101889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19045200</v>
      </c>
      <c r="L57" s="1">
        <f ca="1">IF(PAJAK[[#This Row],[//]]="","",SUMIF(NOTA[ID_H],PAJAK[[#This Row],[ID]],NOTA[DISC]))</f>
        <v>3237684</v>
      </c>
      <c r="M57" s="1">
        <f ca="1">PAJAK[[#This Row],[SUB TOTAL]]-PAJAK[[#This Row],[DISKON]]</f>
        <v>15807516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14241005.405405404</v>
      </c>
      <c r="P57" s="1">
        <f ca="1">PAJAK[[#This Row],[DPP]]*PAJAK[[#This Row],[PPN]]</f>
        <v>1566510.5945945946</v>
      </c>
      <c r="Q57" s="1">
        <f ca="1">PAJAK[[#This Row],[DPP]]+PAJAK[[#This Row],[PPN 11%]]</f>
        <v>15807515.999999998</v>
      </c>
      <c r="R57" s="1" t="str">
        <f ca="1">IF(ISNUMBER(PAJAK[[#This Row],[//]]),PPN,"")</f>
        <v>11%</v>
      </c>
    </row>
    <row r="58" spans="1:18" s="144" customFormat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489</v>
      </c>
      <c r="B58" s="15">
        <f ca="1">HYPERLINK("[NOTA_.XLSX]NOTA!c"&amp;PAJAK[[#This Row],[//]],IF(PAJAK[[#This Row],[//]]="","",INDEX(INDIRECT("NOTA["&amp;PAJAK[#Headers]&amp;"]"),PAJAK[[#This Row],[//]]-2)))</f>
        <v>108</v>
      </c>
      <c r="C58" t="str">
        <f ca="1">IF(PAJAK[[#This Row],[//]]="","",INDEX(INDIRECT("NOTA["&amp;PAJAK[#Headers]&amp;"]"),PAJAK[[#This Row],[//]]-2))</f>
        <v>KEN_2810_993-8</v>
      </c>
      <c r="D58" t="e">
        <f ca="1">MATCH(PAJAK[[#This Row],[ID]],[2]!Table1[ID],0)</f>
        <v>#REF!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44862</v>
      </c>
      <c r="H58" s="2">
        <f ca="1">IF(PAJAK[[#This Row],[//]]="","",INDEX(INDIRECT("NOTA["&amp;PAJAK[#Headers]&amp;"]"),PAJAK[[#This Row],[//]]-2))</f>
        <v>44859</v>
      </c>
      <c r="I58" s="7" t="str">
        <f ca="1">IF(PAJAK[[#This Row],[//]]="","",INDEX(INDIRECT("NOTA["&amp;PAJAK[#Headers]&amp;"]"),PAJAK[[#This Row],[//]]-2))</f>
        <v>22101993</v>
      </c>
      <c r="J58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8" s="1">
        <f ca="1">IF(PAJAK[[#This Row],[//]]="","",SUMIF(NOTA[ID_H],PAJAK[[#This Row],[ID]],NOTA[JUMLAH]))</f>
        <v>57571200</v>
      </c>
      <c r="L58" s="1">
        <f ca="1">IF(PAJAK[[#This Row],[//]]="","",SUMIF(NOTA[ID_H],PAJAK[[#This Row],[ID]],NOTA[DISC]))</f>
        <v>9787104</v>
      </c>
      <c r="M58" s="1">
        <f ca="1">PAJAK[[#This Row],[SUB TOTAL]]-PAJAK[[#This Row],[DISKON]]</f>
        <v>47784096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43048735.135135129</v>
      </c>
      <c r="P58" s="1">
        <f ca="1">PAJAK[[#This Row],[DPP]]*PAJAK[[#This Row],[PPN]]</f>
        <v>4735360.8648648644</v>
      </c>
      <c r="Q58" s="1">
        <f ca="1">PAJAK[[#This Row],[DPP]]+PAJAK[[#This Row],[PPN 11%]]</f>
        <v>47784095.999999993</v>
      </c>
      <c r="R58" s="1" t="str">
        <f ca="1">IF(ISNUMBER(PAJAK[[#This Row],[//]]),PPN,"")</f>
        <v>11%</v>
      </c>
    </row>
    <row r="59" spans="1:18" s="144" customFormat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544</v>
      </c>
      <c r="B59" s="15">
        <f ca="1">HYPERLINK("[NOTA_.XLSX]NOTA!c"&amp;PAJAK[[#This Row],[//]],IF(PAJAK[[#This Row],[//]]="","",INDEX(INDIRECT("NOTA["&amp;PAJAK[#Headers]&amp;"]"),PAJAK[[#This Row],[//]]-2)))</f>
        <v>122</v>
      </c>
      <c r="C59" t="str">
        <f ca="1">IF(PAJAK[[#This Row],[//]]="","",INDEX(INDIRECT("NOTA["&amp;PAJAK[#Headers]&amp;"]"),PAJAK[[#This Row],[//]]-2))</f>
        <v>KEN_2910_070-7</v>
      </c>
      <c r="D59" t="e">
        <f ca="1">MATCH(PAJAK[[#This Row],[ID]],[2]!Table1[ID],0)</f>
        <v>#REF!</v>
      </c>
      <c r="E59" s="5">
        <f ca="1">IF(PAJAK[[#This Row],[ID]]="","",COUNTIF(NOTA[ID_H],PAJAK[[#This Row],[ID]]))</f>
        <v>7</v>
      </c>
      <c r="F59" s="3" t="str">
        <f ca="1">IF(PAJAK[[#This Row],[//]]="","",INDEX(CONV[2],MATCH(INDEX(INDIRECT("NOTA["&amp;PAJAK[#Headers]&amp;"]"),PAJAK[[#This Row],[//]]-2),CONV[1],0),0))</f>
        <v>PT KENKO SINAR INDONESIA</v>
      </c>
      <c r="G59" s="2">
        <f ca="1">IF(PAJAK[[#This Row],[//]]="","",INDEX(NOTA[TGL_H],PAJAK[[#This Row],[//]]-2))</f>
        <v>44863</v>
      </c>
      <c r="H59" s="2">
        <f ca="1">IF(PAJAK[[#This Row],[//]]="","",INDEX(INDIRECT("NOTA["&amp;PAJAK[#Headers]&amp;"]"),PAJAK[[#This Row],[//]]-2))</f>
        <v>44859</v>
      </c>
      <c r="I59" s="7" t="str">
        <f ca="1">IF(PAJAK[[#This Row],[//]]="","",INDEX(INDIRECT("NOTA["&amp;PAJAK[#Headers]&amp;"]"),PAJAK[[#This Row],[//]]-2))</f>
        <v>22102070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9" s="1">
        <f ca="1">IF(PAJAK[[#This Row],[//]]="","",SUMIF(NOTA[ID_H],PAJAK[[#This Row],[ID]],NOTA[JUMLAH]))</f>
        <v>30373800</v>
      </c>
      <c r="L59" s="1">
        <f ca="1">IF(PAJAK[[#This Row],[//]]="","",SUMIF(NOTA[ID_H],PAJAK[[#This Row],[ID]],NOTA[DISC]))</f>
        <v>5163546</v>
      </c>
      <c r="M59" s="1">
        <f ca="1">PAJAK[[#This Row],[SUB TOTAL]]-PAJAK[[#This Row],[DISKON]]</f>
        <v>25210254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22711940.540540539</v>
      </c>
      <c r="P59" s="1">
        <f ca="1">PAJAK[[#This Row],[DPP]]*PAJAK[[#This Row],[PPN]]</f>
        <v>2498313.4594594594</v>
      </c>
      <c r="Q59" s="1">
        <f ca="1">PAJAK[[#This Row],[DPP]]+PAJAK[[#This Row],[PPN 11%]]</f>
        <v>25210254</v>
      </c>
      <c r="R59" s="1" t="str">
        <f ca="1">IF(ISNUMBER(PAJAK[[#This Row],[//]]),PPN,"")</f>
        <v>11%</v>
      </c>
    </row>
    <row r="60" spans="1:18" s="144" customFormat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552</v>
      </c>
      <c r="B60" s="15">
        <f ca="1">HYPERLINK("[NOTA_.XLSX]NOTA!c"&amp;PAJAK[[#This Row],[//]],IF(PAJAK[[#This Row],[//]]="","",INDEX(INDIRECT("NOTA["&amp;PAJAK[#Headers]&amp;"]"),PAJAK[[#This Row],[//]]-2)))</f>
        <v>123</v>
      </c>
      <c r="C60" t="str">
        <f ca="1">IF(PAJAK[[#This Row],[//]]="","",INDEX(INDIRECT("NOTA["&amp;PAJAK[#Headers]&amp;"]"),PAJAK[[#This Row],[//]]-2))</f>
        <v>KEN_2910_155-9</v>
      </c>
      <c r="D60" t="e">
        <f ca="1">MATCH(PAJAK[[#This Row],[ID]],[2]!Table1[ID],0)</f>
        <v>#REF!</v>
      </c>
      <c r="E60" s="5">
        <f ca="1">IF(PAJAK[[#This Row],[ID]]="","",COUNTIF(NOTA[ID_H],PAJAK[[#This Row],[ID]]))</f>
        <v>9</v>
      </c>
      <c r="F60" s="3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44863</v>
      </c>
      <c r="H60" s="2">
        <f ca="1">IF(PAJAK[[#This Row],[//]]="","",INDEX(INDIRECT("NOTA["&amp;PAJAK[#Headers]&amp;"]"),PAJAK[[#This Row],[//]]-2))</f>
        <v>44861</v>
      </c>
      <c r="I60" s="7" t="str">
        <f ca="1">IF(PAJAK[[#This Row],[//]]="","",INDEX(INDIRECT("NOTA["&amp;PAJAK[#Headers]&amp;"]"),PAJAK[[#This Row],[//]]-2))</f>
        <v>22102155</v>
      </c>
      <c r="J60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60" s="1">
        <f ca="1">IF(PAJAK[[#This Row],[//]]="","",SUMIF(NOTA[ID_H],PAJAK[[#This Row],[ID]],NOTA[JUMLAH]))</f>
        <v>26289200</v>
      </c>
      <c r="L60" s="1">
        <f ca="1">IF(PAJAK[[#This Row],[//]]="","",SUMIF(NOTA[ID_H],PAJAK[[#This Row],[ID]],NOTA[DISC]))</f>
        <v>4469164</v>
      </c>
      <c r="M60" s="1">
        <f ca="1">PAJAK[[#This Row],[SUB TOTAL]]-PAJAK[[#This Row],[DISKON]]</f>
        <v>21820036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19657690.090090089</v>
      </c>
      <c r="P60" s="1">
        <f ca="1">PAJAK[[#This Row],[DPP]]*PAJAK[[#This Row],[PPN]]</f>
        <v>2162345.9099099096</v>
      </c>
      <c r="Q60" s="1">
        <f ca="1">PAJAK[[#This Row],[DPP]]+PAJAK[[#This Row],[PPN 11%]]</f>
        <v>21820036</v>
      </c>
      <c r="R60" s="1" t="str">
        <f ca="1">IF(ISNUMBER(PAJAK[[#This Row],[//]]),PPN,"")</f>
        <v>11%</v>
      </c>
    </row>
    <row r="61" spans="1:18" s="144" customFormat="1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562</v>
      </c>
      <c r="B61" s="15">
        <f ca="1">HYPERLINK("[NOTA_.XLSX]NOTA!c"&amp;PAJAK[[#This Row],[//]],IF(PAJAK[[#This Row],[//]]="","",INDEX(INDIRECT("NOTA["&amp;PAJAK[#Headers]&amp;"]"),PAJAK[[#This Row],[//]]-2)))</f>
        <v>124</v>
      </c>
      <c r="C61" t="str">
        <f ca="1">IF(PAJAK[[#This Row],[//]]="","",INDEX(INDIRECT("NOTA["&amp;PAJAK[#Headers]&amp;"]"),PAJAK[[#This Row],[//]]-2))</f>
        <v>ATA_2910_041-2</v>
      </c>
      <c r="D61" t="e">
        <f ca="1">MATCH(PAJAK[[#This Row],[ID]],[2]!Table1[ID],0)</f>
        <v>#REF!</v>
      </c>
      <c r="E61" s="5">
        <f ca="1">IF(PAJAK[[#This Row],[ID]]="","",COUNTIF(NOTA[ID_H],PAJAK[[#This Row],[ID]]))</f>
        <v>2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44863</v>
      </c>
      <c r="H61" s="2">
        <f ca="1">IF(PAJAK[[#This Row],[//]]="","",INDEX(INDIRECT("NOTA["&amp;PAJAK[#Headers]&amp;"]"),PAJAK[[#This Row],[//]]-2))</f>
        <v>44860</v>
      </c>
      <c r="I61" s="7" t="str">
        <f ca="1">IF(PAJAK[[#This Row],[//]]="","",INDEX(INDIRECT("NOTA["&amp;PAJAK[#Headers]&amp;"]"),PAJAK[[#This Row],[//]]-2))</f>
        <v>SA221017041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16819200</v>
      </c>
      <c r="L61" s="1">
        <f ca="1">IF(PAJAK[[#This Row],[//]]="","",SUMIF(NOTA[ID_H],PAJAK[[#This Row],[ID]],NOTA[DISC]))</f>
        <v>2838240</v>
      </c>
      <c r="M61" s="1">
        <f ca="1">PAJAK[[#This Row],[SUB TOTAL]]-PAJAK[[#This Row],[DISKON]]</f>
        <v>13980960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12595459.459459458</v>
      </c>
      <c r="P61" s="1">
        <f ca="1">PAJAK[[#This Row],[DPP]]*PAJAK[[#This Row],[PPN]]</f>
        <v>1385500.5405405404</v>
      </c>
      <c r="Q61" s="1">
        <f ca="1">PAJAK[[#This Row],[DPP]]+PAJAK[[#This Row],[PPN 11%]]</f>
        <v>13980959.999999998</v>
      </c>
      <c r="R61" s="1" t="str">
        <f ca="1">IF(ISNUMBER(PAJAK[[#This Row],[//]]),PPN,"")</f>
        <v>11%</v>
      </c>
    </row>
    <row r="62" spans="1:18" s="144" customFormat="1" x14ac:dyDescent="0.25">
      <c r="A62" s="1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565</v>
      </c>
      <c r="B62" s="171">
        <f ca="1">HYPERLINK("[NOTA_.XLSX]NOTA!c"&amp;PAJAK[[#This Row],[//]],IF(PAJAK[[#This Row],[//]]="","",INDEX(INDIRECT("NOTA["&amp;PAJAK[#Headers]&amp;"]"),PAJAK[[#This Row],[//]]-2)))</f>
        <v>125</v>
      </c>
      <c r="C62" s="144" t="str">
        <f ca="1">IF(PAJAK[[#This Row],[//]]="","",INDEX(INDIRECT("NOTA["&amp;PAJAK[#Headers]&amp;"]"),PAJAK[[#This Row],[//]]-2))</f>
        <v>ATA_2910_008-5</v>
      </c>
      <c r="D62" s="144" t="e">
        <f ca="1">MATCH(PAJAK[[#This Row],[ID]],[2]!Table1[ID],0)</f>
        <v>#REF!</v>
      </c>
      <c r="E62" s="172">
        <f ca="1">IF(PAJAK[[#This Row],[ID]]="","",COUNTIF(NOTA[ID_H],PAJAK[[#This Row],[ID]]))</f>
        <v>5</v>
      </c>
      <c r="F62" s="140" t="str">
        <f ca="1">IF(PAJAK[[#This Row],[//]]="","",INDEX(CONV[2],MATCH(INDEX(INDIRECT("NOTA["&amp;PAJAK[#Headers]&amp;"]"),PAJAK[[#This Row],[//]]-2),CONV[1],0),0))</f>
        <v>PT ATALI MAKMUR</v>
      </c>
      <c r="G62" s="142">
        <f ca="1">IF(PAJAK[[#This Row],[//]]="","",INDEX(NOTA[TGL_H],PAJAK[[#This Row],[//]]-2))</f>
        <v>44863</v>
      </c>
      <c r="H62" s="142">
        <f ca="1">IF(PAJAK[[#This Row],[//]]="","",INDEX(INDIRECT("NOTA["&amp;PAJAK[#Headers]&amp;"]"),PAJAK[[#This Row],[//]]-2))</f>
        <v>44859</v>
      </c>
      <c r="I62" s="141" t="str">
        <f ca="1">IF(PAJAK[[#This Row],[//]]="","",INDEX(INDIRECT("NOTA["&amp;PAJAK[#Headers]&amp;"]"),PAJAK[[#This Row],[//]]-2))</f>
        <v>SA221017008</v>
      </c>
      <c r="J62" s="140" t="str">
        <f ca="1">IF(OR(PAJAK[[#This Row],[//]]="",INDEX(INDIRECT("NOTA["&amp;PAJAK[#Headers]&amp;"]"),PAJAK[[#This Row],[//]]-2)=""),"",INDEX(INDIRECT("NOTA["&amp;PAJAK[#Headers]&amp;"]"),PAJAK[[#This Row],[//]]-2))</f>
        <v/>
      </c>
      <c r="K62" s="143">
        <f ca="1">IF(PAJAK[[#This Row],[//]]="","",SUMIF(NOTA[ID_H],PAJAK[[#This Row],[ID]],NOTA[JUMLAH]))</f>
        <v>27143300</v>
      </c>
      <c r="L62" s="143">
        <f ca="1">IF(PAJAK[[#This Row],[//]]="","",SUMIF(NOTA[ID_H],PAJAK[[#This Row],[ID]],NOTA[DISC]))</f>
        <v>4580431.875</v>
      </c>
      <c r="M62" s="143">
        <f ca="1">PAJAK[[#This Row],[SUB TOTAL]]-PAJAK[[#This Row],[DISKON]]</f>
        <v>22562868.125</v>
      </c>
      <c r="N62" s="143">
        <f ca="1">IF(PAJAK[[#This Row],[//]]="","",INDEX(INDIRECT("NOTA["&amp;PAJAK[#Headers]&amp;"]"),PAJAK[[#This Row],[//]]-2+PAJAK[[#This Row],[QB]]-1))</f>
        <v>0</v>
      </c>
      <c r="O62" s="143">
        <f ca="1">(PAJAK[[#This Row],[SUB T-DISC]]-PAJAK[[#This Row],[DISC DLL]])/111%</f>
        <v>20326908.22072072</v>
      </c>
      <c r="P62" s="143">
        <f ca="1">PAJAK[[#This Row],[DPP]]*PAJAK[[#This Row],[PPN]]</f>
        <v>2235959.9042792791</v>
      </c>
      <c r="Q62" s="143">
        <f ca="1">PAJAK[[#This Row],[DPP]]+PAJAK[[#This Row],[PPN 11%]]</f>
        <v>22562868.125</v>
      </c>
      <c r="R62" s="143" t="str">
        <f ca="1">IF(ISNUMBER(PAJAK[[#This Row],[//]]),PPN,"")</f>
        <v>11%</v>
      </c>
    </row>
    <row r="63" spans="1:18" s="144" customFormat="1" x14ac:dyDescent="0.25">
      <c r="A63" s="1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593</v>
      </c>
      <c r="B63" s="140">
        <f ca="1">HYPERLINK("[NOTA_.XLSX]NOTA!c"&amp;PAJAK[[#This Row],[//]],IF(PAJAK[[#This Row],[//]]="","",INDEX(INDIRECT("NOTA["&amp;PAJAK[#Headers]&amp;"]"),PAJAK[[#This Row],[//]]-2)))</f>
        <v>129</v>
      </c>
      <c r="C63" s="140" t="str">
        <f ca="1">IF(PAJAK[[#This Row],[//]]="","",INDEX(INDIRECT("NOTA["&amp;PAJAK[#Headers]&amp;"]"),PAJAK[[#This Row],[//]]-2))</f>
        <v>ATA_3110_097-4</v>
      </c>
      <c r="D63" s="140" t="e">
        <f ca="1">MATCH(PAJAK[[#This Row],[ID]],[2]!Table1[ID],0)</f>
        <v>#REF!</v>
      </c>
      <c r="E63" s="141">
        <f ca="1">IF(PAJAK[[#This Row],[ID]]="","",COUNTIF(NOTA[ID_H],PAJAK[[#This Row],[ID]]))</f>
        <v>4</v>
      </c>
      <c r="F63" s="140" t="str">
        <f ca="1">IF(PAJAK[[#This Row],[//]]="","",INDEX(CONV[2],MATCH(INDEX(INDIRECT("NOTA["&amp;PAJAK[#Headers]&amp;"]"),PAJAK[[#This Row],[//]]-2),CONV[1],0),0))</f>
        <v>PT ATALI MAKMUR</v>
      </c>
      <c r="G63" s="142">
        <f ca="1">IF(PAJAK[[#This Row],[//]]="","",INDEX(NOTA[TGL_H],PAJAK[[#This Row],[//]]-2))</f>
        <v>44865</v>
      </c>
      <c r="H63" s="142">
        <f ca="1">IF(PAJAK[[#This Row],[//]]="","",INDEX(INDIRECT("NOTA["&amp;PAJAK[#Headers]&amp;"]"),PAJAK[[#This Row],[//]]-2))</f>
        <v>44861</v>
      </c>
      <c r="I63" s="141" t="str">
        <f ca="1">IF(PAJAK[[#This Row],[//]]="","",INDEX(INDIRECT("NOTA["&amp;PAJAK[#Headers]&amp;"]"),PAJAK[[#This Row],[//]]-2))</f>
        <v>SA221017097</v>
      </c>
      <c r="J63" s="140" t="str">
        <f ca="1">IF(OR(PAJAK[[#This Row],[//]]="",INDEX(INDIRECT("NOTA["&amp;PAJAK[#Headers]&amp;"]"),PAJAK[[#This Row],[//]]-2)=""),"",INDEX(INDIRECT("NOTA["&amp;PAJAK[#Headers]&amp;"]"),PAJAK[[#This Row],[//]]-2))</f>
        <v/>
      </c>
      <c r="K63" s="143">
        <f ca="1">IF(PAJAK[[#This Row],[//]]="","",SUMIF(NOTA[ID_H],PAJAK[[#This Row],[ID]],NOTA[JUMLAH]))</f>
        <v>5428800</v>
      </c>
      <c r="L63" s="143">
        <f ca="1">IF(PAJAK[[#This Row],[//]]="","",SUMIF(NOTA[ID_H],PAJAK[[#This Row],[ID]],NOTA[DISC]))</f>
        <v>916110</v>
      </c>
      <c r="M63" s="143">
        <f ca="1">PAJAK[[#This Row],[SUB TOTAL]]-PAJAK[[#This Row],[DISKON]]</f>
        <v>4512690</v>
      </c>
      <c r="N63" s="143">
        <f ca="1">IF(PAJAK[[#This Row],[//]]="","",INDEX(INDIRECT("NOTA["&amp;PAJAK[#Headers]&amp;"]"),PAJAK[[#This Row],[//]]-2+PAJAK[[#This Row],[QB]]-1))</f>
        <v>0</v>
      </c>
      <c r="O63" s="143">
        <f ca="1">(PAJAK[[#This Row],[SUB T-DISC]]-PAJAK[[#This Row],[DISC DLL]])/111%</f>
        <v>4065486.4864864862</v>
      </c>
      <c r="P63" s="143">
        <f ca="1">PAJAK[[#This Row],[DPP]]*PAJAK[[#This Row],[PPN]]</f>
        <v>447203.51351351349</v>
      </c>
      <c r="Q63" s="143">
        <f ca="1">PAJAK[[#This Row],[DPP]]+PAJAK[[#This Row],[PPN 11%]]</f>
        <v>4512690</v>
      </c>
      <c r="R63" s="143" t="str">
        <f ca="1">IF(ISNUMBER(PAJAK[[#This Row],[//]]),PPN,"")</f>
        <v>11%</v>
      </c>
    </row>
    <row r="64" spans="1:18" s="144" customFormat="1" x14ac:dyDescent="0.25">
      <c r="A64" s="1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603</v>
      </c>
      <c r="B64" s="173">
        <f ca="1">HYPERLINK("[NOTA_.XLSX]NOTA!c"&amp;PAJAK[[#This Row],[//]],IF(PAJAK[[#This Row],[//]]="","",INDEX(INDIRECT("NOTA["&amp;PAJAK[#Headers]&amp;"]"),PAJAK[[#This Row],[//]]-2)))</f>
        <v>132</v>
      </c>
      <c r="C64" s="140" t="str">
        <f ca="1">IF(PAJAK[[#This Row],[//]]="","",INDEX(INDIRECT("NOTA["&amp;PAJAK[#Headers]&amp;"]"),PAJAK[[#This Row],[//]]-2))</f>
        <v>ATA_0211_209-5</v>
      </c>
      <c r="D64" s="140" t="e">
        <f ca="1">MATCH(PAJAK[[#This Row],[ID]],[2]!Table1[ID],0)</f>
        <v>#REF!</v>
      </c>
      <c r="E64" s="141">
        <f ca="1">IF(PAJAK[[#This Row],[ID]]="","",COUNTIF(NOTA[ID_H],PAJAK[[#This Row],[ID]]))</f>
        <v>5</v>
      </c>
      <c r="F64" s="140" t="str">
        <f ca="1">IF(PAJAK[[#This Row],[//]]="","",INDEX(CONV[2],MATCH(INDEX(INDIRECT("NOTA["&amp;PAJAK[#Headers]&amp;"]"),PAJAK[[#This Row],[//]]-2),CONV[1],0),0))</f>
        <v>PT ATALI MAKMUR</v>
      </c>
      <c r="G64" s="142">
        <f ca="1">IF(PAJAK[[#This Row],[//]]="","",INDEX(NOTA[TGL_H],PAJAK[[#This Row],[//]]-2))</f>
        <v>44867</v>
      </c>
      <c r="H64" s="142">
        <f ca="1">IF(PAJAK[[#This Row],[//]]="","",INDEX(INDIRECT("NOTA["&amp;PAJAK[#Headers]&amp;"]"),PAJAK[[#This Row],[//]]-2))</f>
        <v>44863</v>
      </c>
      <c r="I64" s="141" t="str">
        <f ca="1">IF(PAJAK[[#This Row],[//]]="","",INDEX(INDIRECT("NOTA["&amp;PAJAK[#Headers]&amp;"]"),PAJAK[[#This Row],[//]]-2))</f>
        <v>SA221017209</v>
      </c>
      <c r="J64" s="140" t="str">
        <f ca="1">IF(OR(PAJAK[[#This Row],[//]]="",INDEX(INDIRECT("NOTA["&amp;PAJAK[#Headers]&amp;"]"),PAJAK[[#This Row],[//]]-2)=""),"",INDEX(INDIRECT("NOTA["&amp;PAJAK[#Headers]&amp;"]"),PAJAK[[#This Row],[//]]-2))</f>
        <v/>
      </c>
      <c r="K64" s="143">
        <f ca="1">IF(PAJAK[[#This Row],[//]]="","",SUMIF(NOTA[ID_H],PAJAK[[#This Row],[ID]],NOTA[JUMLAH]))</f>
        <v>5328000</v>
      </c>
      <c r="L64" s="143">
        <f ca="1">IF(PAJAK[[#This Row],[//]]="","",SUMIF(NOTA[ID_H],PAJAK[[#This Row],[ID]],NOTA[DISC]))</f>
        <v>899100</v>
      </c>
      <c r="M64" s="143">
        <f ca="1">PAJAK[[#This Row],[SUB TOTAL]]-PAJAK[[#This Row],[DISKON]]</f>
        <v>4428900</v>
      </c>
      <c r="N64" s="143">
        <f ca="1">IF(PAJAK[[#This Row],[//]]="","",INDEX(INDIRECT("NOTA["&amp;PAJAK[#Headers]&amp;"]"),PAJAK[[#This Row],[//]]-2+PAJAK[[#This Row],[QB]]-1))</f>
        <v>0</v>
      </c>
      <c r="O64" s="143">
        <f ca="1">(PAJAK[[#This Row],[SUB T-DISC]]-PAJAK[[#This Row],[DISC DLL]])/111%</f>
        <v>3989999.9999999995</v>
      </c>
      <c r="P64" s="143">
        <f ca="1">PAJAK[[#This Row],[DPP]]*PAJAK[[#This Row],[PPN]]</f>
        <v>438899.99999999994</v>
      </c>
      <c r="Q64" s="143">
        <f ca="1">PAJAK[[#This Row],[DPP]]+PAJAK[[#This Row],[PPN 11%]]</f>
        <v>4428899.9999999991</v>
      </c>
      <c r="R64" s="143" t="str">
        <f ca="1">IF(ISNUMBER(PAJAK[[#This Row],[//]]),PPN,"")</f>
        <v>11%</v>
      </c>
    </row>
    <row r="65" spans="1:18" s="144" customFormat="1" x14ac:dyDescent="0.25">
      <c r="A65" s="144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609</v>
      </c>
      <c r="B65" s="171">
        <f ca="1">HYPERLINK("[NOTA_.XLSX]NOTA!c"&amp;PAJAK[[#This Row],[//]],IF(PAJAK[[#This Row],[//]]="","",INDEX(INDIRECT("NOTA["&amp;PAJAK[#Headers]&amp;"]"),PAJAK[[#This Row],[//]]-2)))</f>
        <v>133</v>
      </c>
      <c r="C65" s="144" t="str">
        <f ca="1">IF(PAJAK[[#This Row],[//]]="","",INDEX(INDIRECT("NOTA["&amp;PAJAK[#Headers]&amp;"]"),PAJAK[[#This Row],[//]]-2))</f>
        <v>KAL_0211_213-2</v>
      </c>
      <c r="D65" s="144" t="e">
        <f ca="1">MATCH(PAJAK[[#This Row],[ID]],[2]!Table1[ID],0)</f>
        <v>#REF!</v>
      </c>
      <c r="E65" s="172">
        <f ca="1">IF(PAJAK[[#This Row],[ID]]="","",COUNTIF(NOTA[ID_H],PAJAK[[#This Row],[ID]]))</f>
        <v>2</v>
      </c>
      <c r="F65" s="140" t="str">
        <f ca="1">IF(PAJAK[[#This Row],[//]]="","",INDEX(CONV[2],MATCH(INDEX(INDIRECT("NOTA["&amp;PAJAK[#Headers]&amp;"]"),PAJAK[[#This Row],[//]]-2),CONV[1],0),0))</f>
        <v>PT KALINDO SUKSES</v>
      </c>
      <c r="G65" s="142">
        <f ca="1">IF(PAJAK[[#This Row],[//]]="","",INDEX(NOTA[TGL_H],PAJAK[[#This Row],[//]]-2))</f>
        <v>44867</v>
      </c>
      <c r="H65" s="142">
        <f ca="1">IF(PAJAK[[#This Row],[//]]="","",INDEX(INDIRECT("NOTA["&amp;PAJAK[#Headers]&amp;"]"),PAJAK[[#This Row],[//]]-2))</f>
        <v>44863</v>
      </c>
      <c r="I65" s="141" t="str">
        <f ca="1">IF(PAJAK[[#This Row],[//]]="","",INDEX(INDIRECT("NOTA["&amp;PAJAK[#Headers]&amp;"]"),PAJAK[[#This Row],[//]]-2))</f>
        <v>SN22102213</v>
      </c>
      <c r="J65" s="140" t="str">
        <f ca="1">IF(OR(PAJAK[[#This Row],[//]]="",INDEX(INDIRECT("NOTA["&amp;PAJAK[#Headers]&amp;"]"),PAJAK[[#This Row],[//]]-2)=""),"",INDEX(INDIRECT("NOTA["&amp;PAJAK[#Headers]&amp;"]"),PAJAK[[#This Row],[//]]-2))</f>
        <v/>
      </c>
      <c r="K65" s="143">
        <f ca="1">IF(PAJAK[[#This Row],[//]]="","",SUMIF(NOTA[ID_H],PAJAK[[#This Row],[ID]],NOTA[JUMLAH]))</f>
        <v>9360000</v>
      </c>
      <c r="L65" s="143">
        <f ca="1">IF(PAJAK[[#This Row],[//]]="","",SUMIF(NOTA[ID_H],PAJAK[[#This Row],[ID]],NOTA[DISC]))</f>
        <v>1579500</v>
      </c>
      <c r="M65" s="143">
        <f ca="1">PAJAK[[#This Row],[SUB TOTAL]]-PAJAK[[#This Row],[DISKON]]</f>
        <v>7780500</v>
      </c>
      <c r="N65" s="143">
        <f ca="1">IF(PAJAK[[#This Row],[//]]="","",INDEX(INDIRECT("NOTA["&amp;PAJAK[#Headers]&amp;"]"),PAJAK[[#This Row],[//]]-2+PAJAK[[#This Row],[QB]]-1))</f>
        <v>0</v>
      </c>
      <c r="O65" s="143">
        <f ca="1">(PAJAK[[#This Row],[SUB T-DISC]]-PAJAK[[#This Row],[DISC DLL]])/111%</f>
        <v>7009459.4594594585</v>
      </c>
      <c r="P65" s="143">
        <f ca="1">PAJAK[[#This Row],[DPP]]*PAJAK[[#This Row],[PPN]]</f>
        <v>771040.54054054047</v>
      </c>
      <c r="Q65" s="143">
        <f ca="1">PAJAK[[#This Row],[DPP]]+PAJAK[[#This Row],[PPN 11%]]</f>
        <v>7780499.9999999991</v>
      </c>
      <c r="R65" s="143" t="str">
        <f ca="1">IF(ISNUMBER(PAJAK[[#This Row],[//]]),PPN,"")</f>
        <v>11%</v>
      </c>
    </row>
    <row r="66" spans="1:18" s="144" customFormat="1" x14ac:dyDescent="0.25">
      <c r="A66" s="144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612</v>
      </c>
      <c r="B66" s="171">
        <f ca="1">HYPERLINK("[NOTA_.XLSX]NOTA!c"&amp;PAJAK[[#This Row],[//]],IF(PAJAK[[#This Row],[//]]="","",INDEX(INDIRECT("NOTA["&amp;PAJAK[#Headers]&amp;"]"),PAJAK[[#This Row],[//]]-2)))</f>
        <v>134</v>
      </c>
      <c r="C66" s="144" t="str">
        <f ca="1">IF(PAJAK[[#This Row],[//]]="","",INDEX(INDIRECT("NOTA["&amp;PAJAK[#Headers]&amp;"]"),PAJAK[[#This Row],[//]]-2))</f>
        <v>ATA_0211_244-2</v>
      </c>
      <c r="D66" s="144" t="e">
        <f ca="1">MATCH(PAJAK[[#This Row],[ID]],[2]!Table1[ID],0)</f>
        <v>#REF!</v>
      </c>
      <c r="E66" s="172">
        <f ca="1">IF(PAJAK[[#This Row],[ID]]="","",COUNTIF(NOTA[ID_H],PAJAK[[#This Row],[ID]]))</f>
        <v>2</v>
      </c>
      <c r="F66" s="140" t="str">
        <f ca="1">IF(PAJAK[[#This Row],[//]]="","",INDEX(CONV[2],MATCH(INDEX(INDIRECT("NOTA["&amp;PAJAK[#Headers]&amp;"]"),PAJAK[[#This Row],[//]]-2),CONV[1],0),0))</f>
        <v>PT ATALI MAKMUR</v>
      </c>
      <c r="G66" s="142">
        <f ca="1">IF(PAJAK[[#This Row],[//]]="","",INDEX(NOTA[TGL_H],PAJAK[[#This Row],[//]]-2))</f>
        <v>44867</v>
      </c>
      <c r="H66" s="142">
        <f ca="1">IF(PAJAK[[#This Row],[//]]="","",INDEX(INDIRECT("NOTA["&amp;PAJAK[#Headers]&amp;"]"),PAJAK[[#This Row],[//]]-2))</f>
        <v>44865</v>
      </c>
      <c r="I66" s="141" t="str">
        <f ca="1">IF(PAJAK[[#This Row],[//]]="","",INDEX(INDIRECT("NOTA["&amp;PAJAK[#Headers]&amp;"]"),PAJAK[[#This Row],[//]]-2))</f>
        <v>SA221017244</v>
      </c>
      <c r="J66" s="140" t="str">
        <f ca="1">IF(OR(PAJAK[[#This Row],[//]]="",INDEX(INDIRECT("NOTA["&amp;PAJAK[#Headers]&amp;"]"),PAJAK[[#This Row],[//]]-2)=""),"",INDEX(INDIRECT("NOTA["&amp;PAJAK[#Headers]&amp;"]"),PAJAK[[#This Row],[//]]-2))</f>
        <v/>
      </c>
      <c r="K66" s="143">
        <f ca="1">IF(PAJAK[[#This Row],[//]]="","",SUMIF(NOTA[ID_H],PAJAK[[#This Row],[ID]],NOTA[JUMLAH]))</f>
        <v>15264000</v>
      </c>
      <c r="L66" s="143">
        <f ca="1">IF(PAJAK[[#This Row],[//]]="","",SUMIF(NOTA[ID_H],PAJAK[[#This Row],[ID]],NOTA[DISC]))</f>
        <v>2575800</v>
      </c>
      <c r="M66" s="143">
        <f ca="1">PAJAK[[#This Row],[SUB TOTAL]]-PAJAK[[#This Row],[DISKON]]</f>
        <v>12688200</v>
      </c>
      <c r="N66" s="143">
        <f ca="1">IF(PAJAK[[#This Row],[//]]="","",INDEX(INDIRECT("NOTA["&amp;PAJAK[#Headers]&amp;"]"),PAJAK[[#This Row],[//]]-2+PAJAK[[#This Row],[QB]]-1))</f>
        <v>0</v>
      </c>
      <c r="O66" s="143">
        <f ca="1">(PAJAK[[#This Row],[SUB T-DISC]]-PAJAK[[#This Row],[DISC DLL]])/111%</f>
        <v>11430810.81081081</v>
      </c>
      <c r="P66" s="143">
        <f ca="1">PAJAK[[#This Row],[DPP]]*PAJAK[[#This Row],[PPN]]</f>
        <v>1257389.1891891891</v>
      </c>
      <c r="Q66" s="143">
        <f ca="1">PAJAK[[#This Row],[DPP]]+PAJAK[[#This Row],[PPN 11%]]</f>
        <v>12688200</v>
      </c>
      <c r="R66" s="143" t="str">
        <f ca="1">IF(ISNUMBER(PAJAK[[#This Row],[//]]),PPN,"")</f>
        <v>11%</v>
      </c>
    </row>
    <row r="67" spans="1:18" s="144" customFormat="1" x14ac:dyDescent="0.25">
      <c r="A67" s="1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71" t="str">
        <f ca="1">HYPERLINK("[NOTA_.XLSX]NOTA!c"&amp;PAJAK[[#This Row],[//]],IF(PAJAK[[#This Row],[//]]="","",INDEX(INDIRECT("NOTA["&amp;PAJAK[#Headers]&amp;"]"),PAJAK[[#This Row],[//]]-2)))</f>
        <v/>
      </c>
      <c r="C67" s="144" t="str">
        <f ca="1">IF(PAJAK[[#This Row],[//]]="","",INDEX(INDIRECT("NOTA["&amp;PAJAK[#Headers]&amp;"]"),PAJAK[[#This Row],[//]]-2))</f>
        <v/>
      </c>
      <c r="D67" s="144" t="e">
        <f ca="1">MATCH(PAJAK[[#This Row],[ID]],[2]!Table1[ID],0)</f>
        <v>#REF!</v>
      </c>
      <c r="E67" s="172" t="str">
        <f ca="1">IF(PAJAK[[#This Row],[ID]]="","",COUNTIF(NOTA[ID_H],PAJAK[[#This Row],[ID]]))</f>
        <v/>
      </c>
      <c r="F67" s="140" t="str">
        <f ca="1">IF(PAJAK[[#This Row],[//]]="","",INDEX(CONV[2],MATCH(INDEX(INDIRECT("NOTA["&amp;PAJAK[#Headers]&amp;"]"),PAJAK[[#This Row],[//]]-2),CONV[1],0),0))</f>
        <v/>
      </c>
      <c r="G67" s="142" t="str">
        <f ca="1">IF(PAJAK[[#This Row],[//]]="","",INDEX(NOTA[TGL_H],PAJAK[[#This Row],[//]]-2))</f>
        <v/>
      </c>
      <c r="H67" s="142" t="str">
        <f ca="1">IF(PAJAK[[#This Row],[//]]="","",INDEX(INDIRECT("NOTA["&amp;PAJAK[#Headers]&amp;"]"),PAJAK[[#This Row],[//]]-2))</f>
        <v/>
      </c>
      <c r="I67" s="141" t="str">
        <f ca="1">IF(PAJAK[[#This Row],[//]]="","",INDEX(INDIRECT("NOTA["&amp;PAJAK[#Headers]&amp;"]"),PAJAK[[#This Row],[//]]-2))</f>
        <v/>
      </c>
      <c r="J67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3" t="str">
        <f ca="1">IF(PAJAK[[#This Row],[//]]="","",SUMIF(NOTA[ID_H],PAJAK[[#This Row],[ID]],NOTA[JUMLAH]))</f>
        <v/>
      </c>
      <c r="L67" s="143" t="str">
        <f ca="1">IF(PAJAK[[#This Row],[//]]="","",SUMIF(NOTA[ID_H],PAJAK[[#This Row],[ID]],NOTA[DISC]))</f>
        <v/>
      </c>
      <c r="M67" s="143" t="e">
        <f ca="1">PAJAK[[#This Row],[SUB TOTAL]]-PAJAK[[#This Row],[DISKON]]</f>
        <v>#VALUE!</v>
      </c>
      <c r="N67" s="143" t="str">
        <f ca="1">IF(PAJAK[[#This Row],[//]]="","",INDEX(INDIRECT("NOTA["&amp;PAJAK[#Headers]&amp;"]"),PAJAK[[#This Row],[//]]-2+PAJAK[[#This Row],[QB]]-1))</f>
        <v/>
      </c>
      <c r="O67" s="143" t="e">
        <f ca="1">(PAJAK[[#This Row],[SUB T-DISC]]-PAJAK[[#This Row],[DISC DLL]])/111%</f>
        <v>#VALUE!</v>
      </c>
      <c r="P67" s="143" t="e">
        <f ca="1">PAJAK[[#This Row],[DPP]]*PAJAK[[#This Row],[PPN]]</f>
        <v>#VALUE!</v>
      </c>
      <c r="Q67" s="143" t="e">
        <f ca="1">PAJAK[[#This Row],[DPP]]+PAJAK[[#This Row],[PPN 11%]]</f>
        <v>#VALUE!</v>
      </c>
      <c r="R67" s="143" t="str">
        <f ca="1">IF(ISNUMBER(PAJAK[[#This Row],[//]]),PPN,"")</f>
        <v/>
      </c>
    </row>
    <row r="68" spans="1:18" s="144" customFormat="1" x14ac:dyDescent="0.25">
      <c r="A68" s="1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71" t="str">
        <f ca="1">HYPERLINK("[NOTA_.XLSX]NOTA!c"&amp;PAJAK[[#This Row],[//]],IF(PAJAK[[#This Row],[//]]="","",INDEX(INDIRECT("NOTA["&amp;PAJAK[#Headers]&amp;"]"),PAJAK[[#This Row],[//]]-2)))</f>
        <v/>
      </c>
      <c r="C68" s="144" t="str">
        <f ca="1">IF(PAJAK[[#This Row],[//]]="","",INDEX(INDIRECT("NOTA["&amp;PAJAK[#Headers]&amp;"]"),PAJAK[[#This Row],[//]]-2))</f>
        <v/>
      </c>
      <c r="D68" s="144" t="e">
        <f ca="1">MATCH(PAJAK[[#This Row],[ID]],[2]!Table1[ID],0)</f>
        <v>#REF!</v>
      </c>
      <c r="E68" s="172" t="str">
        <f ca="1">IF(PAJAK[[#This Row],[ID]]="","",COUNTIF(NOTA[ID_H],PAJAK[[#This Row],[ID]]))</f>
        <v/>
      </c>
      <c r="F68" s="140" t="str">
        <f ca="1">IF(PAJAK[[#This Row],[//]]="","",INDEX(CONV[2],MATCH(INDEX(INDIRECT("NOTA["&amp;PAJAK[#Headers]&amp;"]"),PAJAK[[#This Row],[//]]-2),CONV[1],0),0))</f>
        <v/>
      </c>
      <c r="G68" s="142" t="str">
        <f ca="1">IF(PAJAK[[#This Row],[//]]="","",INDEX(NOTA[TGL_H],PAJAK[[#This Row],[//]]-2))</f>
        <v/>
      </c>
      <c r="H68" s="142" t="str">
        <f ca="1">IF(PAJAK[[#This Row],[//]]="","",INDEX(INDIRECT("NOTA["&amp;PAJAK[#Headers]&amp;"]"),PAJAK[[#This Row],[//]]-2))</f>
        <v/>
      </c>
      <c r="I68" s="141" t="str">
        <f ca="1">IF(PAJAK[[#This Row],[//]]="","",INDEX(INDIRECT("NOTA["&amp;PAJAK[#Headers]&amp;"]"),PAJAK[[#This Row],[//]]-2))</f>
        <v/>
      </c>
      <c r="J68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3" t="str">
        <f ca="1">IF(PAJAK[[#This Row],[//]]="","",SUMIF(NOTA[ID_H],PAJAK[[#This Row],[ID]],NOTA[JUMLAH]))</f>
        <v/>
      </c>
      <c r="L68" s="143" t="str">
        <f ca="1">IF(PAJAK[[#This Row],[//]]="","",SUMIF(NOTA[ID_H],PAJAK[[#This Row],[ID]],NOTA[DISC]))</f>
        <v/>
      </c>
      <c r="M68" s="143" t="e">
        <f ca="1">PAJAK[[#This Row],[SUB TOTAL]]-PAJAK[[#This Row],[DISKON]]</f>
        <v>#VALUE!</v>
      </c>
      <c r="N68" s="143" t="str">
        <f ca="1">IF(PAJAK[[#This Row],[//]]="","",INDEX(INDIRECT("NOTA["&amp;PAJAK[#Headers]&amp;"]"),PAJAK[[#This Row],[//]]-2+PAJAK[[#This Row],[QB]]-1))</f>
        <v/>
      </c>
      <c r="O68" s="143" t="e">
        <f ca="1">(PAJAK[[#This Row],[SUB T-DISC]]-PAJAK[[#This Row],[DISC DLL]])/111%</f>
        <v>#VALUE!</v>
      </c>
      <c r="P68" s="143" t="e">
        <f ca="1">PAJAK[[#This Row],[DPP]]*PAJAK[[#This Row],[PPN]]</f>
        <v>#VALUE!</v>
      </c>
      <c r="Q68" s="143" t="e">
        <f ca="1">PAJAK[[#This Row],[DPP]]+PAJAK[[#This Row],[PPN 11%]]</f>
        <v>#VALUE!</v>
      </c>
      <c r="R68" s="143" t="str">
        <f ca="1">IF(ISNUMBER(PAJAK[[#This Row],[//]]),PPN,"")</f>
        <v/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Row],[ID]],[2]!Table1[ID],0)</f>
        <v>#REF!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Row],[ID]],[2]!Table1[ID],0)</f>
        <v>#REF!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Row],[ID]],[2]!Table1[ID],0)</f>
        <v>#REF!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Row],[ID]],[2]!Table1[ID],0)</f>
        <v>#REF!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Row],[ID]],[2]!Table1[ID],0)</f>
        <v>#REF!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Row],[ID]],[2]!Table1[ID],0)</f>
        <v>#REF!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Row],[ID]],[2]!Table1[ID],0)</f>
        <v>#REF!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Row],[ID]],[2]!Table1[ID],0)</f>
        <v>#REF!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Row],[ID]],[2]!Table1[ID],0)</f>
        <v>#REF!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Row],[ID]],[2]!Table1[ID],0)</f>
        <v>#REF!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Row],[ID]],[2]!Table1[ID],0)</f>
        <v>#REF!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147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EXP\BARU\2022\10 OKT\[NOTA_.xlsx]KENKO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5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13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6" t="str">
        <f ca="1">IF(KENKO[[#This Row],[//PAJAK]]="","",INDEX(INDIRECT("PAJAK["&amp;KENKO[#Headers]&amp;"]"),KENKO[[#This Row],[//PAJAK]]-1))</f>
        <v>22100048</v>
      </c>
      <c r="H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14</v>
      </c>
      <c r="B5" s="5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13">
        <f ca="1">HYPERLINK("[NOTA_.xlsx]PAJAK!b"&amp;KENKO[[#This Row],[//PAJAK]],IF(KENKO[[#This Row],[//PAJAK]]="","",INDEX(INDIRECT("PAJAK["&amp;KENKO[#Headers]&amp;"]"),KENKO[[#This Row],[//PAJAK]]-1)))</f>
        <v>3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6" t="str">
        <f ca="1">IF(KENKO[[#This Row],[//PAJAK]]="","",INDEX(INDIRECT("PAJAK["&amp;KENKO[#Headers]&amp;"]"),KENKO[[#This Row],[//PAJAK]]-1))</f>
        <v>22100037</v>
      </c>
      <c r="H5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41</v>
      </c>
      <c r="B8" s="5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13">
        <f ca="1">HYPERLINK("[NOTA_.xlsx]PAJAK!b"&amp;KENKO[[#This Row],[//PAJAK]],IF(KENKO[[#This Row],[//PAJAK]]="","",INDEX(INDIRECT("PAJAK["&amp;KENKO[#Headers]&amp;"]"),KENKO[[#This Row],[//PAJAK]]-1)))</f>
        <v>12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6" t="str">
        <f ca="1">IF(KENKO[[#This Row],[//PAJAK]]="","",INDEX(INDIRECT("PAJAK["&amp;KENKO[#Headers]&amp;"]"),KENKO[[#This Row],[//PAJAK]]-1))</f>
        <v>22100289</v>
      </c>
      <c r="H8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1">
        <f ca="1">HYPERLINK("[NOTA_.xlsx]NOTA!A"&amp;MATCH(KENKO[[#This Row],[ID]],NOTA[ID],0)+2,IF(KENKO[[#This Row],[//PAJAK]]="","",MATCH(KENKO[[#This Row],[ID]],NOTA[ID],0)+2))</f>
        <v>46</v>
      </c>
      <c r="B9" s="7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7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62</v>
      </c>
      <c r="B12" s="5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13">
        <f ca="1">HYPERLINK("[NOTA_.xlsx]PAJAK!b"&amp;KENKO[[#This Row],[//PAJAK]],IF(KENKO[[#This Row],[//PAJAK]]="","",INDEX(INDIRECT("PAJAK["&amp;KENKO[#Headers]&amp;"]"),KENKO[[#This Row],[//PAJAK]]-1)))</f>
        <v>16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6" t="str">
        <f ca="1">IF(KENKO[[#This Row],[//PAJAK]]="","",INDEX(INDIRECT("PAJAK["&amp;KENKO[#Headers]&amp;"]"),KENKO[[#This Row],[//PAJAK]]-1))</f>
        <v>22100470</v>
      </c>
      <c r="H12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1">
        <f ca="1">HYPERLINK("[NOTA_.xlsx]NOTA!A"&amp;MATCH(KENKO[[#This Row],[ID]],NOTA[ID],0)+2,IF(KENKO[[#This Row],[//PAJAK]]="","",MATCH(KENKO[[#This Row],[ID]],NOTA[ID],0)+2))</f>
        <v>66</v>
      </c>
      <c r="B13" s="7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7">
        <f ca="1">HYPERLINK("[NOTA_.xlsx]PAJAK!b"&amp;KENKO[[#This Row],[//PAJAK]],IF(KENKO[[#This Row],[//PAJAK]]="","",INDEX(INDIRECT("PAJAK["&amp;KENKO[#Headers]&amp;"]"),KENKO[[#This Row],[//PAJAK]]-1)))</f>
        <v>17</v>
      </c>
      <c r="D13" s="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9" t="str">
        <f ca="1">IF(KENKO[[#This Row],[//PAJAK]]="","",INDEX(INDIRECT("PAJAK["&amp;KENKO[#Headers]&amp;"]"),KENKO[[#This Row],[//PAJAK]]-1))</f>
        <v>22100469</v>
      </c>
      <c r="H13" s="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1">
        <f ca="1">HYPERLINK("[NOTA_.xlsx]NOTA!A"&amp;MATCH(KENKO[[#This Row],[ID]],NOTA[ID],0)+2,IF(KENKO[[#This Row],[//PAJAK]]="","",MATCH(KENKO[[#This Row],[ID]],NOTA[ID],0)+2))</f>
        <v>77</v>
      </c>
      <c r="B14" s="7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7">
        <f ca="1">HYPERLINK("[NOTA_.xlsx]PAJAK!b"&amp;KENKO[[#This Row],[//PAJAK]],IF(KENKO[[#This Row],[//PAJAK]]="","",INDEX(INDIRECT("PAJAK["&amp;KENKO[#Headers]&amp;"]"),KENKO[[#This Row],[//PAJAK]]-1)))</f>
        <v>18</v>
      </c>
      <c r="D14" s="3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9" t="str">
        <f ca="1">IF(KENKO[[#This Row],[//PAJAK]]="","",INDEX(INDIRECT("PAJAK["&amp;KENKO[#Headers]&amp;"]"),KENKO[[#This Row],[//PAJAK]]-1))</f>
        <v>22100423</v>
      </c>
      <c r="H14" s="3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1">
        <f ca="1">HYPERLINK("[NOTA_.xlsx]NOTA!A"&amp;MATCH(KENKO[[#This Row],[ID]],NOTA[ID],0)+2,IF(KENKO[[#This Row],[//PAJAK]]="","",MATCH(KENKO[[#This Row],[ID]],NOTA[ID],0)+2))</f>
        <v>123</v>
      </c>
      <c r="B15" s="7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7">
        <f ca="1">HYPERLINK("[NOTA_.xlsx]PAJAK!b"&amp;KENKO[[#This Row],[//PAJAK]],IF(KENKO[[#This Row],[//PAJAK]]="","",INDEX(INDIRECT("PAJAK["&amp;KENKO[#Headers]&amp;"]"),KENKO[[#This Row],[//PAJAK]]-1)))</f>
        <v>31</v>
      </c>
      <c r="D15" s="3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9" t="str">
        <f ca="1">IF(KENKO[[#This Row],[//PAJAK]]="","",INDEX(INDIRECT("PAJAK["&amp;KENKO[#Headers]&amp;"]"),KENKO[[#This Row],[//PAJAK]]-1))</f>
        <v>22100534</v>
      </c>
      <c r="H15" s="3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1">
        <f ca="1">HYPERLINK("[NOTA_.xlsx]NOTA!A"&amp;MATCH(KENKO[[#This Row],[ID]],NOTA[ID],0)+2,IF(KENKO[[#This Row],[//PAJAK]]="","",MATCH(KENKO[[#This Row],[ID]],NOTA[ID],0)+2))</f>
        <v>184</v>
      </c>
      <c r="B17" s="7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7">
        <f ca="1">HYPERLINK("[NOTA_.xlsx]PAJAK!b"&amp;KENKO[[#This Row],[//PAJAK]],IF(KENKO[[#This Row],[//PAJAK]]="","",INDEX(INDIRECT("PAJAK["&amp;KENKO[#Headers]&amp;"]"),KENKO[[#This Row],[//PAJAK]]-1)))</f>
        <v>45</v>
      </c>
      <c r="D17" s="3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9" t="str">
        <f ca="1">IF(KENKO[[#This Row],[//PAJAK]]="","",INDEX(INDIRECT("PAJAK["&amp;KENKO[#Headers]&amp;"]"),KENKO[[#This Row],[//PAJAK]]-1))</f>
        <v>22100766</v>
      </c>
      <c r="H17" s="3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1">
        <f ca="1">HYPERLINK("[NOTA_.xlsx]NOTA!A"&amp;MATCH(KENKO[[#This Row],[ID]],NOTA[ID],0)+2,IF(KENKO[[#This Row],[//PAJAK]]="","",MATCH(KENKO[[#This Row],[ID]],NOTA[ID],0)+2))</f>
        <v>236</v>
      </c>
      <c r="B19" s="7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7">
        <f ca="1">HYPERLINK("[NOTA_.xlsx]PAJAK!b"&amp;KENKO[[#This Row],[//PAJAK]],IF(KENKO[[#This Row],[//PAJAK]]="","",INDEX(INDIRECT("PAJAK["&amp;KENKO[#Headers]&amp;"]"),KENKO[[#This Row],[//PAJAK]]-1)))</f>
        <v>56</v>
      </c>
      <c r="D19" s="3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9" t="str">
        <f ca="1">IF(KENKO[[#This Row],[//PAJAK]]="","",INDEX(INDIRECT("PAJAK["&amp;KENKO[#Headers]&amp;"]"),KENKO[[#This Row],[//PAJAK]]-1))</f>
        <v>22101116</v>
      </c>
      <c r="H19" s="3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326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44854</v>
      </c>
      <c r="F20" s="2">
        <f ca="1">IF(KENKO[[#This Row],[//PAJAK]]="","",INDEX(INDIRECT("PAJAK["&amp;KENKO[#Headers]&amp;"]"),KENKO[[#This Row],[//PAJAK]]-1))</f>
        <v>44846</v>
      </c>
      <c r="G20" s="9" t="str">
        <f ca="1">IF(KENKO[[#This Row],[//PAJAK]]="","",INDEX(INDIRECT("PAJAK["&amp;KENKO[#Headers]&amp;"]"),KENKO[[#This Row],[//PAJAK]]-1))</f>
        <v>22100904</v>
      </c>
      <c r="H20" s="3" t="str">
        <f ca="1">IF(KENKO[[#This Row],[//PAJAK]]="","",INDEX(INDIRECT("PAJAK["&amp;KENKO[#Headers]&amp;"]"),KENKO[[#This Row],[//PAJAK]]-1))</f>
        <v>SA 37600</v>
      </c>
      <c r="I20" s="1">
        <f ca="1">IF(KENKO[[#This Row],[//PAJAK]]="","",INDEX(INDIRECT("PAJAK["&amp;KENKO[#Headers]&amp;"]"),KENKO[[#This Row],[//PAJAK]]-1))</f>
        <v>47595600</v>
      </c>
      <c r="J20" s="1">
        <f ca="1">IF(KENKO[[#This Row],[//PAJAK]]="","",INDEX(INDIRECT("PAJAK["&amp;KENKO[#Headers]&amp;"]"),KENKO[[#This Row],[//PAJAK]]-1))</f>
        <v>8091252</v>
      </c>
      <c r="K20" s="1">
        <f ca="1">(KENKO[[#This Row],[SUB TOTAL]]-KENKO[[#This Row],[DISKON]])/1.11</f>
        <v>35589502.702702701</v>
      </c>
      <c r="L20" s="1">
        <f ca="1">KENKO[[#This Row],[DPP]]*11%</f>
        <v>3914845.297297297</v>
      </c>
      <c r="M20" s="1">
        <f ca="1">KENKO[[#This Row],[DPP]]+KENKO[[#This Row],[PPN (11%)]]</f>
        <v>39504348</v>
      </c>
      <c r="N20" s="1" t="str">
        <f ca="1">INDEX(PAJAK[ID_P],MATCH(KENKO[[#This Row],[ID]],PAJAK[ID],0))</f>
        <v>KEN_2010_904-4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331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44854</v>
      </c>
      <c r="F21" s="2">
        <f ca="1">IF(KENKO[[#This Row],[//PAJAK]]="","",INDEX(INDIRECT("PAJAK["&amp;KENKO[#Headers]&amp;"]"),KENKO[[#This Row],[//PAJAK]]-1))</f>
        <v>44846</v>
      </c>
      <c r="G21" s="9" t="str">
        <f ca="1">IF(KENKO[[#This Row],[//PAJAK]]="","",INDEX(INDIRECT("PAJAK["&amp;KENKO[#Headers]&amp;"]"),KENKO[[#This Row],[//PAJAK]]-1))</f>
        <v>22100921</v>
      </c>
      <c r="H21" s="3" t="str">
        <f ca="1">IF(KENKO[[#This Row],[//PAJAK]]="","",INDEX(INDIRECT("PAJAK["&amp;KENKO[#Headers]&amp;"]"),KENKO[[#This Row],[//PAJAK]]-1))</f>
        <v>SA 37610</v>
      </c>
      <c r="I21" s="1">
        <f ca="1">IF(KENKO[[#This Row],[//PAJAK]]="","",INDEX(INDIRECT("PAJAK["&amp;KENKO[#Headers]&amp;"]"),KENKO[[#This Row],[//PAJAK]]-1))</f>
        <v>34922400</v>
      </c>
      <c r="J21" s="1">
        <f ca="1">IF(KENKO[[#This Row],[//PAJAK]]="","",INDEX(INDIRECT("PAJAK["&amp;KENKO[#Headers]&amp;"]"),KENKO[[#This Row],[//PAJAK]]-1))</f>
        <v>5936808</v>
      </c>
      <c r="K21" s="1">
        <f ca="1">(KENKO[[#This Row],[SUB TOTAL]]-KENKO[[#This Row],[DISKON]])/1.11</f>
        <v>26113145.945945945</v>
      </c>
      <c r="L21" s="1">
        <f ca="1">KENKO[[#This Row],[DPP]]*11%</f>
        <v>2872446.054054054</v>
      </c>
      <c r="M21" s="1">
        <f ca="1">KENKO[[#This Row],[DPP]]+KENKO[[#This Row],[PPN (11%)]]</f>
        <v>28985592</v>
      </c>
      <c r="N21" s="1" t="str">
        <f ca="1">INDEX(PAJAK[ID_P],MATCH(KENKO[[#This Row],[ID]],PAJAK[ID],0))</f>
        <v>KEN_2010_921-8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340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44854</v>
      </c>
      <c r="F22" s="2">
        <f ca="1">IF(KENKO[[#This Row],[//PAJAK]]="","",INDEX(INDIRECT("PAJAK["&amp;KENKO[#Headers]&amp;"]"),KENKO[[#This Row],[//PAJAK]]-1))</f>
        <v>44847</v>
      </c>
      <c r="G22" s="9" t="str">
        <f ca="1">IF(KENKO[[#This Row],[//PAJAK]]="","",INDEX(INDIRECT("PAJAK["&amp;KENKO[#Headers]&amp;"]"),KENKO[[#This Row],[//PAJAK]]-1))</f>
        <v>22101015</v>
      </c>
      <c r="H22" s="3" t="str">
        <f ca="1">IF(KENKO[[#This Row],[//PAJAK]]="","",INDEX(INDIRECT("PAJAK["&amp;KENKO[#Headers]&amp;"]"),KENKO[[#This Row],[//PAJAK]]-1))</f>
        <v>SA 37616</v>
      </c>
      <c r="I22" s="1">
        <f ca="1">IF(KENKO[[#This Row],[//PAJAK]]="","",INDEX(INDIRECT("PAJAK["&amp;KENKO[#Headers]&amp;"]"),KENKO[[#This Row],[//PAJAK]]-1))</f>
        <v>51513200</v>
      </c>
      <c r="J22" s="1">
        <f ca="1">IF(KENKO[[#This Row],[//PAJAK]]="","",INDEX(INDIRECT("PAJAK["&amp;KENKO[#Headers]&amp;"]"),KENKO[[#This Row],[//PAJAK]]-1))</f>
        <v>8757244</v>
      </c>
      <c r="K22" s="1">
        <f ca="1">(KENKO[[#This Row],[SUB TOTAL]]-KENKO[[#This Row],[DISKON]])/1.11</f>
        <v>38518879.279279277</v>
      </c>
      <c r="L22" s="1">
        <f ca="1">KENKO[[#This Row],[DPP]]*11%</f>
        <v>4237076.7207207205</v>
      </c>
      <c r="M22" s="1">
        <f ca="1">KENKO[[#This Row],[DPP]]+KENKO[[#This Row],[PPN (11%)]]</f>
        <v>42755956</v>
      </c>
      <c r="N22" s="1" t="str">
        <f ca="1">INDEX(PAJAK[ID_P],MATCH(KENKO[[#This Row],[ID]],PAJAK[ID],0))</f>
        <v>KEN_2010_015-8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349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80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44855</v>
      </c>
      <c r="F23" s="2">
        <f ca="1">IF(KENKO[[#This Row],[//PAJAK]]="","",INDEX(INDIRECT("PAJAK["&amp;KENKO[#Headers]&amp;"]"),KENKO[[#This Row],[//PAJAK]]-1))</f>
        <v>44849</v>
      </c>
      <c r="G23" s="9" t="str">
        <f ca="1">IF(KENKO[[#This Row],[//PAJAK]]="","",INDEX(INDIRECT("PAJAK["&amp;KENKO[#Headers]&amp;"]"),KENKO[[#This Row],[//PAJAK]]-1))</f>
        <v>22101207</v>
      </c>
      <c r="H23" s="3" t="str">
        <f ca="1">IF(KENKO[[#This Row],[//PAJAK]]="","",INDEX(INDIRECT("PAJAK["&amp;KENKO[#Headers]&amp;"]"),KENKO[[#This Row],[//PAJAK]]-1))</f>
        <v>SA 37660</v>
      </c>
      <c r="I23" s="1">
        <f ca="1">IF(KENKO[[#This Row],[//PAJAK]]="","",INDEX(INDIRECT("PAJAK["&amp;KENKO[#Headers]&amp;"]"),KENKO[[#This Row],[//PAJAK]]-1))</f>
        <v>31128400</v>
      </c>
      <c r="J23" s="1">
        <f ca="1">IF(KENKO[[#This Row],[//PAJAK]]="","",INDEX(INDIRECT("PAJAK["&amp;KENKO[#Headers]&amp;"]"),KENKO[[#This Row],[//PAJAK]]-1))</f>
        <v>5291828</v>
      </c>
      <c r="K23" s="1">
        <f ca="1">(KENKO[[#This Row],[SUB TOTAL]]-KENKO[[#This Row],[DISKON]])/1.11</f>
        <v>23276190.990990989</v>
      </c>
      <c r="L23" s="1">
        <f ca="1">KENKO[[#This Row],[DPP]]*11%</f>
        <v>2560381.0090090088</v>
      </c>
      <c r="M23" s="1">
        <f ca="1">KENKO[[#This Row],[DPP]]+KENKO[[#This Row],[PPN (11%)]]</f>
        <v>25836571.999999996</v>
      </c>
      <c r="N23" s="1" t="str">
        <f ca="1">INDEX(PAJAK[ID_P],MATCH(KENKO[[#This Row],[ID]],PAJAK[ID],0))</f>
        <v>KEN_2110_207-10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371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44856</v>
      </c>
      <c r="F24" s="2">
        <f ca="1">IF(KENKO[[#This Row],[//PAJAK]]="","",INDEX(INDIRECT("PAJAK["&amp;KENKO[#Headers]&amp;"]"),KENKO[[#This Row],[//PAJAK]]-1))</f>
        <v>44851</v>
      </c>
      <c r="G24" s="9" t="str">
        <f ca="1">IF(KENKO[[#This Row],[//PAJAK]]="","",INDEX(INDIRECT("PAJAK["&amp;KENKO[#Headers]&amp;"]"),KENKO[[#This Row],[//PAJAK]]-1))</f>
        <v>22101338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16626000</v>
      </c>
      <c r="J24" s="1">
        <f ca="1">IF(KENKO[[#This Row],[//PAJAK]]="","",INDEX(INDIRECT("PAJAK["&amp;KENKO[#Headers]&amp;"]"),KENKO[[#This Row],[//PAJAK]]-1))</f>
        <v>2826420</v>
      </c>
      <c r="K24" s="1">
        <f ca="1">(KENKO[[#This Row],[SUB TOTAL]]-KENKO[[#This Row],[DISKON]])/1.11</f>
        <v>12432054.054054054</v>
      </c>
      <c r="L24" s="1">
        <f ca="1">KENKO[[#This Row],[DPP]]*11%</f>
        <v>1367525.9459459458</v>
      </c>
      <c r="M24" s="1">
        <f ca="1">KENKO[[#This Row],[DPP]]+KENKO[[#This Row],[PPN (11%)]]</f>
        <v>13799580</v>
      </c>
      <c r="N24" s="1" t="str">
        <f ca="1">INDEX(PAJAK[ID_P],MATCH(KENKO[[#This Row],[ID]],PAJAK[ID],0))</f>
        <v>KEN_2210_338-5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377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44856</v>
      </c>
      <c r="F25" s="2">
        <f ca="1">IF(KENKO[[#This Row],[//PAJAK]]="","",INDEX(INDIRECT("PAJAK["&amp;KENKO[#Headers]&amp;"]"),KENKO[[#This Row],[//PAJAK]]-1))</f>
        <v>44853</v>
      </c>
      <c r="G25" s="9" t="str">
        <f ca="1">IF(KENKO[[#This Row],[//PAJAK]]="","",INDEX(INDIRECT("PAJAK["&amp;KENKO[#Headers]&amp;"]"),KENKO[[#This Row],[//PAJAK]]-1))</f>
        <v>22101484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45016800</v>
      </c>
      <c r="J25" s="1">
        <f ca="1">IF(KENKO[[#This Row],[//PAJAK]]="","",INDEX(INDIRECT("PAJAK["&amp;KENKO[#Headers]&amp;"]"),KENKO[[#This Row],[//PAJAK]]-1))</f>
        <v>7652856</v>
      </c>
      <c r="K25" s="1">
        <f ca="1">(KENKO[[#This Row],[SUB TOTAL]]-KENKO[[#This Row],[DISKON]])/1.11</f>
        <v>33661210.810810804</v>
      </c>
      <c r="L25" s="1">
        <f ca="1">KENKO[[#This Row],[DPP]]*11%</f>
        <v>3702733.1891891886</v>
      </c>
      <c r="M25" s="1">
        <f ca="1">KENKO[[#This Row],[DPP]]+KENKO[[#This Row],[PPN (11%)]]</f>
        <v>37363943.999999993</v>
      </c>
      <c r="N25" s="1" t="str">
        <f ca="1">INDEX(PAJAK[ID_P],MATCH(KENKO[[#This Row],[ID]],PAJAK[ID],0))</f>
        <v>KEN_2210_484-11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451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99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44861</v>
      </c>
      <c r="F26" s="2">
        <f ca="1">IF(KENKO[[#This Row],[//PAJAK]]="","",INDEX(INDIRECT("PAJAK["&amp;KENKO[#Headers]&amp;"]"),KENKO[[#This Row],[//PAJAK]]-1))</f>
        <v>44854</v>
      </c>
      <c r="G26" s="9" t="str">
        <f ca="1">IF(KENKO[[#This Row],[//PAJAK]]="","",INDEX(INDIRECT("PAJAK["&amp;KENKO[#Headers]&amp;"]"),KENKO[[#This Row],[//PAJAK]]-1))</f>
        <v>22101602</v>
      </c>
      <c r="H26" s="3" t="str">
        <f ca="1">IF(KENKO[[#This Row],[//PAJAK]]="","",INDEX(INDIRECT("PAJAK["&amp;KENKO[#Headers]&amp;"]"),KENKO[[#This Row],[//PAJAK]]-1))</f>
        <v>SA 37763</v>
      </c>
      <c r="I26" s="1">
        <f ca="1">IF(KENKO[[#This Row],[//PAJAK]]="","",INDEX(INDIRECT("PAJAK["&amp;KENKO[#Headers]&amp;"]"),KENKO[[#This Row],[//PAJAK]]-1))</f>
        <v>50158000</v>
      </c>
      <c r="J26" s="1">
        <f ca="1">IF(KENKO[[#This Row],[//PAJAK]]="","",INDEX(INDIRECT("PAJAK["&amp;KENKO[#Headers]&amp;"]"),KENKO[[#This Row],[//PAJAK]]-1))</f>
        <v>8526860</v>
      </c>
      <c r="K26" s="1">
        <f ca="1">(KENKO[[#This Row],[SUB TOTAL]]-KENKO[[#This Row],[DISKON]])/1.11</f>
        <v>37505531.531531528</v>
      </c>
      <c r="L26" s="1">
        <f ca="1">KENKO[[#This Row],[DPP]]*11%</f>
        <v>4125608.4684684682</v>
      </c>
      <c r="M26" s="1">
        <f ca="1">KENKO[[#This Row],[DPP]]+KENKO[[#This Row],[PPN (11%)]]</f>
        <v>41631139.999999993</v>
      </c>
      <c r="N26" s="1" t="str">
        <f ca="1">INDEX(PAJAK[ID_P],MATCH(KENKO[[#This Row],[ID]],PAJAK[ID],0))</f>
        <v>KEN_2710_602-7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459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52</v>
      </c>
      <c r="C27" s="7">
        <f ca="1">HYPERLINK("[NOTA_.xlsx]PAJAK!b"&amp;KENKO[[#This Row],[//PAJAK]],IF(KENKO[[#This Row],[//PAJAK]]="","",INDEX(INDIRECT("PAJAK["&amp;KENKO[#Headers]&amp;"]"),KENKO[[#This Row],[//PAJAK]]-1)))</f>
        <v>100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44861</v>
      </c>
      <c r="F27" s="2">
        <f ca="1">IF(KENKO[[#This Row],[//PAJAK]]="","",INDEX(INDIRECT("PAJAK["&amp;KENKO[#Headers]&amp;"]"),KENKO[[#This Row],[//PAJAK]]-1))</f>
        <v>44854</v>
      </c>
      <c r="G27" s="9" t="str">
        <f ca="1">IF(KENKO[[#This Row],[//PAJAK]]="","",INDEX(INDIRECT("PAJAK["&amp;KENKO[#Headers]&amp;"]"),KENKO[[#This Row],[//PAJAK]]-1))</f>
        <v>22101616</v>
      </c>
      <c r="H27" s="3" t="str">
        <f ca="1">IF(KENKO[[#This Row],[//PAJAK]]="","",INDEX(INDIRECT("PAJAK["&amp;KENKO[#Headers]&amp;"]"),KENKO[[#This Row],[//PAJAK]]-1))</f>
        <v>SA 37780</v>
      </c>
      <c r="I27" s="1">
        <f ca="1">IF(KENKO[[#This Row],[//PAJAK]]="","",INDEX(INDIRECT("PAJAK["&amp;KENKO[#Headers]&amp;"]"),KENKO[[#This Row],[//PAJAK]]-1))</f>
        <v>14843600</v>
      </c>
      <c r="J27" s="1">
        <f ca="1">IF(KENKO[[#This Row],[//PAJAK]]="","",INDEX(INDIRECT("PAJAK["&amp;KENKO[#Headers]&amp;"]"),KENKO[[#This Row],[//PAJAK]]-1))</f>
        <v>2523412</v>
      </c>
      <c r="K27" s="1">
        <f ca="1">(KENKO[[#This Row],[SUB TOTAL]]-KENKO[[#This Row],[DISKON]])/1.11</f>
        <v>11099268.468468467</v>
      </c>
      <c r="L27" s="1">
        <f ca="1">KENKO[[#This Row],[DPP]]*11%</f>
        <v>1220919.5315315314</v>
      </c>
      <c r="M27" s="1">
        <f ca="1">KENKO[[#This Row],[DPP]]+KENKO[[#This Row],[PPN (11%)]]</f>
        <v>12320187.999999998</v>
      </c>
      <c r="N27" s="1" t="str">
        <f ca="1">INDEX(PAJAK[ID_P],MATCH(KENKO[[#This Row],[ID]],PAJAK[ID],0))</f>
        <v>KEN_2710_616-6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466</v>
      </c>
      <c r="B28" s="5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53</v>
      </c>
      <c r="C28" s="13">
        <f ca="1">HYPERLINK("[NOTA_.xlsx]PAJAK!b"&amp;KENKO[[#This Row],[//PAJAK]],IF(KENKO[[#This Row],[//PAJAK]]="","",INDEX(INDIRECT("PAJAK["&amp;KENKO[#Headers]&amp;"]"),KENKO[[#This Row],[//PAJAK]]-1)))</f>
        <v>101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44861</v>
      </c>
      <c r="F28" s="2">
        <f ca="1">IF(KENKO[[#This Row],[//PAJAK]]="","",INDEX(INDIRECT("PAJAK["&amp;KENKO[#Headers]&amp;"]"),KENKO[[#This Row],[//PAJAK]]-1))</f>
        <v>44855</v>
      </c>
      <c r="G28" s="6" t="str">
        <f ca="1">IF(KENKO[[#This Row],[//PAJAK]]="","",INDEX(INDIRECT("PAJAK["&amp;KENKO[#Headers]&amp;"]"),KENKO[[#This Row],[//PAJAK]]-1))</f>
        <v>22101711</v>
      </c>
      <c r="H28" t="str">
        <f ca="1">IF(KENKO[[#This Row],[//PAJAK]]="","",INDEX(INDIRECT("PAJAK["&amp;KENKO[#Headers]&amp;"]"),KENKO[[#This Row],[//PAJAK]]-1))</f>
        <v>SA 37789</v>
      </c>
      <c r="I28" s="1">
        <f ca="1">IF(KENKO[[#This Row],[//PAJAK]]="","",INDEX(INDIRECT("PAJAK["&amp;KENKO[#Headers]&amp;"]"),KENKO[[#This Row],[//PAJAK]]-1))</f>
        <v>11620800</v>
      </c>
      <c r="J28" s="1">
        <f ca="1">IF(KENKO[[#This Row],[//PAJAK]]="","",INDEX(INDIRECT("PAJAK["&amp;KENKO[#Headers]&amp;"]"),KENKO[[#This Row],[//PAJAK]]-1))</f>
        <v>1975536</v>
      </c>
      <c r="K28" s="1">
        <f ca="1">(KENKO[[#This Row],[SUB TOTAL]]-KENKO[[#This Row],[DISKON]])/1.11</f>
        <v>8689427.0270270258</v>
      </c>
      <c r="L28" s="1">
        <f ca="1">KENKO[[#This Row],[DPP]]*11%</f>
        <v>955836.9729729729</v>
      </c>
      <c r="M28" s="1">
        <f ca="1">KENKO[[#This Row],[DPP]]+KENKO[[#This Row],[PPN (11%)]]</f>
        <v>9645263.9999999981</v>
      </c>
      <c r="N28" s="1" t="str">
        <f ca="1">INDEX(PAJAK[ID_P],MATCH(KENKO[[#This Row],[ID]],PAJAK[ID],0))</f>
        <v>KEN_2710_711-2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484</v>
      </c>
      <c r="B29" s="5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57</v>
      </c>
      <c r="C29" s="13">
        <f ca="1">HYPERLINK("[NOTA_.xlsx]PAJAK!b"&amp;KENKO[[#This Row],[//PAJAK]],IF(KENKO[[#This Row],[//PAJAK]]="","",INDEX(INDIRECT("PAJAK["&amp;KENKO[#Headers]&amp;"]"),KENKO[[#This Row],[//PAJAK]]-1)))</f>
        <v>107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44862</v>
      </c>
      <c r="F29" s="2">
        <f ca="1">IF(KENKO[[#This Row],[//PAJAK]]="","",INDEX(INDIRECT("PAJAK["&amp;KENKO[#Headers]&amp;"]"),KENKO[[#This Row],[//PAJAK]]-1))</f>
        <v>44858</v>
      </c>
      <c r="G29" s="6" t="str">
        <f ca="1">IF(KENKO[[#This Row],[//PAJAK]]="","",INDEX(INDIRECT("PAJAK["&amp;KENKO[#Headers]&amp;"]"),KENKO[[#This Row],[//PAJAK]]-1))</f>
        <v>22101889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19045200</v>
      </c>
      <c r="J29" s="1">
        <f ca="1">IF(KENKO[[#This Row],[//PAJAK]]="","",INDEX(INDIRECT("PAJAK["&amp;KENKO[#Headers]&amp;"]"),KENKO[[#This Row],[//PAJAK]]-1))</f>
        <v>3237684</v>
      </c>
      <c r="K29" s="1">
        <f ca="1">(KENKO[[#This Row],[SUB TOTAL]]-KENKO[[#This Row],[DISKON]])/1.11</f>
        <v>14241005.405405404</v>
      </c>
      <c r="L29" s="1">
        <f ca="1">KENKO[[#This Row],[DPP]]*11%</f>
        <v>1566510.5945945946</v>
      </c>
      <c r="M29" s="1">
        <f ca="1">KENKO[[#This Row],[DPP]]+KENKO[[#This Row],[PPN (11%)]]</f>
        <v>15807515.999999998</v>
      </c>
      <c r="N29" s="1" t="str">
        <f ca="1">INDEX(PAJAK[ID_P],MATCH(KENKO[[#This Row],[ID]],PAJAK[ID],0))</f>
        <v>KEN_2810_889-4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489</v>
      </c>
      <c r="B30" s="5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58</v>
      </c>
      <c r="C30" s="13">
        <f ca="1">HYPERLINK("[NOTA_.xlsx]PAJAK!b"&amp;KENKO[[#This Row],[//PAJAK]],IF(KENKO[[#This Row],[//PAJAK]]="","",INDEX(INDIRECT("PAJAK["&amp;KENKO[#Headers]&amp;"]"),KENKO[[#This Row],[//PAJAK]]-1)))</f>
        <v>108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44862</v>
      </c>
      <c r="F30" s="2">
        <f ca="1">IF(KENKO[[#This Row],[//PAJAK]]="","",INDEX(INDIRECT("PAJAK["&amp;KENKO[#Headers]&amp;"]"),KENKO[[#This Row],[//PAJAK]]-1))</f>
        <v>44859</v>
      </c>
      <c r="G30" s="6" t="str">
        <f ca="1">IF(KENKO[[#This Row],[//PAJAK]]="","",INDEX(INDIRECT("PAJAK["&amp;KENKO[#Headers]&amp;"]"),KENKO[[#This Row],[//PAJAK]]-1))</f>
        <v>22101993</v>
      </c>
      <c r="H30" t="str">
        <f ca="1">IF(KENKO[[#This Row],[//PAJAK]]="","",INDEX(INDIRECT("PAJAK["&amp;KENKO[#Headers]&amp;"]"),KENKO[[#This Row],[//PAJAK]]-1))</f>
        <v>SA 37848</v>
      </c>
      <c r="I30" s="1">
        <f ca="1">IF(KENKO[[#This Row],[//PAJAK]]="","",INDEX(INDIRECT("PAJAK["&amp;KENKO[#Headers]&amp;"]"),KENKO[[#This Row],[//PAJAK]]-1))</f>
        <v>57571200</v>
      </c>
      <c r="J30" s="1">
        <f ca="1">IF(KENKO[[#This Row],[//PAJAK]]="","",INDEX(INDIRECT("PAJAK["&amp;KENKO[#Headers]&amp;"]"),KENKO[[#This Row],[//PAJAK]]-1))</f>
        <v>9787104</v>
      </c>
      <c r="K30" s="1">
        <f ca="1">(KENKO[[#This Row],[SUB TOTAL]]-KENKO[[#This Row],[DISKON]])/1.11</f>
        <v>43048735.135135129</v>
      </c>
      <c r="L30" s="1">
        <f ca="1">KENKO[[#This Row],[DPP]]*11%</f>
        <v>4735360.8648648644</v>
      </c>
      <c r="M30" s="1">
        <f ca="1">KENKO[[#This Row],[DPP]]+KENKO[[#This Row],[PPN (11%)]]</f>
        <v>47784095.999999993</v>
      </c>
      <c r="N30" s="1" t="str">
        <f ca="1">INDEX(PAJAK[ID_P],MATCH(KENKO[[#This Row],[ID]],PAJAK[ID],0))</f>
        <v>KEN_2810_993-8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544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59</v>
      </c>
      <c r="C31" s="7">
        <f ca="1">HYPERLINK("[NOTA_.xlsx]PAJAK!b"&amp;KENKO[[#This Row],[//PAJAK]],IF(KENKO[[#This Row],[//PAJAK]]="","",INDEX(INDIRECT("PAJAK["&amp;KENKO[#Headers]&amp;"]"),KENKO[[#This Row],[//PAJAK]]-1)))</f>
        <v>122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44863</v>
      </c>
      <c r="F31" s="2">
        <f ca="1">IF(KENKO[[#This Row],[//PAJAK]]="","",INDEX(INDIRECT("PAJAK["&amp;KENKO[#Headers]&amp;"]"),KENKO[[#This Row],[//PAJAK]]-1))</f>
        <v>44859</v>
      </c>
      <c r="G31" s="9" t="str">
        <f ca="1">IF(KENKO[[#This Row],[//PAJAK]]="","",INDEX(INDIRECT("PAJAK["&amp;KENKO[#Headers]&amp;"]"),KENKO[[#This Row],[//PAJAK]]-1))</f>
        <v>22102070</v>
      </c>
      <c r="H31" s="3" t="str">
        <f ca="1">IF(KENKO[[#This Row],[//PAJAK]]="","",INDEX(INDIRECT("PAJAK["&amp;KENKO[#Headers]&amp;"]"),KENKO[[#This Row],[//PAJAK]]-1))</f>
        <v>SA 37878</v>
      </c>
      <c r="I31" s="1">
        <f ca="1">IF(KENKO[[#This Row],[//PAJAK]]="","",INDEX(INDIRECT("PAJAK["&amp;KENKO[#Headers]&amp;"]"),KENKO[[#This Row],[//PAJAK]]-1))</f>
        <v>30373800</v>
      </c>
      <c r="J31" s="1">
        <f ca="1">IF(KENKO[[#This Row],[//PAJAK]]="","",INDEX(INDIRECT("PAJAK["&amp;KENKO[#Headers]&amp;"]"),KENKO[[#This Row],[//PAJAK]]-1))</f>
        <v>5163546</v>
      </c>
      <c r="K31" s="1">
        <f ca="1">(KENKO[[#This Row],[SUB TOTAL]]-KENKO[[#This Row],[DISKON]])/1.11</f>
        <v>22711940.540540539</v>
      </c>
      <c r="L31" s="1">
        <f ca="1">KENKO[[#This Row],[DPP]]*11%</f>
        <v>2498313.4594594594</v>
      </c>
      <c r="M31" s="1">
        <f ca="1">KENKO[[#This Row],[DPP]]+KENKO[[#This Row],[PPN (11%)]]</f>
        <v>25210254</v>
      </c>
      <c r="N31" s="1" t="str">
        <f ca="1">INDEX(PAJAK[ID_P],MATCH(KENKO[[#This Row],[ID]],PAJAK[ID],0))</f>
        <v>KEN_2910_070-7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552</v>
      </c>
      <c r="B32" s="5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60</v>
      </c>
      <c r="C32" s="13">
        <f ca="1">HYPERLINK("[NOTA_.xlsx]PAJAK!b"&amp;KENKO[[#This Row],[//PAJAK]],IF(KENKO[[#This Row],[//PAJAK]]="","",INDEX(INDIRECT("PAJAK["&amp;KENKO[#Headers]&amp;"]"),KENKO[[#This Row],[//PAJAK]]-1)))</f>
        <v>123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44863</v>
      </c>
      <c r="F32" s="2">
        <f ca="1">IF(KENKO[[#This Row],[//PAJAK]]="","",INDEX(INDIRECT("PAJAK["&amp;KENKO[#Headers]&amp;"]"),KENKO[[#This Row],[//PAJAK]]-1))</f>
        <v>44861</v>
      </c>
      <c r="G32" s="6" t="str">
        <f ca="1">IF(KENKO[[#This Row],[//PAJAK]]="","",INDEX(INDIRECT("PAJAK["&amp;KENKO[#Headers]&amp;"]"),KENKO[[#This Row],[//PAJAK]]-1))</f>
        <v>22102155</v>
      </c>
      <c r="H32" t="str">
        <f ca="1">IF(KENKO[[#This Row],[//PAJAK]]="","",INDEX(INDIRECT("PAJAK["&amp;KENKO[#Headers]&amp;"]"),KENKO[[#This Row],[//PAJAK]]-1))</f>
        <v>SA 37839</v>
      </c>
      <c r="I32" s="1">
        <f ca="1">IF(KENKO[[#This Row],[//PAJAK]]="","",INDEX(INDIRECT("PAJAK["&amp;KENKO[#Headers]&amp;"]"),KENKO[[#This Row],[//PAJAK]]-1))</f>
        <v>26289200</v>
      </c>
      <c r="J32" s="1">
        <f ca="1">IF(KENKO[[#This Row],[//PAJAK]]="","",INDEX(INDIRECT("PAJAK["&amp;KENKO[#Headers]&amp;"]"),KENKO[[#This Row],[//PAJAK]]-1))</f>
        <v>4469164</v>
      </c>
      <c r="K32" s="1">
        <f ca="1">(KENKO[[#This Row],[SUB TOTAL]]-KENKO[[#This Row],[DISKON]])/1.11</f>
        <v>19657690.090090089</v>
      </c>
      <c r="L32" s="1">
        <f ca="1">KENKO[[#This Row],[DPP]]*11%</f>
        <v>2162345.9099099096</v>
      </c>
      <c r="M32" s="1">
        <f ca="1">KENKO[[#This Row],[DPP]]+KENKO[[#This Row],[PPN (11%)]]</f>
        <v>21820036</v>
      </c>
      <c r="N32" s="1" t="str">
        <f ca="1">INDEX(PAJAK[ID_P],MATCH(KENKO[[#This Row],[ID]],PAJAK[ID],0))</f>
        <v>KEN_2910_155-9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1" t="str">
        <f ca="1">HYPERLINK("[NOTA_.xlsx]NOTA!A"&amp;MATCH(KENKO[[#This Row],[ID]],NOTA[ID],0)+2,IF(KENKO[[#This Row],[//PAJAK]]="","",MATCH(KENKO[[#This Row],[ID]],NOTA[ID],0)+2))</f>
        <v/>
      </c>
      <c r="B38" s="7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7" t="str">
        <f ca="1">HYPERLINK("[NOTA_.xlsx]PAJAK!b"&amp;KENKO[[#This Row],[//PAJAK]],IF(KENKO[[#This Row],[//PAJAK]]="","",INDEX(INDIRECT("PAJAK["&amp;KENKO[#Headers]&amp;"]"),KENKO[[#This Row],[//PAJAK]]-1)))</f>
        <v/>
      </c>
      <c r="D38" s="3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9" t="str">
        <f ca="1">IF(KENKO[[#This Row],[//PAJAK]]="","",INDEX(INDIRECT("PAJAK["&amp;KENKO[#Headers]&amp;"]"),KENKO[[#This Row],[//PAJAK]]-1))</f>
        <v/>
      </c>
      <c r="H38" s="3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s="3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9" t="str">
        <f ca="1">IF(KENKO[[#This Row],[//PAJAK]]="","",INDEX(INDIRECT("PAJAK["&amp;KENKO[#Headers]&amp;"]"),KENKO[[#This Row],[//PAJAK]]-1))</f>
        <v/>
      </c>
      <c r="H39" s="3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1" t="str">
        <f ca="1">HYPERLINK("[NOTA_.xlsx]NOTA!A"&amp;MATCH(KENKO[[#This Row],[ID]],NOTA[ID],0)+2,IF(KENKO[[#This Row],[//PAJAK]]="","",MATCH(KENKO[[#This Row],[ID]],NOTA[ID],0)+2))</f>
        <v/>
      </c>
      <c r="B40" s="7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7" t="str">
        <f ca="1">HYPERLINK("[NOTA_.xlsx]PAJAK!b"&amp;KENKO[[#This Row],[//PAJAK]],IF(KENKO[[#This Row],[//PAJAK]]="","",INDEX(INDIRECT("PAJAK["&amp;KENKO[#Headers]&amp;"]"),KENKO[[#This Row],[//PAJAK]]-1)))</f>
        <v/>
      </c>
      <c r="D40" s="3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9" t="str">
        <f ca="1">IF(KENKO[[#This Row],[//PAJAK]]="","",INDEX(INDIRECT("PAJAK["&amp;KENKO[#Headers]&amp;"]"),KENKO[[#This Row],[//PAJAK]]-1))</f>
        <v/>
      </c>
      <c r="H40" s="3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26</v>
      </c>
      <c r="F1" t="str">
        <f ca="1">MID(G1,FIND("]",G1)+1,LEN(G1)-FIND("]",G1))</f>
        <v>ATALI</v>
      </c>
      <c r="G1" s="4" t="str">
        <f ca="1">CELL("filename",G1)</f>
        <v>D:\kerja\BANK EXP\BARU\2022\10 OKT\[NOTA_.xlsx]ATALI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360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40</v>
      </c>
      <c r="C15" s="13">
        <f ca="1">HYPERLINK("[NOTA_.xlsx]PAJAK!b"&amp;ATALI[[#This Row],[//PAJAK]],IF(ATALI[[#This Row],[//PAJAK]]="","",INDEX(INDIRECT("PAJAK["&amp;ATALI[#Headers]&amp;"]"),ATALI[[#This Row],[//PAJAK]]-1)))</f>
        <v>81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44855</v>
      </c>
      <c r="F15" s="2">
        <f ca="1">IF(ATALI[[#This Row],[//PAJAK]]="","",INDEX(INDIRECT("PAJAK["&amp;ATALI[#Headers]&amp;"]"),ATALI[[#This Row],[//PAJAK]]-1))</f>
        <v>44849</v>
      </c>
      <c r="G15" s="5" t="str">
        <f ca="1">IF(ATALI[[#This Row],[//PAJAK]]="","",INDEX(INDIRECT("PAJAK["&amp;ATALI[#Headers]&amp;"]"),ATALI[[#This Row],[//PAJAK]]-1))</f>
        <v>SA221016384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2569560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2314918.9189189188</v>
      </c>
      <c r="L15" s="1">
        <f ca="1">ATALI[[#This Row],[DPP]]*11%</f>
        <v>254641.08108108107</v>
      </c>
      <c r="M15" s="1">
        <f ca="1">ATALI[[#This Row],[DPP]]+ATALI[[#This Row],[PPN (11%)]]</f>
        <v>2569560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389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44852</v>
      </c>
      <c r="G16" s="5" t="str">
        <f ca="1">IF(ATALI[[#This Row],[//PAJAK]]="","",INDEX(INDIRECT("PAJAK["&amp;ATALI[#Headers]&amp;"]"),ATALI[[#This Row],[//PAJAK]]-1))</f>
        <v>SA221016532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11088922.5</v>
      </c>
      <c r="J16" s="1">
        <f ca="1">IF(ATALI[[#This Row],[//PAJAK]]="","",INDEX(PAJAK[DISC DLL],ATALI[[#This Row],[//PAJAK]]-1))</f>
        <v>241600</v>
      </c>
      <c r="K16" s="1">
        <f ca="1">(ATALI[[#This Row],[SUB TOTAL]]-ATALI[[#This Row],[DISKON]])/1.11</f>
        <v>9772362.6126126125</v>
      </c>
      <c r="L16" s="1">
        <f ca="1">ATALI[[#This Row],[DPP]]*11%</f>
        <v>1074959.8873873875</v>
      </c>
      <c r="M16" s="1">
        <f ca="1">ATALI[[#This Row],[DPP]]+ATALI[[#This Row],[PPN (11%)]]</f>
        <v>10847322.5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45</v>
      </c>
      <c r="C17" s="13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SA221016587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35831862.5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32280957.207207203</v>
      </c>
      <c r="L17" s="1">
        <f ca="1">ATALI[[#This Row],[DPP]]*11%</f>
        <v>3550905.2927927924</v>
      </c>
      <c r="M17" s="1">
        <f ca="1">ATALI[[#This Row],[DPP]]+ATALI[[#This Row],[PPN (11%)]]</f>
        <v>35831862.499999993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408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46</v>
      </c>
      <c r="C18" s="13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SA221016588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35435522.5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31923894.14414414</v>
      </c>
      <c r="L18" s="1">
        <f ca="1">ATALI[[#This Row],[DPP]]*11%</f>
        <v>3511628.3558558556</v>
      </c>
      <c r="M18" s="1">
        <f ca="1">ATALI[[#This Row],[DPP]]+ATALI[[#This Row],[PPN (11%)]]</f>
        <v>35435522.499999993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421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47</v>
      </c>
      <c r="C19" s="13">
        <f ca="1">HYPERLINK("[NOTA_.xlsx]PAJAK!b"&amp;ATALI[[#This Row],[//PAJAK]],IF(ATALI[[#This Row],[//PAJAK]]="","",INDEX(INDIRECT("PAJAK["&amp;ATALI[#Headers]&amp;"]"),ATALI[[#This Row],[//PAJAK]]-1)))</f>
        <v>89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44853</v>
      </c>
      <c r="G19" s="7" t="str">
        <f ca="1">IF(ATALI[[#This Row],[//PAJAK]]="","",INDEX(INDIRECT("PAJAK["&amp;ATALI[#Headers]&amp;"]"),ATALI[[#This Row],[//PAJAK]]-1))</f>
        <v>SA221016590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14579460</v>
      </c>
      <c r="J19" s="1">
        <f ca="1">IF(ATALI[[#This Row],[//PAJAK]]="","",INDEX(PAJAK[DISC DLL],ATALI[[#This Row],[//PAJAK]]-1))</f>
        <v>215460</v>
      </c>
      <c r="K19" s="1">
        <f ca="1">(ATALI[[#This Row],[SUB TOTAL]]-ATALI[[#This Row],[DISKON]])/1.11</f>
        <v>12940540.540540539</v>
      </c>
      <c r="L19" s="1">
        <f ca="1">ATALI[[#This Row],[DPP]]*11%</f>
        <v>1423459.4594594592</v>
      </c>
      <c r="M19" s="1">
        <f ca="1">ATALI[[#This Row],[DPP]]+ATALI[[#This Row],[PPN (11%)]]</f>
        <v>14363999.999999998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424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48</v>
      </c>
      <c r="C20" s="13">
        <f ca="1">HYPERLINK("[NOTA_.xlsx]PAJAK!b"&amp;ATALI[[#This Row],[//PAJAK]],IF(ATALI[[#This Row],[//PAJAK]]="","",INDEX(INDIRECT("PAJAK["&amp;ATALI[#Headers]&amp;"]"),ATALI[[#This Row],[//PAJAK]]-1)))</f>
        <v>90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44856</v>
      </c>
      <c r="F20" s="2">
        <f ca="1">IF(ATALI[[#This Row],[//PAJAK]]="","",INDEX(INDIRECT("PAJAK["&amp;ATALI[#Headers]&amp;"]"),ATALI[[#This Row],[//PAJAK]]-1))</f>
        <v>44854</v>
      </c>
      <c r="G20" s="7" t="str">
        <f ca="1">IF(ATALI[[#This Row],[//PAJAK]]="","",INDEX(INDIRECT("PAJAK["&amp;ATALI[#Headers]&amp;"]"),ATALI[[#This Row],[//PAJAK]]-1))</f>
        <v>SA221016643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17631810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15884513.513513513</v>
      </c>
      <c r="L20" s="1">
        <f ca="1">ATALI[[#This Row],[DPP]]*11%</f>
        <v>1747296.4864864864</v>
      </c>
      <c r="M20" s="1">
        <f ca="1">ATALI[[#This Row],[DPP]]+ATALI[[#This Row],[PPN (11%)]]</f>
        <v>17631810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431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3">
        <f ca="1">HYPERLINK("[NOTA_.xlsx]PAJAK!b"&amp;ATALI[[#This Row],[//PAJAK]],IF(ATALI[[#This Row],[//PAJAK]]="","",INDEX(INDIRECT("PAJAK["&amp;ATALI[#Headers]&amp;"]"),ATALI[[#This Row],[//PAJAK]]-1)))</f>
        <v>92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44858</v>
      </c>
      <c r="F21" s="2">
        <f ca="1">IF(ATALI[[#This Row],[//PAJAK]]="","",INDEX(INDIRECT("PAJAK["&amp;ATALI[#Headers]&amp;"]"),ATALI[[#This Row],[//PAJAK]]-1))</f>
        <v>44855</v>
      </c>
      <c r="G21" s="7" t="str">
        <f ca="1">IF(ATALI[[#This Row],[//PAJAK]]="","",INDEX(INDIRECT("PAJAK["&amp;ATALI[#Headers]&amp;"]"),ATALI[[#This Row],[//PAJAK]]-1))</f>
        <v>SA221016685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8241843.75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7425084.4594594585</v>
      </c>
      <c r="L21" s="1">
        <f ca="1">ATALI[[#This Row],[DPP]]*11%</f>
        <v>816759.29054054047</v>
      </c>
      <c r="M21" s="1">
        <f ca="1">ATALI[[#This Row],[DPP]]+ATALI[[#This Row],[PPN (11%)]]</f>
        <v>8241843.7499999991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475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55</v>
      </c>
      <c r="C22" s="13">
        <f ca="1">HYPERLINK("[NOTA_.xlsx]PAJAK!b"&amp;ATALI[[#This Row],[//PAJAK]],IF(ATALI[[#This Row],[//PAJAK]]="","",INDEX(INDIRECT("PAJAK["&amp;ATALI[#Headers]&amp;"]"),ATALI[[#This Row],[//PAJAK]]-1)))</f>
        <v>105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SA221016883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70473375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63489527.027027018</v>
      </c>
      <c r="L22" s="1">
        <f ca="1">ATALI[[#This Row],[DPP]]*11%</f>
        <v>6983847.9729729723</v>
      </c>
      <c r="M22" s="1">
        <f ca="1">ATALI[[#This Row],[DPP]]+ATALI[[#This Row],[PPN (11%)]]</f>
        <v>70473374.999999985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478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56</v>
      </c>
      <c r="C23" s="13">
        <f ca="1">HYPERLINK("[NOTA_.xlsx]PAJAK!b"&amp;ATALI[[#This Row],[//PAJAK]],IF(ATALI[[#This Row],[//PAJAK]]="","",INDEX(INDIRECT("PAJAK["&amp;ATALI[#Headers]&amp;"]"),ATALI[[#This Row],[//PAJAK]]-1)))</f>
        <v>106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44862</v>
      </c>
      <c r="F23" s="2">
        <f ca="1">IF(ATALI[[#This Row],[//PAJAK]]="","",INDEX(INDIRECT("PAJAK["&amp;ATALI[#Headers]&amp;"]"),ATALI[[#This Row],[//PAJAK]]-1))</f>
        <v>44858</v>
      </c>
      <c r="G23" s="7" t="str">
        <f ca="1">IF(ATALI[[#This Row],[//PAJAK]]="","",INDEX(INDIRECT("PAJAK["&amp;ATALI[#Headers]&amp;"]"),ATALI[[#This Row],[//PAJAK]]-1))</f>
        <v>SA221016937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5835375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5257094.5945945941</v>
      </c>
      <c r="L23" s="1">
        <f ca="1">ATALI[[#This Row],[DPP]]*11%</f>
        <v>578280.40540540533</v>
      </c>
      <c r="M23" s="1">
        <f ca="1">ATALI[[#This Row],[DPP]]+ATALI[[#This Row],[PPN (11%)]]</f>
        <v>5835374.9999999991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562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61</v>
      </c>
      <c r="C24" s="13">
        <f ca="1">HYPERLINK("[NOTA_.xlsx]PAJAK!b"&amp;ATALI[[#This Row],[//PAJAK]],IF(ATALI[[#This Row],[//PAJAK]]="","",INDEX(INDIRECT("PAJAK["&amp;ATALI[#Headers]&amp;"]"),ATALI[[#This Row],[//PAJAK]]-1)))</f>
        <v>124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44860</v>
      </c>
      <c r="G24" s="7" t="str">
        <f ca="1">IF(ATALI[[#This Row],[//PAJAK]]="","",INDEX(INDIRECT("PAJAK["&amp;ATALI[#Headers]&amp;"]"),ATALI[[#This Row],[//PAJAK]]-1))</f>
        <v>SA221017041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13980960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12595459.459459458</v>
      </c>
      <c r="L24" s="1">
        <f ca="1">ATALI[[#This Row],[DPP]]*11%</f>
        <v>1385500.5405405404</v>
      </c>
      <c r="M24" s="1">
        <f ca="1">ATALI[[#This Row],[DPP]]+ATALI[[#This Row],[PPN (11%)]]</f>
        <v>13980959.999999998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62</v>
      </c>
      <c r="C25" s="13">
        <f ca="1">HYPERLINK("[NOTA_.xlsx]PAJAK!b"&amp;ATALI[[#This Row],[//PAJAK]],IF(ATALI[[#This Row],[//PAJAK]]="","",INDEX(INDIRECT("PAJAK["&amp;ATALI[#Headers]&amp;"]"),ATALI[[#This Row],[//PAJAK]]-1)))</f>
        <v>125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44863</v>
      </c>
      <c r="F25" s="2">
        <f ca="1">IF(ATALI[[#This Row],[//PAJAK]]="","",INDEX(INDIRECT("PAJAK["&amp;ATALI[#Headers]&amp;"]"),ATALI[[#This Row],[//PAJAK]]-1))</f>
        <v>44859</v>
      </c>
      <c r="G25" s="7" t="str">
        <f ca="1">IF(ATALI[[#This Row],[//PAJAK]]="","",INDEX(INDIRECT("PAJAK["&amp;ATALI[#Headers]&amp;"]"),ATALI[[#This Row],[//PAJAK]]-1))</f>
        <v>SA221017008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22562868.125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20326908.22072072</v>
      </c>
      <c r="L25" s="1">
        <f ca="1">ATALI[[#This Row],[DPP]]*11%</f>
        <v>2235959.9042792791</v>
      </c>
      <c r="M25" s="1">
        <f ca="1">ATALI[[#This Row],[DPP]]+ATALI[[#This Row],[PPN (11%)]]</f>
        <v>22562868.125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593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63</v>
      </c>
      <c r="C26" s="13">
        <f ca="1">HYPERLINK("[NOTA_.xlsx]PAJAK!b"&amp;ATALI[[#This Row],[//PAJAK]],IF(ATALI[[#This Row],[//PAJAK]]="","",INDEX(INDIRECT("PAJAK["&amp;ATALI[#Headers]&amp;"]"),ATALI[[#This Row],[//PAJAK]]-1)))</f>
        <v>129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44865</v>
      </c>
      <c r="F26" s="2">
        <f ca="1">IF(ATALI[[#This Row],[//PAJAK]]="","",INDEX(INDIRECT("PAJAK["&amp;ATALI[#Headers]&amp;"]"),ATALI[[#This Row],[//PAJAK]]-1))</f>
        <v>44861</v>
      </c>
      <c r="G26" s="7" t="str">
        <f ca="1">IF(ATALI[[#This Row],[//PAJAK]]="","",INDEX(INDIRECT("PAJAK["&amp;ATALI[#Headers]&amp;"]"),ATALI[[#This Row],[//PAJAK]]-1))</f>
        <v>SA221017097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4512690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4065486.4864864862</v>
      </c>
      <c r="L26" s="1">
        <f ca="1">ATALI[[#This Row],[DPP]]*11%</f>
        <v>447203.51351351349</v>
      </c>
      <c r="M26" s="1">
        <f ca="1">ATALI[[#This Row],[DPP]]+ATALI[[#This Row],[PPN (11%)]]</f>
        <v>4512690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603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64</v>
      </c>
      <c r="C27" s="13">
        <f ca="1">HYPERLINK("[NOTA_.xlsx]PAJAK!b"&amp;ATALI[[#This Row],[//PAJAK]],IF(ATALI[[#This Row],[//PAJAK]]="","",INDEX(INDIRECT("PAJAK["&amp;ATALI[#Headers]&amp;"]"),ATALI[[#This Row],[//PAJAK]]-1)))</f>
        <v>132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44863</v>
      </c>
      <c r="G27" s="7" t="str">
        <f ca="1">IF(ATALI[[#This Row],[//PAJAK]]="","",INDEX(INDIRECT("PAJAK["&amp;ATALI[#Headers]&amp;"]"),ATALI[[#This Row],[//PAJAK]]-1))</f>
        <v>SA221017209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4428900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3989999.9999999995</v>
      </c>
      <c r="L27" s="1">
        <f ca="1">ATALI[[#This Row],[DPP]]*11%</f>
        <v>438899.99999999994</v>
      </c>
      <c r="M27" s="1">
        <f ca="1">ATALI[[#This Row],[DPP]]+ATALI[[#This Row],[PPN (11%)]]</f>
        <v>4428899.9999999991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612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66</v>
      </c>
      <c r="C28" s="13">
        <f ca="1">HYPERLINK("[NOTA_.xlsx]PAJAK!b"&amp;ATALI[[#This Row],[//PAJAK]],IF(ATALI[[#This Row],[//PAJAK]]="","",INDEX(INDIRECT("PAJAK["&amp;ATALI[#Headers]&amp;"]"),ATALI[[#This Row],[//PAJAK]]-1)))</f>
        <v>134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44867</v>
      </c>
      <c r="F28" s="2">
        <f ca="1">IF(ATALI[[#This Row],[//PAJAK]]="","",INDEX(INDIRECT("PAJAK["&amp;ATALI[#Headers]&amp;"]"),ATALI[[#This Row],[//PAJAK]]-1))</f>
        <v>44865</v>
      </c>
      <c r="G28" s="7" t="str">
        <f ca="1">IF(ATALI[[#This Row],[//PAJAK]]="","",INDEX(INDIRECT("PAJAK["&amp;ATALI[#Headers]&amp;"]"),ATALI[[#This Row],[//PAJAK]]-1))</f>
        <v>SA221017244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12688200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11430810.81081081</v>
      </c>
      <c r="L28" s="1">
        <f ca="1">ATALI[[#This Row],[DPP]]*11%</f>
        <v>1257389.1891891891</v>
      </c>
      <c r="M28" s="1">
        <f ca="1">ATALI[[#This Row],[DPP]]+ATALI[[#This Row],[PPN (11%)]]</f>
        <v>12688200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428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49</v>
      </c>
      <c r="C5" s="13">
        <f ca="1">HYPERLINK("[NOTA_.xlsx]PAJAK!b"&amp;KALINDO[[#This Row],[//PAJAK]],IF(KALINDO[[#This Row],[//PAJAK]]="","",INDEX(INDIRECT("PAJAK["&amp;KALINDO[#Headers]&amp;"]"),KALINDO[[#This Row],[//PAJAK]]-1)))</f>
        <v>91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609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65</v>
      </c>
      <c r="C6" s="13">
        <f ca="1">HYPERLINK("[NOTA_.xlsx]PAJAK!b"&amp;KALINDO[[#This Row],[//PAJAK]],IF(KALINDO[[#This Row],[//PAJAK]]="","",INDEX(INDIRECT("PAJAK["&amp;KALINDO[#Headers]&amp;"]"),KALINDO[[#This Row],[//PAJAK]]-1)))</f>
        <v>133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EXP\BARU\2022\10 OKT\[NOTA_.xlsx]SAJ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363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41</v>
      </c>
      <c r="C4" s="13">
        <f ca="1">HYPERLINK("[NOTA_.xlsx]PAJAK!b"&amp;SAJ[[#This Row],[//PAJAK]],IF(SAJ[[#This Row],[//PAJAK]]="","",INDEX(INDIRECT("PAJAK["&amp;SAJ[#Headers]&amp;"]"),SAJ[[#This Row],[//PAJAK]]-1)))</f>
        <v>82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44855</v>
      </c>
      <c r="F4" s="2">
        <f ca="1">IF(SAJ[[#This Row],[//PAJAK]]="","",INDEX(INDIRECT("PAJAK["&amp;SAJ[#Headers]&amp;"]"),SAJ[[#This Row],[//PAJAK]]-1))</f>
        <v>44853</v>
      </c>
      <c r="G4" t="str">
        <f ca="1">IF(SAJ[[#This Row],[//PAJAK]]="","",INDEX(INDIRECT("PAJAK["&amp;SAJ[#Headers]&amp;"]"),SAJ[[#This Row],[//PAJAK]]-1))</f>
        <v>JL-24405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9350000</v>
      </c>
      <c r="J4" s="1">
        <f ca="1">IF(SAJ[[#This Row],[//PAJAK]]="","",INDEX(INDIRECT("PAJAK["&amp;SAJ[#Headers]&amp;"]"),SAJ[[#This Row],[//PAJAK]]-1))</f>
        <v>467500</v>
      </c>
      <c r="K4" s="1">
        <f ca="1">(SAJ[[#This Row],[SUB TOTAL]]-SAJ[[#This Row],[DISKON]])/1.11</f>
        <v>8002252.2522522518</v>
      </c>
      <c r="L4" s="1">
        <f ca="1">SAJ[[#This Row],[DPP]]*11%</f>
        <v>880247.74774774769</v>
      </c>
      <c r="M4" s="1">
        <f ca="1">SAJ[[#This Row],[DPP]]+SAJ[[#This Row],[PPN (11%)]]</f>
        <v>8882500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469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54</v>
      </c>
      <c r="C4" s="13">
        <f ca="1">HYPERLINK("[NOTA_.xlsx]PAJAK!b"&amp;MGN[[#This Row],[//PAJAK]],IF(MGN[[#This Row],[//PAJAK]]="","",INDEX(INDIRECT("PAJAK["&amp;MGN[#Headers]&amp;"]"),MGN[[#This Row],[//PAJAK]]-1)))</f>
        <v>102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2023-08-22T09:40:05Z</dcterms:modified>
</cp:coreProperties>
</file>