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1" r:id="rId6"/>
  </pivotCaches>
</workbook>
</file>

<file path=xl/calcChain.xml><?xml version="1.0" encoding="utf-8"?>
<calcChain xmlns="http://schemas.openxmlformats.org/spreadsheetml/2006/main">
  <c r="B95" i="1" l="1"/>
  <c r="H95" i="1" s="1"/>
  <c r="A95" i="1" s="1"/>
  <c r="AD95" i="1" s="1"/>
  <c r="C95" i="1"/>
  <c r="I95" i="1"/>
  <c r="J95" i="1"/>
  <c r="O95" i="1"/>
  <c r="Y95" i="1"/>
  <c r="Z95" i="1" s="1"/>
  <c r="AF95" i="1"/>
  <c r="AA95" i="1" l="1"/>
  <c r="AB95" i="1" s="1"/>
  <c r="AC95" i="1" s="1"/>
  <c r="T95" i="1" s="1"/>
  <c r="B85" i="1" l="1"/>
  <c r="H85" i="1" s="1"/>
  <c r="A85" i="1" s="1"/>
  <c r="AD85" i="1" s="1"/>
  <c r="B86" i="1"/>
  <c r="H86" i="1" s="1"/>
  <c r="A86" i="1" s="1"/>
  <c r="AD86" i="1" s="1"/>
  <c r="B87" i="1"/>
  <c r="H87" i="1" s="1"/>
  <c r="A87" i="1" s="1"/>
  <c r="AD87" i="1" s="1"/>
  <c r="B88" i="1"/>
  <c r="H88" i="1" s="1"/>
  <c r="A88" i="1" s="1"/>
  <c r="AD88" i="1" s="1"/>
  <c r="C85" i="1"/>
  <c r="C86" i="1"/>
  <c r="C87" i="1"/>
  <c r="C88" i="1"/>
  <c r="I85" i="1"/>
  <c r="I86" i="1"/>
  <c r="I87" i="1"/>
  <c r="I88" i="1"/>
  <c r="J85" i="1"/>
  <c r="J86" i="1"/>
  <c r="J87" i="1"/>
  <c r="J88" i="1"/>
  <c r="O85" i="1"/>
  <c r="O86" i="1"/>
  <c r="O87" i="1"/>
  <c r="O88" i="1"/>
  <c r="Y85" i="1"/>
  <c r="Y86" i="1"/>
  <c r="Y87" i="1"/>
  <c r="Y88" i="1"/>
  <c r="Z85" i="1"/>
  <c r="Z86" i="1"/>
  <c r="Z87" i="1"/>
  <c r="Z88" i="1"/>
  <c r="AA85" i="1"/>
  <c r="AA86" i="1"/>
  <c r="AA87" i="1"/>
  <c r="AA88" i="1"/>
  <c r="AB85" i="1"/>
  <c r="AB86" i="1"/>
  <c r="AB87" i="1"/>
  <c r="AB88" i="1"/>
  <c r="AC85" i="1"/>
  <c r="T85" i="1" s="1"/>
  <c r="AC86" i="1"/>
  <c r="T86" i="1" s="1"/>
  <c r="AC87" i="1"/>
  <c r="T87" i="1" s="1"/>
  <c r="AC88" i="1"/>
  <c r="T88" i="1" s="1"/>
  <c r="AF85" i="1"/>
  <c r="AF86" i="1"/>
  <c r="AF87" i="1"/>
  <c r="AF88" i="1"/>
  <c r="O97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9" i="1"/>
  <c r="C90" i="1"/>
  <c r="C91" i="1"/>
  <c r="C92" i="1"/>
  <c r="C93" i="1"/>
  <c r="C94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3" i="1"/>
  <c r="B35" i="1"/>
  <c r="B37" i="1"/>
  <c r="B39" i="1"/>
  <c r="B41" i="1"/>
  <c r="B43" i="1"/>
  <c r="B45" i="1"/>
  <c r="B46" i="1"/>
  <c r="B47" i="1"/>
  <c r="B52" i="1"/>
  <c r="B53" i="1"/>
  <c r="B55" i="1"/>
  <c r="B56" i="1"/>
  <c r="B60" i="1"/>
  <c r="B62" i="1"/>
  <c r="B63" i="1"/>
  <c r="B65" i="1"/>
  <c r="B67" i="1"/>
  <c r="B68" i="1"/>
  <c r="B70" i="1"/>
  <c r="B72" i="1"/>
  <c r="B73" i="1"/>
  <c r="B75" i="1"/>
  <c r="B76" i="1"/>
  <c r="B77" i="1"/>
  <c r="B79" i="1"/>
  <c r="B81" i="1"/>
  <c r="B82" i="1"/>
  <c r="B83" i="1"/>
  <c r="B96" i="1"/>
  <c r="B98" i="1"/>
  <c r="B99" i="1"/>
  <c r="B101" i="1"/>
  <c r="B102" i="1"/>
  <c r="B104" i="1"/>
  <c r="B107" i="1"/>
  <c r="B108" i="1"/>
  <c r="B110" i="1"/>
  <c r="B111" i="1"/>
  <c r="B113" i="1"/>
  <c r="B114" i="1"/>
  <c r="B116" i="1"/>
  <c r="B117" i="1"/>
  <c r="B119" i="1"/>
  <c r="B120" i="1"/>
  <c r="B121" i="1"/>
  <c r="B122" i="1"/>
  <c r="B123" i="1"/>
  <c r="B124" i="1"/>
  <c r="B126" i="1"/>
  <c r="B128" i="1"/>
  <c r="B129" i="1"/>
  <c r="B130" i="1"/>
  <c r="B131" i="1"/>
  <c r="B133" i="1"/>
  <c r="B135" i="1"/>
  <c r="B137" i="1"/>
  <c r="B138" i="1"/>
  <c r="B140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2" i="1"/>
  <c r="B173" i="1"/>
  <c r="B174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3" i="1"/>
  <c r="B13" i="1"/>
  <c r="B25" i="1"/>
  <c r="B49" i="1"/>
  <c r="B51" i="1"/>
  <c r="B54" i="1"/>
  <c r="B57" i="1"/>
  <c r="B59" i="1"/>
  <c r="B66" i="1"/>
  <c r="B74" i="1"/>
  <c r="B78" i="1"/>
  <c r="B80" i="1"/>
  <c r="B89" i="1"/>
  <c r="B91" i="1"/>
  <c r="B93" i="1"/>
  <c r="B100" i="1"/>
  <c r="B103" i="1"/>
  <c r="B105" i="1"/>
  <c r="B112" i="1"/>
  <c r="B115" i="1"/>
  <c r="B118" i="1"/>
  <c r="B132" i="1"/>
  <c r="B134" i="1"/>
  <c r="B136" i="1"/>
  <c r="B139" i="1" s="1"/>
  <c r="B4" i="1"/>
  <c r="H138" i="1" l="1"/>
  <c r="A138" i="1" s="1"/>
  <c r="AD138" i="1" s="1"/>
  <c r="I138" i="1"/>
  <c r="J138" i="1"/>
  <c r="O138" i="1"/>
  <c r="W138" i="1"/>
  <c r="X138" i="1" s="1"/>
  <c r="Y138" i="1"/>
  <c r="Z138" i="1" s="1"/>
  <c r="AB138" i="1"/>
  <c r="AC138" i="1"/>
  <c r="T138" i="1" s="1"/>
  <c r="AF138" i="1"/>
  <c r="B141" i="1"/>
  <c r="B158" i="1"/>
  <c r="B171" i="1" s="1"/>
  <c r="B6" i="1"/>
  <c r="AA138" i="1" l="1"/>
  <c r="I94" i="1"/>
  <c r="J94" i="1"/>
  <c r="O94" i="1"/>
  <c r="Y94" i="1"/>
  <c r="Z94" i="1" s="1"/>
  <c r="AF94" i="1"/>
  <c r="H107" i="1"/>
  <c r="A107" i="1" s="1"/>
  <c r="AD107" i="1" s="1"/>
  <c r="I106" i="1"/>
  <c r="I107" i="1"/>
  <c r="J106" i="1"/>
  <c r="J107" i="1"/>
  <c r="O106" i="1"/>
  <c r="O107" i="1"/>
  <c r="Y106" i="1"/>
  <c r="Y107" i="1"/>
  <c r="Z106" i="1"/>
  <c r="Z107" i="1"/>
  <c r="AA106" i="1"/>
  <c r="AA107" i="1"/>
  <c r="AB106" i="1"/>
  <c r="AB107" i="1"/>
  <c r="AC106" i="1"/>
  <c r="T106" i="1" s="1"/>
  <c r="AC107" i="1"/>
  <c r="T107" i="1" s="1"/>
  <c r="AF106" i="1"/>
  <c r="AF107" i="1"/>
  <c r="B175" i="1"/>
  <c r="B9" i="1"/>
  <c r="AA94" i="1" l="1"/>
  <c r="AB94" i="1" s="1"/>
  <c r="AC94" i="1" s="1"/>
  <c r="T94" i="1" s="1"/>
  <c r="B12" i="1"/>
  <c r="H3" i="4" l="1"/>
  <c r="B15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7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19" i="1"/>
  <c r="B26" i="1"/>
  <c r="H229" i="1" l="1"/>
  <c r="A229" i="1" s="1"/>
  <c r="AD229" i="1" s="1"/>
  <c r="I229" i="1"/>
  <c r="J229" i="1"/>
  <c r="Y229" i="1"/>
  <c r="Z229" i="1" s="1"/>
  <c r="AF229" i="1"/>
  <c r="B28" i="1"/>
  <c r="B30" i="1"/>
  <c r="AA229" i="1" l="1"/>
  <c r="AB229" i="1" s="1"/>
  <c r="AC229" i="1" s="1"/>
  <c r="T229" i="1" s="1"/>
  <c r="B32" i="1"/>
  <c r="H183" i="1" l="1"/>
  <c r="A183" i="1" s="1"/>
  <c r="AD183" i="1" s="1"/>
  <c r="I183" i="1"/>
  <c r="J183" i="1"/>
  <c r="O183" i="1"/>
  <c r="W183" i="1"/>
  <c r="X183" i="1" s="1"/>
  <c r="Y183" i="1"/>
  <c r="Z183" i="1" s="1"/>
  <c r="AB183" i="1"/>
  <c r="AC183" i="1"/>
  <c r="T183" i="1" s="1"/>
  <c r="AF183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34" i="1"/>
  <c r="B36" i="1"/>
  <c r="B38" i="1"/>
  <c r="AA183" i="1" l="1"/>
  <c r="O167" i="1"/>
  <c r="B40" i="1"/>
  <c r="B42" i="1"/>
  <c r="B44" i="1" s="1"/>
  <c r="H160" i="1" l="1"/>
  <c r="A160" i="1" s="1"/>
  <c r="AD160" i="1" s="1"/>
  <c r="I160" i="1"/>
  <c r="J160" i="1"/>
  <c r="O160" i="1"/>
  <c r="Y160" i="1"/>
  <c r="Z160" i="1" s="1"/>
  <c r="AF160" i="1"/>
  <c r="B48" i="1"/>
  <c r="B50" i="1"/>
  <c r="B58" i="1"/>
  <c r="B61" i="1"/>
  <c r="B64" i="1" s="1"/>
  <c r="AA160" i="1" l="1"/>
  <c r="AB160" i="1" s="1"/>
  <c r="AC160" i="1" s="1"/>
  <c r="T160" i="1" s="1"/>
  <c r="H154" i="1"/>
  <c r="A154" i="1" s="1"/>
  <c r="AD154" i="1" s="1"/>
  <c r="I154" i="1"/>
  <c r="J154" i="1"/>
  <c r="O154" i="1"/>
  <c r="Y154" i="1"/>
  <c r="Z154" i="1" s="1"/>
  <c r="AF154" i="1"/>
  <c r="B69" i="1"/>
  <c r="B71" i="1"/>
  <c r="B84" i="1"/>
  <c r="B90" i="1" s="1"/>
  <c r="AA154" i="1" l="1"/>
  <c r="AB154" i="1" s="1"/>
  <c r="AC154" i="1" s="1"/>
  <c r="T154" i="1" s="1"/>
  <c r="H142" i="1"/>
  <c r="A142" i="1" s="1"/>
  <c r="AD142" i="1" s="1"/>
  <c r="I142" i="1"/>
  <c r="J142" i="1"/>
  <c r="O142" i="1"/>
  <c r="Y142" i="1"/>
  <c r="Z142" i="1" s="1"/>
  <c r="AF142" i="1"/>
  <c r="I136" i="1"/>
  <c r="J136" i="1"/>
  <c r="O136" i="1"/>
  <c r="Y136" i="1"/>
  <c r="Z136" i="1" s="1"/>
  <c r="AF136" i="1"/>
  <c r="H120" i="1"/>
  <c r="A120" i="1" s="1"/>
  <c r="AD120" i="1" s="1"/>
  <c r="H121" i="1"/>
  <c r="A121" i="1" s="1"/>
  <c r="AD121" i="1" s="1"/>
  <c r="H122" i="1"/>
  <c r="A122" i="1" s="1"/>
  <c r="AD122" i="1" s="1"/>
  <c r="H123" i="1"/>
  <c r="A123" i="1" s="1"/>
  <c r="AD123" i="1" s="1"/>
  <c r="H124" i="1"/>
  <c r="A124" i="1" s="1"/>
  <c r="AD124" i="1" s="1"/>
  <c r="H126" i="1"/>
  <c r="A126" i="1" s="1"/>
  <c r="AD126" i="1" s="1"/>
  <c r="H128" i="1"/>
  <c r="A128" i="1" s="1"/>
  <c r="AD128" i="1" s="1"/>
  <c r="H119" i="1"/>
  <c r="A119" i="1" s="1"/>
  <c r="AD119" i="1" s="1"/>
  <c r="I118" i="1"/>
  <c r="I119" i="1"/>
  <c r="I120" i="1"/>
  <c r="I121" i="1"/>
  <c r="I122" i="1"/>
  <c r="I123" i="1"/>
  <c r="I124" i="1"/>
  <c r="I125" i="1"/>
  <c r="I126" i="1"/>
  <c r="I127" i="1"/>
  <c r="I128" i="1"/>
  <c r="J118" i="1"/>
  <c r="J119" i="1"/>
  <c r="J120" i="1"/>
  <c r="J121" i="1"/>
  <c r="J122" i="1"/>
  <c r="J123" i="1"/>
  <c r="J124" i="1"/>
  <c r="J125" i="1"/>
  <c r="J126" i="1"/>
  <c r="J127" i="1"/>
  <c r="J128" i="1"/>
  <c r="O118" i="1"/>
  <c r="O119" i="1"/>
  <c r="O120" i="1"/>
  <c r="O121" i="1"/>
  <c r="O122" i="1"/>
  <c r="O123" i="1"/>
  <c r="O124" i="1"/>
  <c r="O125" i="1"/>
  <c r="O126" i="1"/>
  <c r="O127" i="1"/>
  <c r="O128" i="1"/>
  <c r="Y118" i="1"/>
  <c r="Z118" i="1" s="1"/>
  <c r="Y119" i="1"/>
  <c r="AA119" i="1" s="1"/>
  <c r="Y120" i="1"/>
  <c r="Z120" i="1" s="1"/>
  <c r="Y121" i="1"/>
  <c r="Z121" i="1" s="1"/>
  <c r="Y122" i="1"/>
  <c r="Z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Z119" i="1"/>
  <c r="AF118" i="1"/>
  <c r="AF119" i="1"/>
  <c r="AF120" i="1"/>
  <c r="AF121" i="1"/>
  <c r="AF122" i="1"/>
  <c r="AF123" i="1"/>
  <c r="AF124" i="1"/>
  <c r="AF125" i="1"/>
  <c r="AF126" i="1"/>
  <c r="AF127" i="1"/>
  <c r="AF128" i="1"/>
  <c r="B92" i="1"/>
  <c r="B94" i="1"/>
  <c r="H94" i="1" l="1"/>
  <c r="A94" i="1" s="1"/>
  <c r="AA123" i="1"/>
  <c r="AB123" i="1" s="1"/>
  <c r="AC123" i="1" s="1"/>
  <c r="T123" i="1" s="1"/>
  <c r="AA142" i="1"/>
  <c r="AB142" i="1" s="1"/>
  <c r="AC142" i="1" s="1"/>
  <c r="T142" i="1" s="1"/>
  <c r="AA128" i="1"/>
  <c r="AB128" i="1" s="1"/>
  <c r="AC128" i="1" s="1"/>
  <c r="T128" i="1" s="1"/>
  <c r="AA136" i="1"/>
  <c r="AB136" i="1" s="1"/>
  <c r="AC136" i="1" s="1"/>
  <c r="T136" i="1" s="1"/>
  <c r="AA127" i="1"/>
  <c r="AB127" i="1" s="1"/>
  <c r="AC127" i="1" s="1"/>
  <c r="T127" i="1" s="1"/>
  <c r="AA125" i="1"/>
  <c r="AB125" i="1" s="1"/>
  <c r="AC125" i="1" s="1"/>
  <c r="T125" i="1" s="1"/>
  <c r="AA121" i="1"/>
  <c r="AB121" i="1" s="1"/>
  <c r="AC121" i="1" s="1"/>
  <c r="T121" i="1" s="1"/>
  <c r="AA126" i="1"/>
  <c r="AB126" i="1" s="1"/>
  <c r="AC126" i="1" s="1"/>
  <c r="T126" i="1" s="1"/>
  <c r="AA124" i="1"/>
  <c r="AB124" i="1" s="1"/>
  <c r="AC124" i="1" s="1"/>
  <c r="T124" i="1" s="1"/>
  <c r="AA122" i="1"/>
  <c r="AB122" i="1" s="1"/>
  <c r="AC122" i="1" s="1"/>
  <c r="T122" i="1" s="1"/>
  <c r="AA120" i="1"/>
  <c r="AB120" i="1" s="1"/>
  <c r="AC120" i="1" s="1"/>
  <c r="T120" i="1" s="1"/>
  <c r="AA118" i="1"/>
  <c r="AB118" i="1" s="1"/>
  <c r="AC118" i="1" s="1"/>
  <c r="T118" i="1" s="1"/>
  <c r="AB119" i="1"/>
  <c r="AC119" i="1" s="1"/>
  <c r="T119" i="1" s="1"/>
  <c r="B97" i="1"/>
  <c r="H140" i="1" l="1"/>
  <c r="A140" i="1" s="1"/>
  <c r="AD140" i="1" s="1"/>
  <c r="I139" i="1"/>
  <c r="I140" i="1"/>
  <c r="J139" i="1"/>
  <c r="J140" i="1"/>
  <c r="O139" i="1"/>
  <c r="O140" i="1"/>
  <c r="Y139" i="1"/>
  <c r="Y140" i="1"/>
  <c r="Z139" i="1"/>
  <c r="Z140" i="1"/>
  <c r="AA139" i="1"/>
  <c r="AB139" i="1" s="1"/>
  <c r="AC139" i="1" s="1"/>
  <c r="T139" i="1" s="1"/>
  <c r="AA140" i="1"/>
  <c r="AB140" i="1"/>
  <c r="AC140" i="1"/>
  <c r="T140" i="1" s="1"/>
  <c r="AF139" i="1"/>
  <c r="AF140" i="1"/>
  <c r="H133" i="1"/>
  <c r="A133" i="1" s="1"/>
  <c r="AD133" i="1" s="1"/>
  <c r="H135" i="1"/>
  <c r="A135" i="1" s="1"/>
  <c r="AD135" i="1" s="1"/>
  <c r="I133" i="1"/>
  <c r="I134" i="1"/>
  <c r="I135" i="1"/>
  <c r="J133" i="1"/>
  <c r="J134" i="1"/>
  <c r="J135" i="1"/>
  <c r="O133" i="1"/>
  <c r="O134" i="1"/>
  <c r="O135" i="1"/>
  <c r="Y133" i="1"/>
  <c r="Z133" i="1" s="1"/>
  <c r="Y134" i="1"/>
  <c r="Y135" i="1"/>
  <c r="Z135" i="1" s="1"/>
  <c r="Z134" i="1"/>
  <c r="AA133" i="1"/>
  <c r="AA134" i="1"/>
  <c r="AA135" i="1"/>
  <c r="AB134" i="1"/>
  <c r="AC134" i="1" s="1"/>
  <c r="T134" i="1" s="1"/>
  <c r="AF133" i="1"/>
  <c r="AF134" i="1"/>
  <c r="AF135" i="1"/>
  <c r="H130" i="1"/>
  <c r="A130" i="1" s="1"/>
  <c r="AD130" i="1" s="1"/>
  <c r="H131" i="1"/>
  <c r="A131" i="1" s="1"/>
  <c r="AD131" i="1" s="1"/>
  <c r="I130" i="1"/>
  <c r="I131" i="1"/>
  <c r="J130" i="1"/>
  <c r="J131" i="1"/>
  <c r="O130" i="1"/>
  <c r="O131" i="1"/>
  <c r="W131" i="1"/>
  <c r="X131" i="1" s="1"/>
  <c r="Y130" i="1"/>
  <c r="Z130" i="1" s="1"/>
  <c r="Y131" i="1"/>
  <c r="Z131" i="1" s="1"/>
  <c r="AB131" i="1"/>
  <c r="AC131" i="1"/>
  <c r="T131" i="1" s="1"/>
  <c r="AF130" i="1"/>
  <c r="AF131" i="1"/>
  <c r="H116" i="1"/>
  <c r="A116" i="1" s="1"/>
  <c r="AD116" i="1" s="1"/>
  <c r="H117" i="1"/>
  <c r="A117" i="1" s="1"/>
  <c r="AD117" i="1" s="1"/>
  <c r="I115" i="1"/>
  <c r="I116" i="1"/>
  <c r="I117" i="1"/>
  <c r="J115" i="1"/>
  <c r="J116" i="1"/>
  <c r="J117" i="1"/>
  <c r="O115" i="1"/>
  <c r="O116" i="1"/>
  <c r="O117" i="1"/>
  <c r="Y115" i="1"/>
  <c r="Z115" i="1" s="1"/>
  <c r="Y116" i="1"/>
  <c r="AA116" i="1" s="1"/>
  <c r="Y117" i="1"/>
  <c r="Z117" i="1" s="1"/>
  <c r="Z116" i="1"/>
  <c r="AF115" i="1"/>
  <c r="AF116" i="1"/>
  <c r="AF117" i="1"/>
  <c r="H145" i="1"/>
  <c r="A145" i="1" s="1"/>
  <c r="AD145" i="1" s="1"/>
  <c r="I145" i="1"/>
  <c r="J145" i="1"/>
  <c r="O145" i="1"/>
  <c r="Y145" i="1"/>
  <c r="Z145" i="1" s="1"/>
  <c r="AF145" i="1"/>
  <c r="B106" i="1"/>
  <c r="B109" i="1"/>
  <c r="H106" i="1" l="1"/>
  <c r="A106" i="1" s="1"/>
  <c r="AB116" i="1"/>
  <c r="AC116" i="1" s="1"/>
  <c r="T116" i="1" s="1"/>
  <c r="AA117" i="1"/>
  <c r="AA115" i="1"/>
  <c r="AA131" i="1"/>
  <c r="AA130" i="1"/>
  <c r="AB130" i="1" s="1"/>
  <c r="AC130" i="1" s="1"/>
  <c r="T130" i="1" s="1"/>
  <c r="AB135" i="1"/>
  <c r="AC135" i="1" s="1"/>
  <c r="T135" i="1" s="1"/>
  <c r="AB133" i="1"/>
  <c r="AC133" i="1" s="1"/>
  <c r="T133" i="1" s="1"/>
  <c r="AB117" i="1"/>
  <c r="AC117" i="1" s="1"/>
  <c r="T117" i="1" s="1"/>
  <c r="AB115" i="1"/>
  <c r="AC115" i="1" s="1"/>
  <c r="T115" i="1" s="1"/>
  <c r="AA145" i="1"/>
  <c r="AB145" i="1" s="1"/>
  <c r="AC145" i="1" s="1"/>
  <c r="T145" i="1" s="1"/>
  <c r="B125" i="1"/>
  <c r="I137" i="1" l="1"/>
  <c r="J137" i="1"/>
  <c r="O137" i="1"/>
  <c r="Y137" i="1"/>
  <c r="Z137" i="1" s="1"/>
  <c r="AF137" i="1"/>
  <c r="I114" i="1"/>
  <c r="J114" i="1"/>
  <c r="O114" i="1"/>
  <c r="Y114" i="1"/>
  <c r="Z114" i="1" s="1"/>
  <c r="AF114" i="1"/>
  <c r="I129" i="1"/>
  <c r="J129" i="1"/>
  <c r="O129" i="1"/>
  <c r="Y129" i="1"/>
  <c r="Z129" i="1" s="1"/>
  <c r="AF129" i="1"/>
  <c r="I132" i="1"/>
  <c r="J132" i="1"/>
  <c r="O132" i="1"/>
  <c r="Y132" i="1"/>
  <c r="Z132" i="1" s="1"/>
  <c r="AF132" i="1"/>
  <c r="I141" i="1"/>
  <c r="J141" i="1"/>
  <c r="O141" i="1"/>
  <c r="Y141" i="1"/>
  <c r="Z141" i="1" s="1"/>
  <c r="AF141" i="1"/>
  <c r="B127" i="1"/>
  <c r="AA137" i="1" l="1"/>
  <c r="AB137" i="1" s="1"/>
  <c r="AC137" i="1" s="1"/>
  <c r="T137" i="1" s="1"/>
  <c r="AA141" i="1"/>
  <c r="AB141" i="1" s="1"/>
  <c r="AC141" i="1" s="1"/>
  <c r="T141" i="1" s="1"/>
  <c r="AA132" i="1"/>
  <c r="AB132" i="1" s="1"/>
  <c r="AC132" i="1" s="1"/>
  <c r="T132" i="1" s="1"/>
  <c r="AA129" i="1"/>
  <c r="AB129" i="1" s="1"/>
  <c r="AC129" i="1" s="1"/>
  <c r="T129" i="1" s="1"/>
  <c r="AA114" i="1"/>
  <c r="AB114" i="1" s="1"/>
  <c r="AC114" i="1" s="1"/>
  <c r="T114" i="1" s="1"/>
  <c r="Y110" i="1" l="1"/>
  <c r="Z110" i="1" s="1"/>
  <c r="H110" i="1"/>
  <c r="A110" i="1" s="1"/>
  <c r="AD110" i="1" s="1"/>
  <c r="I110" i="1"/>
  <c r="J110" i="1"/>
  <c r="O110" i="1"/>
  <c r="AF110" i="1" l="1"/>
  <c r="AA110" i="1"/>
  <c r="AB110" i="1" s="1"/>
  <c r="AC110" i="1" s="1"/>
  <c r="T110" i="1" s="1"/>
  <c r="O91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23" i="1"/>
  <c r="A223" i="1" s="1"/>
  <c r="AD223" i="1" s="1"/>
  <c r="I223" i="1"/>
  <c r="J223" i="1"/>
  <c r="O223" i="1"/>
  <c r="Y223" i="1"/>
  <c r="Z223" i="1" s="1"/>
  <c r="AF223" i="1"/>
  <c r="AA223" i="1" l="1"/>
  <c r="AB223" i="1" s="1"/>
  <c r="AC223" i="1" s="1"/>
  <c r="T223" i="1" s="1"/>
  <c r="H178" i="1" l="1"/>
  <c r="A178" i="1" s="1"/>
  <c r="AD178" i="1" s="1"/>
  <c r="I177" i="1"/>
  <c r="I178" i="1"/>
  <c r="J177" i="1"/>
  <c r="J178" i="1"/>
  <c r="O177" i="1"/>
  <c r="O178" i="1"/>
  <c r="W178" i="1"/>
  <c r="X178" i="1" s="1"/>
  <c r="Y177" i="1"/>
  <c r="Y178" i="1"/>
  <c r="Z178" i="1" s="1"/>
  <c r="AB178" i="1"/>
  <c r="AC178" i="1"/>
  <c r="T178" i="1" s="1"/>
  <c r="AF177" i="1"/>
  <c r="AF178" i="1"/>
  <c r="H105" i="1" l="1"/>
  <c r="AA178" i="1"/>
  <c r="Z177" i="1"/>
  <c r="AA177" i="1"/>
  <c r="AB177" i="1" s="1"/>
  <c r="AC177" i="1" s="1"/>
  <c r="T177" i="1" s="1"/>
  <c r="H168" i="1" l="1"/>
  <c r="A168" i="1" s="1"/>
  <c r="AD168" i="1" s="1"/>
  <c r="I168" i="1"/>
  <c r="J168" i="1"/>
  <c r="O168" i="1"/>
  <c r="Y168" i="1"/>
  <c r="Z168" i="1" s="1"/>
  <c r="AF168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9" i="1"/>
  <c r="O90" i="1"/>
  <c r="O92" i="1"/>
  <c r="O93" i="1"/>
  <c r="O96" i="1"/>
  <c r="O98" i="1"/>
  <c r="O99" i="1"/>
  <c r="O100" i="1"/>
  <c r="O101" i="1"/>
  <c r="O102" i="1"/>
  <c r="O103" i="1"/>
  <c r="O104" i="1"/>
  <c r="O105" i="1"/>
  <c r="O108" i="1"/>
  <c r="O109" i="1"/>
  <c r="O111" i="1"/>
  <c r="O112" i="1"/>
  <c r="O113" i="1"/>
  <c r="O143" i="1"/>
  <c r="O144" i="1"/>
  <c r="O146" i="1"/>
  <c r="O147" i="1"/>
  <c r="O148" i="1"/>
  <c r="O149" i="1"/>
  <c r="O150" i="1"/>
  <c r="O151" i="1"/>
  <c r="O152" i="1"/>
  <c r="O153" i="1"/>
  <c r="O155" i="1"/>
  <c r="O156" i="1"/>
  <c r="O157" i="1"/>
  <c r="O158" i="1"/>
  <c r="O159" i="1"/>
  <c r="O161" i="1"/>
  <c r="O162" i="1"/>
  <c r="O163" i="1"/>
  <c r="O164" i="1"/>
  <c r="O165" i="1"/>
  <c r="O166" i="1"/>
  <c r="O169" i="1"/>
  <c r="O170" i="1"/>
  <c r="O171" i="1"/>
  <c r="O172" i="1"/>
  <c r="O173" i="1"/>
  <c r="O174" i="1"/>
  <c r="O175" i="1"/>
  <c r="O179" i="1"/>
  <c r="O180" i="1"/>
  <c r="O181" i="1"/>
  <c r="O182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4" i="1"/>
  <c r="O225" i="1"/>
  <c r="O226" i="1"/>
  <c r="O228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H115" i="1" l="1"/>
  <c r="A115" i="1" s="1"/>
  <c r="AA168" i="1"/>
  <c r="AB168" i="1" s="1"/>
  <c r="AC168" i="1" s="1"/>
  <c r="T168" i="1" s="1"/>
  <c r="H118" i="1" l="1"/>
  <c r="A118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5" i="1"/>
  <c r="A125" i="1" s="1"/>
  <c r="H127" i="1"/>
  <c r="A127" i="1" s="1"/>
  <c r="AA11" i="1"/>
  <c r="H96" i="1"/>
  <c r="A96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6" i="1"/>
  <c r="J96" i="1"/>
  <c r="Y96" i="1"/>
  <c r="Z96" i="1" s="1"/>
  <c r="AF96" i="1"/>
  <c r="AA12" i="1" l="1"/>
  <c r="AB12" i="1" s="1"/>
  <c r="AC12" i="1" s="1"/>
  <c r="T12" i="1" s="1"/>
  <c r="AB13" i="1"/>
  <c r="AC13" i="1" s="1"/>
  <c r="T13" i="1" s="1"/>
  <c r="AA96" i="1"/>
  <c r="AB96" i="1" s="1"/>
  <c r="AC96" i="1" s="1"/>
  <c r="T96" i="1" s="1"/>
  <c r="H134" i="1" l="1"/>
  <c r="A134" i="1" s="1"/>
  <c r="H136" i="1"/>
  <c r="A136" i="1" s="1"/>
  <c r="H139" i="1"/>
  <c r="A139" i="1" s="1"/>
  <c r="H129" i="1"/>
  <c r="A129" i="1" s="1"/>
  <c r="H114" i="1"/>
  <c r="A114" i="1" s="1"/>
  <c r="H132" i="1"/>
  <c r="A132" i="1" s="1"/>
  <c r="AF65" i="1"/>
  <c r="AF64" i="1"/>
  <c r="AF63" i="1"/>
  <c r="AF62" i="1"/>
  <c r="AF61" i="1"/>
  <c r="AF60" i="1"/>
  <c r="AF59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H63" i="1"/>
  <c r="A63" i="1" s="1"/>
  <c r="H61" i="1"/>
  <c r="A61" i="1" s="1"/>
  <c r="H59" i="1"/>
  <c r="A59" i="1" s="1"/>
  <c r="A68" i="1"/>
  <c r="AD68" i="1" s="1"/>
  <c r="J68" i="1"/>
  <c r="Y68" i="1"/>
  <c r="Z68" i="1" s="1"/>
  <c r="AF68" i="1"/>
  <c r="W133" i="1"/>
  <c r="W132" i="1"/>
  <c r="H141" i="1" l="1"/>
  <c r="A141" i="1" s="1"/>
  <c r="H177" i="1"/>
  <c r="A177" i="1" s="1"/>
  <c r="H137" i="1"/>
  <c r="A137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B65" i="1" s="1"/>
  <c r="AC65" i="1" s="1"/>
  <c r="T65" i="1" s="1"/>
  <c r="AA68" i="1"/>
  <c r="AB68" i="1" s="1"/>
  <c r="AC68" i="1" s="1"/>
  <c r="T68" i="1" s="1"/>
  <c r="W134" i="1"/>
  <c r="W139" i="1"/>
  <c r="H14" i="1" l="1"/>
  <c r="A14" i="1" s="1"/>
  <c r="I14" i="1"/>
  <c r="J14" i="1"/>
  <c r="Y14" i="1"/>
  <c r="Z14" i="1" s="1"/>
  <c r="AF14" i="1"/>
  <c r="W140" i="1"/>
  <c r="W135" i="1"/>
  <c r="W136" i="1"/>
  <c r="W137" i="1" s="1"/>
  <c r="AD14" i="1" l="1"/>
  <c r="AA14" i="1"/>
  <c r="AB14" i="1" s="1"/>
  <c r="AC14" i="1" s="1"/>
  <c r="T14" i="1" s="1"/>
  <c r="I46" i="1"/>
  <c r="W141" i="1"/>
  <c r="W142" i="1"/>
  <c r="H6" i="1" l="1"/>
  <c r="A6" i="1" s="1"/>
  <c r="I6" i="1"/>
  <c r="J6" i="1"/>
  <c r="Y6" i="1"/>
  <c r="Z6" i="1" s="1"/>
  <c r="AF6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AA41" i="1" l="1"/>
  <c r="AB41" i="1"/>
  <c r="AC41" i="1" s="1"/>
  <c r="T41" i="1" s="1"/>
  <c r="AA42" i="1"/>
  <c r="AB42" i="1" s="1"/>
  <c r="AC42" i="1" s="1"/>
  <c r="T42" i="1" s="1"/>
  <c r="J8" i="1"/>
  <c r="J17" i="1"/>
  <c r="J19" i="1"/>
  <c r="J21" i="1"/>
  <c r="J22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9" i="1"/>
  <c r="J91" i="1"/>
  <c r="J92" i="1"/>
  <c r="J93" i="1"/>
  <c r="J97" i="1"/>
  <c r="J98" i="1"/>
  <c r="J99" i="1"/>
  <c r="J100" i="1"/>
  <c r="J101" i="1"/>
  <c r="J102" i="1"/>
  <c r="J103" i="1"/>
  <c r="J104" i="1"/>
  <c r="J108" i="1"/>
  <c r="J112" i="1"/>
  <c r="J113" i="1"/>
  <c r="J143" i="1"/>
  <c r="J144" i="1"/>
  <c r="J146" i="1"/>
  <c r="J148" i="1"/>
  <c r="J150" i="1"/>
  <c r="J151" i="1"/>
  <c r="J152" i="1"/>
  <c r="J155" i="1"/>
  <c r="J156" i="1"/>
  <c r="J158" i="1"/>
  <c r="J159" i="1"/>
  <c r="J161" i="1"/>
  <c r="J163" i="1"/>
  <c r="J164" i="1"/>
  <c r="J165" i="1"/>
  <c r="J166" i="1"/>
  <c r="J167" i="1"/>
  <c r="J169" i="1"/>
  <c r="J170" i="1"/>
  <c r="J171" i="1"/>
  <c r="J172" i="1"/>
  <c r="J174" i="1"/>
  <c r="J176" i="1"/>
  <c r="J180" i="1"/>
  <c r="J181" i="1"/>
  <c r="J184" i="1"/>
  <c r="J185" i="1"/>
  <c r="J186" i="1"/>
  <c r="J187" i="1"/>
  <c r="J188" i="1"/>
  <c r="J190" i="1"/>
  <c r="J191" i="1"/>
  <c r="J193" i="1"/>
  <c r="J195" i="1"/>
  <c r="J197" i="1"/>
  <c r="J198" i="1"/>
  <c r="J199" i="1"/>
  <c r="J200" i="1"/>
  <c r="J202" i="1"/>
  <c r="J204" i="1"/>
  <c r="J205" i="1"/>
  <c r="J207" i="1"/>
  <c r="J208" i="1"/>
  <c r="J210" i="1"/>
  <c r="J212" i="1"/>
  <c r="J213" i="1"/>
  <c r="J214" i="1"/>
  <c r="J215" i="1"/>
  <c r="J216" i="1"/>
  <c r="J217" i="1"/>
  <c r="J218" i="1"/>
  <c r="J219" i="1"/>
  <c r="J220" i="1"/>
  <c r="J221" i="1"/>
  <c r="J222" i="1"/>
  <c r="J224" i="1"/>
  <c r="J225" i="1"/>
  <c r="J226" i="1"/>
  <c r="J227" i="1"/>
  <c r="J228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A1" i="1" l="1"/>
  <c r="AB268" i="1"/>
  <c r="AB267" i="1"/>
  <c r="AB266" i="1"/>
  <c r="AB265" i="1"/>
  <c r="AB264" i="1"/>
  <c r="AB263" i="1"/>
  <c r="AB262" i="1"/>
  <c r="AB261" i="1"/>
  <c r="AB260" i="1"/>
  <c r="AB257" i="1"/>
  <c r="AB242" i="1"/>
  <c r="AB240" i="1"/>
  <c r="AB238" i="1"/>
  <c r="AB233" i="1"/>
  <c r="J73" i="1" l="1"/>
  <c r="J54" i="1"/>
  <c r="J38" i="1"/>
  <c r="J5" i="1"/>
  <c r="J20" i="1"/>
  <c r="J42" i="1"/>
  <c r="J24" i="1"/>
  <c r="J69" i="2"/>
  <c r="J107" i="2" s="1"/>
  <c r="D41" i="2"/>
  <c r="D79" i="2" s="1"/>
  <c r="C1" i="2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Y259" i="1"/>
  <c r="I259" i="1"/>
  <c r="H259" i="1"/>
  <c r="A259" i="1" s="1"/>
  <c r="AD259" i="1" s="1"/>
  <c r="AF258" i="1"/>
  <c r="Y258" i="1"/>
  <c r="W258" i="1"/>
  <c r="I258" i="1"/>
  <c r="H258" i="1"/>
  <c r="A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W243" i="1"/>
  <c r="I243" i="1"/>
  <c r="H243" i="1"/>
  <c r="A243" i="1" s="1"/>
  <c r="AF242" i="1"/>
  <c r="AC242" i="1"/>
  <c r="T242" i="1" s="1"/>
  <c r="Y242" i="1"/>
  <c r="W242" i="1"/>
  <c r="X242" i="1" s="1"/>
  <c r="I242" i="1"/>
  <c r="H242" i="1"/>
  <c r="A242" i="1" s="1"/>
  <c r="AD242" i="1" s="1"/>
  <c r="AF241" i="1"/>
  <c r="Y241" i="1"/>
  <c r="W241" i="1"/>
  <c r="I241" i="1"/>
  <c r="H241" i="1"/>
  <c r="A241" i="1" s="1"/>
  <c r="AF240" i="1"/>
  <c r="AC240" i="1"/>
  <c r="T240" i="1" s="1"/>
  <c r="Y240" i="1"/>
  <c r="W240" i="1"/>
  <c r="X240" i="1" s="1"/>
  <c r="I240" i="1"/>
  <c r="H240" i="1"/>
  <c r="A240" i="1" s="1"/>
  <c r="AD240" i="1" s="1"/>
  <c r="AF239" i="1"/>
  <c r="Y239" i="1"/>
  <c r="W239" i="1"/>
  <c r="I239" i="1"/>
  <c r="H239" i="1"/>
  <c r="A239" i="1" s="1"/>
  <c r="AF238" i="1"/>
  <c r="AC238" i="1"/>
  <c r="T238" i="1" s="1"/>
  <c r="Y238" i="1"/>
  <c r="W238" i="1"/>
  <c r="X238" i="1" s="1"/>
  <c r="I238" i="1"/>
  <c r="H238" i="1"/>
  <c r="A238" i="1" s="1"/>
  <c r="AD238" i="1" s="1"/>
  <c r="AF237" i="1"/>
  <c r="Y237" i="1"/>
  <c r="I237" i="1"/>
  <c r="H237" i="1"/>
  <c r="A237" i="1" s="1"/>
  <c r="AD237" i="1" s="1"/>
  <c r="AF236" i="1"/>
  <c r="Y236" i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8" i="1"/>
  <c r="Y228" i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4" i="1"/>
  <c r="Y224" i="1"/>
  <c r="I224" i="1"/>
  <c r="AF222" i="1"/>
  <c r="Y222" i="1"/>
  <c r="I222" i="1"/>
  <c r="H222" i="1"/>
  <c r="A222" i="1" s="1"/>
  <c r="AD222" i="1" s="1"/>
  <c r="AF221" i="1"/>
  <c r="Y221" i="1"/>
  <c r="I221" i="1"/>
  <c r="AF220" i="1"/>
  <c r="Y220" i="1"/>
  <c r="I220" i="1"/>
  <c r="H220" i="1"/>
  <c r="A220" i="1" s="1"/>
  <c r="AD220" i="1" s="1"/>
  <c r="AF219" i="1"/>
  <c r="Y219" i="1"/>
  <c r="I219" i="1"/>
  <c r="H219" i="1"/>
  <c r="A219" i="1" s="1"/>
  <c r="AF218" i="1"/>
  <c r="Y218" i="1"/>
  <c r="I218" i="1"/>
  <c r="AF217" i="1"/>
  <c r="Y217" i="1"/>
  <c r="I217" i="1"/>
  <c r="H217" i="1"/>
  <c r="A217" i="1" s="1"/>
  <c r="AF216" i="1"/>
  <c r="Y216" i="1"/>
  <c r="I216" i="1"/>
  <c r="AF215" i="1"/>
  <c r="Y215" i="1"/>
  <c r="I215" i="1"/>
  <c r="H215" i="1"/>
  <c r="A215" i="1" s="1"/>
  <c r="AF214" i="1"/>
  <c r="Y214" i="1"/>
  <c r="I214" i="1"/>
  <c r="AF213" i="1"/>
  <c r="Y213" i="1"/>
  <c r="I213" i="1"/>
  <c r="H213" i="1"/>
  <c r="A213" i="1" s="1"/>
  <c r="AD213" i="1" s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AF206" i="1"/>
  <c r="Y206" i="1"/>
  <c r="I206" i="1"/>
  <c r="AF205" i="1"/>
  <c r="Y205" i="1"/>
  <c r="I205" i="1"/>
  <c r="H205" i="1"/>
  <c r="A205" i="1" s="1"/>
  <c r="AD205" i="1" s="1"/>
  <c r="AF204" i="1"/>
  <c r="Y204" i="1"/>
  <c r="I204" i="1"/>
  <c r="H204" i="1"/>
  <c r="A204" i="1" s="1"/>
  <c r="AD204" i="1" s="1"/>
  <c r="AF203" i="1"/>
  <c r="Y203" i="1"/>
  <c r="I203" i="1"/>
  <c r="AF202" i="1"/>
  <c r="Y202" i="1"/>
  <c r="I202" i="1"/>
  <c r="AF201" i="1"/>
  <c r="Y201" i="1"/>
  <c r="I201" i="1"/>
  <c r="AF200" i="1"/>
  <c r="Y200" i="1"/>
  <c r="I200" i="1"/>
  <c r="AF199" i="1"/>
  <c r="Y199" i="1"/>
  <c r="I199" i="1"/>
  <c r="H199" i="1"/>
  <c r="A199" i="1" s="1"/>
  <c r="AF198" i="1"/>
  <c r="Y198" i="1"/>
  <c r="I198" i="1"/>
  <c r="AF197" i="1"/>
  <c r="Y197" i="1"/>
  <c r="I197" i="1"/>
  <c r="H197" i="1"/>
  <c r="A197" i="1" s="1"/>
  <c r="AD197" i="1" s="1"/>
  <c r="AF196" i="1"/>
  <c r="Y196" i="1"/>
  <c r="I196" i="1"/>
  <c r="AF195" i="1"/>
  <c r="Y195" i="1"/>
  <c r="I195" i="1"/>
  <c r="H195" i="1"/>
  <c r="A195" i="1" s="1"/>
  <c r="AD195" i="1" s="1"/>
  <c r="AF194" i="1"/>
  <c r="Y194" i="1"/>
  <c r="I194" i="1"/>
  <c r="AF193" i="1"/>
  <c r="Y193" i="1"/>
  <c r="I193" i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H188" i="1"/>
  <c r="A188" i="1" s="1"/>
  <c r="AD188" i="1" s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AF184" i="1"/>
  <c r="Y184" i="1"/>
  <c r="I184" i="1"/>
  <c r="H184" i="1"/>
  <c r="A184" i="1" s="1"/>
  <c r="AF182" i="1"/>
  <c r="Y182" i="1"/>
  <c r="I182" i="1"/>
  <c r="AF181" i="1"/>
  <c r="Y181" i="1"/>
  <c r="I181" i="1"/>
  <c r="H181" i="1"/>
  <c r="A181" i="1" s="1"/>
  <c r="W181" i="1" s="1"/>
  <c r="AF180" i="1"/>
  <c r="Y180" i="1"/>
  <c r="I180" i="1"/>
  <c r="H180" i="1"/>
  <c r="A180" i="1" s="1"/>
  <c r="AD180" i="1" s="1"/>
  <c r="AF179" i="1"/>
  <c r="Y179" i="1"/>
  <c r="I179" i="1"/>
  <c r="AF176" i="1"/>
  <c r="Y176" i="1"/>
  <c r="I176" i="1"/>
  <c r="H176" i="1"/>
  <c r="A176" i="1" s="1"/>
  <c r="AD176" i="1" s="1"/>
  <c r="AF175" i="1"/>
  <c r="Y175" i="1"/>
  <c r="I175" i="1"/>
  <c r="AF174" i="1"/>
  <c r="Y174" i="1"/>
  <c r="I174" i="1"/>
  <c r="H174" i="1"/>
  <c r="A174" i="1" s="1"/>
  <c r="AD174" i="1" s="1"/>
  <c r="AF173" i="1"/>
  <c r="Y173" i="1"/>
  <c r="I173" i="1"/>
  <c r="AF172" i="1"/>
  <c r="Y172" i="1"/>
  <c r="I172" i="1"/>
  <c r="H172" i="1"/>
  <c r="A172" i="1" s="1"/>
  <c r="AD172" i="1" s="1"/>
  <c r="AF171" i="1"/>
  <c r="Y171" i="1"/>
  <c r="I171" i="1"/>
  <c r="H171" i="1"/>
  <c r="A171" i="1" s="1"/>
  <c r="AF170" i="1"/>
  <c r="Y170" i="1"/>
  <c r="I170" i="1"/>
  <c r="H170" i="1"/>
  <c r="A170" i="1" s="1"/>
  <c r="AD170" i="1" s="1"/>
  <c r="AF169" i="1"/>
  <c r="Y169" i="1"/>
  <c r="I169" i="1"/>
  <c r="H169" i="1"/>
  <c r="A169" i="1" s="1"/>
  <c r="AD169" i="1" s="1"/>
  <c r="AF167" i="1"/>
  <c r="Y167" i="1"/>
  <c r="I167" i="1"/>
  <c r="H167" i="1"/>
  <c r="A167" i="1" s="1"/>
  <c r="AF166" i="1"/>
  <c r="Y166" i="1"/>
  <c r="I166" i="1"/>
  <c r="H166" i="1"/>
  <c r="A166" i="1" s="1"/>
  <c r="AD166" i="1" s="1"/>
  <c r="AF165" i="1"/>
  <c r="Y165" i="1"/>
  <c r="I165" i="1"/>
  <c r="AF164" i="1"/>
  <c r="Y164" i="1"/>
  <c r="I164" i="1"/>
  <c r="H164" i="1"/>
  <c r="A164" i="1" s="1"/>
  <c r="AF163" i="1"/>
  <c r="Y163" i="1"/>
  <c r="I163" i="1"/>
  <c r="H163" i="1"/>
  <c r="A163" i="1" s="1"/>
  <c r="AD163" i="1" s="1"/>
  <c r="AF162" i="1"/>
  <c r="Y162" i="1"/>
  <c r="I162" i="1"/>
  <c r="AF161" i="1"/>
  <c r="Y161" i="1"/>
  <c r="I161" i="1"/>
  <c r="H161" i="1"/>
  <c r="A161" i="1" s="1"/>
  <c r="AF159" i="1"/>
  <c r="Y159" i="1"/>
  <c r="I159" i="1"/>
  <c r="AF158" i="1"/>
  <c r="Y158" i="1"/>
  <c r="I158" i="1"/>
  <c r="H158" i="1"/>
  <c r="A158" i="1" s="1"/>
  <c r="AF157" i="1"/>
  <c r="Y157" i="1"/>
  <c r="I157" i="1"/>
  <c r="AF156" i="1"/>
  <c r="Y156" i="1"/>
  <c r="I156" i="1"/>
  <c r="H156" i="1"/>
  <c r="A156" i="1" s="1"/>
  <c r="AD156" i="1" s="1"/>
  <c r="AF155" i="1"/>
  <c r="Y155" i="1"/>
  <c r="I155" i="1"/>
  <c r="H155" i="1"/>
  <c r="A155" i="1" s="1"/>
  <c r="AF153" i="1"/>
  <c r="Y153" i="1"/>
  <c r="I153" i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D150" i="1" s="1"/>
  <c r="AF149" i="1"/>
  <c r="Y149" i="1"/>
  <c r="I149" i="1"/>
  <c r="AF148" i="1"/>
  <c r="Y148" i="1"/>
  <c r="I148" i="1"/>
  <c r="H148" i="1"/>
  <c r="A148" i="1" s="1"/>
  <c r="AF147" i="1"/>
  <c r="Y147" i="1"/>
  <c r="I147" i="1"/>
  <c r="AF146" i="1"/>
  <c r="Y146" i="1"/>
  <c r="I146" i="1"/>
  <c r="H146" i="1"/>
  <c r="A146" i="1" s="1"/>
  <c r="AD146" i="1" s="1"/>
  <c r="AF144" i="1"/>
  <c r="Y144" i="1"/>
  <c r="I144" i="1"/>
  <c r="AF143" i="1"/>
  <c r="Y143" i="1"/>
  <c r="I143" i="1"/>
  <c r="H143" i="1"/>
  <c r="A143" i="1" s="1"/>
  <c r="AF113" i="1"/>
  <c r="Y113" i="1"/>
  <c r="I113" i="1"/>
  <c r="H113" i="1"/>
  <c r="A113" i="1" s="1"/>
  <c r="AD113" i="1" s="1"/>
  <c r="AF112" i="1"/>
  <c r="Y112" i="1"/>
  <c r="I112" i="1"/>
  <c r="H112" i="1"/>
  <c r="A112" i="1" s="1"/>
  <c r="AF111" i="1"/>
  <c r="Y111" i="1"/>
  <c r="I111" i="1"/>
  <c r="AF109" i="1"/>
  <c r="Y109" i="1"/>
  <c r="I109" i="1"/>
  <c r="AF108" i="1"/>
  <c r="Y108" i="1"/>
  <c r="I108" i="1"/>
  <c r="H108" i="1"/>
  <c r="A108" i="1" s="1"/>
  <c r="AD108" i="1" s="1"/>
  <c r="AF105" i="1"/>
  <c r="Y105" i="1"/>
  <c r="I105" i="1"/>
  <c r="AF104" i="1"/>
  <c r="Y104" i="1"/>
  <c r="I104" i="1"/>
  <c r="H104" i="1"/>
  <c r="A104" i="1" s="1"/>
  <c r="AD104" i="1" s="1"/>
  <c r="AF103" i="1"/>
  <c r="Y103" i="1"/>
  <c r="I103" i="1"/>
  <c r="AF102" i="1"/>
  <c r="Y102" i="1"/>
  <c r="I102" i="1"/>
  <c r="H102" i="1"/>
  <c r="A102" i="1" s="1"/>
  <c r="AF101" i="1"/>
  <c r="Y101" i="1"/>
  <c r="I101" i="1"/>
  <c r="AF100" i="1"/>
  <c r="Y100" i="1"/>
  <c r="I100" i="1"/>
  <c r="H100" i="1"/>
  <c r="A100" i="1" s="1"/>
  <c r="AF99" i="1"/>
  <c r="Y99" i="1"/>
  <c r="I99" i="1"/>
  <c r="H99" i="1"/>
  <c r="A99" i="1" s="1"/>
  <c r="AD99" i="1" s="1"/>
  <c r="AF98" i="1"/>
  <c r="Y98" i="1"/>
  <c r="I98" i="1"/>
  <c r="H98" i="1"/>
  <c r="A98" i="1" s="1"/>
  <c r="AD98" i="1" s="1"/>
  <c r="AF97" i="1"/>
  <c r="I97" i="1"/>
  <c r="H97" i="1"/>
  <c r="A97" i="1" s="1"/>
  <c r="AF93" i="1"/>
  <c r="Y93" i="1"/>
  <c r="I93" i="1"/>
  <c r="H93" i="1"/>
  <c r="A93" i="1" s="1"/>
  <c r="AF92" i="1"/>
  <c r="Y92" i="1"/>
  <c r="I92" i="1"/>
  <c r="AF91" i="1"/>
  <c r="Y91" i="1"/>
  <c r="I91" i="1"/>
  <c r="H91" i="1"/>
  <c r="A91" i="1" s="1"/>
  <c r="AF90" i="1"/>
  <c r="Y90" i="1"/>
  <c r="I90" i="1"/>
  <c r="AF89" i="1"/>
  <c r="Y89" i="1"/>
  <c r="I89" i="1"/>
  <c r="H89" i="1"/>
  <c r="A89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13" i="1"/>
  <c r="W244" i="1"/>
  <c r="W235" i="1"/>
  <c r="W245" i="1"/>
  <c r="W246" i="1" s="1"/>
  <c r="W259" i="1"/>
  <c r="J66" i="1" l="1"/>
  <c r="J55" i="1"/>
  <c r="J209" i="1"/>
  <c r="J40" i="1"/>
  <c r="J46" i="1"/>
  <c r="J3" i="1"/>
  <c r="J194" i="1"/>
  <c r="J69" i="1"/>
  <c r="J63" i="1"/>
  <c r="J30" i="1"/>
  <c r="J53" i="1"/>
  <c r="AD8" i="1"/>
  <c r="J52" i="1"/>
  <c r="J9" i="1"/>
  <c r="J173" i="1"/>
  <c r="J60" i="1"/>
  <c r="J201" i="1"/>
  <c r="J80" i="1"/>
  <c r="J105" i="1"/>
  <c r="J162" i="1"/>
  <c r="J179" i="1"/>
  <c r="J206" i="1"/>
  <c r="J182" i="1"/>
  <c r="J157" i="1"/>
  <c r="J62" i="1"/>
  <c r="J111" i="1"/>
  <c r="J147" i="1"/>
  <c r="J149" i="1"/>
  <c r="J211" i="1"/>
  <c r="J90" i="1"/>
  <c r="J175" i="1"/>
  <c r="J153" i="1"/>
  <c r="J189" i="1"/>
  <c r="J203" i="1"/>
  <c r="J79" i="1"/>
  <c r="J109" i="1"/>
  <c r="J192" i="1"/>
  <c r="J196" i="1"/>
  <c r="J44" i="1"/>
  <c r="J7" i="1"/>
  <c r="J28" i="1"/>
  <c r="J18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9" i="1"/>
  <c r="Z89" i="1"/>
  <c r="AA92" i="1"/>
  <c r="Z92" i="1"/>
  <c r="AA98" i="1"/>
  <c r="Z98" i="1"/>
  <c r="Z101" i="1"/>
  <c r="AA101" i="1"/>
  <c r="AA102" i="1"/>
  <c r="Z102" i="1"/>
  <c r="AA104" i="1"/>
  <c r="Z104" i="1"/>
  <c r="AA108" i="1"/>
  <c r="Z108" i="1"/>
  <c r="AA111" i="1"/>
  <c r="Z111" i="1"/>
  <c r="AA113" i="1"/>
  <c r="Z113" i="1"/>
  <c r="Z143" i="1"/>
  <c r="AA143" i="1"/>
  <c r="AA146" i="1"/>
  <c r="Z146" i="1"/>
  <c r="AA149" i="1"/>
  <c r="Z149" i="1"/>
  <c r="Z152" i="1"/>
  <c r="AA152" i="1"/>
  <c r="AA155" i="1"/>
  <c r="Z155" i="1"/>
  <c r="Z157" i="1"/>
  <c r="AA157" i="1"/>
  <c r="AA158" i="1"/>
  <c r="Z158" i="1"/>
  <c r="AA161" i="1"/>
  <c r="Z161" i="1"/>
  <c r="AA163" i="1"/>
  <c r="Z163" i="1"/>
  <c r="AA164" i="1"/>
  <c r="Z164" i="1"/>
  <c r="Z166" i="1"/>
  <c r="AA166" i="1"/>
  <c r="AA169" i="1"/>
  <c r="Z169" i="1"/>
  <c r="AA171" i="1"/>
  <c r="Z171" i="1"/>
  <c r="AA173" i="1"/>
  <c r="Z173" i="1"/>
  <c r="AA175" i="1"/>
  <c r="Z175" i="1"/>
  <c r="AA179" i="1"/>
  <c r="Z179" i="1"/>
  <c r="Z182" i="1"/>
  <c r="AA182" i="1"/>
  <c r="AA184" i="1"/>
  <c r="Z184" i="1"/>
  <c r="Z187" i="1"/>
  <c r="AA187" i="1"/>
  <c r="AA189" i="1"/>
  <c r="Z189" i="1"/>
  <c r="Z191" i="1"/>
  <c r="AA191" i="1"/>
  <c r="AA192" i="1"/>
  <c r="Z192" i="1"/>
  <c r="AA194" i="1"/>
  <c r="Z194" i="1"/>
  <c r="AA196" i="1"/>
  <c r="Z196" i="1"/>
  <c r="AA197" i="1"/>
  <c r="Z197" i="1"/>
  <c r="AA200" i="1"/>
  <c r="Z200" i="1"/>
  <c r="AA201" i="1"/>
  <c r="Z201" i="1"/>
  <c r="Z203" i="1"/>
  <c r="AA203" i="1"/>
  <c r="Z205" i="1"/>
  <c r="AA206" i="1"/>
  <c r="Z206" i="1"/>
  <c r="Z9" i="1"/>
  <c r="AA9" i="1" s="1"/>
  <c r="Z22" i="1"/>
  <c r="AA26" i="1"/>
  <c r="Z26" i="1"/>
  <c r="Z33" i="1"/>
  <c r="AA33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90" i="1"/>
  <c r="AA90" i="1"/>
  <c r="AA91" i="1"/>
  <c r="Z91" i="1"/>
  <c r="AA93" i="1"/>
  <c r="Z93" i="1"/>
  <c r="AA99" i="1"/>
  <c r="Z99" i="1"/>
  <c r="AA100" i="1"/>
  <c r="Z100" i="1"/>
  <c r="AA103" i="1"/>
  <c r="Z103" i="1"/>
  <c r="Z105" i="1"/>
  <c r="AA105" i="1"/>
  <c r="AA109" i="1"/>
  <c r="Z109" i="1"/>
  <c r="AA112" i="1"/>
  <c r="Z112" i="1"/>
  <c r="AA144" i="1"/>
  <c r="Z144" i="1"/>
  <c r="AA147" i="1"/>
  <c r="Z147" i="1"/>
  <c r="Z148" i="1"/>
  <c r="AA148" i="1"/>
  <c r="AA150" i="1"/>
  <c r="Z150" i="1"/>
  <c r="AA151" i="1"/>
  <c r="Z151" i="1"/>
  <c r="AA153" i="1"/>
  <c r="Z153" i="1"/>
  <c r="AA156" i="1"/>
  <c r="Z156" i="1"/>
  <c r="AA159" i="1"/>
  <c r="Z159" i="1"/>
  <c r="Z162" i="1"/>
  <c r="AA162" i="1"/>
  <c r="AA165" i="1"/>
  <c r="Z165" i="1"/>
  <c r="AA170" i="1"/>
  <c r="Z170" i="1"/>
  <c r="Z172" i="1"/>
  <c r="AA172" i="1"/>
  <c r="AA174" i="1"/>
  <c r="Z174" i="1"/>
  <c r="AB174" i="1" s="1"/>
  <c r="Z176" i="1"/>
  <c r="AA176" i="1"/>
  <c r="AA180" i="1"/>
  <c r="Z180" i="1"/>
  <c r="AA181" i="1"/>
  <c r="Z181" i="1"/>
  <c r="AA185" i="1"/>
  <c r="Z185" i="1"/>
  <c r="AA186" i="1"/>
  <c r="Z186" i="1"/>
  <c r="AA188" i="1"/>
  <c r="Z188" i="1"/>
  <c r="AB188" i="1" s="1"/>
  <c r="AA190" i="1"/>
  <c r="Z190" i="1"/>
  <c r="AA193" i="1"/>
  <c r="Z193" i="1"/>
  <c r="AB193" i="1" s="1"/>
  <c r="AC193" i="1" s="1"/>
  <c r="T193" i="1" s="1"/>
  <c r="Z195" i="1"/>
  <c r="AA195" i="1"/>
  <c r="AA198" i="1"/>
  <c r="Z198" i="1"/>
  <c r="Z199" i="1"/>
  <c r="AA199" i="1"/>
  <c r="Z202" i="1"/>
  <c r="Z204" i="1"/>
  <c r="Z207" i="1"/>
  <c r="AA207" i="1"/>
  <c r="AA208" i="1"/>
  <c r="Z208" i="1"/>
  <c r="AA167" i="1"/>
  <c r="Z167" i="1"/>
  <c r="Z210" i="1"/>
  <c r="AA210" i="1"/>
  <c r="Z211" i="1"/>
  <c r="AA211" i="1"/>
  <c r="AA213" i="1"/>
  <c r="Z213" i="1"/>
  <c r="AA215" i="1"/>
  <c r="Z215" i="1"/>
  <c r="Z217" i="1"/>
  <c r="AA217" i="1"/>
  <c r="AA219" i="1"/>
  <c r="Z219" i="1"/>
  <c r="AA221" i="1"/>
  <c r="Z221" i="1"/>
  <c r="AB221" i="1" s="1"/>
  <c r="AC221" i="1" s="1"/>
  <c r="T221" i="1" s="1"/>
  <c r="Z224" i="1"/>
  <c r="AA224" i="1"/>
  <c r="AA226" i="1"/>
  <c r="Z226" i="1"/>
  <c r="AB226" i="1" s="1"/>
  <c r="AC226" i="1" s="1"/>
  <c r="T226" i="1" s="1"/>
  <c r="AA228" i="1"/>
  <c r="Z228" i="1"/>
  <c r="AB228" i="1" s="1"/>
  <c r="AC228" i="1" s="1"/>
  <c r="T228" i="1" s="1"/>
  <c r="Z231" i="1"/>
  <c r="AA231" i="1"/>
  <c r="AA233" i="1"/>
  <c r="Z233" i="1"/>
  <c r="Z235" i="1"/>
  <c r="AA235" i="1"/>
  <c r="AA237" i="1"/>
  <c r="Z237" i="1"/>
  <c r="AB237" i="1" s="1"/>
  <c r="AC237" i="1" s="1"/>
  <c r="T237" i="1" s="1"/>
  <c r="AA239" i="1"/>
  <c r="Z239" i="1"/>
  <c r="Z241" i="1"/>
  <c r="AB241" i="1" s="1"/>
  <c r="AC241" i="1" s="1"/>
  <c r="T241" i="1" s="1"/>
  <c r="AA241" i="1"/>
  <c r="AA243" i="1"/>
  <c r="Z243" i="1"/>
  <c r="AB243" i="1" s="1"/>
  <c r="AC243" i="1" s="1"/>
  <c r="T243" i="1" s="1"/>
  <c r="Z245" i="1"/>
  <c r="AA245" i="1"/>
  <c r="AA247" i="1"/>
  <c r="Z247" i="1"/>
  <c r="AB247" i="1" s="1"/>
  <c r="AC247" i="1" s="1"/>
  <c r="T247" i="1" s="1"/>
  <c r="AA249" i="1"/>
  <c r="Z249" i="1"/>
  <c r="AB249" i="1" s="1"/>
  <c r="AC249" i="1" s="1"/>
  <c r="T249" i="1" s="1"/>
  <c r="Z251" i="1"/>
  <c r="AA251" i="1"/>
  <c r="AA253" i="1"/>
  <c r="Z253" i="1"/>
  <c r="AB253" i="1" s="1"/>
  <c r="AC253" i="1" s="1"/>
  <c r="T253" i="1" s="1"/>
  <c r="AA255" i="1"/>
  <c r="Z255" i="1"/>
  <c r="AB255" i="1" s="1"/>
  <c r="AC255" i="1" s="1"/>
  <c r="T255" i="1" s="1"/>
  <c r="Z257" i="1"/>
  <c r="AA257" i="1"/>
  <c r="AA259" i="1"/>
  <c r="Z259" i="1"/>
  <c r="AB259" i="1" s="1"/>
  <c r="AC259" i="1" s="1"/>
  <c r="T259" i="1" s="1"/>
  <c r="Z261" i="1"/>
  <c r="AA261" i="1"/>
  <c r="AA263" i="1"/>
  <c r="Z263" i="1"/>
  <c r="Z265" i="1"/>
  <c r="AA265" i="1"/>
  <c r="AA267" i="1"/>
  <c r="Z267" i="1"/>
  <c r="AA209" i="1"/>
  <c r="Z209" i="1"/>
  <c r="Z212" i="1"/>
  <c r="AA212" i="1"/>
  <c r="Z214" i="1"/>
  <c r="AA214" i="1"/>
  <c r="Z216" i="1"/>
  <c r="AA216" i="1"/>
  <c r="Z218" i="1"/>
  <c r="AA218" i="1"/>
  <c r="Z220" i="1"/>
  <c r="AA220" i="1"/>
  <c r="Z222" i="1"/>
  <c r="AA222" i="1"/>
  <c r="Z225" i="1"/>
  <c r="AA225" i="1"/>
  <c r="AA227" i="1"/>
  <c r="Z227" i="1"/>
  <c r="AB227" i="1" s="1"/>
  <c r="AC227" i="1" s="1"/>
  <c r="T227" i="1" s="1"/>
  <c r="Z230" i="1"/>
  <c r="AA230" i="1"/>
  <c r="Z232" i="1"/>
  <c r="AA232" i="1"/>
  <c r="Z234" i="1"/>
  <c r="AA234" i="1"/>
  <c r="Z236" i="1"/>
  <c r="AA236" i="1"/>
  <c r="Z238" i="1"/>
  <c r="AA238" i="1"/>
  <c r="Z240" i="1"/>
  <c r="AA240" i="1"/>
  <c r="Z242" i="1"/>
  <c r="AA242" i="1"/>
  <c r="Z244" i="1"/>
  <c r="AA244" i="1"/>
  <c r="Z246" i="1"/>
  <c r="AA246" i="1"/>
  <c r="Z248" i="1"/>
  <c r="AA248" i="1"/>
  <c r="Z250" i="1"/>
  <c r="AA250" i="1"/>
  <c r="Z252" i="1"/>
  <c r="AA252" i="1"/>
  <c r="Z254" i="1"/>
  <c r="AA254" i="1"/>
  <c r="Z256" i="1"/>
  <c r="AA256" i="1"/>
  <c r="Z258" i="1"/>
  <c r="AA258" i="1"/>
  <c r="Z260" i="1"/>
  <c r="AA260" i="1"/>
  <c r="AA262" i="1"/>
  <c r="Z262" i="1"/>
  <c r="Z264" i="1"/>
  <c r="AA264" i="1"/>
  <c r="Z266" i="1"/>
  <c r="AA266" i="1"/>
  <c r="Z268" i="1"/>
  <c r="AA268" i="1"/>
  <c r="Y97" i="1"/>
  <c r="AC188" i="1"/>
  <c r="T188" i="1" s="1"/>
  <c r="AC174" i="1"/>
  <c r="T174" i="1" s="1"/>
  <c r="W217" i="1"/>
  <c r="W247" i="1"/>
  <c r="W124" i="1"/>
  <c r="W236" i="1"/>
  <c r="W237" i="1" s="1"/>
  <c r="W3" i="1"/>
  <c r="AB258" i="1" l="1"/>
  <c r="AC258" i="1" s="1"/>
  <c r="T258" i="1" s="1"/>
  <c r="AB244" i="1"/>
  <c r="AC244" i="1" s="1"/>
  <c r="T244" i="1" s="1"/>
  <c r="AB245" i="1"/>
  <c r="AC245" i="1" s="1"/>
  <c r="T245" i="1" s="1"/>
  <c r="AB256" i="1"/>
  <c r="AC256" i="1" s="1"/>
  <c r="T256" i="1" s="1"/>
  <c r="AB254" i="1"/>
  <c r="AC254" i="1" s="1"/>
  <c r="T254" i="1" s="1"/>
  <c r="AB252" i="1"/>
  <c r="AC252" i="1" s="1"/>
  <c r="T252" i="1" s="1"/>
  <c r="AB250" i="1"/>
  <c r="AC250" i="1" s="1"/>
  <c r="T250" i="1" s="1"/>
  <c r="AB248" i="1"/>
  <c r="AC248" i="1" s="1"/>
  <c r="T248" i="1" s="1"/>
  <c r="AB246" i="1"/>
  <c r="AC246" i="1" s="1"/>
  <c r="T246" i="1" s="1"/>
  <c r="AB251" i="1"/>
  <c r="AC251" i="1" s="1"/>
  <c r="T251" i="1" s="1"/>
  <c r="AB239" i="1"/>
  <c r="AC239" i="1" s="1"/>
  <c r="T239" i="1" s="1"/>
  <c r="AB236" i="1"/>
  <c r="AC236" i="1" s="1"/>
  <c r="T236" i="1" s="1"/>
  <c r="AB234" i="1"/>
  <c r="AC234" i="1" s="1"/>
  <c r="T234" i="1" s="1"/>
  <c r="AB235" i="1"/>
  <c r="AC235" i="1" s="1"/>
  <c r="T235" i="1" s="1"/>
  <c r="AB232" i="1"/>
  <c r="AC232" i="1" s="1"/>
  <c r="T232" i="1" s="1"/>
  <c r="AB230" i="1"/>
  <c r="AC230" i="1" s="1"/>
  <c r="T230" i="1" s="1"/>
  <c r="AB225" i="1"/>
  <c r="AC225" i="1" s="1"/>
  <c r="T225" i="1" s="1"/>
  <c r="AB220" i="1"/>
  <c r="AC220" i="1" s="1"/>
  <c r="T220" i="1" s="1"/>
  <c r="AB231" i="1"/>
  <c r="AC231" i="1" s="1"/>
  <c r="T231" i="1" s="1"/>
  <c r="AB224" i="1"/>
  <c r="AC224" i="1" s="1"/>
  <c r="T224" i="1" s="1"/>
  <c r="AB215" i="1"/>
  <c r="AC215" i="1" s="1"/>
  <c r="T215" i="1" s="1"/>
  <c r="AB203" i="1"/>
  <c r="AC203" i="1" s="1"/>
  <c r="T203" i="1" s="1"/>
  <c r="AB200" i="1"/>
  <c r="AC200" i="1" s="1"/>
  <c r="T200" i="1" s="1"/>
  <c r="AB208" i="1"/>
  <c r="AC208" i="1" s="1"/>
  <c r="T208" i="1" s="1"/>
  <c r="AB197" i="1"/>
  <c r="AC197" i="1" s="1"/>
  <c r="T197" i="1" s="1"/>
  <c r="AB196" i="1"/>
  <c r="AC196" i="1" s="1"/>
  <c r="T196" i="1" s="1"/>
  <c r="AB184" i="1"/>
  <c r="AC184" i="1" s="1"/>
  <c r="T184" i="1" s="1"/>
  <c r="AB156" i="1"/>
  <c r="AC156" i="1" s="1"/>
  <c r="T156" i="1" s="1"/>
  <c r="AB181" i="1"/>
  <c r="AC181" i="1" s="1"/>
  <c r="T181" i="1" s="1"/>
  <c r="AB161" i="1"/>
  <c r="AC161" i="1" s="1"/>
  <c r="T161" i="1" s="1"/>
  <c r="AB158" i="1"/>
  <c r="AC158" i="1" s="1"/>
  <c r="T158" i="1" s="1"/>
  <c r="AB148" i="1"/>
  <c r="AC148" i="1" s="1"/>
  <c r="T148" i="1" s="1"/>
  <c r="AB146" i="1"/>
  <c r="AC146" i="1" s="1"/>
  <c r="T146" i="1" s="1"/>
  <c r="AB57" i="1"/>
  <c r="AC57" i="1" s="1"/>
  <c r="T57" i="1" s="1"/>
  <c r="AB51" i="1"/>
  <c r="AC51" i="1" s="1"/>
  <c r="T51" i="1" s="1"/>
  <c r="AB108" i="1"/>
  <c r="AC108" i="1" s="1"/>
  <c r="T108" i="1" s="1"/>
  <c r="AB104" i="1"/>
  <c r="AC104" i="1" s="1"/>
  <c r="T104" i="1" s="1"/>
  <c r="AB89" i="1"/>
  <c r="AC89" i="1" s="1"/>
  <c r="T89" i="1" s="1"/>
  <c r="AB78" i="1"/>
  <c r="AC78" i="1" s="1"/>
  <c r="T78" i="1" s="1"/>
  <c r="AB222" i="1"/>
  <c r="AC222" i="1" s="1"/>
  <c r="T222" i="1" s="1"/>
  <c r="AB209" i="1"/>
  <c r="AC209" i="1" s="1"/>
  <c r="T209" i="1" s="1"/>
  <c r="AB219" i="1"/>
  <c r="AC219" i="1" s="1"/>
  <c r="T219" i="1" s="1"/>
  <c r="AB206" i="1"/>
  <c r="AC206" i="1" s="1"/>
  <c r="T206" i="1" s="1"/>
  <c r="AB214" i="1"/>
  <c r="AC214" i="1" s="1"/>
  <c r="T214" i="1" s="1"/>
  <c r="AB211" i="1"/>
  <c r="AC211" i="1" s="1"/>
  <c r="T211" i="1" s="1"/>
  <c r="AB201" i="1"/>
  <c r="AC201" i="1" s="1"/>
  <c r="T201" i="1" s="1"/>
  <c r="AB199" i="1"/>
  <c r="AC199" i="1" s="1"/>
  <c r="T199" i="1" s="1"/>
  <c r="AB198" i="1"/>
  <c r="AC198" i="1" s="1"/>
  <c r="T198" i="1" s="1"/>
  <c r="AB194" i="1"/>
  <c r="AC194" i="1" s="1"/>
  <c r="T194" i="1" s="1"/>
  <c r="AB192" i="1"/>
  <c r="AC192" i="1" s="1"/>
  <c r="T192" i="1" s="1"/>
  <c r="AB175" i="1"/>
  <c r="AC175" i="1" s="1"/>
  <c r="T175" i="1" s="1"/>
  <c r="AB190" i="1"/>
  <c r="AC190" i="1" s="1"/>
  <c r="T190" i="1" s="1"/>
  <c r="AB180" i="1"/>
  <c r="AC180" i="1" s="1"/>
  <c r="T180" i="1" s="1"/>
  <c r="AB189" i="1"/>
  <c r="AC189" i="1" s="1"/>
  <c r="T189" i="1" s="1"/>
  <c r="AB187" i="1"/>
  <c r="AC187" i="1" s="1"/>
  <c r="T187" i="1" s="1"/>
  <c r="AB186" i="1"/>
  <c r="AC186" i="1" s="1"/>
  <c r="T186" i="1" s="1"/>
  <c r="AB185" i="1"/>
  <c r="AC185" i="1" s="1"/>
  <c r="T185" i="1" s="1"/>
  <c r="AB179" i="1"/>
  <c r="AC179" i="1" s="1"/>
  <c r="T179" i="1" s="1"/>
  <c r="AB173" i="1"/>
  <c r="AC173" i="1" s="1"/>
  <c r="T173" i="1" s="1"/>
  <c r="AB170" i="1"/>
  <c r="AC170" i="1" s="1"/>
  <c r="T170" i="1" s="1"/>
  <c r="AB165" i="1"/>
  <c r="AC165" i="1" s="1"/>
  <c r="T165" i="1" s="1"/>
  <c r="AB153" i="1"/>
  <c r="AC153" i="1" s="1"/>
  <c r="T153" i="1" s="1"/>
  <c r="AB151" i="1"/>
  <c r="AC151" i="1" s="1"/>
  <c r="T151" i="1" s="1"/>
  <c r="AB150" i="1"/>
  <c r="AC150" i="1" s="1"/>
  <c r="T150" i="1" s="1"/>
  <c r="AB147" i="1"/>
  <c r="AC147" i="1" s="1"/>
  <c r="T147" i="1" s="1"/>
  <c r="AB143" i="1"/>
  <c r="AC143" i="1" s="1"/>
  <c r="T143" i="1" s="1"/>
  <c r="AB82" i="1"/>
  <c r="AC82" i="1" s="1"/>
  <c r="T82" i="1" s="1"/>
  <c r="AB171" i="1"/>
  <c r="AC171" i="1" s="1"/>
  <c r="T171" i="1" s="1"/>
  <c r="AB164" i="1"/>
  <c r="AC164" i="1" s="1"/>
  <c r="T164" i="1" s="1"/>
  <c r="AB163" i="1"/>
  <c r="AC163" i="1" s="1"/>
  <c r="T163" i="1" s="1"/>
  <c r="AB169" i="1"/>
  <c r="AC169" i="1" s="1"/>
  <c r="T169" i="1" s="1"/>
  <c r="AB159" i="1"/>
  <c r="AC159" i="1" s="1"/>
  <c r="T159" i="1" s="1"/>
  <c r="AB155" i="1"/>
  <c r="AC155" i="1" s="1"/>
  <c r="T155" i="1" s="1"/>
  <c r="AB144" i="1"/>
  <c r="AC144" i="1" s="1"/>
  <c r="T144" i="1" s="1"/>
  <c r="AB112" i="1"/>
  <c r="AC112" i="1" s="1"/>
  <c r="T112" i="1" s="1"/>
  <c r="AB109" i="1"/>
  <c r="AC109" i="1" s="1"/>
  <c r="T109" i="1" s="1"/>
  <c r="AB113" i="1"/>
  <c r="AC113" i="1" s="1"/>
  <c r="T113" i="1" s="1"/>
  <c r="AB111" i="1"/>
  <c r="AC111" i="1" s="1"/>
  <c r="T111" i="1" s="1"/>
  <c r="AB102" i="1"/>
  <c r="AC102" i="1" s="1"/>
  <c r="T102" i="1" s="1"/>
  <c r="AB98" i="1"/>
  <c r="AC98" i="1" s="1"/>
  <c r="T98" i="1" s="1"/>
  <c r="AB103" i="1"/>
  <c r="AC103" i="1" s="1"/>
  <c r="T103" i="1" s="1"/>
  <c r="AB93" i="1"/>
  <c r="AC93" i="1" s="1"/>
  <c r="T93" i="1" s="1"/>
  <c r="AB91" i="1"/>
  <c r="AC91" i="1" s="1"/>
  <c r="T91" i="1" s="1"/>
  <c r="AB84" i="1"/>
  <c r="AC84" i="1" s="1"/>
  <c r="T84" i="1" s="1"/>
  <c r="AB80" i="1"/>
  <c r="AC80" i="1" s="1"/>
  <c r="T80" i="1" s="1"/>
  <c r="AB100" i="1"/>
  <c r="AC100" i="1" s="1"/>
  <c r="T100" i="1" s="1"/>
  <c r="AB99" i="1"/>
  <c r="AC99" i="1" s="1"/>
  <c r="T99" i="1" s="1"/>
  <c r="AB92" i="1"/>
  <c r="AC92" i="1" s="1"/>
  <c r="T92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97" i="1"/>
  <c r="AA97" i="1"/>
  <c r="AB212" i="1"/>
  <c r="AC212" i="1" s="1"/>
  <c r="T212" i="1" s="1"/>
  <c r="AB207" i="1"/>
  <c r="AC207" i="1" s="1"/>
  <c r="T207" i="1" s="1"/>
  <c r="AA204" i="1"/>
  <c r="AB204" i="1" s="1"/>
  <c r="AC204" i="1" s="1"/>
  <c r="T204" i="1" s="1"/>
  <c r="AA202" i="1"/>
  <c r="AB202" i="1" s="1"/>
  <c r="AC202" i="1" s="1"/>
  <c r="T202" i="1" s="1"/>
  <c r="AB195" i="1"/>
  <c r="AC195" i="1" s="1"/>
  <c r="T195" i="1" s="1"/>
  <c r="AB176" i="1"/>
  <c r="AC176" i="1" s="1"/>
  <c r="T176" i="1" s="1"/>
  <c r="AB172" i="1"/>
  <c r="AC172" i="1" s="1"/>
  <c r="T172" i="1" s="1"/>
  <c r="AB162" i="1"/>
  <c r="AC162" i="1" s="1"/>
  <c r="T162" i="1" s="1"/>
  <c r="AB105" i="1"/>
  <c r="AC105" i="1" s="1"/>
  <c r="T105" i="1" s="1"/>
  <c r="AB90" i="1"/>
  <c r="AC90" i="1" s="1"/>
  <c r="T90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0" i="1"/>
  <c r="AC20" i="1" s="1"/>
  <c r="T20" i="1" s="1"/>
  <c r="AB8" i="1"/>
  <c r="AC8" i="1" s="1"/>
  <c r="T8" i="1" s="1"/>
  <c r="AB33" i="1"/>
  <c r="AC33" i="1" s="1"/>
  <c r="T33" i="1" s="1"/>
  <c r="AB26" i="1"/>
  <c r="AC26" i="1" s="1"/>
  <c r="T26" i="1" s="1"/>
  <c r="AA205" i="1"/>
  <c r="AB205" i="1" s="1"/>
  <c r="AC205" i="1" s="1"/>
  <c r="T205" i="1" s="1"/>
  <c r="AB191" i="1"/>
  <c r="AC191" i="1" s="1"/>
  <c r="T191" i="1" s="1"/>
  <c r="AB182" i="1"/>
  <c r="AC182" i="1" s="1"/>
  <c r="T182" i="1" s="1"/>
  <c r="AB166" i="1"/>
  <c r="AC166" i="1" s="1"/>
  <c r="T166" i="1" s="1"/>
  <c r="AB157" i="1"/>
  <c r="AC157" i="1" s="1"/>
  <c r="T157" i="1" s="1"/>
  <c r="AB152" i="1"/>
  <c r="AC152" i="1" s="1"/>
  <c r="T152" i="1" s="1"/>
  <c r="AB149" i="1"/>
  <c r="AC149" i="1" s="1"/>
  <c r="T149" i="1" s="1"/>
  <c r="AB101" i="1"/>
  <c r="AC101" i="1" s="1"/>
  <c r="T101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19" i="1"/>
  <c r="AC19" i="1" s="1"/>
  <c r="T19" i="1" s="1"/>
  <c r="AB3" i="1"/>
  <c r="AC3" i="1" s="1"/>
  <c r="T3" i="1" s="1"/>
  <c r="AB218" i="1"/>
  <c r="AC218" i="1" s="1"/>
  <c r="T218" i="1" s="1"/>
  <c r="AB216" i="1"/>
  <c r="AC216" i="1" s="1"/>
  <c r="T216" i="1" s="1"/>
  <c r="AB217" i="1"/>
  <c r="AC217" i="1" s="1"/>
  <c r="T217" i="1" s="1"/>
  <c r="AB167" i="1"/>
  <c r="AC167" i="1" s="1"/>
  <c r="T167" i="1" s="1"/>
  <c r="AB213" i="1"/>
  <c r="AC213" i="1" s="1"/>
  <c r="T213" i="1" s="1"/>
  <c r="AB210" i="1"/>
  <c r="AC210" i="1" s="1"/>
  <c r="T210" i="1" s="1"/>
  <c r="W248" i="1"/>
  <c r="W6" i="1"/>
  <c r="W125" i="1"/>
  <c r="H16" i="1" l="1"/>
  <c r="A16" i="1" s="1"/>
  <c r="H17" i="1"/>
  <c r="A17" i="1" s="1"/>
  <c r="AB97" i="1"/>
  <c r="AC97" i="1" s="1"/>
  <c r="T97" i="1" s="1"/>
  <c r="W249" i="1"/>
  <c r="W126" i="1"/>
  <c r="W7" i="1"/>
  <c r="H9" i="1" l="1"/>
  <c r="A9" i="1" s="1"/>
  <c r="H20" i="1"/>
  <c r="A20" i="1" s="1"/>
  <c r="H25" i="1"/>
  <c r="A25" i="1" s="1"/>
  <c r="H26" i="1"/>
  <c r="A26" i="1" s="1"/>
  <c r="W250" i="1"/>
  <c r="W8" i="1"/>
  <c r="W127" i="1"/>
  <c r="W128" i="1"/>
  <c r="H18" i="1" l="1"/>
  <c r="A18" i="1" s="1"/>
  <c r="W18" i="1" s="1"/>
  <c r="H27" i="1"/>
  <c r="A27" i="1" s="1"/>
  <c r="H22" i="1"/>
  <c r="A22" i="1" s="1"/>
  <c r="W251" i="1"/>
  <c r="W9" i="1"/>
  <c r="W10" i="1"/>
  <c r="W129" i="1"/>
  <c r="H19" i="1" l="1"/>
  <c r="A19" i="1" s="1"/>
  <c r="W19" i="1" s="1"/>
  <c r="H29" i="1"/>
  <c r="A29" i="1" s="1"/>
  <c r="W252" i="1"/>
  <c r="W130" i="1"/>
  <c r="W11" i="1"/>
  <c r="H24" i="1" l="1"/>
  <c r="A24" i="1" s="1"/>
  <c r="H28" i="1"/>
  <c r="A28" i="1" s="1"/>
  <c r="H30" i="1"/>
  <c r="A30" i="1" s="1"/>
  <c r="W29" i="1"/>
  <c r="W253" i="1"/>
  <c r="W12" i="1"/>
  <c r="W20" i="1"/>
  <c r="H33" i="1" l="1"/>
  <c r="A33" i="1" s="1"/>
  <c r="W254" i="1"/>
  <c r="W30" i="1"/>
  <c r="W13" i="1"/>
  <c r="W21" i="1"/>
  <c r="H35" i="1" l="1"/>
  <c r="A35" i="1" s="1"/>
  <c r="W255" i="1"/>
  <c r="W31" i="1"/>
  <c r="W14" i="1"/>
  <c r="W22" i="1"/>
  <c r="H37" i="1" l="1"/>
  <c r="A37" i="1" s="1"/>
  <c r="H41" i="1"/>
  <c r="A41" i="1" s="1"/>
  <c r="W256" i="1"/>
  <c r="W25" i="1"/>
  <c r="W32" i="1"/>
  <c r="W15" i="1"/>
  <c r="W23" i="1"/>
  <c r="H40" i="1" l="1"/>
  <c r="A40" i="1" s="1"/>
  <c r="W33" i="1"/>
  <c r="W26" i="1"/>
  <c r="W16" i="1"/>
  <c r="W24" i="1"/>
  <c r="H44" i="1" l="1"/>
  <c r="A44" i="1" s="1"/>
  <c r="H43" i="1"/>
  <c r="A43" i="1" s="1"/>
  <c r="W27" i="1"/>
  <c r="W34" i="1"/>
  <c r="W17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38" i="1"/>
  <c r="W45" i="1"/>
  <c r="H52" i="1" l="1"/>
  <c r="A52" i="1" s="1"/>
  <c r="W46" i="1"/>
  <c r="H54" i="1" l="1"/>
  <c r="A54" i="1" s="1"/>
  <c r="H74" i="1"/>
  <c r="A74" i="1" s="1"/>
  <c r="W47" i="1"/>
  <c r="H55" i="1" l="1"/>
  <c r="A55" i="1" s="1"/>
  <c r="H76" i="1"/>
  <c r="A76" i="1" s="1"/>
  <c r="W48" i="1"/>
  <c r="H56" i="1" l="1"/>
  <c r="A56" i="1" s="1"/>
  <c r="H81" i="1"/>
  <c r="A81" i="1" s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 s="1"/>
  <c r="W51" i="1"/>
  <c r="H62" i="1" l="1"/>
  <c r="A62" i="1" s="1"/>
  <c r="H66" i="1"/>
  <c r="A66" i="1" s="1"/>
  <c r="H92" i="1"/>
  <c r="A92" i="1" s="1"/>
  <c r="W52" i="1"/>
  <c r="W59" i="1"/>
  <c r="H101" i="1" l="1"/>
  <c r="A101" i="1" s="1"/>
  <c r="W68" i="1"/>
  <c r="W60" i="1"/>
  <c r="W53" i="1"/>
  <c r="H103" i="1" l="1"/>
  <c r="A103" i="1" s="1"/>
  <c r="W61" i="1"/>
  <c r="W54" i="1"/>
  <c r="H69" i="1" l="1"/>
  <c r="A69" i="1" s="1"/>
  <c r="W69" i="1" s="1"/>
  <c r="H144" i="1"/>
  <c r="A144" i="1" s="1"/>
  <c r="W70" i="1"/>
  <c r="W55" i="1"/>
  <c r="W62" i="1"/>
  <c r="H79" i="1" l="1"/>
  <c r="A79" i="1" s="1"/>
  <c r="W71" i="1"/>
  <c r="W63" i="1"/>
  <c r="W64" i="1"/>
  <c r="W65" i="1"/>
  <c r="W56" i="1"/>
  <c r="H80" i="1" l="1"/>
  <c r="A80" i="1" s="1"/>
  <c r="H152" i="1"/>
  <c r="A152" i="1" s="1"/>
  <c r="W72" i="1"/>
  <c r="W66" i="1"/>
  <c r="H90" i="1" l="1"/>
  <c r="A90" i="1" s="1"/>
  <c r="H159" i="1"/>
  <c r="A159" i="1" s="1"/>
  <c r="W73" i="1"/>
  <c r="W67" i="1"/>
  <c r="A105" i="1" l="1"/>
  <c r="H165" i="1"/>
  <c r="A165" i="1" s="1"/>
  <c r="W83" i="1"/>
  <c r="W74" i="1"/>
  <c r="H109" i="1" l="1"/>
  <c r="A109" i="1" s="1"/>
  <c r="W84" i="1"/>
  <c r="W89" i="1"/>
  <c r="W75" i="1"/>
  <c r="W85" i="1"/>
  <c r="H111" i="1" l="1"/>
  <c r="A111" i="1" s="1"/>
  <c r="H147" i="1"/>
  <c r="A147" i="1" s="1"/>
  <c r="H185" i="1"/>
  <c r="A185" i="1" s="1"/>
  <c r="W96" i="1"/>
  <c r="W90" i="1"/>
  <c r="W91" i="1"/>
  <c r="W86" i="1"/>
  <c r="W76" i="1"/>
  <c r="W87" i="1"/>
  <c r="H149" i="1" l="1"/>
  <c r="A149" i="1" s="1"/>
  <c r="H187" i="1"/>
  <c r="A187" i="1" s="1"/>
  <c r="W92" i="1"/>
  <c r="W97" i="1"/>
  <c r="W93" i="1"/>
  <c r="W94" i="1" s="1"/>
  <c r="W143" i="1"/>
  <c r="W88" i="1"/>
  <c r="W95" i="1"/>
  <c r="W77" i="1"/>
  <c r="H153" i="1" l="1"/>
  <c r="A153" i="1" s="1"/>
  <c r="H193" i="1"/>
  <c r="A193" i="1" s="1"/>
  <c r="W144" i="1"/>
  <c r="W78" i="1"/>
  <c r="W98" i="1"/>
  <c r="H157" i="1" l="1"/>
  <c r="A157" i="1" s="1"/>
  <c r="H198" i="1"/>
  <c r="A198" i="1" s="1"/>
  <c r="W174" i="1"/>
  <c r="W157" i="1"/>
  <c r="W145" i="1"/>
  <c r="W79" i="1"/>
  <c r="W99" i="1"/>
  <c r="H162" i="1" l="1"/>
  <c r="A162" i="1" s="1"/>
  <c r="H200" i="1"/>
  <c r="A200" i="1" s="1"/>
  <c r="W158" i="1"/>
  <c r="W159" i="1"/>
  <c r="W146" i="1"/>
  <c r="W80" i="1"/>
  <c r="W100" i="1"/>
  <c r="H173" i="1" l="1"/>
  <c r="A173" i="1" s="1"/>
  <c r="H202" i="1"/>
  <c r="A202" i="1" s="1"/>
  <c r="W147" i="1"/>
  <c r="W160" i="1"/>
  <c r="W101" i="1"/>
  <c r="W81" i="1"/>
  <c r="H175" i="1" l="1"/>
  <c r="A175" i="1" s="1"/>
  <c r="H207" i="1"/>
  <c r="A207" i="1" s="1"/>
  <c r="W175" i="1"/>
  <c r="W148" i="1"/>
  <c r="W161" i="1"/>
  <c r="W162" i="1" s="1"/>
  <c r="W176" i="1"/>
  <c r="W102" i="1"/>
  <c r="W82" i="1"/>
  <c r="H179" i="1" l="1"/>
  <c r="A179" i="1" s="1"/>
  <c r="W179" i="1" s="1"/>
  <c r="W210" i="1"/>
  <c r="W180" i="1"/>
  <c r="W177" i="1"/>
  <c r="W163" i="1"/>
  <c r="W149" i="1"/>
  <c r="W103" i="1"/>
  <c r="H182" i="1" l="1"/>
  <c r="A182" i="1" s="1"/>
  <c r="W164" i="1"/>
  <c r="W150" i="1"/>
  <c r="W104" i="1"/>
  <c r="H189" i="1" l="1"/>
  <c r="A189" i="1" s="1"/>
  <c r="AD41" i="1"/>
  <c r="AD39" i="1"/>
  <c r="AD56" i="1"/>
  <c r="AD45" i="1"/>
  <c r="AD47" i="1"/>
  <c r="AD29" i="1"/>
  <c r="AD27" i="1"/>
  <c r="X213" i="1"/>
  <c r="AD212" i="1"/>
  <c r="AD193" i="1"/>
  <c r="AD185" i="1"/>
  <c r="AD33" i="1"/>
  <c r="AD22" i="1"/>
  <c r="AD35" i="1"/>
  <c r="AD37" i="1"/>
  <c r="AD144" i="1"/>
  <c r="AD152" i="1"/>
  <c r="AD159" i="1"/>
  <c r="AD165" i="1"/>
  <c r="X174" i="1"/>
  <c r="AD202" i="1"/>
  <c r="AD215" i="1"/>
  <c r="AD207" i="1"/>
  <c r="AD200" i="1"/>
  <c r="AD43" i="1"/>
  <c r="AD81" i="1"/>
  <c r="AD76" i="1"/>
  <c r="AD83" i="1"/>
  <c r="AD101" i="1"/>
  <c r="AD187" i="1"/>
  <c r="AD198" i="1"/>
  <c r="W184" i="1"/>
  <c r="W182" i="1"/>
  <c r="W105" i="1"/>
  <c r="W151" i="1"/>
  <c r="W165" i="1"/>
  <c r="W106" i="1"/>
  <c r="W107" i="1"/>
  <c r="H192" i="1" l="1"/>
  <c r="A192" i="1" s="1"/>
  <c r="W108" i="1"/>
  <c r="W170" i="1"/>
  <c r="W185" i="1"/>
  <c r="W166" i="1"/>
  <c r="W152" i="1"/>
  <c r="H194" i="1" l="1"/>
  <c r="A194" i="1" s="1"/>
  <c r="W186" i="1"/>
  <c r="W109" i="1"/>
  <c r="W171" i="1"/>
  <c r="W167" i="1"/>
  <c r="W153" i="1"/>
  <c r="W172" i="1"/>
  <c r="W173" i="1" s="1"/>
  <c r="H196" i="1" l="1"/>
  <c r="A196" i="1" s="1"/>
  <c r="W187" i="1"/>
  <c r="W168" i="1"/>
  <c r="W154" i="1"/>
  <c r="W110" i="1"/>
  <c r="H201" i="1" l="1"/>
  <c r="A201" i="1" s="1"/>
  <c r="W199" i="1"/>
  <c r="W198" i="1"/>
  <c r="W200" i="1"/>
  <c r="W188" i="1"/>
  <c r="W169" i="1"/>
  <c r="W155" i="1"/>
  <c r="W156" i="1" s="1"/>
  <c r="W111" i="1"/>
  <c r="H203" i="1" l="1"/>
  <c r="A203" i="1" s="1"/>
  <c r="W201" i="1"/>
  <c r="W189" i="1"/>
  <c r="W112" i="1"/>
  <c r="H206" i="1" l="1"/>
  <c r="A206" i="1" s="1"/>
  <c r="W190" i="1"/>
  <c r="W202" i="1"/>
  <c r="W113" i="1"/>
  <c r="H209" i="1" l="1"/>
  <c r="A209" i="1" s="1"/>
  <c r="W191" i="1"/>
  <c r="W192" i="1"/>
  <c r="W203" i="1"/>
  <c r="W114" i="1"/>
  <c r="H211" i="1" l="1"/>
  <c r="A211" i="1" s="1"/>
  <c r="W209" i="1"/>
  <c r="W204" i="1"/>
  <c r="W205" i="1"/>
  <c r="W193" i="1"/>
  <c r="W115" i="1"/>
  <c r="H214" i="1" l="1"/>
  <c r="A214" i="1" s="1"/>
  <c r="W206" i="1"/>
  <c r="W207" i="1"/>
  <c r="W194" i="1"/>
  <c r="W211" i="1"/>
  <c r="W116" i="1"/>
  <c r="W214" i="1" l="1"/>
  <c r="H216" i="1"/>
  <c r="A216" i="1" s="1"/>
  <c r="W195" i="1"/>
  <c r="W215" i="1"/>
  <c r="W196" i="1"/>
  <c r="W212" i="1"/>
  <c r="W208" i="1"/>
  <c r="W117" i="1"/>
  <c r="W216" i="1" l="1"/>
  <c r="H218" i="1"/>
  <c r="A218" i="1" s="1"/>
  <c r="W197" i="1"/>
  <c r="W118" i="1"/>
  <c r="W218" i="1" l="1"/>
  <c r="H221" i="1"/>
  <c r="A221" i="1" s="1"/>
  <c r="H224" i="1"/>
  <c r="A224" i="1" s="1"/>
  <c r="W219" i="1"/>
  <c r="W220" i="1"/>
  <c r="W221" i="1"/>
  <c r="W119" i="1"/>
  <c r="X198" i="1" l="1"/>
  <c r="AD194" i="1"/>
  <c r="AD147" i="1"/>
  <c r="AD192" i="1"/>
  <c r="X41" i="1"/>
  <c r="AD7" i="1"/>
  <c r="AD52" i="1"/>
  <c r="X39" i="1"/>
  <c r="AD62" i="1"/>
  <c r="AD157" i="1"/>
  <c r="AD162" i="1"/>
  <c r="AD153" i="1"/>
  <c r="AD149" i="1"/>
  <c r="X179" i="1"/>
  <c r="AD182" i="1"/>
  <c r="AD111" i="1"/>
  <c r="X180" i="1"/>
  <c r="AD46" i="1"/>
  <c r="AD189" i="1"/>
  <c r="X29" i="1"/>
  <c r="AD79" i="1"/>
  <c r="AD24" i="1"/>
  <c r="AD196" i="1"/>
  <c r="AD60" i="1"/>
  <c r="AD201" i="1"/>
  <c r="AD206" i="1"/>
  <c r="X209" i="1"/>
  <c r="X216" i="1"/>
  <c r="AD209" i="1"/>
  <c r="AD211" i="1"/>
  <c r="AD218" i="1"/>
  <c r="AD203" i="1"/>
  <c r="AD221" i="1"/>
  <c r="AD224" i="1"/>
  <c r="X218" i="1"/>
  <c r="AD216" i="1"/>
  <c r="W222" i="1"/>
  <c r="W120" i="1"/>
  <c r="W223" i="1" l="1"/>
  <c r="W121" i="1"/>
  <c r="W224" i="1" l="1"/>
  <c r="W122" i="1"/>
  <c r="W225" i="1" l="1"/>
  <c r="W226" i="1"/>
  <c r="W123" i="1"/>
  <c r="W227" i="1" l="1"/>
  <c r="W228" i="1" l="1"/>
  <c r="W229" i="1"/>
  <c r="W230" i="1"/>
  <c r="W231" i="1" l="1"/>
  <c r="W232" i="1" l="1"/>
  <c r="X95" i="1" l="1"/>
  <c r="X107" i="1"/>
  <c r="X88" i="1"/>
  <c r="X86" i="1"/>
  <c r="X87" i="1"/>
  <c r="X85" i="1"/>
  <c r="AD94" i="1"/>
  <c r="AD106" i="1"/>
  <c r="AD90" i="1"/>
  <c r="AD92" i="1"/>
  <c r="X65" i="1"/>
  <c r="X79" i="1"/>
  <c r="AD61" i="1"/>
  <c r="AD64" i="1"/>
  <c r="AD50" i="1"/>
  <c r="AD58" i="1"/>
  <c r="AD44" i="1"/>
  <c r="AD48" i="1"/>
  <c r="AD36" i="1"/>
  <c r="X23" i="1"/>
  <c r="AD26" i="1"/>
  <c r="X172" i="1"/>
  <c r="X177" i="1"/>
  <c r="X166" i="1"/>
  <c r="AD171" i="1"/>
  <c r="AD158" i="1"/>
  <c r="X160" i="1"/>
  <c r="X163" i="1"/>
  <c r="AD141" i="1"/>
  <c r="X142" i="1"/>
  <c r="X154" i="1"/>
  <c r="X147" i="1"/>
  <c r="X136" i="1"/>
  <c r="AD139" i="1"/>
  <c r="AD134" i="1"/>
  <c r="AD136" i="1"/>
  <c r="AD127" i="1"/>
  <c r="X128" i="1"/>
  <c r="AD118" i="1"/>
  <c r="AD125" i="1"/>
  <c r="X113" i="1"/>
  <c r="AD115" i="1"/>
  <c r="X94" i="1"/>
  <c r="AD112" i="1"/>
  <c r="X106" i="1"/>
  <c r="X93" i="1"/>
  <c r="AD105" i="1"/>
  <c r="AD109" i="1"/>
  <c r="X101" i="1"/>
  <c r="AD103" i="1"/>
  <c r="AD97" i="1"/>
  <c r="AD100" i="1"/>
  <c r="AD91" i="1"/>
  <c r="AD93" i="1"/>
  <c r="X83" i="1"/>
  <c r="AD89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13" i="1"/>
  <c r="X232" i="1"/>
  <c r="X229" i="1"/>
  <c r="X243" i="1"/>
  <c r="X190" i="1"/>
  <c r="X202" i="1"/>
  <c r="X70" i="1"/>
  <c r="X200" i="1"/>
  <c r="X91" i="1"/>
  <c r="X74" i="1"/>
  <c r="X80" i="1"/>
  <c r="AD55" i="1"/>
  <c r="X53" i="1"/>
  <c r="X11" i="1"/>
  <c r="X189" i="1"/>
  <c r="AD69" i="1"/>
  <c r="X196" i="1"/>
  <c r="X249" i="1"/>
  <c r="X134" i="1"/>
  <c r="X116" i="1"/>
  <c r="X127" i="1"/>
  <c r="X14" i="1"/>
  <c r="X21" i="1"/>
  <c r="X108" i="1"/>
  <c r="X143" i="1"/>
  <c r="X175" i="1"/>
  <c r="AD66" i="1"/>
  <c r="X158" i="1"/>
  <c r="X124" i="1"/>
  <c r="AD210" i="1"/>
  <c r="AD73" i="1"/>
  <c r="X81" i="1"/>
  <c r="X228" i="1"/>
  <c r="X156" i="1"/>
  <c r="X252" i="1"/>
  <c r="AD53" i="1"/>
  <c r="X199" i="1"/>
  <c r="X162" i="1"/>
  <c r="X48" i="1"/>
  <c r="AD5" i="1"/>
  <c r="X193" i="1"/>
  <c r="X25" i="1"/>
  <c r="X55" i="1"/>
  <c r="X8" i="1"/>
  <c r="AD3" i="1"/>
  <c r="X30" i="1"/>
  <c r="X247" i="1"/>
  <c r="X46" i="1"/>
  <c r="AD258" i="1"/>
  <c r="X223" i="1"/>
  <c r="X66" i="1"/>
  <c r="X24" i="1"/>
  <c r="X109" i="1"/>
  <c r="X165" i="1"/>
  <c r="AD18" i="1"/>
  <c r="X123" i="1"/>
  <c r="X121" i="1"/>
  <c r="X197" i="1"/>
  <c r="X33" i="1"/>
  <c r="X50" i="1"/>
  <c r="AD179" i="1"/>
  <c r="AD214" i="1"/>
  <c r="X173" i="1"/>
  <c r="X237" i="1"/>
  <c r="X221" i="1"/>
  <c r="X5" i="1"/>
  <c r="X222" i="1"/>
  <c r="X18" i="1"/>
  <c r="X146" i="1"/>
  <c r="X214" i="1"/>
  <c r="X250" i="1"/>
  <c r="AD177" i="1"/>
  <c r="X181" i="1"/>
  <c r="X241" i="1"/>
  <c r="AD199" i="1"/>
  <c r="X57" i="1"/>
  <c r="X155" i="1"/>
  <c r="X120" i="1"/>
  <c r="X43" i="1"/>
  <c r="AD42" i="1"/>
  <c r="X28" i="1"/>
  <c r="AD219" i="1"/>
  <c r="X47" i="1"/>
  <c r="X126" i="1"/>
  <c r="AD20" i="1"/>
  <c r="X239" i="1"/>
  <c r="X244" i="1"/>
  <c r="X73" i="1"/>
  <c r="X135" i="1"/>
  <c r="X224" i="1"/>
  <c r="X201" i="1"/>
  <c r="AD30" i="1"/>
  <c r="X185" i="1"/>
  <c r="X67" i="1"/>
  <c r="X206" i="1"/>
  <c r="X92" i="1"/>
  <c r="X125" i="1"/>
  <c r="X182" i="1"/>
  <c r="AD239" i="1"/>
  <c r="X187" i="1"/>
  <c r="X207" i="1"/>
  <c r="X235" i="1"/>
  <c r="AD96" i="1"/>
  <c r="AD155" i="1"/>
  <c r="X99" i="1"/>
  <c r="X167" i="1"/>
  <c r="X210" i="1"/>
  <c r="X246" i="1"/>
  <c r="X208" i="1"/>
  <c r="X226" i="1"/>
  <c r="X184" i="1"/>
  <c r="AD63" i="1"/>
  <c r="X141" i="1"/>
  <c r="X26" i="1"/>
  <c r="X157" i="1"/>
  <c r="X164" i="1"/>
  <c r="AD184" i="1"/>
  <c r="X148" i="1"/>
  <c r="X205" i="1"/>
  <c r="X77" i="1"/>
  <c r="X231" i="1"/>
  <c r="X225" i="1"/>
  <c r="AD16" i="1"/>
  <c r="AD243" i="1"/>
  <c r="X69" i="1"/>
  <c r="X119" i="1"/>
  <c r="X104" i="1"/>
  <c r="X191" i="1"/>
  <c r="X98" i="1"/>
  <c r="X188" i="1"/>
  <c r="X45" i="1"/>
  <c r="X149" i="1"/>
  <c r="X171" i="1"/>
  <c r="X111" i="1"/>
  <c r="AD167" i="1"/>
  <c r="X161" i="1"/>
  <c r="AD241" i="1"/>
  <c r="AD217" i="1"/>
  <c r="X253" i="1"/>
  <c r="AD129" i="1"/>
  <c r="X63" i="1"/>
  <c r="X103" i="1"/>
  <c r="X211" i="1"/>
  <c r="AD38" i="1"/>
  <c r="X145" i="1"/>
  <c r="X234" i="1"/>
  <c r="AD175" i="1"/>
  <c r="X40" i="1"/>
  <c r="AD114" i="1"/>
  <c r="X110" i="1"/>
  <c r="X84" i="1"/>
  <c r="X230" i="1"/>
  <c r="X254" i="1"/>
  <c r="X118" i="1"/>
  <c r="AD40" i="1"/>
  <c r="X61" i="1"/>
  <c r="X97" i="1"/>
  <c r="X144" i="1"/>
  <c r="X35" i="1"/>
  <c r="X137" i="1"/>
  <c r="X258" i="1"/>
  <c r="X169" i="1"/>
  <c r="X186" i="1"/>
  <c r="X140" i="1"/>
  <c r="X22" i="1"/>
  <c r="AD234" i="1"/>
  <c r="X34" i="1"/>
  <c r="AD102" i="1"/>
  <c r="X215" i="1"/>
  <c r="X219" i="1"/>
  <c r="X75" i="1"/>
  <c r="X133" i="1"/>
  <c r="X251" i="1"/>
  <c r="X89" i="1"/>
  <c r="X90" i="1"/>
  <c r="AD164" i="1"/>
  <c r="X153" i="1"/>
  <c r="X152" i="1"/>
  <c r="X64" i="1"/>
  <c r="AD132" i="1"/>
  <c r="X76" i="1"/>
  <c r="X194" i="1"/>
  <c r="X259" i="1"/>
  <c r="X212" i="1"/>
  <c r="X195" i="1"/>
  <c r="X192" i="1"/>
  <c r="AD84" i="1"/>
  <c r="X139" i="1"/>
  <c r="X82" i="1"/>
  <c r="X49" i="1"/>
  <c r="X58" i="1"/>
  <c r="X20" i="1"/>
  <c r="X227" i="1"/>
  <c r="X151" i="1"/>
  <c r="AD181" i="1"/>
  <c r="X31" i="1"/>
  <c r="X256" i="1"/>
  <c r="X203" i="1"/>
  <c r="X130" i="1"/>
  <c r="AD173" i="1"/>
  <c r="X96" i="1"/>
  <c r="X51" i="1"/>
  <c r="X168" i="1"/>
  <c r="X150" i="1"/>
  <c r="X27" i="1"/>
  <c r="X36" i="1"/>
  <c r="X248" i="1"/>
  <c r="AD161" i="1"/>
  <c r="X236" i="1"/>
  <c r="AD143" i="1"/>
  <c r="X59" i="1"/>
  <c r="X112" i="1"/>
  <c r="X217" i="1"/>
  <c r="AD137" i="1"/>
  <c r="X38" i="1"/>
  <c r="X71" i="1"/>
  <c r="X170" i="1"/>
  <c r="AD80" i="1"/>
  <c r="X114" i="1"/>
  <c r="X78" i="1"/>
  <c r="X115" i="1"/>
  <c r="X102" i="1"/>
  <c r="X56" i="1"/>
  <c r="AD148" i="1"/>
  <c r="X3" i="1"/>
  <c r="X245" i="1"/>
  <c r="X105" i="1"/>
  <c r="X255" i="1"/>
  <c r="X42" i="1"/>
  <c r="X176" i="1"/>
  <c r="X159" i="1"/>
  <c r="X117" i="1"/>
  <c r="X60" i="1"/>
  <c r="X132" i="1"/>
  <c r="X204" i="1"/>
  <c r="X100" i="1"/>
  <c r="X122" i="1"/>
  <c r="X129" i="1"/>
  <c r="X44" i="1"/>
  <c r="X32" i="1"/>
  <c r="X220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U36" i="4"/>
  <c r="X36" i="4"/>
  <c r="V36" i="4"/>
  <c r="W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L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10" i="4"/>
  <c r="T9" i="4"/>
  <c r="L37" i="4" l="1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9" i="4" l="1"/>
  <c r="V10" i="4"/>
  <c r="T20" i="4"/>
  <c r="T32" i="4"/>
  <c r="T18" i="4"/>
  <c r="T43" i="4"/>
  <c r="W9" i="4"/>
  <c r="T45" i="4"/>
  <c r="T35" i="4"/>
  <c r="U10" i="4"/>
  <c r="W32" i="4"/>
  <c r="U45" i="4"/>
  <c r="T34" i="4"/>
  <c r="T8" i="4"/>
  <c r="T25" i="4"/>
  <c r="T40" i="4"/>
  <c r="W40" i="4"/>
  <c r="X32" i="4"/>
  <c r="T5" i="4"/>
  <c r="T56" i="4"/>
  <c r="T39" i="4"/>
  <c r="T12" i="4"/>
  <c r="W5" i="4"/>
  <c r="W35" i="4"/>
  <c r="X34" i="4"/>
  <c r="X25" i="4"/>
  <c r="V5" i="4"/>
  <c r="V12" i="4"/>
  <c r="W56" i="4"/>
  <c r="T28" i="4"/>
  <c r="T42" i="4"/>
  <c r="W10" i="4"/>
  <c r="U9" i="4"/>
  <c r="T30" i="4"/>
  <c r="T37" i="4"/>
  <c r="V45" i="4"/>
  <c r="V43" i="4"/>
  <c r="U30" i="4"/>
  <c r="X42" i="4"/>
  <c r="V30" i="4"/>
  <c r="T22" i="4"/>
  <c r="T38" i="4"/>
  <c r="W38" i="4"/>
  <c r="U28" i="4"/>
  <c r="T29" i="4"/>
  <c r="T23" i="4"/>
  <c r="W18" i="4"/>
  <c r="T53" i="4"/>
  <c r="X43" i="4"/>
  <c r="T54" i="4"/>
  <c r="X12" i="4"/>
  <c r="U29" i="4"/>
  <c r="W30" i="4"/>
  <c r="X10" i="4"/>
  <c r="U32" i="4"/>
  <c r="V39" i="4"/>
  <c r="X30" i="4"/>
  <c r="V22" i="4"/>
  <c r="W8" i="4"/>
  <c r="W25" i="4"/>
  <c r="X29" i="4"/>
  <c r="V23" i="4"/>
  <c r="U5" i="4"/>
  <c r="U56" i="4"/>
  <c r="W12" i="4"/>
  <c r="V28" i="4"/>
  <c r="V42" i="4"/>
  <c r="T41" i="4"/>
  <c r="V41" i="4" s="1"/>
  <c r="T27" i="4"/>
  <c r="T16" i="4"/>
  <c r="T7" i="4"/>
  <c r="V7" i="4" s="1"/>
  <c r="V32" i="4"/>
  <c r="T21" i="4"/>
  <c r="X9" i="4"/>
  <c r="T46" i="4"/>
  <c r="U18" i="4"/>
  <c r="X41" i="4"/>
  <c r="V16" i="4"/>
  <c r="X18" i="4"/>
  <c r="X35" i="4"/>
  <c r="U41" i="4"/>
  <c r="U27" i="4"/>
  <c r="W34" i="4"/>
  <c r="U34" i="4"/>
  <c r="V25" i="4"/>
  <c r="T24" i="4"/>
  <c r="T50" i="4"/>
  <c r="U50" i="4" s="1"/>
  <c r="T11" i="4"/>
  <c r="V11" i="4"/>
  <c r="V20" i="4"/>
  <c r="T48" i="4"/>
  <c r="T47" i="4"/>
  <c r="V47" i="4" s="1"/>
  <c r="W27" i="4"/>
  <c r="U25" i="4"/>
  <c r="X27" i="4"/>
  <c r="W50" i="4"/>
  <c r="U47" i="4"/>
  <c r="U40" i="4"/>
  <c r="X21" i="4"/>
  <c r="U12" i="4"/>
  <c r="X8" i="4"/>
  <c r="V24" i="4"/>
  <c r="X5" i="4"/>
  <c r="X56" i="4"/>
  <c r="W39" i="4"/>
  <c r="W47" i="4"/>
  <c r="U11" i="4"/>
  <c r="T31" i="4"/>
  <c r="T52" i="4"/>
  <c r="W20" i="4"/>
  <c r="T15" i="4"/>
  <c r="T49" i="4"/>
  <c r="X49" i="4" s="1"/>
  <c r="V18" i="4"/>
  <c r="W7" i="4"/>
  <c r="W41" i="4"/>
  <c r="T55" i="4"/>
  <c r="U43" i="4"/>
  <c r="U46" i="4"/>
  <c r="T13" i="4"/>
  <c r="W37" i="4"/>
  <c r="X52" i="4"/>
  <c r="V46" i="4"/>
  <c r="V37" i="4"/>
  <c r="W43" i="4"/>
  <c r="X28" i="4"/>
  <c r="T57" i="4"/>
  <c r="W57" i="4" s="1"/>
  <c r="T19" i="4"/>
  <c r="X19" i="4" s="1"/>
  <c r="W19" i="4"/>
  <c r="T26" i="4"/>
  <c r="X7" i="4"/>
  <c r="T6" i="4"/>
  <c r="U20" i="4"/>
  <c r="W42" i="4"/>
  <c r="U7" i="4"/>
  <c r="T44" i="4"/>
  <c r="U8" i="4"/>
  <c r="X20" i="4"/>
  <c r="X31" i="4"/>
  <c r="T33" i="4"/>
  <c r="U33" i="4" s="1"/>
  <c r="X50" i="4"/>
  <c r="U39" i="4"/>
  <c r="T17" i="4"/>
  <c r="V17" i="4" s="1"/>
  <c r="V27" i="4"/>
  <c r="T14" i="4"/>
  <c r="U14" i="4" s="1"/>
  <c r="W45" i="4"/>
  <c r="T51" i="4"/>
  <c r="X51" i="4" s="1"/>
  <c r="V35" i="4"/>
  <c r="V6" i="4"/>
  <c r="V53" i="4"/>
  <c r="X17" i="4"/>
  <c r="X53" i="4"/>
  <c r="X40" i="4"/>
  <c r="V54" i="4"/>
  <c r="U37" i="4"/>
  <c r="W51" i="4"/>
  <c r="U35" i="4"/>
  <c r="V34" i="4"/>
  <c r="X57" i="4"/>
  <c r="V8" i="4"/>
  <c r="V26" i="4"/>
  <c r="X23" i="4"/>
  <c r="U6" i="4"/>
  <c r="W24" i="4"/>
  <c r="V50" i="4"/>
  <c r="X39" i="4"/>
  <c r="X47" i="4"/>
  <c r="V56" i="4"/>
  <c r="X45" i="4"/>
  <c r="W28" i="4"/>
  <c r="U52" i="4"/>
  <c r="W52" i="4"/>
  <c r="U42" i="4"/>
  <c r="V15" i="4"/>
  <c r="U49" i="4"/>
  <c r="U55" i="4"/>
  <c r="X22" i="4"/>
  <c r="U22" i="4"/>
  <c r="V38" i="4"/>
  <c r="U57" i="4"/>
  <c r="W26" i="4"/>
  <c r="U26" i="4"/>
  <c r="V29" i="4"/>
  <c r="W23" i="4"/>
  <c r="X6" i="4"/>
  <c r="U53" i="4"/>
  <c r="W54" i="4"/>
  <c r="W33" i="4"/>
  <c r="W17" i="4"/>
  <c r="X14" i="4"/>
  <c r="V51" i="4"/>
  <c r="U17" i="4"/>
  <c r="V19" i="4"/>
  <c r="U44" i="4"/>
  <c r="V40" i="4"/>
  <c r="V52" i="4"/>
  <c r="V49" i="4"/>
  <c r="X55" i="4"/>
  <c r="X38" i="4"/>
  <c r="U19" i="4"/>
  <c r="W29" i="4"/>
  <c r="W6" i="4"/>
  <c r="U54" i="4"/>
  <c r="X33" i="4"/>
  <c r="V14" i="4"/>
  <c r="W53" i="4"/>
  <c r="U38" i="4"/>
  <c r="X54" i="4"/>
  <c r="U51" i="4"/>
  <c r="V33" i="4"/>
  <c r="U15" i="4"/>
  <c r="W49" i="4"/>
  <c r="W22" i="4"/>
  <c r="V57" i="4"/>
  <c r="X26" i="4"/>
  <c r="U23" i="4"/>
  <c r="X44" i="4"/>
  <c r="W14" i="4"/>
  <c r="X48" i="4"/>
  <c r="X16" i="4"/>
  <c r="W16" i="4"/>
  <c r="U16" i="4"/>
  <c r="U21" i="4"/>
  <c r="W21" i="4"/>
  <c r="V21" i="4"/>
  <c r="X46" i="4"/>
  <c r="W46" i="4"/>
  <c r="U24" i="4"/>
  <c r="X24" i="4"/>
  <c r="X11" i="4"/>
  <c r="W11" i="4"/>
  <c r="U48" i="4"/>
  <c r="W48" i="4"/>
  <c r="V48" i="4"/>
  <c r="U31" i="4"/>
  <c r="V31" i="4"/>
  <c r="W15" i="4"/>
  <c r="X15" i="4"/>
  <c r="V55" i="4"/>
  <c r="W55" i="4"/>
  <c r="V13" i="4"/>
  <c r="U13" i="4"/>
  <c r="W13" i="4"/>
  <c r="V44" i="4"/>
  <c r="W44" i="4"/>
  <c r="X13" i="4" l="1"/>
  <c r="W31" i="4"/>
  <c r="X37" i="4"/>
</calcChain>
</file>

<file path=xl/sharedStrings.xml><?xml version="1.0" encoding="utf-8"?>
<sst xmlns="http://schemas.openxmlformats.org/spreadsheetml/2006/main" count="570" uniqueCount="313">
  <si>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</si>
  <si>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</si>
  <si>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</si>
  <si>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</si>
  <si>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</si>
  <si>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</si>
  <si>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</si>
  <si>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</si>
  <si>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</si>
  <si>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</si>
  <si>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</si>
  <si>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</si>
  <si>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</si>
  <si>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</si>
  <si>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</si>
  <si>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</si>
  <si>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</si>
  <si>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</si>
  <si>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</si>
  <si>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</si>
  <si>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</si>
  <si>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</si>
  <si>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</si>
  <si>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</si>
  <si>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</si>
  <si>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</si>
  <si>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</si>
  <si>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</si>
  <si>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</si>
  <si>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</si>
  <si>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</si>
  <si>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</si>
  <si>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</si>
  <si>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</si>
  <si>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</si>
  <si>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</si>
  <si>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</si>
  <si>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</si>
  <si>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</si>
  <si>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</si>
  <si>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</si>
  <si>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</si>
  <si>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</si>
  <si>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</si>
  <si>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</si>
  <si>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</si>
  <si>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</si>
  <si>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</si>
  <si>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</si>
  <si>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</si>
  <si>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</si>
  <si>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</si>
  <si>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</si>
  <si>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</si>
  <si>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</si>
  <si>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</si>
  <si>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</si>
  <si>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</si>
  <si>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</si>
  <si>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</si>
  <si>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</si>
  <si>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</si>
  <si>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</si>
  <si>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</si>
  <si>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</si>
  <si>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</si>
  <si>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</si>
  <si>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</si>
  <si>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</si>
  <si>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</si>
  <si>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</si>
  <si>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</si>
  <si>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</si>
  <si>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</si>
  <si>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</si>
  <si>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</si>
  <si>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</si>
  <si>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</si>
  <si>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</si>
  <si>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</si>
  <si>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</si>
  <si>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</si>
  <si>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</si>
  <si>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</si>
  <si>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</si>
  <si>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</si>
  <si>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</si>
  <si>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</si>
  <si>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</si>
  <si>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</si>
  <si>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</si>
  <si>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</si>
  <si>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</si>
  <si>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</si>
  <si>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</si>
  <si>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</si>
  <si>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</si>
  <si>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</si>
  <si>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</si>
  <si>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</si>
  <si>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</si>
  <si>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</si>
  <si>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</si>
  <si>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</si>
  <si>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</si>
  <si>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</si>
  <si>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</si>
  <si>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</si>
  <si>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</si>
  <si>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</si>
  <si>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</si>
  <si>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</si>
  <si>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</si>
  <si>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</si>
  <si>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</si>
  <si>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</si>
  <si>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</si>
  <si>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</si>
  <si>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</si>
  <si>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</si>
  <si>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</si>
  <si>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</si>
  <si>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</si>
  <si>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</si>
  <si>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</si>
  <si>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</si>
  <si>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</si>
  <si>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</si>
  <si>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</si>
  <si>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</si>
  <si>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</si>
  <si>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</si>
  <si>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</si>
  <si>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</si>
  <si>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</si>
  <si>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</si>
  <si>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</si>
  <si>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</si>
  <si>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</si>
  <si>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</si>
  <si>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</si>
  <si>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</si>
  <si>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</si>
  <si>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</si>
  <si>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</si>
  <si>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</si>
  <si>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</si>
  <si>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</si>
  <si>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</si>
  <si>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</si>
  <si>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</si>
  <si>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</si>
  <si>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</si>
  <si>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</si>
  <si>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</si>
  <si>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</si>
  <si>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</si>
  <si>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</si>
  <si>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</si>
  <si>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</si>
  <si>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</si>
  <si>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</si>
  <si>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</si>
  <si>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</si>
  <si>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</si>
  <si>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</si>
  <si>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</si>
  <si>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</si>
  <si>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</si>
  <si>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</si>
  <si>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</si>
  <si>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</si>
  <si>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</si>
  <si>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</si>
  <si>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</si>
  <si>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</si>
  <si>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</si>
  <si>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</si>
  <si>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</si>
  <si>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</si>
  <si>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</si>
  <si>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 xml:space="preserve"> 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</si>
  <si>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</si>
  <si>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</si>
  <si>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</si>
  <si>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</si>
  <si>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</si>
  <si>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</si>
  <si>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</si>
  <si>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</si>
  <si>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</si>
  <si>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</si>
  <si>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</si>
  <si>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</si>
  <si>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</si>
  <si>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</si>
  <si>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</si>
  <si>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</si>
  <si>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</si>
  <si>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</si>
  <si>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</si>
  <si>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</si>
  <si>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</si>
  <si>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</si>
  <si>
    <t>GRS</t>
  </si>
  <si>
    <t>ISIJKPL05</t>
  </si>
  <si>
    <t>ISI PENSIL 2B 0.5 MM JOYKO PL-05</t>
  </si>
  <si>
    <t>ISIJKPL11</t>
  </si>
  <si>
    <t>ISI PENSIL 2B 2.0 MM JOYKO PL-11</t>
  </si>
  <si>
    <t>3033</t>
  </si>
  <si>
    <t>CLIKEN5</t>
  </si>
  <si>
    <t>PAPER JUMBO CLIP KENKO NO. 5</t>
  </si>
  <si>
    <t>GARKEN40CM</t>
  </si>
  <si>
    <t>GARISAN BESI (STAINLESS STEEL) KENKO 40 CM</t>
  </si>
  <si>
    <t>3035</t>
  </si>
  <si>
    <t>dwijaya</t>
  </si>
  <si>
    <t>CLIKEN260</t>
  </si>
  <si>
    <t>BINDER CLIP KENKO NO. 260</t>
  </si>
  <si>
    <t>STAKENHD12N13</t>
  </si>
  <si>
    <t>STAPLER HEAVY DUTY KENKO HD-12N/13</t>
  </si>
  <si>
    <t>STAKENHD12N24</t>
  </si>
  <si>
    <t>STAKENHD12L24</t>
  </si>
  <si>
    <t>STAPLER HEAVY DUTY KENKO HD-12L/24</t>
  </si>
  <si>
    <t>STAPLER HEAVY DUTY KENKO HD-12N/24</t>
  </si>
  <si>
    <t>3047</t>
  </si>
  <si>
    <t>STAKENHD10</t>
  </si>
  <si>
    <t>STAPLER KENKO HD-10</t>
  </si>
  <si>
    <t>3502</t>
  </si>
  <si>
    <t>CALJKCC8CO</t>
  </si>
  <si>
    <t>PUNJK85</t>
  </si>
  <si>
    <t>PENJKGP237</t>
  </si>
  <si>
    <t>BINDER NOTE JOYKO A5-TSAF-F511 (ANIMAL FACE) JK-F</t>
  </si>
  <si>
    <t>BINDER NOTE JOYKO A5-TSAF-F512 (ANIMAL FACE) JK-F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</si>
  <si>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</si>
  <si>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</si>
  <si>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</si>
  <si>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</si>
  <si>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</si>
  <si>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</si>
  <si>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</si>
  <si>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</si>
  <si>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3036</t>
  </si>
  <si>
    <t>3572</t>
  </si>
  <si>
    <t>TIPKENKE01</t>
  </si>
  <si>
    <t>TIPKENCT902</t>
  </si>
  <si>
    <t>PENKENK1HITAM</t>
  </si>
  <si>
    <t>PENKENKE303HITAM</t>
  </si>
  <si>
    <t>CLIKEN3100</t>
  </si>
  <si>
    <t>DESKEN8312</t>
  </si>
  <si>
    <t>CLIKEN105</t>
  </si>
  <si>
    <t>PUSKENPN30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</si>
  <si>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</si>
  <si>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</si>
  <si>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</si>
  <si>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</si>
  <si>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</si>
  <si>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</si>
  <si>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PUSH PIN KENKO PN-30</t>
  </si>
  <si>
    <t>3520</t>
  </si>
  <si>
    <t>TIPKENKE108</t>
  </si>
  <si>
    <t>CORRECTION FLUID KENKO KE-108</t>
  </si>
  <si>
    <t>LENA / YO</t>
  </si>
  <si>
    <t>3516</t>
  </si>
  <si>
    <t>1585</t>
  </si>
  <si>
    <t>PC</t>
  </si>
  <si>
    <t>GARISAN BESI (STAINLESS STEEL) KENKO 100 CM / 1 M</t>
  </si>
  <si>
    <t>GARISAN BESI (STAINLESS STEEL) KENKO 15 CM</t>
  </si>
  <si>
    <t>NOVI / YO</t>
  </si>
  <si>
    <t>LS</t>
  </si>
  <si>
    <t>3589</t>
  </si>
  <si>
    <t>CALCULATOR JOYKO CC-12CO</t>
  </si>
  <si>
    <t>CUTTER 18 MM KENKO L-500 (BESAR)</t>
  </si>
  <si>
    <t>3591</t>
  </si>
  <si>
    <t>PENSIL WARNA KENKO CP-12F CLASSIC (PANJANG)</t>
  </si>
  <si>
    <t>STAMP PLATE DATER KENKO S-68 (Cap Lunas)</t>
  </si>
  <si>
    <t>3599</t>
  </si>
  <si>
    <t>nirmala</t>
  </si>
  <si>
    <t>lsn</t>
  </si>
  <si>
    <t>PENKEN6393</t>
  </si>
  <si>
    <t>PUNKEN30NP</t>
  </si>
  <si>
    <t>PENJKGP218</t>
  </si>
  <si>
    <t>ISOKENBENING</t>
  </si>
  <si>
    <t>ISOPOLARMN305</t>
  </si>
  <si>
    <t>PENJKGP243</t>
  </si>
  <si>
    <t>PENJKBP288</t>
  </si>
  <si>
    <t>STAKENHD10MP</t>
  </si>
  <si>
    <t>BKKASKWARTO</t>
  </si>
  <si>
    <t>BKKASFOLIO</t>
  </si>
  <si>
    <t>LEMKENLG35</t>
  </si>
  <si>
    <t>LLJAB550</t>
  </si>
  <si>
    <t>PUNCH KENKO NO. 30NP</t>
  </si>
  <si>
    <t>GEL PEN JOYKO GP-218</t>
  </si>
  <si>
    <t>PLAKBAND BENING 80 M KENKO 48 MM RED CORE</t>
  </si>
  <si>
    <t>GEL PEN JOYKO GP-243 WHIZ GEL HITAM</t>
  </si>
  <si>
    <t>BALLPEN JOYKO BP-288 QUACO 3 (4 WARNA)</t>
  </si>
  <si>
    <t>TAPE DISPENSER POLAR BEAR MN-305</t>
  </si>
  <si>
    <t>PENSIL KENKO 2B-6393 FLUORESCENT</t>
  </si>
  <si>
    <t>BUKU KAS KWARTO</t>
  </si>
  <si>
    <t>LEM CAIR 35 ML KENKO LG-35</t>
  </si>
  <si>
    <t>LOOSE LEAF JOYART B5-2670 (50S)</t>
  </si>
  <si>
    <t>BUKU KAS FOLIO</t>
  </si>
  <si>
    <t>STAPLER KENKO HD-10MP (MINI PLASTIK)</t>
  </si>
  <si>
    <t>CV FM 90</t>
  </si>
  <si>
    <t>3605</t>
  </si>
  <si>
    <t>CUTKENL500</t>
  </si>
  <si>
    <t>3615</t>
  </si>
  <si>
    <t>box</t>
  </si>
  <si>
    <t>lemken15gr</t>
  </si>
  <si>
    <t>pwjk12wpendek</t>
  </si>
  <si>
    <t>isikenbesar</t>
  </si>
  <si>
    <t>LEM STICK KENKO 15 GR (TANGGUNG) isi 20 pc</t>
  </si>
  <si>
    <t>PENSIL WARNA JOYKO CP-S12 MINI (PENDEK)</t>
  </si>
  <si>
    <t>ISI CUTTER 18 MM KENKO L-150 (BESAR)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</si>
</sst>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0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69.658090740741" createdVersion="5" refreshedVersion="5" minRefreshableVersion="3" recordCount="266">
  <cacheSource type="worksheet">
    <worksheetSource name="Table1" r:id="rId2"/>
  </cacheSource>
  <cacheFields count="32">
    <cacheField name="//" numFmtId="0">
      <sharedItems containsMixedTypes="1" containsNumber="1" containsInteger="1" minValue="4" maxValue="127" count="49">
        <s v=""/>
        <n v="4"/>
        <n v="6"/>
        <n v="9"/>
        <n v="12"/>
        <n v="15"/>
        <n v="17"/>
        <n v="19"/>
        <n v="26"/>
        <n v="28"/>
        <n v="30"/>
        <n v="32"/>
        <n v="34"/>
        <n v="36"/>
        <n v="38"/>
        <n v="40"/>
        <n v="42"/>
        <n v="44"/>
        <n v="48"/>
        <n v="50"/>
        <n v="58"/>
        <n v="61"/>
        <n v="64"/>
        <n v="69"/>
        <n v="71"/>
        <n v="84"/>
        <n v="90"/>
        <n v="92"/>
        <n v="94"/>
        <n v="97"/>
        <n v="106"/>
        <n v="109"/>
        <n v="125"/>
        <n v="127"/>
        <n v="96" u="1"/>
        <n v="18" u="1"/>
        <n v="86" u="1"/>
        <n v="20" u="1"/>
        <n v="33" u="1"/>
        <n v="21" u="1"/>
        <n v="35" u="1"/>
        <n v="37" u="1"/>
        <n v="39" u="1"/>
        <n v="41" u="1"/>
        <n v="43" u="1"/>
        <n v="27" u="1"/>
        <n v="29" u="1"/>
        <n v="88" u="1"/>
        <n v="31" u="1"/>
      </sharedItems>
    </cacheField>
    <cacheField name="h_No. Invoice :" numFmtId="0">
      <sharedItems containsMixedTypes="1" containsNumber="1" containsInteger="1" minValue="23080001" maxValue="23080033"/>
    </cacheField>
    <cacheField name="Tgl Invoice :" numFmtId="164">
      <sharedItems containsDate="1" containsMixedTypes="1" minDate="2023-08-02T00:00:00" maxDate="2147-04-02T00:00:00"/>
    </cacheField>
    <cacheField name="H_TGL" numFmtId="1">
      <sharedItems containsString="0" containsBlank="1" containsNumber="1" containsInteger="1" minValue="2" maxValue="45169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750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minValue="35640" maxValue="1345248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27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15552000"/>
    </cacheField>
    <cacheField name="h_disc 1" numFmtId="43">
      <sharedItems containsMixedTypes="1" containsNumber="1" minValue="0" maxValue="209952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099520"/>
    </cacheField>
    <cacheField name="h_hargasetelahdiskon" numFmtId="43">
      <sharedItems containsMixedTypes="1" containsNumber="1" minValue="35640" maxValue="13452480"/>
    </cacheField>
    <cacheField name="Total Invoice" numFmtId="43">
      <sharedItems containsMixedTypes="1" containsNumber="1" minValue="0" maxValue="288120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6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s v=""/>
    <m/>
    <s v=" "/>
    <s v=" "/>
    <s v=" "/>
    <s v="AM 23080009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s v=""/>
    <m/>
    <s v=" "/>
    <s v=" "/>
    <s v=" "/>
    <s v="AM 23080010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s v=""/>
    <m/>
    <s v=" "/>
    <s v=" "/>
    <m/>
    <s v="AM 23080011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s v=""/>
    <m/>
    <s v=" "/>
    <s v=" "/>
    <s v=" "/>
    <s v="AM 2308001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s v=""/>
    <m/>
    <s v=" "/>
    <s v=" "/>
    <m/>
    <s v="AM 23080013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s v=""/>
    <m/>
    <s v=" "/>
    <s v=" "/>
    <m/>
    <s v="AM 23080014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5"/>
    <n v="23080015"/>
    <s v=""/>
    <m/>
    <s v=" "/>
    <s v=" "/>
    <m/>
    <s v="AM 23080015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80016"/>
    <d v="2023-08-10T00:00:00"/>
    <n v="10"/>
    <s v="a"/>
    <s v="1930"/>
    <s v="reni"/>
    <s v="AM 23080016"/>
    <s v="A 1930"/>
    <s v="CV FM 90 KEBUMEN"/>
    <n v="144"/>
    <s v="LSN"/>
    <n v="1"/>
    <m/>
    <s v=""/>
    <s v="GEL PEN TRIFELLO HI-TECH TF-1190 HITAM"/>
    <n v="28500"/>
    <m/>
    <m/>
    <n v="4104000"/>
    <s v="NOVI / CONDRO"/>
    <m/>
    <n v="42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4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4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4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48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0"/>
    <n v="7"/>
    <n v="1490400"/>
    <n v="186300"/>
    <n v="0"/>
    <n v="186300"/>
    <n v="1304100"/>
    <n v="1022175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0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40500"/>
    <n v="0.125"/>
    <m/>
    <n v="708750"/>
    <m/>
    <m/>
    <n v="50"/>
    <n v="7"/>
    <n v="810000"/>
    <n v="101250"/>
    <n v="0"/>
    <n v="101250"/>
    <n v="708750"/>
    <s v=""/>
    <m/>
    <s v="MESIN LABEL HARGA KENKO MX-5500 (8 DIGITS, 1 LINE)PCS405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25"/>
    <m/>
    <n v="2992500"/>
    <m/>
    <m/>
    <n v="50"/>
    <n v="7"/>
    <n v="3420000"/>
    <n v="427500"/>
    <n v="0"/>
    <n v="427500"/>
    <n v="2992500"/>
    <s v=""/>
    <m/>
    <s v="CUTTER 9 MM KENKO A-300 (KECIL)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80020"/>
    <d v="2023-08-16T00:00:00"/>
    <n v="16"/>
    <s v="G"/>
    <s v="3036"/>
    <s v="REJOAGUNG"/>
    <s v="AM 23080020"/>
    <s v="G 3036"/>
    <s v="LILY JULIAWATI (REJO AGUNG) JOMBANG"/>
    <n v="24"/>
    <s v="GRS"/>
    <n v="2"/>
    <s v="ISIJKPL05"/>
    <s v="ISI PENSIL 2B 0.5 MM JOYKO PL-05"/>
    <s v="ISI PENSIL 2B 0.5 MM JOYKO PL-05"/>
    <n v="176400"/>
    <n v="0.125"/>
    <m/>
    <n v="3704400"/>
    <s v="NOVI / CONDRO"/>
    <m/>
    <n v="58"/>
    <n v="2"/>
    <n v="4233600"/>
    <n v="529200"/>
    <n v="0"/>
    <n v="529200"/>
    <n v="3704400"/>
    <n v="8391600"/>
    <m/>
    <s v="ISI PENSIL 2B 0.5 MM JOYKO PL-05GRS176400"/>
  </r>
  <r>
    <x v="0"/>
    <s v=""/>
    <s v=""/>
    <m/>
    <m/>
    <m/>
    <m/>
    <s v=""/>
    <s v=" "/>
    <s v=""/>
    <n v="144"/>
    <s v="LSN"/>
    <n v="2"/>
    <s v="ISIJKPL11"/>
    <s v="ISI PENSIL 2B 2.0 MM JOYKO PL-11"/>
    <s v="ISI PENSIL 2B 2.0 MM JOYKO PL-11"/>
    <n v="37200"/>
    <n v="0.125"/>
    <m/>
    <n v="4687200"/>
    <m/>
    <m/>
    <n v="58"/>
    <n v="2"/>
    <n v="5356800"/>
    <n v="669600"/>
    <n v="0"/>
    <n v="669600"/>
    <n v="4687200"/>
    <s v=""/>
    <m/>
    <s v="ISI PENSIL 2B 2.0 MM JOYKO PL-11LSN37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80021"/>
    <d v="2023-08-16T00:00:00"/>
    <n v="16"/>
    <s v="KO"/>
    <s v="3033"/>
    <s v="BENDAN"/>
    <s v="AM 23080021"/>
    <s v="KO 3033"/>
    <s v="HARNOYO (BENDAN) PEKALONGAN"/>
    <n v="40"/>
    <s v="PAK"/>
    <n v="1"/>
    <s v="CLIKEN5"/>
    <s v="PAPER JUMBO CLIP KENKO NO. 5"/>
    <s v="PAPER JUMBO CLIP KENKO NO. 5"/>
    <n v="43000"/>
    <n v="0.14000000000000001"/>
    <m/>
    <n v="1479200"/>
    <s v="NOVI / CONDRO"/>
    <m/>
    <n v="61"/>
    <n v="2"/>
    <n v="1720000"/>
    <n v="240800.00000000003"/>
    <n v="0"/>
    <n v="240800.00000000003"/>
    <n v="1479200"/>
    <n v="1759904"/>
    <m/>
    <s v="PAPER JUMBO CLIP KENKO NO. 5PAK43000"/>
  </r>
  <r>
    <x v="0"/>
    <s v=""/>
    <s v=""/>
    <m/>
    <m/>
    <m/>
    <m/>
    <s v=""/>
    <s v=" "/>
    <s v=""/>
    <n v="2"/>
    <s v="LSN"/>
    <m/>
    <s v="GARKEN40CM"/>
    <s v="GARISAN BESI (STAINLESS STEEL) KENKO 40 CM"/>
    <s v="GARISAN BESI (STAINLESS STEEL) KENKO 40 CM"/>
    <n v="163200"/>
    <n v="0.14000000000000001"/>
    <m/>
    <n v="280704"/>
    <m/>
    <m/>
    <n v="61"/>
    <n v="2"/>
    <n v="326400"/>
    <n v="45696.000000000007"/>
    <n v="0"/>
    <n v="45696.000000000007"/>
    <n v="280704"/>
    <s v=""/>
    <m/>
    <s v="GARISAN BESI (STAINLESS STEEL) KENKO 40 CMLSN163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80022"/>
    <d v="2023-08-16T00:00:00"/>
    <n v="16"/>
    <s v="KO"/>
    <s v="3035"/>
    <s v="dwijaya"/>
    <s v="AM 23080022"/>
    <s v="KO 3035"/>
    <s v="CV DWI JAYA YOGYAKARTA"/>
    <n v="5"/>
    <s v="GRS"/>
    <n v="1"/>
    <s v="CLIKEN260"/>
    <s v="BINDER CLIP KENKO NO. 260"/>
    <s v="BINDER CLIP KENKO NO. 260"/>
    <n v="180000"/>
    <n v="0.1"/>
    <m/>
    <n v="810000"/>
    <s v="NOVI / CONDRO"/>
    <m/>
    <n v="64"/>
    <n v="4"/>
    <n v="900000"/>
    <n v="90000"/>
    <n v="0"/>
    <n v="90000"/>
    <n v="810000"/>
    <n v="2330100"/>
    <m/>
    <s v="BINDER CLIP KENKO NO. 260GRS180000"/>
  </r>
  <r>
    <x v="0"/>
    <s v=""/>
    <s v=""/>
    <m/>
    <m/>
    <m/>
    <m/>
    <s v=""/>
    <s v=" "/>
    <s v=""/>
    <n v="6"/>
    <s v="PCS"/>
    <m/>
    <s v="STAKENHD12N13"/>
    <s v="STAPLER HEAVY DUTY KENKO HD-12N/13"/>
    <s v="STAPLER HEAVY DUTY KENKO HD-12N/13"/>
    <n v="84000"/>
    <n v="0.1"/>
    <m/>
    <n v="453600"/>
    <m/>
    <m/>
    <n v="64"/>
    <n v="4"/>
    <n v="504000"/>
    <n v="50400"/>
    <n v="0"/>
    <n v="50400"/>
    <n v="453600"/>
    <s v=""/>
    <m/>
    <s v="STAPLER HEAVY DUTY KENKO HD-12N/13PCS84000"/>
  </r>
  <r>
    <x v="0"/>
    <s v=""/>
    <s v=""/>
    <m/>
    <m/>
    <m/>
    <m/>
    <s v=""/>
    <s v=" "/>
    <s v=""/>
    <n v="3"/>
    <s v="PCS"/>
    <m/>
    <s v="STAKENHD12N24"/>
    <s v="STAPLER HEAVY DUTY KENKO HD-12N/24"/>
    <s v="STAPLER HEAVY DUTY KENKO HD-12N/24"/>
    <n v="155000"/>
    <n v="0.1"/>
    <m/>
    <n v="418500"/>
    <m/>
    <m/>
    <n v="64"/>
    <n v="4"/>
    <n v="465000"/>
    <n v="46500"/>
    <n v="0"/>
    <n v="46500"/>
    <n v="418500"/>
    <s v=""/>
    <m/>
    <s v="STAPLER HEAVY DUTY KENKO HD-12N/24PCS155000"/>
  </r>
  <r>
    <x v="0"/>
    <s v=""/>
    <s v=""/>
    <m/>
    <m/>
    <m/>
    <m/>
    <s v=""/>
    <s v=" "/>
    <s v=""/>
    <n v="2"/>
    <s v="PCS"/>
    <m/>
    <s v="STAKENHD12L24"/>
    <s v="STAPLER HEAVY DUTY KENKO HD-12L/24"/>
    <s v="STAPLER HEAVY DUTY KENKO HD-12L/24"/>
    <n v="360000"/>
    <n v="0.1"/>
    <m/>
    <n v="648000"/>
    <m/>
    <m/>
    <n v="64"/>
    <n v="4"/>
    <n v="720000"/>
    <n v="72000"/>
    <n v="0"/>
    <n v="72000"/>
    <n v="648000"/>
    <s v=""/>
    <m/>
    <s v="STAPLER HEAVY DUTY KENKO HD-12L/24PCS360000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80023"/>
    <d v="2023-08-18T00:00:00"/>
    <n v="18"/>
    <s v="KO"/>
    <s v="3047"/>
    <s v="ANUGERAH"/>
    <s v="AM 23080023"/>
    <s v="KO 3047"/>
    <s v="CV PELITA JAYA (ANUGERAH SEJAHTERA) PURWOKERTO"/>
    <n v="100"/>
    <s v="LSN"/>
    <n v="5"/>
    <s v="STAKENHD10"/>
    <s v="STAPLER KENKO HD-10"/>
    <s v="STAPLER KENKO HD-10"/>
    <n v="93000"/>
    <n v="0.13500000000000001"/>
    <m/>
    <n v="8044500"/>
    <s v="NOVI / CONDRO"/>
    <m/>
    <n v="69"/>
    <n v="1"/>
    <n v="9300000"/>
    <n v="1255500"/>
    <n v="0"/>
    <n v="1255500"/>
    <n v="8044500"/>
    <n v="8044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80024"/>
    <d v="2023-08-18T00:00:00"/>
    <n v="18"/>
    <s v="G"/>
    <s v="3502"/>
    <s v="REJOAGUNG"/>
    <s v="AM 23080024"/>
    <s v="G 3502"/>
    <s v="LILY JULIAWATI (REJO AGUNG) JOMBANG"/>
    <n v="120"/>
    <s v="PCS"/>
    <n v="1"/>
    <s v="CALJKCC8CO"/>
    <s v="CALCULATOR JOYKO CC-8CO WARNA"/>
    <s v="CALCULATOR JOYKO CC-8CO WARNA"/>
    <n v="47000"/>
    <n v="0.125"/>
    <m/>
    <n v="4935000"/>
    <s v="NOVI / CONDRO"/>
    <m/>
    <n v="71"/>
    <n v="12"/>
    <n v="5640000"/>
    <n v="705000"/>
    <n v="0"/>
    <n v="705000"/>
    <n v="4935000"/>
    <n v="28812000"/>
    <m/>
    <s v="CALCULATOR JOYKO CC-8CO WARNAPCS47000"/>
  </r>
  <r>
    <x v="0"/>
    <s v=""/>
    <s v=""/>
    <m/>
    <m/>
    <m/>
    <m/>
    <s v=""/>
    <s v=" "/>
    <s v=""/>
    <n v="72"/>
    <s v="PCS"/>
    <n v="1"/>
    <m/>
    <s v=""/>
    <s v="BINDER NOTE JOYKO A5-TSAF-F511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1 (ANIMAL FACE) JK-FPCS15800"/>
  </r>
  <r>
    <x v="0"/>
    <s v=""/>
    <s v=""/>
    <m/>
    <m/>
    <m/>
    <m/>
    <s v=""/>
    <s v=" "/>
    <s v=""/>
    <n v="72"/>
    <s v="PCS"/>
    <n v="1"/>
    <m/>
    <s v=""/>
    <s v="BINDER NOTE JOYKO A5-TSAF-F512 (ANIMAL FACE) JK-F"/>
    <n v="15800"/>
    <n v="0.125"/>
    <m/>
    <n v="995400"/>
    <m/>
    <m/>
    <n v="71"/>
    <n v="12"/>
    <n v="1137600"/>
    <n v="142200"/>
    <n v="0"/>
    <n v="142200"/>
    <n v="995400"/>
    <s v=""/>
    <m/>
    <s v="BINDER NOTE JOYKO A5-TSAF-F512 (ANIMAL FACE) JK-FPCS15800"/>
  </r>
  <r>
    <x v="0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71"/>
    <n v="12"/>
    <n v="2851200"/>
    <n v="356400"/>
    <n v="0"/>
    <n v="356400"/>
    <n v="2494800"/>
    <s v=""/>
    <m/>
    <s v="ISI PENSIL 2B 2.0 MM JOYKO PL-10LSN19800"/>
  </r>
  <r>
    <x v="0"/>
    <s v=""/>
    <s v=""/>
    <m/>
    <m/>
    <m/>
    <m/>
    <s v=""/>
    <s v=" "/>
    <s v=""/>
    <n v="48"/>
    <s v="PCS"/>
    <n v="2"/>
    <s v="PUNJK85"/>
    <s v="PUNCH JOYKO 85"/>
    <s v="PUNCH JOYKO 85"/>
    <n v="40000"/>
    <n v="0.125"/>
    <m/>
    <n v="1680000"/>
    <m/>
    <m/>
    <n v="71"/>
    <n v="12"/>
    <n v="1920000"/>
    <n v="240000"/>
    <n v="0"/>
    <n v="240000"/>
    <n v="1680000"/>
    <s v=""/>
    <m/>
    <s v="PUNCH JOYKO 85PCS40000"/>
  </r>
  <r>
    <x v="0"/>
    <s v=""/>
    <s v=""/>
    <m/>
    <m/>
    <m/>
    <m/>
    <s v=""/>
    <s v=" "/>
    <s v=""/>
    <n v="288"/>
    <s v="LSN"/>
    <n v="2"/>
    <s v="PENJKGP237"/>
    <s v="GEL PEN JOYKO GP-237 X-TECH"/>
    <s v="GEL PEN JOYKO GP-237 X-TECH"/>
    <n v="43200"/>
    <n v="0.125"/>
    <m/>
    <n v="10886400"/>
    <m/>
    <m/>
    <n v="71"/>
    <n v="12"/>
    <n v="12441600"/>
    <n v="1555200"/>
    <n v="0"/>
    <n v="1555200"/>
    <n v="10886400"/>
    <s v=""/>
    <m/>
    <s v="GEL PEN JOYKO GP-237 X-TECHLSN432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71"/>
    <n v="12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n v="72"/>
    <s v="PCS"/>
    <n v="1"/>
    <m/>
    <s v=""/>
    <s v="BINDER NOTE JOYKO A5-TSBS-M376  (BASIC) -U"/>
    <n v="15800"/>
    <n v="0.125"/>
    <m/>
    <n v="995400"/>
    <m/>
    <m/>
    <n v="71"/>
    <n v="12"/>
    <n v="1137600"/>
    <n v="142200"/>
    <n v="0"/>
    <n v="142200"/>
    <n v="995400"/>
    <s v=""/>
    <m/>
    <s v="BINDER NOTE JOYKO A5-TSBS-M376  (BASIC) -UPCS15800"/>
  </r>
  <r>
    <x v="0"/>
    <s v=""/>
    <s v=""/>
    <m/>
    <m/>
    <m/>
    <m/>
    <s v=""/>
    <s v=" "/>
    <s v=""/>
    <n v="72"/>
    <s v="PCS"/>
    <n v="1"/>
    <m/>
    <s v=""/>
    <s v="BINDER NOTE JOYKO A5-TSCS-M432 (CLASSIC) - U"/>
    <n v="15800"/>
    <n v="0.125"/>
    <m/>
    <n v="995400"/>
    <m/>
    <m/>
    <n v="71"/>
    <n v="12"/>
    <n v="1137600"/>
    <n v="142200"/>
    <n v="0"/>
    <n v="142200"/>
    <n v="995400"/>
    <s v=""/>
    <m/>
    <s v="BINDER NOTE JOYKO A5-TSCS-M432 (CLASSIC) - UPCS15800"/>
  </r>
  <r>
    <x v="0"/>
    <s v=""/>
    <s v=""/>
    <m/>
    <m/>
    <m/>
    <m/>
    <s v=""/>
    <s v=" "/>
    <s v=""/>
    <n v="72"/>
    <s v="PCS"/>
    <n v="1"/>
    <m/>
    <s v=""/>
    <s v="BINDER NOTE JOYKO A5-TSUN-M473 (UNIVERSITY) - U"/>
    <n v="15800"/>
    <n v="0.125"/>
    <m/>
    <n v="995400"/>
    <m/>
    <m/>
    <n v="71"/>
    <n v="12"/>
    <n v="1137600"/>
    <n v="142200"/>
    <n v="0"/>
    <n v="142200"/>
    <n v="995400"/>
    <s v=""/>
    <m/>
    <s v="BINDER NOTE JOYKO A5-TSUN-M473 (UNIVERSITY) - UPCS15800"/>
  </r>
  <r>
    <x v="0"/>
    <s v=""/>
    <s v=""/>
    <m/>
    <m/>
    <m/>
    <m/>
    <s v=""/>
    <s v=" "/>
    <s v=""/>
    <n v="72"/>
    <s v="PCS"/>
    <n v="1"/>
    <m/>
    <s v=""/>
    <s v="BINDER NOTE JOYKO A5-TSTP-513 (TEMPORARY) - U"/>
    <n v="15800"/>
    <n v="0.125"/>
    <m/>
    <n v="995400"/>
    <m/>
    <m/>
    <n v="71"/>
    <n v="12"/>
    <n v="1137600"/>
    <n v="142200"/>
    <n v="0"/>
    <n v="142200"/>
    <n v="995400"/>
    <s v=""/>
    <m/>
    <s v="BINDER NOTE JOYKO A5-TSTP-513 (TEMPORARY) - UPCS15800"/>
  </r>
  <r>
    <x v="0"/>
    <s v=""/>
    <s v=""/>
    <m/>
    <m/>
    <m/>
    <m/>
    <s v=""/>
    <s v=" "/>
    <s v=""/>
    <n v="72"/>
    <s v="PCS"/>
    <n v="1"/>
    <m/>
    <s v=""/>
    <s v="BINDER NOTE JOYKO A5-TSED-M477 (ACADEMY) - U"/>
    <n v="15800"/>
    <n v="0.125"/>
    <m/>
    <n v="995400"/>
    <m/>
    <m/>
    <n v="71"/>
    <n v="12"/>
    <n v="1137600"/>
    <n v="142200"/>
    <n v="0"/>
    <n v="142200"/>
    <n v="995400"/>
    <s v=""/>
    <m/>
    <s v="BINDER NOTE JOYKO A5-TSED-M477 (ACADEMY) - UPCS15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80025"/>
    <d v="2023-08-22T00:00:00"/>
    <n v="22"/>
    <s v="KO"/>
    <s v="1585"/>
    <s v="rainbow"/>
    <s v="AM 23080025"/>
    <s v="KO 1585"/>
    <s v="CV RAINBOW NUSANTARA SIDOARJO"/>
    <n v="156"/>
    <s v="PC"/>
    <m/>
    <m/>
    <s v=""/>
    <s v="JANGKA (COMPASS SET) KENKO C-288 / MS-25"/>
    <n v="7500"/>
    <n v="0.14499999999999999"/>
    <m/>
    <n v="1000350"/>
    <s v="NOVI / YO"/>
    <m/>
    <n v="84"/>
    <n v="5"/>
    <n v="1170000"/>
    <n v="169650"/>
    <n v="0"/>
    <n v="169650"/>
    <n v="1000350"/>
    <n v="2879725.5"/>
    <m/>
    <s v="JANGKA (COMPASS SET) KENKO C-288 / MS-25PC7500"/>
  </r>
  <r>
    <x v="0"/>
    <s v=""/>
    <s v=""/>
    <m/>
    <m/>
    <m/>
    <m/>
    <s v=""/>
    <s v=" "/>
    <s v=""/>
    <n v="3"/>
    <s v="PC"/>
    <m/>
    <m/>
    <s v=""/>
    <s v="GARISAN BESI (STAINLESS STEEL) KENKO 100 CM / 1 M"/>
    <n v="43500"/>
    <n v="0.14499999999999999"/>
    <m/>
    <n v="111577.5"/>
    <m/>
    <m/>
    <n v="84"/>
    <n v="5"/>
    <n v="130500"/>
    <n v="18922.5"/>
    <n v="0"/>
    <n v="18922.5"/>
    <n v="111577.5"/>
    <s v=""/>
    <m/>
    <s v="GARISAN BESI (STAINLESS STEEL) KENKO 100 CM / 1 MPC43500"/>
  </r>
  <r>
    <x v="0"/>
    <s v=""/>
    <s v=""/>
    <m/>
    <m/>
    <m/>
    <m/>
    <s v=""/>
    <s v=" "/>
    <s v=""/>
    <n v="216"/>
    <s v="PC"/>
    <m/>
    <m/>
    <s v=""/>
    <s v="GARISAN BESI (STAINLESS STEEL) KENKO 15 CM"/>
    <n v="3150"/>
    <n v="0.14499999999999999"/>
    <m/>
    <n v="581742"/>
    <m/>
    <m/>
    <n v="84"/>
    <n v="5"/>
    <n v="680400"/>
    <n v="98658"/>
    <n v="0"/>
    <n v="98658"/>
    <n v="581742"/>
    <s v=""/>
    <m/>
    <s v="GARISAN BESI (STAINLESS STEEL) KENKO 15 CMPC3150"/>
  </r>
  <r>
    <x v="0"/>
    <s v=""/>
    <s v=""/>
    <m/>
    <m/>
    <m/>
    <m/>
    <s v=""/>
    <s v=" "/>
    <s v=""/>
    <n v="288"/>
    <s v="PC"/>
    <m/>
    <m/>
    <s v=""/>
    <s v="PUSH PIN KENKO PN-30"/>
    <n v="2750"/>
    <n v="0.14499999999999999"/>
    <m/>
    <n v="677160"/>
    <m/>
    <m/>
    <n v="84"/>
    <n v="5"/>
    <n v="792000"/>
    <n v="114839.99999999999"/>
    <n v="0"/>
    <n v="114839.99999999999"/>
    <n v="677160"/>
    <s v=""/>
    <m/>
    <s v="PUSH PIN KENKO PN-30PC2750"/>
  </r>
  <r>
    <x v="0"/>
    <s v=""/>
    <s v=""/>
    <m/>
    <m/>
    <m/>
    <m/>
    <s v=""/>
    <s v=" "/>
    <s v=""/>
    <n v="96"/>
    <s v="PC"/>
    <m/>
    <m/>
    <s v=""/>
    <s v="DATE STAMP KENKO D-4 (Cap Tanggal 4 Mm)"/>
    <n v="6200"/>
    <n v="0.14499999999999999"/>
    <m/>
    <n v="508896"/>
    <m/>
    <m/>
    <n v="84"/>
    <n v="5"/>
    <n v="595200"/>
    <n v="86304"/>
    <n v="0"/>
    <n v="86304"/>
    <n v="508896"/>
    <s v=""/>
    <m/>
    <s v="DATE STAMP KENKO D-4 (Cap Tanggal 4 Mm)PC6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80026"/>
    <d v="2023-08-23T00:00:00"/>
    <n v="23"/>
    <s v="KO"/>
    <s v="3516"/>
    <s v="BENDAN"/>
    <s v="AM 23080026"/>
    <s v="KO 3516"/>
    <s v="HARNOYO (BENDAN) PEKALONGAN"/>
    <n v="100"/>
    <s v="PAK"/>
    <n v="2"/>
    <s v="CLIKEN105"/>
    <s v="BINDER CLIP KENKO NO. 105"/>
    <s v="BINDER CLIP KENKO NO. 105"/>
    <n v="17000"/>
    <n v="0.14000000000000001"/>
    <m/>
    <n v="1462000"/>
    <s v="LENA / YO"/>
    <m/>
    <n v="90"/>
    <n v="1"/>
    <n v="1700000"/>
    <n v="238000.00000000003"/>
    <n v="0"/>
    <n v="238000.00000000003"/>
    <n v="1462000"/>
    <n v="1462000"/>
    <m/>
    <s v="BINDER CLIP KENKO NO. 105PAK1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80027"/>
    <d v="2023-08-23T00:00:00"/>
    <n v="23"/>
    <s v="KO"/>
    <s v="3520"/>
    <s v="ANUGERAH"/>
    <s v="AM 23080027"/>
    <s v="KO 3520"/>
    <s v="CV PELITA JAYA (ANUGERAH SEJAHTERA) PURWOKERTO"/>
    <n v="144"/>
    <s v="LS"/>
    <n v="2"/>
    <s v="TIPKENKE108"/>
    <s v="CORRECTION FLUID KENKO KE-108"/>
    <s v="CORRECTION FLUID KENKO KE-108"/>
    <n v="47100"/>
    <n v="0.13500000000000001"/>
    <m/>
    <n v="5866776"/>
    <s v="LENA / YO"/>
    <m/>
    <n v="92"/>
    <n v="1"/>
    <n v="6782400"/>
    <n v="915624.00000000012"/>
    <n v="0"/>
    <n v="915624.00000000012"/>
    <n v="5866776"/>
    <n v="5866776"/>
    <m/>
    <s v="CORRECTION FLUID KENKO KE-108LS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80028"/>
    <d v="2023-08-28T00:00:00"/>
    <n v="28"/>
    <s v="G"/>
    <s v="3589"/>
    <s v="REJOAGUNG"/>
    <s v="AM 23080028"/>
    <s v="G 3589"/>
    <s v="LILY JULIAWATI (REJO AGUNG) JOMBANG"/>
    <n v="80"/>
    <s v="PC"/>
    <n v="1"/>
    <m/>
    <s v=""/>
    <s v="CALCULATOR JOYKO CC-12CO"/>
    <n v="56000"/>
    <n v="0.125"/>
    <m/>
    <n v="3920000"/>
    <s v="NOVI / YO"/>
    <m/>
    <n v="94"/>
    <n v="2"/>
    <n v="4480000"/>
    <n v="560000"/>
    <n v="0"/>
    <n v="560000"/>
    <n v="3920000"/>
    <n v="11669000"/>
    <m/>
    <s v="CALCULATOR JOYKO CC-12COPC56000"/>
  </r>
  <r>
    <x v="0"/>
    <s v=""/>
    <s v=""/>
    <m/>
    <m/>
    <m/>
    <m/>
    <s v=""/>
    <s v=" "/>
    <s v=""/>
    <n v="60"/>
    <s v="LS"/>
    <n v="3"/>
    <m/>
    <s v=""/>
    <s v="CUTTER 18 MM KENKO L-500 (BESAR)"/>
    <n v="147600"/>
    <n v="0.125"/>
    <m/>
    <n v="7749000"/>
    <m/>
    <m/>
    <n v="94"/>
    <n v="2"/>
    <n v="8856000"/>
    <n v="1107000"/>
    <n v="0"/>
    <n v="1107000"/>
    <n v="7749000"/>
    <s v=""/>
    <m/>
    <s v="CUTTER 18 MM KENKO L-500 (BESAR)LS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80029"/>
    <d v="2023-08-24T00:00:00"/>
    <n v="24"/>
    <s v="KO"/>
    <s v="3572"/>
    <s v="dwijaya"/>
    <s v="AM 23080029"/>
    <s v="KO 3572"/>
    <s v="CV DWI JAYA YOGYAKARTA"/>
    <n v="6"/>
    <s v="LSN"/>
    <m/>
    <s v="TIPKENKE01"/>
    <s v="CORRECTION FLUID KENKO KE-01"/>
    <s v="CORRECTION FLUID KENKO KE-01"/>
    <n v="54300"/>
    <n v="0.1"/>
    <m/>
    <n v="293220"/>
    <s v="NOVI / CONDRO"/>
    <m/>
    <n v="97"/>
    <n v="8"/>
    <n v="325800"/>
    <n v="32580"/>
    <n v="0"/>
    <n v="32580"/>
    <n v="293220"/>
    <n v="3602340"/>
    <m/>
    <s v="CORRECTION FLUID KENKO KE-01LSN54300"/>
  </r>
  <r>
    <x v="0"/>
    <s v=""/>
    <s v=""/>
    <m/>
    <m/>
    <m/>
    <m/>
    <s v=""/>
    <s v=" "/>
    <s v=""/>
    <n v="6"/>
    <s v="LSN"/>
    <m/>
    <s v="TIPKENCT902"/>
    <s v="CORRECTION TAPE KENKO CT-902 (12M x 5MM)"/>
    <s v="CORRECTION TAPE KENKO CT-902 (12M x 5MM)"/>
    <n v="60000"/>
    <n v="0.1"/>
    <m/>
    <n v="324000"/>
    <m/>
    <m/>
    <n v="97"/>
    <n v="8"/>
    <n v="360000"/>
    <n v="36000"/>
    <n v="0"/>
    <n v="36000"/>
    <n v="324000"/>
    <s v=""/>
    <m/>
    <s v="CORRECTION TAPE KENKO CT-902 (12M x 5MM)LSN60000"/>
  </r>
  <r>
    <x v="0"/>
    <s v=""/>
    <s v=""/>
    <m/>
    <m/>
    <m/>
    <m/>
    <s v=""/>
    <s v=" "/>
    <s v=""/>
    <n v="12"/>
    <s v="LSN"/>
    <m/>
    <s v="PENKENK1HITAM"/>
    <s v="GEL PEN KENKO K-1 HITAM"/>
    <s v="GEL PEN KENKO K-1 HITAM"/>
    <n v="39600"/>
    <n v="0.1"/>
    <m/>
    <n v="427680"/>
    <m/>
    <m/>
    <n v="97"/>
    <n v="8"/>
    <n v="475200"/>
    <n v="47520"/>
    <n v="0"/>
    <n v="47520"/>
    <n v="427680"/>
    <s v=""/>
    <m/>
    <s v="GEL PEN KENKO K-1 HITAMLSN39600"/>
  </r>
  <r>
    <x v="0"/>
    <s v=""/>
    <s v=""/>
    <m/>
    <m/>
    <m/>
    <m/>
    <s v=""/>
    <s v=" "/>
    <s v=""/>
    <n v="12"/>
    <s v="LSN"/>
    <m/>
    <s v="PENKENKE303HITAM"/>
    <s v="GEL PEN KENKO KE-303 T-GEL TRIANGULAR HITAM"/>
    <s v="GEL PEN KENKO KE-303 T-GEL TRIANGULAR HITAM"/>
    <n v="21600"/>
    <n v="0.1"/>
    <m/>
    <n v="233280"/>
    <m/>
    <m/>
    <n v="97"/>
    <n v="8"/>
    <n v="259200"/>
    <n v="25920"/>
    <n v="0"/>
    <n v="25920"/>
    <n v="233280"/>
    <s v=""/>
    <m/>
    <s v="GEL PEN KENKO KE-303 T-GEL TRIANGULAR HITAMLSN21600"/>
  </r>
  <r>
    <x v="0"/>
    <s v=""/>
    <s v=""/>
    <m/>
    <m/>
    <m/>
    <m/>
    <s v=""/>
    <s v=" "/>
    <s v=""/>
    <n v="6"/>
    <s v="LSN"/>
    <m/>
    <s v="PUSKENPN30"/>
    <s v="PUSH PIN KENKO PN-30 WARNA"/>
    <s v="PUSH PIN KENKO PN-30"/>
    <n v="33000"/>
    <n v="0.1"/>
    <m/>
    <n v="178200"/>
    <m/>
    <m/>
    <n v="97"/>
    <n v="8"/>
    <n v="198000"/>
    <n v="19800"/>
    <n v="0"/>
    <n v="19800"/>
    <n v="178200"/>
    <s v=""/>
    <m/>
    <s v="PUSH PIN KENKO PN-30LSN33000"/>
  </r>
  <r>
    <x v="0"/>
    <s v=""/>
    <s v=""/>
    <m/>
    <m/>
    <m/>
    <m/>
    <s v=""/>
    <s v=" "/>
    <s v=""/>
    <n v="6"/>
    <s v="LSN"/>
    <m/>
    <s v="CLIKEN3100"/>
    <s v="PAPER CLIP WARNA KENKO 3100"/>
    <s v="PAPER CLIP WARNA KENKO 3100"/>
    <n v="41400"/>
    <n v="0.1"/>
    <m/>
    <n v="223560"/>
    <m/>
    <m/>
    <n v="97"/>
    <n v="8"/>
    <n v="248400"/>
    <n v="24840"/>
    <n v="0"/>
    <n v="24840"/>
    <n v="223560"/>
    <s v=""/>
    <m/>
    <s v="PAPER CLIP WARNA KENKO 3100LSN41400"/>
  </r>
  <r>
    <x v="0"/>
    <s v=""/>
    <s v=""/>
    <m/>
    <m/>
    <m/>
    <m/>
    <s v=""/>
    <s v=" "/>
    <s v=""/>
    <n v="2"/>
    <s v="LSN"/>
    <m/>
    <s v="DESKEN8312"/>
    <s v="DESK SET KENKO K-8312 ORGANIZER"/>
    <s v="DESK SET KENKO K-8312 ORGANIZER"/>
    <n v="348000"/>
    <n v="0.1"/>
    <m/>
    <n v="626400"/>
    <m/>
    <m/>
    <n v="97"/>
    <n v="8"/>
    <n v="696000"/>
    <n v="69600"/>
    <n v="0"/>
    <n v="69600"/>
    <n v="626400"/>
    <s v=""/>
    <m/>
    <s v="DESK SET KENKO K-8312 ORGANIZERLSN348000"/>
  </r>
  <r>
    <x v="0"/>
    <s v=""/>
    <s v=""/>
    <m/>
    <m/>
    <m/>
    <m/>
    <s v=""/>
    <s v=" "/>
    <s v=""/>
    <n v="50"/>
    <s v="GRS"/>
    <n v="1"/>
    <s v="CLIKEN105"/>
    <s v="BINDER CLIP KENKO NO. 105"/>
    <s v="BINDER CLIP KENKO NO. 105"/>
    <n v="28800"/>
    <n v="0.1"/>
    <m/>
    <n v="1296000"/>
    <m/>
    <m/>
    <n v="97"/>
    <n v="8"/>
    <n v="1440000"/>
    <n v="144000"/>
    <n v="0"/>
    <n v="144000"/>
    <n v="1296000"/>
    <s v=""/>
    <m/>
    <s v="BINDER CLIP KENKO NO. 105GRS2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80030"/>
    <d v="2023-08-28T00:00:00"/>
    <n v="28"/>
    <s v="KO"/>
    <s v="3591"/>
    <s v="ANUGERAH"/>
    <s v="AM 23080030"/>
    <s v="KO 3591"/>
    <s v="CV PELITA JAYA (ANUGERAH SEJAHTERA) PURWOKERTO"/>
    <n v="48"/>
    <s v="LS"/>
    <n v="2"/>
    <m/>
    <s v=""/>
    <s v="PENSIL WARNA KENKO CP-12F CLASSIC (PANJANG)"/>
    <n v="124200"/>
    <n v="0.13500000000000001"/>
    <m/>
    <n v="5156784"/>
    <s v="NOVI / YO"/>
    <m/>
    <n v="106"/>
    <n v="2"/>
    <n v="5961600"/>
    <n v="804816"/>
    <n v="0"/>
    <n v="804816"/>
    <n v="5156784"/>
    <n v="6018324"/>
    <m/>
    <s v="PENSIL WARNA KENKO CP-12F CLASSIC (PANJANG)LS124200"/>
  </r>
  <r>
    <x v="0"/>
    <s v=""/>
    <s v=""/>
    <m/>
    <m/>
    <m/>
    <m/>
    <s v=""/>
    <s v=" "/>
    <s v=""/>
    <n v="10"/>
    <s v="LS"/>
    <m/>
    <m/>
    <s v=""/>
    <s v="STAMP PLATE DATER KENKO S-68 (Cap Lunas)"/>
    <n v="99600"/>
    <n v="0.13500000000000001"/>
    <m/>
    <n v="861540"/>
    <m/>
    <m/>
    <n v="106"/>
    <n v="2"/>
    <n v="996000"/>
    <n v="134460"/>
    <n v="0"/>
    <n v="134460"/>
    <n v="861540"/>
    <s v=""/>
    <m/>
    <s v="STAMP PLATE DATER KENKO S-68 (Cap Lunas)LS9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80031"/>
    <d v="2023-08-29T00:00:00"/>
    <n v="29"/>
    <s v="KO"/>
    <s v="3599"/>
    <s v="nirmala"/>
    <s v="AM 23080031"/>
    <s v="KO 3599"/>
    <s v="CV SINAR CAHAYA NIRMALA BREBES"/>
    <n v="1"/>
    <s v="LSN"/>
    <m/>
    <s v="JANKENC288"/>
    <s v="JANGKA (COMPASS SET) KENKO C-288 / MS-25"/>
    <s v="JANGKA (COMPASS SET) KENKO C-288 / MS-25"/>
    <n v="90000"/>
    <n v="0.1"/>
    <m/>
    <n v="81000"/>
    <s v="NOVI / CONDRO"/>
    <m/>
    <n v="109"/>
    <n v="15"/>
    <n v="90000"/>
    <n v="9000"/>
    <n v="0"/>
    <n v="9000"/>
    <n v="81000"/>
    <n v="1690330"/>
    <m/>
    <s v="JANGKA (COMPASS SET) KENKO C-288 / MS-25lsn90000"/>
  </r>
  <r>
    <x v="0"/>
    <s v=""/>
    <s v=""/>
    <m/>
    <m/>
    <m/>
    <m/>
    <s v=""/>
    <s v=" "/>
    <s v=""/>
    <n v="1"/>
    <s v="GRS"/>
    <m/>
    <s v="PENKEN6393"/>
    <s v="PENSIL KENKO 2B-6393 FLUORESCENT"/>
    <s v="PENSIL KENKO 2B-6393 FLUORESCENT"/>
    <n v="120000"/>
    <n v="0.1"/>
    <m/>
    <n v="108000"/>
    <m/>
    <m/>
    <n v="109"/>
    <n v="15"/>
    <n v="120000"/>
    <n v="12000"/>
    <n v="0"/>
    <n v="12000"/>
    <n v="108000"/>
    <s v=""/>
    <m/>
    <s v="PENSIL KENKO 2B-6393 FLUORESCENTGRS120000"/>
  </r>
  <r>
    <x v="0"/>
    <s v=""/>
    <s v=""/>
    <m/>
    <m/>
    <m/>
    <m/>
    <s v=""/>
    <s v=" "/>
    <s v=""/>
    <n v="1"/>
    <s v="LSN"/>
    <m/>
    <s v="PUNKEN30NP"/>
    <e v="#N/A"/>
    <s v="PUNCH KENKO NO. 30NP"/>
    <n v="158400"/>
    <n v="0.1"/>
    <m/>
    <n v="142560"/>
    <m/>
    <m/>
    <n v="109"/>
    <n v="15"/>
    <n v="158400"/>
    <n v="15840"/>
    <n v="0"/>
    <n v="15840"/>
    <n v="142560"/>
    <s v=""/>
    <m/>
    <s v="PUNCH KENKO NO. 30NPLSN158400"/>
  </r>
  <r>
    <x v="0"/>
    <s v=""/>
    <s v=""/>
    <m/>
    <m/>
    <m/>
    <m/>
    <s v=""/>
    <s v=" "/>
    <s v=""/>
    <n v="3"/>
    <s v="LSN"/>
    <m/>
    <s v="PENJKGP218"/>
    <e v="#N/A"/>
    <s v="GEL PEN JOYKO GP-218"/>
    <n v="26400"/>
    <n v="0.1"/>
    <m/>
    <n v="71280"/>
    <m/>
    <m/>
    <n v="109"/>
    <n v="15"/>
    <n v="79200"/>
    <n v="7920"/>
    <n v="0"/>
    <n v="7920"/>
    <n v="71280"/>
    <s v=""/>
    <m/>
    <s v="GEL PEN JOYKO GP-218LSN26400"/>
  </r>
  <r>
    <x v="0"/>
    <s v=""/>
    <s v=""/>
    <m/>
    <m/>
    <m/>
    <m/>
    <s v=""/>
    <s v=" "/>
    <s v=""/>
    <n v="48"/>
    <s v="PCS"/>
    <m/>
    <s v="ISOKENBENING"/>
    <e v="#N/A"/>
    <s v="PLAKBAND BENING 80 M KENKO 48 MM RED CORE"/>
    <n v="10000"/>
    <n v="0.1"/>
    <m/>
    <n v="432000"/>
    <m/>
    <m/>
    <n v="109"/>
    <n v="15"/>
    <n v="480000"/>
    <n v="48000"/>
    <n v="0"/>
    <n v="48000"/>
    <n v="432000"/>
    <s v=""/>
    <m/>
    <s v="PLAKBAND BENING 80 M KENKO 48 MM RED COREPCS10000"/>
  </r>
  <r>
    <x v="0"/>
    <s v=""/>
    <s v=""/>
    <m/>
    <m/>
    <m/>
    <m/>
    <s v=""/>
    <s v=" "/>
    <s v=""/>
    <n v="1"/>
    <s v="LSN"/>
    <m/>
    <s v="ISOPOLARMN305"/>
    <s v="TAPE DISPENSER POLAR BEAR MN-305 @12pc"/>
    <s v="TAPE DISPENSER POLAR BEAR MN-305"/>
    <n v="120000"/>
    <m/>
    <m/>
    <n v="120000"/>
    <m/>
    <m/>
    <n v="109"/>
    <n v="15"/>
    <n v="120000"/>
    <n v="0"/>
    <n v="0"/>
    <n v="0"/>
    <n v="120000"/>
    <s v=""/>
    <m/>
    <s v="TAPE DISPENSER POLAR BEAR MN-305LSN120000"/>
  </r>
  <r>
    <x v="0"/>
    <s v=""/>
    <s v=""/>
    <m/>
    <m/>
    <m/>
    <m/>
    <s v=""/>
    <s v=" "/>
    <s v=""/>
    <n v="3"/>
    <s v="LSN"/>
    <m/>
    <s v="PENJKGP243"/>
    <s v="GEL PEN JOYKO GP-243 WHIZ GEL HITAM"/>
    <s v="GEL PEN JOYKO GP-243 WHIZ GEL HITAM"/>
    <n v="24600"/>
    <n v="0.1"/>
    <m/>
    <n v="66420"/>
    <m/>
    <m/>
    <n v="109"/>
    <n v="15"/>
    <n v="73800"/>
    <n v="7380"/>
    <n v="0"/>
    <n v="7380"/>
    <n v="66420"/>
    <s v=""/>
    <m/>
    <s v="GEL PEN JOYKO GP-243 WHIZ GEL HITAMLSN24600"/>
  </r>
  <r>
    <x v="0"/>
    <s v=""/>
    <s v=""/>
    <m/>
    <m/>
    <m/>
    <m/>
    <s v=""/>
    <s v=" "/>
    <s v=""/>
    <n v="1"/>
    <s v="LSN"/>
    <m/>
    <s v="PENJKBP288"/>
    <s v="BALLPEN JOYKO BP-288 QUACO 3 (4 WARNA)"/>
    <s v="BALLPEN JOYKO BP-288 QUACO 3 (4 WARNA)"/>
    <n v="42600"/>
    <n v="0.1"/>
    <m/>
    <n v="38340"/>
    <m/>
    <m/>
    <n v="109"/>
    <n v="15"/>
    <n v="42600"/>
    <n v="4260"/>
    <n v="0"/>
    <n v="4260"/>
    <n v="38340"/>
    <s v=""/>
    <m/>
    <s v="BALLPEN JOYKO BP-288 QUACO 3 (4 WARNA)LSN42600"/>
  </r>
  <r>
    <x v="0"/>
    <s v=""/>
    <s v=""/>
    <m/>
    <m/>
    <m/>
    <m/>
    <s v=""/>
    <s v=" "/>
    <s v=""/>
    <n v="1"/>
    <s v="LSN"/>
    <m/>
    <s v="STAKENHD10MP"/>
    <e v="#N/A"/>
    <s v="STAPLER KENKO HD-10MP (MINI PLASTIK)"/>
    <n v="67200"/>
    <n v="0.1"/>
    <m/>
    <n v="60480"/>
    <m/>
    <m/>
    <n v="109"/>
    <n v="15"/>
    <n v="67200"/>
    <n v="6720"/>
    <n v="0"/>
    <n v="6720"/>
    <n v="60480"/>
    <s v=""/>
    <m/>
    <s v="STAPLER KENKO HD-10MP (MINI PLASTIK)LSN67200"/>
  </r>
  <r>
    <x v="0"/>
    <s v="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109"/>
    <n v="15"/>
    <n v="95000"/>
    <n v="0"/>
    <n v="0"/>
    <n v="0"/>
    <n v="95000"/>
    <s v=""/>
    <m/>
    <s v="BUKU KAS KWARTOPCS9500"/>
  </r>
  <r>
    <x v="0"/>
    <s v=""/>
    <s v=""/>
    <m/>
    <m/>
    <m/>
    <m/>
    <s v=""/>
    <s v=" "/>
    <s v=""/>
    <n v="10"/>
    <s v="PCS"/>
    <m/>
    <s v="BKKASFOLIO"/>
    <s v="BUKU KAS (FOLIO)"/>
    <s v="BUKU KAS FOLIO"/>
    <n v="18500"/>
    <m/>
    <m/>
    <n v="185000"/>
    <m/>
    <m/>
    <n v="109"/>
    <n v="15"/>
    <n v="185000"/>
    <n v="0"/>
    <n v="0"/>
    <n v="0"/>
    <n v="185000"/>
    <s v=""/>
    <m/>
    <s v="BUKU KAS FOLIOPCS18500"/>
  </r>
  <r>
    <x v="0"/>
    <s v=""/>
    <s v=""/>
    <m/>
    <m/>
    <m/>
    <m/>
    <s v=""/>
    <s v=" "/>
    <s v=""/>
    <n v="2"/>
    <s v="LSN"/>
    <m/>
    <s v="CLIKEN3100"/>
    <s v="PAPER CLIP WARNA KENKO 3100"/>
    <s v="PAPER CLIP WARNA KENKO 3100"/>
    <n v="41400"/>
    <n v="0.1"/>
    <m/>
    <n v="74520"/>
    <m/>
    <m/>
    <n v="109"/>
    <n v="15"/>
    <n v="82800"/>
    <n v="8280"/>
    <n v="0"/>
    <n v="8280"/>
    <n v="74520"/>
    <s v=""/>
    <m/>
    <s v="PAPER CLIP WARNA KENKO 3100LSN41400"/>
  </r>
  <r>
    <x v="0"/>
    <s v=""/>
    <s v=""/>
    <m/>
    <m/>
    <m/>
    <m/>
    <s v=""/>
    <s v=" "/>
    <s v=""/>
    <n v="2"/>
    <s v="GRS"/>
    <m/>
    <s v="CLIKEN105"/>
    <s v="BINDER CLIP KENKO NO. 105"/>
    <s v="BINDER CLIP KENKO NO. 105"/>
    <n v="28800"/>
    <n v="0.1"/>
    <m/>
    <n v="51840"/>
    <m/>
    <m/>
    <n v="109"/>
    <n v="15"/>
    <n v="57600"/>
    <n v="5760"/>
    <n v="0"/>
    <n v="5760"/>
    <n v="51840"/>
    <s v=""/>
    <m/>
    <s v="BINDER CLIP KENKO NO. 105GRS28800"/>
  </r>
  <r>
    <x v="0"/>
    <s v="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09"/>
    <n v="15"/>
    <n v="39600"/>
    <n v="3960"/>
    <n v="0"/>
    <n v="3960"/>
    <n v="35640"/>
    <s v=""/>
    <m/>
    <s v="LEM CAIR 35 ML KENKO LG-35LSN19800"/>
  </r>
  <r>
    <x v="0"/>
    <s v=""/>
    <s v=""/>
    <m/>
    <m/>
    <m/>
    <m/>
    <s v=""/>
    <s v=" "/>
    <s v=""/>
    <n v="25"/>
    <s v="PAK"/>
    <m/>
    <s v="LLJAB550"/>
    <s v="LOOSE LEAF JOYART B5-2670 (50S)"/>
    <s v="LOOSE LEAF JOYART B5-2670 (50S)"/>
    <n v="5700"/>
    <n v="0.1"/>
    <m/>
    <n v="128250"/>
    <m/>
    <m/>
    <n v="109"/>
    <n v="15"/>
    <n v="142500"/>
    <n v="14250"/>
    <n v="0"/>
    <n v="14250"/>
    <n v="128250"/>
    <s v=""/>
    <m/>
    <s v="LOOSE LEAF JOYART B5-2670 (50S)PAK57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80032"/>
    <d v="2023-08-31T00:00:00"/>
    <n v="31"/>
    <s v="KO"/>
    <s v="3605"/>
    <s v="BENDAN"/>
    <s v="AM 23080032"/>
    <s v="KO 3605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125"/>
    <n v="1"/>
    <n v="2952000"/>
    <n v="413280.00000000006"/>
    <n v="0"/>
    <n v="413280.00000000006"/>
    <n v="2538720"/>
    <n v="253872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80033"/>
    <d v="2147-04-01T00:00:00"/>
    <n v="45169"/>
    <s v="KO"/>
    <s v="3615"/>
    <s v="ANUGERAH"/>
    <s v="AM 23080033"/>
    <s v="KO 3615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127"/>
    <n v="3"/>
    <n v="2592000"/>
    <n v="349920"/>
    <n v="0"/>
    <n v="349920"/>
    <n v="2242080"/>
    <n v="19032768"/>
    <m/>
    <s v="LEM STICK KENKO 15 GR (TANGGUNG) isi 20 pcbox72000"/>
  </r>
  <r>
    <x v="0"/>
    <s v=""/>
    <s v=""/>
    <m/>
    <m/>
    <m/>
    <m/>
    <s v=""/>
    <s v=" "/>
    <s v=""/>
    <n v="48"/>
    <s v="LSN"/>
    <n v="2"/>
    <s v="pwjk12wpendek"/>
    <s v="PENSIL WARNA JOYKO CP-S12 MINI (PENDEK)"/>
    <s v="PENSIL WARNA JOYKO CP-S12 MINI (PENDEK)"/>
    <n v="80400"/>
    <n v="0.13500000000000001"/>
    <m/>
    <n v="3338208"/>
    <m/>
    <m/>
    <n v="127"/>
    <n v="3"/>
    <n v="3859200"/>
    <n v="520992.00000000006"/>
    <n v="0"/>
    <n v="520992.00000000006"/>
    <n v="3338208"/>
    <s v=""/>
    <m/>
    <s v="PENSIL WARNA JOYKO CP-S12 MINI (PENDEK)lsn80400"/>
  </r>
  <r>
    <x v="0"/>
    <s v=""/>
    <s v=""/>
    <m/>
    <m/>
    <m/>
    <m/>
    <s v=""/>
    <s v=" "/>
    <s v=""/>
    <n v="240"/>
    <s v="LSN"/>
    <n v="4"/>
    <s v="isikenbesar"/>
    <s v="ISI CUTTER 18 MM KENKO L-150 (BESAR)"/>
    <s v="ISI CUTTER 18 MM KENKO L-150 (BESAR)"/>
    <n v="64800"/>
    <n v="0.13500000000000001"/>
    <m/>
    <n v="13452480"/>
    <m/>
    <m/>
    <n v="127"/>
    <n v="3"/>
    <n v="15552000"/>
    <n v="2099520"/>
    <n v="0"/>
    <n v="2099520"/>
    <n v="1345248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39" firstHeaderRow="1" firstDataRow="1" firstDataCol="1"/>
  <pivotFields count="32">
    <pivotField axis="axisRow" showAll="0" sortType="ascending">
      <items count="50">
        <item x="1"/>
        <item x="2"/>
        <item x="3"/>
        <item x="4"/>
        <item x="5"/>
        <item x="6"/>
        <item x="7"/>
        <item m="1" x="37"/>
        <item m="1" x="39"/>
        <item x="8"/>
        <item m="1" x="45"/>
        <item x="9"/>
        <item m="1" x="46"/>
        <item x="10"/>
        <item m="1" x="48"/>
        <item x="11"/>
        <item m="1" x="38"/>
        <item x="12"/>
        <item m="1" x="40"/>
        <item x="13"/>
        <item m="1" x="41"/>
        <item x="14"/>
        <item m="1" x="42"/>
        <item x="15"/>
        <item m="1" x="43"/>
        <item x="16"/>
        <item m="1" x="44"/>
        <item x="17"/>
        <item x="18"/>
        <item x="19"/>
        <item x="20"/>
        <item x="21"/>
        <item x="22"/>
        <item x="23"/>
        <item x="24"/>
        <item x="25"/>
        <item m="1" x="36"/>
        <item m="1" x="47"/>
        <item x="26"/>
        <item x="27"/>
        <item x="28"/>
        <item m="1" x="34"/>
        <item x="29"/>
        <item x="30"/>
        <item x="31"/>
        <item x="32"/>
        <item x="33"/>
        <item x="0"/>
        <item n=" " m="1" x="35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formats count="1">
    <format dxfId="28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9" totalsRowCount="1" headerRowDxfId="97" dataDxfId="96" totalsRowDxfId="95">
  <autoFilter ref="A2:AF268"/>
  <tableColumns count="32">
    <tableColumn id="16" name="//" dataDxfId="94" totalsRowDxfId="93">
      <calculatedColumnFormula>IF(Table1[[#This Row],[No. Invoice :]]="","",ROW())</calculatedColumnFormula>
    </tableColumn>
    <tableColumn id="18" name="h_No. Invoice :" dataDxfId="92" totalsRowDxfId="91">
      <calculatedColumnFormula>IF(Table1[h_Kode Sales :_1]="","",B$1+COUNT(INDIRECT("B$2:B"&amp;ROW()-1)))</calculatedColumnFormula>
    </tableColumn>
    <tableColumn id="2" name="Tgl Invoice :" dataDxfId="90" totalsRowDxfId="89">
      <calculatedColumnFormula>IF(Table1[[#This Row],[H_TGL]]="","",Table1[[#This Row],[H_TGL]]+C$1-1)</calculatedColumnFormula>
    </tableColumn>
    <tableColumn id="32" name="H_TGL" dataDxfId="88" totalsRowDxfId="87"/>
    <tableColumn id="17" name="h_Kode Sales :_1" dataDxfId="86" totalsRowDxfId="85"/>
    <tableColumn id="19" name="h_Kode Sales :_2" dataDxfId="84" totalsRowDxfId="83"/>
    <tableColumn id="20" name="h_toko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Row],[h_Kode Sales :_1]])," ",Table1[[#This Row],[h_Kode Sales :_2]])</calculatedColumnFormula>
    </tableColumn>
    <tableColumn id="4" name="Toko" dataDxfId="76" totalsRowDxfId="75">
      <calculatedColumnFormula>IF(Table1[[#This Row],[h_toko]]="","",INDEX(Table2[e],IF(Table1[[#This Row],[h_toko]]="","",MATCH(Table1[[#This Row],[h_toko]],Table2[a],0)),))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31" name="h_disc 1" dataDxfId="44" totalsRowDxfId="43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2" totalsRowDxfId="41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0" totalsRowDxfId="39">
      <calculatedColumnFormula>IF(Table1[Item Description]="","",Table1[[#This Row],[h_disc 1]]+Table1[[#This Row],[h_disc 2]])</calculatedColumnFormula>
    </tableColumn>
    <tableColumn id="26" name="h_hargasetelahdiskon" dataDxfId="38" totalsRowDxfId="37">
      <calculatedColumnFormula>IF(Table1[Item Description]="","",Table1[[#This Row],[h_hargasebelumdiskon]]-Table1[[#This Row],[h_diskon]])</calculatedColumnFormula>
    </tableColumn>
    <tableColumn id="27" name="Total Invoice" dataDxfId="36" totalsRowDxfId="35">
      <calculatedColumnFormula>IF(Table1[//]="","",SUMIF(Table1[h_id],Table1[h_id],Table1[h_hargasetelahdiskon]))</calculatedColumnFormula>
    </tableColumn>
    <tableColumn id="28" name="KETERANGAN" dataDxfId="34" totalsRowDxfId="33"/>
    <tableColumn id="29" name="H_A1" dataDxfId="32" totalsRowDxfId="3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27">
  <autoFilter ref="D4:P57"/>
  <tableColumns count="13">
    <tableColumn id="1" name="//" totalsRowLabel="Total" dataDxfId="26">
      <calculatedColumnFormula>IF(ROW()-(COUNTBLANK($D$1:$D$3)+1)&lt;=jNota,A5,"")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9"/>
  <sheetViews>
    <sheetView topLeftCell="A108" zoomScale="85" zoomScaleNormal="85" workbookViewId="0">
      <selection activeCell="D128" sqref="D128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120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104</v>
      </c>
      <c r="AA2" s="283" t="s">
        <v>105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128</v>
      </c>
      <c r="F4" s="282" t="s">
        <v>129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130</v>
      </c>
      <c r="N4" s="280" t="s">
        <v>131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132</v>
      </c>
      <c r="Q4" s="283">
        <v>38000</v>
      </c>
      <c r="R4" s="284"/>
      <c r="T4" s="283">
        <f>Table1[[#This Row],[h_hargasetelahdiskon]]</f>
        <v>570000</v>
      </c>
      <c r="U4" s="283" t="s">
        <v>133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135</v>
      </c>
      <c r="F6" s="282" t="s">
        <v>134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136</v>
      </c>
      <c r="M6" s="280">
        <v>2</v>
      </c>
      <c r="N6" s="280" t="s">
        <v>137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138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133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136</v>
      </c>
      <c r="M7" s="280">
        <v>2</v>
      </c>
      <c r="N7" s="280" t="s">
        <v>139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140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128</v>
      </c>
      <c r="F9" s="282" t="s">
        <v>142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143</v>
      </c>
      <c r="N9" s="280" t="s">
        <v>144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145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133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143</v>
      </c>
      <c r="N10" s="280" t="s">
        <v>146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147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128</v>
      </c>
      <c r="F12" s="282" t="s">
        <v>153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148</v>
      </c>
      <c r="M12" s="280">
        <v>1</v>
      </c>
      <c r="N12" s="280" t="s">
        <v>149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150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133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143</v>
      </c>
      <c r="N13" s="280" t="s">
        <v>151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152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135</v>
      </c>
      <c r="F15" s="282" t="s">
        <v>154</v>
      </c>
      <c r="G15" s="280" t="s">
        <v>155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143</v>
      </c>
      <c r="M15" s="280">
        <v>1</v>
      </c>
      <c r="N15" s="280" t="s">
        <v>156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157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133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136</v>
      </c>
      <c r="M16" s="280">
        <v>2</v>
      </c>
      <c r="N16" s="280" t="s">
        <v>158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159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32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128</v>
      </c>
      <c r="F17" s="282" t="s">
        <v>160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143</v>
      </c>
      <c r="O17" s="287" t="str">
        <f>IF(Table1[[#This Row],[h_Item Description]]="","",INDEX([1]!db[NB PAJAK],MATCH(Table1[[#This Row],[h_Item Description]],[1]!db[kode],0)))</f>
        <v/>
      </c>
      <c r="P17" s="280" t="s">
        <v>161</v>
      </c>
      <c r="Q17" s="283">
        <v>350000</v>
      </c>
      <c r="R17" s="284"/>
      <c r="T17" s="283">
        <f>Table1[[#This Row],[h_hargasetelahdiskon]]</f>
        <v>350000</v>
      </c>
      <c r="U17" s="283" t="s">
        <v>133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32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162</v>
      </c>
      <c r="F19" s="282" t="s">
        <v>163</v>
      </c>
      <c r="G19" s="280" t="s">
        <v>164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136</v>
      </c>
      <c r="N19" s="280" t="s">
        <v>176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167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133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32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136</v>
      </c>
      <c r="N20" s="280" t="s">
        <v>168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170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32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136</v>
      </c>
      <c r="N21" s="280" t="s">
        <v>165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171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32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136</v>
      </c>
      <c r="M22" s="280"/>
      <c r="N22" s="280" t="s">
        <v>166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172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136</v>
      </c>
      <c r="M23" s="280"/>
      <c r="N23" s="280" t="s">
        <v>169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173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</row>
    <row r="24" spans="1:32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136</v>
      </c>
      <c r="O24" s="287" t="str">
        <f>IF(Table1[[#This Row],[h_Item Description]]="","",INDEX([1]!db[NB PAJAK],MATCH(Table1[[#This Row],[h_Item Description]],[1]!db[kode],0)))</f>
        <v/>
      </c>
      <c r="P24" s="280" t="s">
        <v>174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32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32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177</v>
      </c>
      <c r="F26" s="282" t="s">
        <v>178</v>
      </c>
      <c r="G26" s="280" t="s">
        <v>179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175</v>
      </c>
      <c r="O26" s="287" t="str">
        <f>IF(Table1[[#This Row],[h_Item Description]]="","",INDEX([1]!db[NB PAJAK],MATCH(Table1[[#This Row],[h_Item Description]],[1]!db[kode],0)))</f>
        <v/>
      </c>
      <c r="P26" s="280" t="s">
        <v>180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133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32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32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 t="str">
        <f>IF(Table1[[#This Row],[H_TGL]]="","",Table1[[#This Row],[H_TGL]]+C$1-1)</f>
        <v/>
      </c>
      <c r="E28" s="280" t="s">
        <v>181</v>
      </c>
      <c r="F28" s="282" t="s">
        <v>181</v>
      </c>
      <c r="G28" s="280" t="s">
        <v>181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 xml:space="preserve">   </v>
      </c>
      <c r="J28" s="287" t="e">
        <f>IF(Table1[[#This Row],[h_toko]]="","",INDEX(Table2[e],IF(Table1[[#This Row],[h_toko]]="","",MATCH(Table1[[#This Row],[h_toko]],Table2[a],0)),))</f>
        <v>#N/A</v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>
        <f ca="1">IF(Table1[//]="","",SUMIF(Table1[h_id],Table1[h_id],Table1[h_hargasetelahdiskon]))</f>
        <v>0</v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</row>
    <row r="30" spans="1:32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 t="str">
        <f>IF(Table1[[#This Row],[H_TGL]]="","",Table1[[#This Row],[H_TGL]]+C$1-1)</f>
        <v/>
      </c>
      <c r="E30" s="280" t="s">
        <v>181</v>
      </c>
      <c r="F30" s="282" t="s">
        <v>181</v>
      </c>
      <c r="G30" s="280" t="s">
        <v>181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 xml:space="preserve">   </v>
      </c>
      <c r="J30" s="287" t="e">
        <f>IF(Table1[[#This Row],[h_toko]]="","",INDEX(Table2[e],IF(Table1[[#This Row],[h_toko]]="","",MATCH(Table1[[#This Row],[h_toko]],Table2[a],0)),))</f>
        <v>#N/A</v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>
        <f ca="1">IF(Table1[//]="","",SUMIF(Table1[h_id],Table1[h_id],Table1[h_hargasetelahdiskon]))</f>
        <v>0</v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32" x14ac:dyDescent="0.25">
      <c r="A32" s="287">
        <f ca="1">IF(Table1[[#This Row],[No. Invoice :]]="","",ROW())</f>
        <v>32</v>
      </c>
      <c r="B32" s="287">
        <f ca="1">IF(Table1[h_Kode Sales :_1]="","",B$1+COUNT(INDIRECT("B$2:B"&amp;ROW()-1)))</f>
        <v>23080011</v>
      </c>
      <c r="C32" s="281" t="str">
        <f>IF(Table1[[#This Row],[H_TGL]]="","",Table1[[#This Row],[H_TGL]]+C$1-1)</f>
        <v/>
      </c>
      <c r="E32" s="280" t="s">
        <v>181</v>
      </c>
      <c r="F32" s="282" t="s">
        <v>181</v>
      </c>
      <c r="H32" s="287" t="str">
        <f ca="1">IF(Table1[[#This Row],[h_No. Invoice :]]="","",CONCATENATE("AM"," ",Table1[[#This Row],[h_No. Invoice :]]))</f>
        <v>AM 23080011</v>
      </c>
      <c r="I32" s="288" t="str">
        <f>CONCATENATE(UPPER(Table1[[#This Row],[h_Kode Sales :_1]])," ",Table1[[#This Row],[h_Kode Sales :_2]])</f>
        <v xml:space="preserve">  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>
        <f ca="1">IF(Table1[//]="","",SUMIF(Table1[h_id],Table1[h_id],Table1[h_hargasetelahdiskon]))</f>
        <v>0</v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IF(Table1[h_Kode Sales :_1]="","",B$1+COUNT(INDIRECT("B$2:B"&amp;ROW()-1)))</f>
        <v/>
      </c>
      <c r="C33" s="281" t="str">
        <f>IF(Table1[[#This Row],[H_TGL]]="","",Table1[[#This Row],[H_TGL]]+C$1-1)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Row],[h_Kode Sales :_1]])," ",Table1[[#This Row],[h_Kode Sales :_2]])</f>
        <v xml:space="preserve"> </v>
      </c>
      <c r="J33" s="287" t="str">
        <f>IF(Table1[[#This Row],[h_toko]]="","",INDEX(Table2[e],IF(Table1[[#This Row],[h_toko]]="","",MATCH(Table1[[#This Row],[h_toko]],Table2[a],0)),))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>
        <f ca="1">IF(Table1[[#This Row],[No. Invoice :]]="","",ROW())</f>
        <v>34</v>
      </c>
      <c r="B34" s="287">
        <f ca="1">IF(Table1[h_Kode Sales :_1]="","",B$1+COUNT(INDIRECT("B$2:B"&amp;ROW()-1)))</f>
        <v>23080012</v>
      </c>
      <c r="C34" s="281" t="str">
        <f>IF(Table1[[#This Row],[H_TGL]]="","",Table1[[#This Row],[H_TGL]]+C$1-1)</f>
        <v/>
      </c>
      <c r="E34" s="280" t="s">
        <v>181</v>
      </c>
      <c r="F34" s="282" t="s">
        <v>181</v>
      </c>
      <c r="G34" s="280" t="s">
        <v>181</v>
      </c>
      <c r="H34" s="287" t="str">
        <f ca="1">IF(Table1[[#This Row],[h_No. Invoice :]]="","",CONCATENATE("AM"," ",Table1[[#This Row],[h_No. Invoice :]]))</f>
        <v>AM 23080012</v>
      </c>
      <c r="I34" s="288" t="str">
        <f>CONCATENATE(UPPER(Table1[[#This Row],[h_Kode Sales :_1]])," ",Table1[[#This Row],[h_Kode Sales :_2]])</f>
        <v xml:space="preserve">   </v>
      </c>
      <c r="J34" s="287" t="e">
        <f>IF(Table1[[#This Row],[h_toko]]="","",INDEX(Table2[e],IF(Table1[[#This Row],[h_toko]]="","",MATCH(Table1[[#This Row],[h_toko]],Table2[a],0)),))</f>
        <v>#N/A</v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>
        <f ca="1">IF(Table1[//]="","",SUMIF(Table1[h_id],Table1[h_id],Table1[h_hargasetelahdiskon]))</f>
        <v>0</v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IF(Table1[h_Kode Sales :_1]="","",B$1+COUNT(INDIRECT("B$2:B"&amp;ROW()-1)))</f>
        <v/>
      </c>
      <c r="C35" s="281" t="str">
        <f>IF(Table1[[#This Row],[H_TGL]]="","",Table1[[#This Row],[H_TGL]]+C$1-1)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Row],[h_Kode Sales :_1]])," ",Table1[[#This Row],[h_Kode Sales :_2]])</f>
        <v xml:space="preserve"> </v>
      </c>
      <c r="J35" s="287" t="str">
        <f>IF(Table1[[#This Row],[h_toko]]="","",INDEX(Table2[e],IF(Table1[[#This Row],[h_toko]]="","",MATCH(Table1[[#This Row],[h_toko]],Table2[a],0)),))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>
        <f ca="1">IF(Table1[[#This Row],[No. Invoice :]]="","",ROW())</f>
        <v>36</v>
      </c>
      <c r="B36" s="287">
        <f ca="1">IF(Table1[h_Kode Sales :_1]="","",B$1+COUNT(INDIRECT("B$2:B"&amp;ROW()-1)))</f>
        <v>23080013</v>
      </c>
      <c r="C36" s="281" t="str">
        <f>IF(Table1[[#This Row],[H_TGL]]="","",Table1[[#This Row],[H_TGL]]+C$1-1)</f>
        <v/>
      </c>
      <c r="E36" s="280" t="s">
        <v>181</v>
      </c>
      <c r="F36" s="282" t="s">
        <v>181</v>
      </c>
      <c r="H36" s="287" t="str">
        <f ca="1">IF(Table1[[#This Row],[h_No. Invoice :]]="","",CONCATENATE("AM"," ",Table1[[#This Row],[h_No. Invoice :]]))</f>
        <v>AM 23080013</v>
      </c>
      <c r="I36" s="288" t="str">
        <f>CONCATENATE(UPPER(Table1[[#This Row],[h_Kode Sales :_1]])," ",Table1[[#This Row],[h_Kode Sales :_2]])</f>
        <v xml:space="preserve">  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>
        <f ca="1">IF(Table1[//]="","",SUMIF(Table1[h_id],Table1[h_id],Table1[h_hargasetelahdiskon]))</f>
        <v>0</v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IF(Table1[h_Kode Sales :_1]="","",B$1+COUNT(INDIRECT("B$2:B"&amp;ROW()-1)))</f>
        <v/>
      </c>
      <c r="C37" s="281" t="str">
        <f>IF(Table1[[#This Row],[H_TGL]]="","",Table1[[#This Row],[H_TGL]]+C$1-1)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Row],[h_Kode Sales :_1]])," ",Table1[[#This Row],[h_Kode Sales :_2]])</f>
        <v xml:space="preserve"> </v>
      </c>
      <c r="J37" s="287" t="str">
        <f>IF(Table1[[#This Row],[h_toko]]="","",INDEX(Table2[e],IF(Table1[[#This Row],[h_toko]]="","",MATCH(Table1[[#This Row],[h_toko]],Table2[a],0)),))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>
        <f ca="1">IF(Table1[[#This Row],[No. Invoice :]]="","",ROW())</f>
        <v>38</v>
      </c>
      <c r="B38" s="287">
        <f ca="1">IF(Table1[h_Kode Sales :_1]="","",B$1+COUNT(INDIRECT("B$2:B"&amp;ROW()-1)))</f>
        <v>23080014</v>
      </c>
      <c r="C38" s="281" t="str">
        <f>IF(Table1[[#This Row],[H_TGL]]="","",Table1[[#This Row],[H_TGL]]+C$1-1)</f>
        <v/>
      </c>
      <c r="E38" s="280" t="s">
        <v>181</v>
      </c>
      <c r="F38" s="282" t="s">
        <v>181</v>
      </c>
      <c r="H38" s="287" t="str">
        <f ca="1">IF(Table1[[#This Row],[h_No. Invoice :]]="","",CONCATENATE("AM"," ",Table1[[#This Row],[h_No. Invoice :]]))</f>
        <v>AM 23080014</v>
      </c>
      <c r="I38" s="288" t="str">
        <f>CONCATENATE(UPPER(Table1[[#This Row],[h_Kode Sales :_1]])," ",Table1[[#This Row],[h_Kode Sales :_2]])</f>
        <v xml:space="preserve">  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>
        <f ca="1">IF(Table1[//]="","",SUMIF(Table1[h_id],Table1[h_id],Table1[h_hargasetelahdiskon]))</f>
        <v>0</v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IF(Table1[h_Kode Sales :_1]="","",B$1+COUNT(INDIRECT("B$2:B"&amp;ROW()-1)))</f>
        <v/>
      </c>
      <c r="C39" s="281" t="str">
        <f>IF(Table1[[#This Row],[H_TGL]]="","",Table1[[#This Row],[H_TGL]]+C$1-1)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Row],[h_Kode Sales :_1]])," ",Table1[[#This Row],[h_Kode Sales :_2]])</f>
        <v xml:space="preserve"> </v>
      </c>
      <c r="J39" s="287" t="str">
        <f>IF(Table1[[#This Row],[h_toko]]="","",INDEX(Table2[e],IF(Table1[[#This Row],[h_toko]]="","",MATCH(Table1[[#This Row],[h_toko]],Table2[a],0)),))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>
        <v>10</v>
      </c>
    </row>
    <row r="40" spans="1:32" x14ac:dyDescent="0.25">
      <c r="A40" s="287">
        <f ca="1">IF(Table1[[#This Row],[No. Invoice :]]="","",ROW())</f>
        <v>40</v>
      </c>
      <c r="B40" s="287">
        <f ca="1">IF(Table1[h_Kode Sales :_1]="","",B$1+COUNT(INDIRECT("B$2:B"&amp;ROW()-1)))</f>
        <v>23080015</v>
      </c>
      <c r="C40" s="281" t="str">
        <f>IF(Table1[[#This Row],[H_TGL]]="","",Table1[[#This Row],[H_TGL]]+C$1-1)</f>
        <v/>
      </c>
      <c r="E40" s="280" t="s">
        <v>181</v>
      </c>
      <c r="F40" s="282" t="s">
        <v>181</v>
      </c>
      <c r="H40" s="287" t="str">
        <f ca="1">IF(Table1[[#This Row],[h_No. Invoice :]]="","",CONCATENATE("AM"," ",Table1[[#This Row],[h_No. Invoice :]]))</f>
        <v>AM 23080015</v>
      </c>
      <c r="I40" s="288" t="str">
        <f>CONCATENATE(UPPER(Table1[[#This Row],[h_Kode Sales :_1]])," ",Table1[[#This Row],[h_Kode Sales :_2]])</f>
        <v xml:space="preserve">   </v>
      </c>
      <c r="J40" s="287" t="str">
        <f>IF(Table1[[#This Row],[h_toko]]="","",INDEX(Table2[e],IF(Table1[[#This Row],[h_toko]]="","",MATCH(Table1[[#This Row],[h_toko]],Table2[a],0)),))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>
        <f ca="1">IF(Table1[//]="","",SUMIF(Table1[h_id],Table1[h_id],Table1[h_hargasetelahdiskon]))</f>
        <v>0</v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IF(Table1[h_Kode Sales :_1]="","",B$1+COUNT(INDIRECT("B$2:B"&amp;ROW()-1)))</f>
        <v>23080016</v>
      </c>
      <c r="C42" s="281">
        <f>IF(Table1[[#This Row],[H_TGL]]="","",Table1[[#This Row],[H_TGL]]+C$1-1)</f>
        <v>45148</v>
      </c>
      <c r="D42" s="292">
        <v>10</v>
      </c>
      <c r="E42" s="280" t="s">
        <v>33</v>
      </c>
      <c r="F42" s="282" t="s">
        <v>182</v>
      </c>
      <c r="G42" s="280" t="s">
        <v>183</v>
      </c>
      <c r="H42" s="287" t="str">
        <f ca="1">IF(Table1[[#This Row],[h_No. Invoice :]]="","",CONCATENATE("AM"," ",Table1[[#This Row],[h_No. Invoice :]]))</f>
        <v>AM 23080016</v>
      </c>
      <c r="I42" s="288" t="str">
        <f>CONCATENATE(UPPER(Table1[[#This Row],[h_Kode Sales :_1]])," ",Table1[[#This Row],[h_Kode Sales :_2]])</f>
        <v>A 1930</v>
      </c>
      <c r="J42" s="287" t="str">
        <f>IF(Table1[[#This Row],[h_toko]]="","",INDEX(Table2[e],IF(Table1[[#This Row],[h_toko]]="","",MATCH(Table1[[#This Row],[h_toko]],Table2[a],0)),))</f>
        <v>CV FM 90 KEBUMEN</v>
      </c>
      <c r="K42" s="280">
        <v>144</v>
      </c>
      <c r="L42" s="280" t="s">
        <v>143</v>
      </c>
      <c r="M42" s="280">
        <v>1</v>
      </c>
      <c r="O42" s="287" t="str">
        <f>IF(Table1[[#This Row],[h_Item Description]]="","",INDEX([1]!db[NB PAJAK],MATCH(Table1[[#This Row],[h_Item Description]],[1]!db[kode],0)))</f>
        <v/>
      </c>
      <c r="P42" s="280" t="s">
        <v>184</v>
      </c>
      <c r="Q42" s="283">
        <v>28500</v>
      </c>
      <c r="R42" s="284"/>
      <c r="T42" s="283">
        <f>Table1[[#This Row],[h_hargasetelahdiskon]]</f>
        <v>4104000</v>
      </c>
      <c r="U42" s="283" t="s">
        <v>133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4104000</v>
      </c>
      <c r="Z42" s="283">
        <f>IF(Table1[[#This Row],[h_hargasebelumdiskon]]="","",IF(Table1[[#This Row],[Disc 1]]="",0,Table1[[#This Row],[h_hargasebelumdiskon]]*Table1[[#This Row],[Disc 1]]))</f>
        <v>0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0</v>
      </c>
      <c r="AC42" s="283">
        <f>IF(Table1[Item Description]="","",Table1[[#This Row],[h_hargasebelumdiskon]]-Table1[[#This Row],[h_diskon]])</f>
        <v>4104000</v>
      </c>
      <c r="AD42" s="283">
        <f ca="1">IF(Table1[//]="","",SUMIF(Table1[h_id],Table1[h_id],Table1[h_hargasetelahdiskon]))</f>
        <v>4104000</v>
      </c>
      <c r="AE42" s="283"/>
      <c r="AF42" s="283" t="str">
        <f>Table1[[#This Row],[Item Description]]&amp;Table1[[#This Row],[Unit]]&amp;Table1[[#This Row],[Unit Price]]</f>
        <v>GEL PEN TRIFELLO HI-TECH TF-1190 HITAMLSN28500</v>
      </c>
    </row>
    <row r="43" spans="1:32" x14ac:dyDescent="0.25">
      <c r="A43" s="287" t="str">
        <f ca="1">IF(Table1[[#This Row],[No. Invoice :]]="","",ROW())</f>
        <v/>
      </c>
      <c r="B43" s="287" t="str">
        <f ca="1">IF(Table1[h_Kode Sales :_1]="","",B$1+COUNT(INDIRECT("B$2:B"&amp;ROW()-1)))</f>
        <v/>
      </c>
      <c r="C43" s="281" t="str">
        <f>IF(Table1[[#This Row],[H_TGL]]="","",Table1[[#This Row],[H_TGL]]+C$1-1)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Row],[h_Kode Sales :_1]])," ",Table1[[#This Row],[h_Kode Sales :_2]])</f>
        <v xml:space="preserve"> </v>
      </c>
      <c r="J43" s="287" t="str">
        <f>IF(Table1[[#This Row],[h_toko]]="","",INDEX(Table2[e],IF(Table1[[#This Row],[h_toko]]="","",MATCH(Table1[[#This Row],[h_toko]],Table2[a],0)),))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IF(Table1[h_Kode Sales :_1]="","",B$1+COUNT(INDIRECT("B$2:B"&amp;ROW()-1)))</f>
        <v>23080017</v>
      </c>
      <c r="C44" s="281">
        <f>IF(Table1[[#This Row],[H_TGL]]="","",Table1[[#This Row],[H_TGL]]+C$1-1)</f>
        <v>45149</v>
      </c>
      <c r="D44" s="292">
        <v>11</v>
      </c>
      <c r="E44" s="280" t="s">
        <v>177</v>
      </c>
      <c r="F44" s="282" t="s">
        <v>185</v>
      </c>
      <c r="G44" s="280" t="s">
        <v>93</v>
      </c>
      <c r="H44" s="287" t="str">
        <f ca="1">IF(Table1[[#This Row],[h_No. Invoice :]]="","",CONCATENATE("AM"," ",Table1[[#This Row],[h_No. Invoice :]]))</f>
        <v>AM 23080017</v>
      </c>
      <c r="I44" s="288" t="str">
        <f>CONCATENATE(UPPER(Table1[[#This Row],[h_Kode Sales :_1]])," ",Table1[[#This Row],[h_Kode Sales :_2]])</f>
        <v>G 1932</v>
      </c>
      <c r="J44" s="287" t="str">
        <f>IF(Table1[[#This Row],[h_toko]]="","",INDEX(Table2[e],IF(Table1[[#This Row],[h_toko]]="","",MATCH(Table1[[#This Row],[h_toko]],Table2[a],0)),))</f>
        <v>LILY JULIAWATI (REJO AGUNG) JOMBANG</v>
      </c>
      <c r="K44" s="280">
        <v>144</v>
      </c>
      <c r="L44" s="280" t="s">
        <v>143</v>
      </c>
      <c r="M44" s="280">
        <v>1</v>
      </c>
      <c r="N44" s="280" t="s">
        <v>186</v>
      </c>
      <c r="O44" s="287" t="str">
        <f>IF(Table1[[#This Row],[h_Item Description]]="","",INDEX([1]!db[NB PAJAK],MATCH(Table1[[#This Row],[h_Item Description]],[1]!db[kode],0)))</f>
        <v>ISI PENSIL 2B 2.0 MM JOYKO PL-10</v>
      </c>
      <c r="P44" s="280" t="s">
        <v>187</v>
      </c>
      <c r="Q44" s="283">
        <v>19800</v>
      </c>
      <c r="R44" s="284">
        <v>0.125</v>
      </c>
      <c r="T44" s="283">
        <f>Table1[[#This Row],[h_hargasetelahdiskon]]</f>
        <v>2494800</v>
      </c>
      <c r="U44" s="283" t="s">
        <v>133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2851200</v>
      </c>
      <c r="Z44" s="283">
        <f>IF(Table1[[#This Row],[h_hargasebelumdiskon]]="","",IF(Table1[[#This Row],[Disc 1]]="",0,Table1[[#This Row],[h_hargasebelumdiskon]]*Table1[[#This Row],[Disc 1]]))</f>
        <v>356400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356400</v>
      </c>
      <c r="AC44" s="283">
        <f>IF(Table1[Item Description]="","",Table1[[#This Row],[h_hargasebelumdiskon]]-Table1[[#This Row],[h_diskon]])</f>
        <v>2494800</v>
      </c>
      <c r="AD44" s="283">
        <f ca="1">IF(Table1[//]="","",SUMIF(Table1[h_id],Table1[h_id],Table1[h_hargasetelahdiskon]))</f>
        <v>14170800</v>
      </c>
      <c r="AE44" s="283"/>
      <c r="AF44" s="283" t="str">
        <f>Table1[[#This Row],[Item Description]]&amp;Table1[[#This Row],[Unit]]&amp;Table1[[#This Row],[Unit Price]]</f>
        <v>ISI PENSIL 2B 2.0 MM JOYKO PL-10LSN19800</v>
      </c>
    </row>
    <row r="45" spans="1:32" x14ac:dyDescent="0.25">
      <c r="A45" s="287" t="str">
        <f ca="1">IF(Table1[[#This Row],[No. Invoice :]]="","",ROW())</f>
        <v/>
      </c>
      <c r="B45" s="287" t="str">
        <f ca="1">IF(Table1[h_Kode Sales :_1]="","",B$1+COUNT(INDIRECT("B$2:B"&amp;ROW()-1)))</f>
        <v/>
      </c>
      <c r="C45" s="281" t="str">
        <f>IF(Table1[[#This Row],[H_TGL]]="","",Table1[[#This Row],[H_TGL]]+C$1-1)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Row],[h_Kode Sales :_1]])," ",Table1[[#This Row],[h_Kode Sales :_2]])</f>
        <v xml:space="preserve"> </v>
      </c>
      <c r="J45" s="287" t="str">
        <f>IF(Table1[[#This Row],[h_toko]]="","",INDEX(Table2[e],IF(Table1[[#This Row],[h_toko]]="","",MATCH(Table1[[#This Row],[h_toko]],Table2[a],0)),))</f>
        <v/>
      </c>
      <c r="K45" s="280">
        <v>288</v>
      </c>
      <c r="L45" s="280" t="s">
        <v>143</v>
      </c>
      <c r="M45" s="280">
        <v>2</v>
      </c>
      <c r="N45" s="280" t="s">
        <v>144</v>
      </c>
      <c r="O45" s="287" t="str">
        <f>IF(Table1[[#This Row],[h_Item Description]]="","",INDEX([1]!db[NB PAJAK],MATCH(Table1[[#This Row],[h_Item Description]],[1]!db[kode],0)))</f>
        <v>GEL PEN KENKO HI-TECH-H 0.28 MM HITAM</v>
      </c>
      <c r="P45" s="280" t="s">
        <v>145</v>
      </c>
      <c r="Q45" s="283">
        <v>39000</v>
      </c>
      <c r="R45" s="284">
        <v>0.125</v>
      </c>
      <c r="T45" s="283">
        <f>Table1[[#This Row],[h_hargasetelahdiskon]]</f>
        <v>9828000</v>
      </c>
      <c r="W45" s="287">
        <f ca="1">IF(Table1[[#This Row],[Item Description]]="","",IF(Table1[[#This Row],[//]]="",INDIRECT(ADDRESS(ROW()-1,COLUMN())),Table1[[#This Row],[//]]))</f>
        <v>44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11232000</v>
      </c>
      <c r="Z45" s="283">
        <f>IF(Table1[[#This Row],[h_hargasebelumdiskon]]="","",IF(Table1[[#This Row],[Disc 1]]="",0,Table1[[#This Row],[h_hargasebelumdiskon]]*Table1[[#This Row],[Disc 1]]))</f>
        <v>1404000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1404000</v>
      </c>
      <c r="AC45" s="283">
        <f>IF(Table1[Item Description]="","",Table1[[#This Row],[h_hargasebelumdiskon]]-Table1[[#This Row],[h_diskon]])</f>
        <v>9828000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HI-TECH-H 0.28 MM HITAMLSN39000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K46" s="280">
        <v>240</v>
      </c>
      <c r="L46" s="280" t="s">
        <v>188</v>
      </c>
      <c r="M46" s="280">
        <v>1</v>
      </c>
      <c r="N46" s="280" t="s">
        <v>189</v>
      </c>
      <c r="O46" s="287" t="str">
        <f>IF(Table1[[#This Row],[h_Item Description]]="","",INDEX([1]!db[NB PAJAK],MATCH(Table1[[#This Row],[h_Item Description]],[1]!db[kode],0)))</f>
        <v>KUAS SET JOYKO BR-1</v>
      </c>
      <c r="P46" s="280" t="s">
        <v>190</v>
      </c>
      <c r="Q46" s="283">
        <v>8800</v>
      </c>
      <c r="R46" s="284">
        <v>0.125</v>
      </c>
      <c r="T46" s="283">
        <f>Table1[[#This Row],[h_hargasetelahdiskon]]</f>
        <v>1848000</v>
      </c>
      <c r="W46" s="287">
        <f ca="1">IF(Table1[[#This Row],[Item Description]]="","",IF(Table1[[#This Row],[//]]="",INDIRECT(ADDRESS(ROW()-1,COLUMN())),Table1[[#This Row],[//]]))</f>
        <v>44</v>
      </c>
      <c r="X46" s="287">
        <f ca="1">IF(Table1[[#This Row],[h_id]]="","",COUNTIF(Table1[h_id],Table1[[#This Row],[h_id]]))</f>
        <v>3</v>
      </c>
      <c r="Y46" s="283">
        <f>IF(Table1[Item Description]="","",Table1[[#This Row],[Qty]]*Table1[[#This Row],[Unit Price]])</f>
        <v>2112000</v>
      </c>
      <c r="Z46" s="283">
        <f>IF(Table1[[#This Row],[h_hargasebelumdiskon]]="","",IF(Table1[[#This Row],[Disc 1]]="",0,Table1[[#This Row],[h_hargasebelumdiskon]]*Table1[[#This Row],[Disc 1]]))</f>
        <v>264000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264000</v>
      </c>
      <c r="AC46" s="283">
        <f>IF(Table1[Item Description]="","",Table1[[#This Row],[h_hargasebelumdiskon]]-Table1[[#This Row],[h_diskon]])</f>
        <v>1848000</v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>KUAS SET JOYKO BR-1SET8800</v>
      </c>
    </row>
    <row r="47" spans="1:32" x14ac:dyDescent="0.25">
      <c r="A47" s="287" t="str">
        <f ca="1">IF(Table1[[#This Row],[No. Invoice :]]="","",ROW())</f>
        <v/>
      </c>
      <c r="B47" s="287" t="str">
        <f ca="1">IF(Table1[h_Kode Sales :_1]="","",B$1+COUNT(INDIRECT("B$2:B"&amp;ROW()-1)))</f>
        <v/>
      </c>
      <c r="C47" s="281" t="str">
        <f>IF(Table1[[#This Row],[H_TGL]]="","",Table1[[#This Row],[H_TGL]]+C$1-1)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Row],[h_Kode Sales :_1]])," ",Table1[[#This Row],[h_Kode Sales :_2]])</f>
        <v xml:space="preserve"> </v>
      </c>
      <c r="J47" s="287" t="str">
        <f>IF(Table1[[#This Row],[h_toko]]="","",INDEX(Table2[e],IF(Table1[[#This Row],[h_toko]]="","",MATCH(Table1[[#This Row],[h_toko]],Table2[a],0)),))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IF(Table1[h_Kode Sales :_1]="","",B$1+COUNT(INDIRECT("B$2:B"&amp;ROW()-1)))</f>
        <v>23080018</v>
      </c>
      <c r="C48" s="281">
        <f>IF(Table1[[#This Row],[H_TGL]]="","",Table1[[#This Row],[H_TGL]]+C$1-1)</f>
        <v>45150</v>
      </c>
      <c r="D48" s="292">
        <v>12</v>
      </c>
      <c r="E48" s="280" t="s">
        <v>128</v>
      </c>
      <c r="F48" s="282" t="s">
        <v>191</v>
      </c>
      <c r="G48" s="280" t="s">
        <v>94</v>
      </c>
      <c r="H48" s="287" t="str">
        <f ca="1">IF(Table1[[#This Row],[h_No. Invoice :]]="","",CONCATENATE("AM"," ",Table1[[#This Row],[h_No. Invoice :]]))</f>
        <v>AM 23080018</v>
      </c>
      <c r="I48" s="288" t="str">
        <f>CONCATENATE(UPPER(Table1[[#This Row],[h_Kode Sales :_1]])," ",Table1[[#This Row],[h_Kode Sales :_2]])</f>
        <v>KO 1300</v>
      </c>
      <c r="J48" s="287" t="str">
        <f>IF(Table1[[#This Row],[h_toko]]="","",INDEX(Table2[e],IF(Table1[[#This Row],[h_toko]]="","",MATCH(Table1[[#This Row],[h_toko]],Table2[a],0)),))</f>
        <v>CV LANCAR JAYA SENTOSA MALANG</v>
      </c>
      <c r="K48" s="280">
        <v>300</v>
      </c>
      <c r="L48" s="280" t="s">
        <v>130</v>
      </c>
      <c r="M48" s="280">
        <v>3</v>
      </c>
      <c r="N48" s="280" t="s">
        <v>192</v>
      </c>
      <c r="O48" s="287" t="str">
        <f>IF(Table1[[#This Row],[h_Item Description]]="","",INDEX([1]!db[NB PAJAK],MATCH(Table1[[#This Row],[h_Item Description]],[1]!db[kode],0)))</f>
        <v>ISI STAPLER (STAPLES) GREATWALL GW-NO. 10 (KECIL)</v>
      </c>
      <c r="P48" s="280" t="s">
        <v>193</v>
      </c>
      <c r="Q48" s="283">
        <v>13250</v>
      </c>
      <c r="R48" s="284"/>
      <c r="T48" s="283">
        <f>Table1[[#This Row],[h_hargasetelahdiskon]]</f>
        <v>3975000</v>
      </c>
      <c r="U48" s="283" t="s">
        <v>133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1</v>
      </c>
      <c r="Y48" s="283">
        <f>IF(Table1[Item Description]="","",Table1[[#This Row],[Qty]]*Table1[[#This Row],[Unit Price]])</f>
        <v>3975000</v>
      </c>
      <c r="Z48" s="283">
        <f>IF(Table1[[#This Row],[h_hargasebelumdiskon]]="","",IF(Table1[[#This Row],[Disc 1]]="",0,Table1[[#This Row],[h_hargasebelumdiskon]]*Table1[[#This Row],[Disc 1]]))</f>
        <v>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0</v>
      </c>
      <c r="AC48" s="283">
        <f>IF(Table1[Item Description]="","",Table1[[#This Row],[h_hargasebelumdiskon]]-Table1[[#This Row],[h_diskon]])</f>
        <v>3975000</v>
      </c>
      <c r="AD48" s="283">
        <f ca="1">IF(Table1[//]="","",SUMIF(Table1[h_id],Table1[h_id],Table1[h_hargasetelahdiskon]))</f>
        <v>3975000</v>
      </c>
      <c r="AE48" s="283"/>
      <c r="AF48" s="283" t="str">
        <f>Table1[[#This Row],[Item Description]]&amp;Table1[[#This Row],[Unit]]&amp;Table1[[#This Row],[Unit Price]]</f>
        <v>ISI STAPLER (STAPLES) GREATWALL GW-NO. 10 (KECIL)PAK13250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IF(Table1[h_Kode Sales :_1]="","",B$1+COUNT(INDIRECT("B$2:B"&amp;ROW()-1)))</f>
        <v>23080019</v>
      </c>
      <c r="C50" s="281">
        <f>IF(Table1[[#This Row],[H_TGL]]="","",Table1[[#This Row],[H_TGL]]+C$1-1)</f>
        <v>45150</v>
      </c>
      <c r="D50" s="292">
        <v>12</v>
      </c>
      <c r="E50" s="280" t="s">
        <v>135</v>
      </c>
      <c r="F50" s="282" t="s">
        <v>194</v>
      </c>
      <c r="G50" s="280" t="s">
        <v>93</v>
      </c>
      <c r="H50" s="287" t="str">
        <f ca="1">IF(Table1[[#This Row],[h_No. Invoice :]]="","",CONCATENATE("AM"," ",Table1[[#This Row],[h_No. Invoice :]]))</f>
        <v>AM 23080019</v>
      </c>
      <c r="I50" s="288" t="str">
        <f>CONCATENATE(UPPER(Table1[[#This Row],[h_Kode Sales :_1]])," ",Table1[[#This Row],[h_Kode Sales :_2]])</f>
        <v>G 3022</v>
      </c>
      <c r="J50" s="287" t="str">
        <f>IF(Table1[[#This Row],[h_toko]]="","",INDEX(Table2[e],IF(Table1[[#This Row],[h_toko]]="","",MATCH(Table1[[#This Row],[h_toko]],Table2[a],0)),))</f>
        <v>LILY JULIAWATI (REJO AGUNG) JOMBANG</v>
      </c>
      <c r="K50" s="280">
        <v>72</v>
      </c>
      <c r="L50" s="280" t="s">
        <v>136</v>
      </c>
      <c r="M50" s="280">
        <v>1</v>
      </c>
      <c r="O50" s="287" t="str">
        <f>IF(Table1[[#This Row],[h_Item Description]]="","",INDEX([1]!db[NB PAJAK],MATCH(Table1[[#This Row],[h_Item Description]],[1]!db[kode],0)))</f>
        <v/>
      </c>
      <c r="P50" s="280" t="s">
        <v>195</v>
      </c>
      <c r="Q50" s="283">
        <v>20700</v>
      </c>
      <c r="R50" s="284">
        <v>0.125</v>
      </c>
      <c r="T50" s="283">
        <f>Table1[[#This Row],[h_hargasetelahdiskon]]</f>
        <v>1304100</v>
      </c>
      <c r="U50" s="283" t="s">
        <v>133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7</v>
      </c>
      <c r="Y50" s="283">
        <f>IF(Table1[Item Description]="","",Table1[[#This Row],[Qty]]*Table1[[#This Row],[Unit Price]])</f>
        <v>1490400</v>
      </c>
      <c r="Z50" s="283">
        <f>IF(Table1[[#This Row],[h_hargasebelumdiskon]]="","",IF(Table1[[#This Row],[Disc 1]]="",0,Table1[[#This Row],[h_hargasebelumdiskon]]*Table1[[#This Row],[Disc 1]]))</f>
        <v>186300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186300</v>
      </c>
      <c r="AC50" s="283">
        <f>IF(Table1[Item Description]="","",Table1[[#This Row],[h_hargasebelumdiskon]]-Table1[[#This Row],[h_diskon]])</f>
        <v>1304100</v>
      </c>
      <c r="AD50" s="283">
        <f ca="1">IF(Table1[//]="","",SUMIF(Table1[h_id],Table1[h_id],Table1[h_hargasetelahdiskon]))</f>
        <v>10221750</v>
      </c>
      <c r="AE50" s="283"/>
      <c r="AF50" s="283" t="str">
        <f>Table1[[#This Row],[Item Description]]&amp;Table1[[#This Row],[Unit]]&amp;Table1[[#This Row],[Unit Price]]</f>
        <v>BINDER NOTE JOYKO B5-TSIM-M133 (IMAGINATION) - UPCS20700</v>
      </c>
    </row>
    <row r="51" spans="1:32" x14ac:dyDescent="0.25">
      <c r="A51" s="287" t="str">
        <f ca="1">IF(Table1[[#This Row],[No. Invoice :]]="","",ROW())</f>
        <v/>
      </c>
      <c r="B51" s="287" t="str">
        <f ca="1">IF(Table1[h_Kode Sales :_1]="","",B$1+COUNT(INDIRECT("B$2:B"&amp;ROW()-1)))</f>
        <v/>
      </c>
      <c r="C51" s="281" t="str">
        <f>IF(Table1[[#This Row],[H_TGL]]="","",Table1[[#This Row],[H_TGL]]+C$1-1)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Row],[h_Kode Sales :_1]])," ",Table1[[#This Row],[h_Kode Sales :_2]])</f>
        <v xml:space="preserve"> </v>
      </c>
      <c r="J51" s="287" t="str">
        <f>IF(Table1[[#This Row],[h_toko]]="","",INDEX(Table2[e],IF(Table1[[#This Row],[h_toko]]="","",MATCH(Table1[[#This Row],[h_toko]],Table2[a],0)),))</f>
        <v/>
      </c>
      <c r="K51" s="280">
        <v>72</v>
      </c>
      <c r="L51" s="280" t="s">
        <v>136</v>
      </c>
      <c r="M51" s="280">
        <v>1</v>
      </c>
      <c r="O51" s="287" t="str">
        <f>IF(Table1[[#This Row],[h_Item Description]]="","",INDEX([1]!db[NB PAJAK],MATCH(Table1[[#This Row],[h_Item Description]],[1]!db[kode],0)))</f>
        <v/>
      </c>
      <c r="P51" s="280" t="s">
        <v>196</v>
      </c>
      <c r="Q51" s="283">
        <v>20700</v>
      </c>
      <c r="R51" s="284">
        <v>0.125</v>
      </c>
      <c r="T51" s="283">
        <f>Table1[[#This Row],[h_hargasetelahdiskon]]</f>
        <v>1304100</v>
      </c>
      <c r="W51" s="287">
        <f ca="1">IF(Table1[[#This Row],[Item Description]]="","",IF(Table1[[#This Row],[//]]="",INDIRECT(ADDRESS(ROW()-1,COLUMN())),Table1[[#This Row],[//]]))</f>
        <v>50</v>
      </c>
      <c r="X51" s="287">
        <f ca="1">IF(Table1[[#This Row],[h_id]]="","",COUNTIF(Table1[h_id],Table1[[#This Row],[h_id]]))</f>
        <v>7</v>
      </c>
      <c r="Y51" s="283">
        <f>IF(Table1[Item Description]="","",Table1[[#This Row],[Qty]]*Table1[[#This Row],[Unit Price]])</f>
        <v>1490400</v>
      </c>
      <c r="Z51" s="283">
        <f>IF(Table1[[#This Row],[h_hargasebelumdiskon]]="","",IF(Table1[[#This Row],[Disc 1]]="",0,Table1[[#This Row],[h_hargasebelumdiskon]]*Table1[[#This Row],[Disc 1]]))</f>
        <v>186300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186300</v>
      </c>
      <c r="AC51" s="283">
        <f>IF(Table1[Item Description]="","",Table1[[#This Row],[h_hargasebelumdiskon]]-Table1[[#This Row],[h_diskon]])</f>
        <v>1304100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BINDER NOTE JOYKO B5-TSED-M128 (EDUCATION) - UPCS20700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K52" s="280">
        <v>72</v>
      </c>
      <c r="L52" s="280" t="s">
        <v>136</v>
      </c>
      <c r="M52" s="280">
        <v>1</v>
      </c>
      <c r="O52" s="287" t="str">
        <f>IF(Table1[[#This Row],[h_Item Description]]="","",INDEX([1]!db[NB PAJAK],MATCH(Table1[[#This Row],[h_Item Description]],[1]!db[kode],0)))</f>
        <v/>
      </c>
      <c r="P52" s="280" t="s">
        <v>203</v>
      </c>
      <c r="Q52" s="283">
        <v>20700</v>
      </c>
      <c r="R52" s="284">
        <v>0.125</v>
      </c>
      <c r="T52" s="283">
        <f>Table1[[#This Row],[h_hargasetelahdiskon]]</f>
        <v>1304100</v>
      </c>
      <c r="W52" s="287">
        <f ca="1">IF(Table1[[#This Row],[Item Description]]="","",IF(Table1[[#This Row],[//]]="",INDIRECT(ADDRESS(ROW()-1,COLUMN())),Table1[[#This Row],[//]]))</f>
        <v>50</v>
      </c>
      <c r="X52" s="287">
        <f ca="1">IF(Table1[[#This Row],[h_id]]="","",COUNTIF(Table1[h_id],Table1[[#This Row],[h_id]]))</f>
        <v>7</v>
      </c>
      <c r="Y52" s="283">
        <f>IF(Table1[Item Description]="","",Table1[[#This Row],[Qty]]*Table1[[#This Row],[Unit Price]])</f>
        <v>1490400</v>
      </c>
      <c r="Z52" s="283">
        <f>IF(Table1[[#This Row],[h_hargasebelumdiskon]]="","",IF(Table1[[#This Row],[Disc 1]]="",0,Table1[[#This Row],[h_hargasebelumdiskon]]*Table1[[#This Row],[Disc 1]]))</f>
        <v>186300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186300</v>
      </c>
      <c r="AC52" s="283">
        <f>IF(Table1[Item Description]="","",Table1[[#This Row],[h_hargasebelumdiskon]]-Table1[[#This Row],[h_diskon]])</f>
        <v>1304100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BINDER NOTE JOYKO B5-TSCS-M79 (CLASSIC) - UPCS20700</v>
      </c>
    </row>
    <row r="53" spans="1:32" x14ac:dyDescent="0.25">
      <c r="A53" s="287" t="str">
        <f ca="1">IF(Table1[[#This Row],[No. Invoice :]]="","",ROW())</f>
        <v/>
      </c>
      <c r="B53" s="287" t="str">
        <f ca="1">IF(Table1[h_Kode Sales :_1]="","",B$1+COUNT(INDIRECT("B$2:B"&amp;ROW()-1)))</f>
        <v/>
      </c>
      <c r="C53" s="281" t="str">
        <f>IF(Table1[[#This Row],[H_TGL]]="","",Table1[[#This Row],[H_TGL]]+C$1-1)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Row],[h_Kode Sales :_1]])," ",Table1[[#This Row],[h_Kode Sales :_2]])</f>
        <v xml:space="preserve"> </v>
      </c>
      <c r="J53" s="287" t="str">
        <f>IF(Table1[[#This Row],[h_toko]]="","",INDEX(Table2[e],IF(Table1[[#This Row],[h_toko]]="","",MATCH(Table1[[#This Row],[h_toko]],Table2[a],0)),))</f>
        <v/>
      </c>
      <c r="K53" s="280">
        <v>72</v>
      </c>
      <c r="L53" s="280" t="s">
        <v>136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197</v>
      </c>
      <c r="Q53" s="283">
        <v>20700</v>
      </c>
      <c r="R53" s="284">
        <v>0.125</v>
      </c>
      <c r="T53" s="283">
        <f>Table1[[#This Row],[h_hargasetelahdiskon]]</f>
        <v>1304100</v>
      </c>
      <c r="W53" s="287">
        <f ca="1">IF(Table1[[#This Row],[Item Description]]="","",IF(Table1[[#This Row],[//]]="",INDIRECT(ADDRESS(ROW()-1,COLUMN())),Table1[[#This Row],[//]]))</f>
        <v>50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BINDER NOTE JOYKO B5-TSIM-M114 (IMAGE) - UPCS20700</v>
      </c>
    </row>
    <row r="54" spans="1:32" ht="16.5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136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90" t="s">
        <v>198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50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B5-TSCL-M125 (COLLEGE)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20</v>
      </c>
      <c r="L55" s="280" t="s">
        <v>136</v>
      </c>
      <c r="M55" s="280">
        <v>1</v>
      </c>
      <c r="N55" s="280" t="s">
        <v>199</v>
      </c>
      <c r="O55" s="287" t="str">
        <f>IF(Table1[[#This Row],[h_Item Description]]="","",INDEX([1]!db[NB PAJAK],MATCH(Table1[[#This Row],[h_Item Description]],[1]!db[kode],0)))</f>
        <v>MESIN LABEL HARGA KENKO MX-5500 (8 DIGITS, 1 LINE)</v>
      </c>
      <c r="P55" s="280" t="s">
        <v>201</v>
      </c>
      <c r="Q55" s="283">
        <v>40500</v>
      </c>
      <c r="R55" s="284">
        <v>0.125</v>
      </c>
      <c r="T55" s="283">
        <f>Table1[[#This Row],[h_hargasetelahdiskon]]</f>
        <v>708750</v>
      </c>
      <c r="W55" s="287">
        <f ca="1">IF(Table1[[#This Row],[Item Description]]="","",IF(Table1[[#This Row],[//]]="",INDIRECT(ADDRESS(ROW()-1,COLUMN())),Table1[[#This Row],[//]]))</f>
        <v>50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810000</v>
      </c>
      <c r="Z55" s="283">
        <f>IF(Table1[[#This Row],[h_hargasebelumdiskon]]="","",IF(Table1[[#This Row],[Disc 1]]="",0,Table1[[#This Row],[h_hargasebelumdiskon]]*Table1[[#This Row],[Disc 1]]))</f>
        <v>101250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101250</v>
      </c>
      <c r="AC55" s="283">
        <f>IF(Table1[Item Description]="","",Table1[[#This Row],[h_hargasebelumdiskon]]-Table1[[#This Row],[h_diskon]])</f>
        <v>708750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MESIN LABEL HARGA KENKO MX-5500 (8 DIGITS, 1 LINE)PCS40500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60</v>
      </c>
      <c r="L56" s="280" t="s">
        <v>143</v>
      </c>
      <c r="M56" s="280">
        <v>2</v>
      </c>
      <c r="N56" s="280" t="s">
        <v>200</v>
      </c>
      <c r="O56" s="287" t="str">
        <f>IF(Table1[[#This Row],[h_Item Description]]="","",INDEX([1]!db[NB PAJAK],MATCH(Table1[[#This Row],[h_Item Description]],[1]!db[kode],0)))</f>
        <v>CUTTER 9 MM KENKO A-300 (KECIL)</v>
      </c>
      <c r="P56" s="280" t="s">
        <v>202</v>
      </c>
      <c r="Q56" s="283">
        <v>57000</v>
      </c>
      <c r="R56" s="284">
        <v>0.125</v>
      </c>
      <c r="T56" s="283">
        <f>Table1[[#This Row],[h_hargasetelahdiskon]]</f>
        <v>2992500</v>
      </c>
      <c r="W56" s="287">
        <f ca="1">IF(Table1[[#This Row],[Item Description]]="","",IF(Table1[[#This Row],[//]]="",INDIRECT(ADDRESS(ROW()-1,COLUMN())),Table1[[#This Row],[//]]))</f>
        <v>50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3420000</v>
      </c>
      <c r="Z56" s="283">
        <f>IF(Table1[[#This Row],[h_hargasebelumdiskon]]="","",IF(Table1[[#This Row],[Disc 1]]="",0,Table1[[#This Row],[h_hargasebelumdiskon]]*Table1[[#This Row],[Disc 1]]))</f>
        <v>427500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427500</v>
      </c>
      <c r="AC56" s="283">
        <f>IF(Table1[Item Description]="","",Table1[[#This Row],[h_hargasebelumdiskon]]-Table1[[#This Row],[h_diskon]])</f>
        <v>2992500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CUTTER 9 MM KENKO A-300 (KECIL)LSN57000</v>
      </c>
    </row>
    <row r="57" spans="1:32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>
        <f ca="1">IF(Table1[[#This Row],[No. Invoice :]]="","",ROW())</f>
        <v>58</v>
      </c>
      <c r="B58" s="287">
        <f ca="1">IF(Table1[h_Kode Sales :_1]="","",B$1+COUNT(INDIRECT("B$2:B"&amp;ROW()-1)))</f>
        <v>23080020</v>
      </c>
      <c r="C58" s="281">
        <f>IF(Table1[[#This Row],[H_TGL]]="","",Table1[[#This Row],[H_TGL]]+C$1-1)</f>
        <v>45154</v>
      </c>
      <c r="D58" s="292">
        <v>16</v>
      </c>
      <c r="E58" s="280" t="s">
        <v>135</v>
      </c>
      <c r="F58" s="282" t="s">
        <v>241</v>
      </c>
      <c r="G58" s="280" t="s">
        <v>93</v>
      </c>
      <c r="H58" s="287" t="str">
        <f ca="1">IF(Table1[[#This Row],[h_No. Invoice :]]="","",CONCATENATE("AM"," ",Table1[[#This Row],[h_No. Invoice :]]))</f>
        <v>AM 23080020</v>
      </c>
      <c r="I58" s="288" t="str">
        <f>CONCATENATE(UPPER(Table1[[#This Row],[h_Kode Sales :_1]])," ",Table1[[#This Row],[h_Kode Sales :_2]])</f>
        <v>G 3036</v>
      </c>
      <c r="J58" s="287" t="str">
        <f>IF(Table1[[#This Row],[h_toko]]="","",INDEX(Table2[e],IF(Table1[[#This Row],[h_toko]]="","",MATCH(Table1[[#This Row],[h_toko]],Table2[a],0)),))</f>
        <v>LILY JULIAWATI (REJO AGUNG) JOMBANG</v>
      </c>
      <c r="K58" s="280">
        <v>24</v>
      </c>
      <c r="L58" s="280" t="s">
        <v>204</v>
      </c>
      <c r="M58" s="280">
        <v>2</v>
      </c>
      <c r="N58" s="280" t="s">
        <v>205</v>
      </c>
      <c r="O58" s="287" t="str">
        <f>IF(Table1[[#This Row],[h_Item Description]]="","",INDEX([1]!db[NB PAJAK],MATCH(Table1[[#This Row],[h_Item Description]],[1]!db[kode],0)))</f>
        <v>ISI PENSIL 2B 0.5 MM JOYKO PL-05</v>
      </c>
      <c r="P58" s="280" t="s">
        <v>206</v>
      </c>
      <c r="Q58" s="283">
        <v>176400</v>
      </c>
      <c r="R58" s="284">
        <v>0.125</v>
      </c>
      <c r="T58" s="283">
        <f>Table1[[#This Row],[h_hargasetelahdiskon]]</f>
        <v>3704400</v>
      </c>
      <c r="U58" s="283" t="s">
        <v>133</v>
      </c>
      <c r="W58" s="287">
        <f ca="1">IF(Table1[[#This Row],[Item Description]]="","",IF(Table1[[#This Row],[//]]="",INDIRECT(ADDRESS(ROW()-1,COLUMN())),Table1[[#This Row],[//]]))</f>
        <v>58</v>
      </c>
      <c r="X58" s="287">
        <f ca="1">IF(Table1[[#This Row],[h_id]]="","",COUNTIF(Table1[h_id],Table1[[#This Row],[h_id]]))</f>
        <v>2</v>
      </c>
      <c r="Y58" s="283">
        <f>IF(Table1[Item Description]="","",Table1[[#This Row],[Qty]]*Table1[[#This Row],[Unit Price]])</f>
        <v>4233600</v>
      </c>
      <c r="Z58" s="283">
        <f>IF(Table1[[#This Row],[h_hargasebelumdiskon]]="","",IF(Table1[[#This Row],[Disc 1]]="",0,Table1[[#This Row],[h_hargasebelumdiskon]]*Table1[[#This Row],[Disc 1]]))</f>
        <v>529200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529200</v>
      </c>
      <c r="AC58" s="283">
        <f>IF(Table1[Item Description]="","",Table1[[#This Row],[h_hargasebelumdiskon]]-Table1[[#This Row],[h_diskon]])</f>
        <v>3704400</v>
      </c>
      <c r="AD58" s="283">
        <f ca="1">IF(Table1[//]="","",SUMIF(Table1[h_id],Table1[h_id],Table1[h_hargasetelahdiskon]))</f>
        <v>8391600</v>
      </c>
      <c r="AE58" s="283"/>
      <c r="AF58" s="283" t="str">
        <f>Table1[[#This Row],[Item Description]]&amp;Table1[[#This Row],[Unit]]&amp;Table1[[#This Row],[Unit Price]]</f>
        <v>ISI PENSIL 2B 0.5 MM JOYKO PL-05GRS176400</v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K59" s="280">
        <v>144</v>
      </c>
      <c r="L59" s="280" t="s">
        <v>143</v>
      </c>
      <c r="M59" s="280">
        <v>2</v>
      </c>
      <c r="N59" s="280" t="s">
        <v>207</v>
      </c>
      <c r="O59" s="287" t="str">
        <f>IF(Table1[[#This Row],[h_Item Description]]="","",INDEX([1]!db[NB PAJAK],MATCH(Table1[[#This Row],[h_Item Description]],[1]!db[kode],0)))</f>
        <v>ISI PENSIL 2B 2.0 MM JOYKO PL-11</v>
      </c>
      <c r="P59" s="280" t="s">
        <v>208</v>
      </c>
      <c r="Q59" s="283">
        <v>37200</v>
      </c>
      <c r="R59" s="284">
        <v>0.125</v>
      </c>
      <c r="T59" s="283">
        <f>Table1[[#This Row],[h_hargasetelahdiskon]]</f>
        <v>4687200</v>
      </c>
      <c r="W59" s="287">
        <f ca="1">IF(Table1[[#This Row],[Item Description]]="","",IF(Table1[[#This Row],[//]]="",INDIRECT(ADDRESS(ROW()-1,COLUMN())),Table1[[#This Row],[//]]))</f>
        <v>58</v>
      </c>
      <c r="X59" s="287">
        <f ca="1">IF(Table1[[#This Row],[h_id]]="","",COUNTIF(Table1[h_id],Table1[[#This Row],[h_id]]))</f>
        <v>2</v>
      </c>
      <c r="Y59" s="283">
        <f>IF(Table1[Item Description]="","",Table1[[#This Row],[Qty]]*Table1[[#This Row],[Unit Price]])</f>
        <v>5356800</v>
      </c>
      <c r="Z59" s="283">
        <f>IF(Table1[[#This Row],[h_hargasebelumdiskon]]="","",IF(Table1[[#This Row],[Disc 1]]="",0,Table1[[#This Row],[h_hargasebelumdiskon]]*Table1[[#This Row],[Disc 1]]))</f>
        <v>669600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669600</v>
      </c>
      <c r="AC59" s="283">
        <f>IF(Table1[Item Description]="","",Table1[[#This Row],[h_hargasebelumdiskon]]-Table1[[#This Row],[h_diskon]])</f>
        <v>4687200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ISI PENSIL 2B 2.0 MM JOYKO PL-11LSN37200</v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>
        <f ca="1">IF(Table1[[#This Row],[No. Invoice :]]="","",ROW())</f>
        <v>61</v>
      </c>
      <c r="B61" s="287">
        <f ca="1">IF(Table1[h_Kode Sales :_1]="","",B$1+COUNT(INDIRECT("B$2:B"&amp;ROW()-1)))</f>
        <v>23080021</v>
      </c>
      <c r="C61" s="281">
        <f>IF(Table1[[#This Row],[H_TGL]]="","",Table1[[#This Row],[H_TGL]]+C$1-1)</f>
        <v>45154</v>
      </c>
      <c r="D61" s="292">
        <v>16</v>
      </c>
      <c r="E61" s="280" t="s">
        <v>128</v>
      </c>
      <c r="F61" s="282" t="s">
        <v>209</v>
      </c>
      <c r="G61" s="280" t="s">
        <v>70</v>
      </c>
      <c r="H61" s="287" t="str">
        <f ca="1">IF(Table1[[#This Row],[h_No. Invoice :]]="","",CONCATENATE("AM"," ",Table1[[#This Row],[h_No. Invoice :]]))</f>
        <v>AM 23080021</v>
      </c>
      <c r="I61" s="288" t="str">
        <f>CONCATENATE(UPPER(Table1[[#This Row],[h_Kode Sales :_1]])," ",Table1[[#This Row],[h_Kode Sales :_2]])</f>
        <v>KO 3033</v>
      </c>
      <c r="J61" s="287" t="str">
        <f>IF(Table1[[#This Row],[h_toko]]="","",INDEX(Table2[e],IF(Table1[[#This Row],[h_toko]]="","",MATCH(Table1[[#This Row],[h_toko]],Table2[a],0)),))</f>
        <v>HARNOYO (BENDAN) PEKALONGAN</v>
      </c>
      <c r="K61" s="280">
        <v>40</v>
      </c>
      <c r="L61" s="280" t="s">
        <v>130</v>
      </c>
      <c r="M61" s="280">
        <v>1</v>
      </c>
      <c r="N61" s="280" t="s">
        <v>210</v>
      </c>
      <c r="O61" s="287" t="str">
        <f>IF(Table1[[#This Row],[h_Item Description]]="","",INDEX([1]!db[NB PAJAK],MATCH(Table1[[#This Row],[h_Item Description]],[1]!db[kode],0)))</f>
        <v>PAPER JUMBO CLIP KENKO NO. 5</v>
      </c>
      <c r="P61" s="280" t="s">
        <v>211</v>
      </c>
      <c r="Q61" s="283">
        <v>43000</v>
      </c>
      <c r="R61" s="284">
        <v>0.14000000000000001</v>
      </c>
      <c r="T61" s="283">
        <f>Table1[[#This Row],[h_hargasetelahdiskon]]</f>
        <v>1479200</v>
      </c>
      <c r="U61" s="283" t="s">
        <v>133</v>
      </c>
      <c r="W61" s="287">
        <f ca="1">IF(Table1[[#This Row],[Item Description]]="","",IF(Table1[[#This Row],[//]]="",INDIRECT(ADDRESS(ROW()-1,COLUMN())),Table1[[#This Row],[//]]))</f>
        <v>61</v>
      </c>
      <c r="X61" s="287">
        <f ca="1">IF(Table1[[#This Row],[h_id]]="","",COUNTIF(Table1[h_id],Table1[[#This Row],[h_id]]))</f>
        <v>2</v>
      </c>
      <c r="Y61" s="283">
        <f>IF(Table1[Item Description]="","",Table1[[#This Row],[Qty]]*Table1[[#This Row],[Unit Price]])</f>
        <v>1720000</v>
      </c>
      <c r="Z61" s="283">
        <f>IF(Table1[[#This Row],[h_hargasebelumdiskon]]="","",IF(Table1[[#This Row],[Disc 1]]="",0,Table1[[#This Row],[h_hargasebelumdiskon]]*Table1[[#This Row],[Disc 1]]))</f>
        <v>240800.00000000003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240800.00000000003</v>
      </c>
      <c r="AC61" s="283">
        <f>IF(Table1[Item Description]="","",Table1[[#This Row],[h_hargasebelumdiskon]]-Table1[[#This Row],[h_diskon]])</f>
        <v>1479200</v>
      </c>
      <c r="AD61" s="283">
        <f ca="1">IF(Table1[//]="","",SUMIF(Table1[h_id],Table1[h_id],Table1[h_hargasetelahdiskon]))</f>
        <v>1759904</v>
      </c>
      <c r="AE61" s="283"/>
      <c r="AF61" s="283" t="str">
        <f>Table1[[#This Row],[Item Description]]&amp;Table1[[#This Row],[Unit]]&amp;Table1[[#This Row],[Unit Price]]</f>
        <v>PAPER JUMBO CLIP KENKO NO. 5PAK43000</v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K62" s="280">
        <v>2</v>
      </c>
      <c r="L62" s="280" t="s">
        <v>143</v>
      </c>
      <c r="N62" s="280" t="s">
        <v>212</v>
      </c>
      <c r="O62" s="287" t="str">
        <f>IF(Table1[[#This Row],[h_Item Description]]="","",INDEX([1]!db[NB PAJAK],MATCH(Table1[[#This Row],[h_Item Description]],[1]!db[kode],0)))</f>
        <v>GARISAN BESI (STAINLESS STEEL) KENKO 40 CM</v>
      </c>
      <c r="P62" s="280" t="s">
        <v>213</v>
      </c>
      <c r="Q62" s="283">
        <v>163200</v>
      </c>
      <c r="R62" s="284">
        <v>0.14000000000000001</v>
      </c>
      <c r="T62" s="283">
        <f>Table1[[#This Row],[h_hargasetelahdiskon]]</f>
        <v>280704</v>
      </c>
      <c r="W62" s="287">
        <f ca="1">IF(Table1[[#This Row],[Item Description]]="","",IF(Table1[[#This Row],[//]]="",INDIRECT(ADDRESS(ROW()-1,COLUMN())),Table1[[#This Row],[//]]))</f>
        <v>61</v>
      </c>
      <c r="X62" s="287">
        <f ca="1">IF(Table1[[#This Row],[h_id]]="","",COUNTIF(Table1[h_id],Table1[[#This Row],[h_id]]))</f>
        <v>2</v>
      </c>
      <c r="Y62" s="283">
        <f>IF(Table1[Item Description]="","",Table1[[#This Row],[Qty]]*Table1[[#This Row],[Unit Price]])</f>
        <v>326400</v>
      </c>
      <c r="Z62" s="283">
        <f>IF(Table1[[#This Row],[h_hargasebelumdiskon]]="","",IF(Table1[[#This Row],[Disc 1]]="",0,Table1[[#This Row],[h_hargasebelumdiskon]]*Table1[[#This Row],[Disc 1]]))</f>
        <v>45696.000000000007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45696.000000000007</v>
      </c>
      <c r="AC62" s="283">
        <f>IF(Table1[Item Description]="","",Table1[[#This Row],[h_hargasebelumdiskon]]-Table1[[#This Row],[h_diskon]])</f>
        <v>280704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GARISAN BESI (STAINLESS STEEL) KENKO 40 CMLSN163200</v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IF(Table1[h_Kode Sales :_1]="","",B$1+COUNT(INDIRECT("B$2:B"&amp;ROW()-1)))</f>
        <v>23080022</v>
      </c>
      <c r="C64" s="281">
        <f>IF(Table1[[#This Row],[H_TGL]]="","",Table1[[#This Row],[H_TGL]]+C$1-1)</f>
        <v>45154</v>
      </c>
      <c r="D64" s="292">
        <v>16</v>
      </c>
      <c r="E64" s="280" t="s">
        <v>162</v>
      </c>
      <c r="F64" s="282" t="s">
        <v>214</v>
      </c>
      <c r="G64" s="280" t="s">
        <v>215</v>
      </c>
      <c r="H64" s="287" t="str">
        <f ca="1">IF(Table1[[#This Row],[h_No. Invoice :]]="","",CONCATENATE("AM"," ",Table1[[#This Row],[h_No. Invoice :]]))</f>
        <v>AM 23080022</v>
      </c>
      <c r="I64" s="288" t="str">
        <f>CONCATENATE(UPPER(Table1[[#This Row],[h_Kode Sales :_1]])," ",Table1[[#This Row],[h_Kode Sales :_2]])</f>
        <v>KO 3035</v>
      </c>
      <c r="J64" s="287" t="str">
        <f>IF(Table1[[#This Row],[h_toko]]="","",INDEX(Table2[e],IF(Table1[[#This Row],[h_toko]]="","",MATCH(Table1[[#This Row],[h_toko]],Table2[a],0)),))</f>
        <v>CV DWI JAYA YOGYAKARTA</v>
      </c>
      <c r="K64" s="280">
        <v>5</v>
      </c>
      <c r="L64" s="280" t="s">
        <v>204</v>
      </c>
      <c r="M64" s="280">
        <v>1</v>
      </c>
      <c r="N64" s="280" t="s">
        <v>216</v>
      </c>
      <c r="O64" s="287" t="str">
        <f>IF(Table1[[#This Row],[h_Item Description]]="","",INDEX([1]!db[NB PAJAK],MATCH(Table1[[#This Row],[h_Item Description]],[1]!db[kode],0)))</f>
        <v>BINDER CLIP KENKO NO. 260</v>
      </c>
      <c r="P64" s="280" t="s">
        <v>217</v>
      </c>
      <c r="Q64" s="283">
        <v>180000</v>
      </c>
      <c r="R64" s="284">
        <v>0.1</v>
      </c>
      <c r="T64" s="283">
        <f>Table1[[#This Row],[h_hargasetelahdiskon]]</f>
        <v>810000</v>
      </c>
      <c r="U64" s="283" t="s">
        <v>133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4</v>
      </c>
      <c r="Y64" s="283">
        <f>IF(Table1[Item Description]="","",Table1[[#This Row],[Qty]]*Table1[[#This Row],[Unit Price]])</f>
        <v>900000</v>
      </c>
      <c r="Z64" s="283">
        <f>IF(Table1[[#This Row],[h_hargasebelumdiskon]]="","",IF(Table1[[#This Row],[Disc 1]]="",0,Table1[[#This Row],[h_hargasebelumdiskon]]*Table1[[#This Row],[Disc 1]]))</f>
        <v>90000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90000</v>
      </c>
      <c r="AC64" s="283">
        <f>IF(Table1[Item Description]="","",Table1[[#This Row],[h_hargasebelumdiskon]]-Table1[[#This Row],[h_diskon]])</f>
        <v>810000</v>
      </c>
      <c r="AD64" s="283">
        <f ca="1">IF(Table1[//]="","",SUMIF(Table1[h_id],Table1[h_id],Table1[h_hargasetelahdiskon]))</f>
        <v>2330100</v>
      </c>
      <c r="AE64" s="283"/>
      <c r="AF64" s="283" t="str">
        <f>Table1[[#This Row],[Item Description]]&amp;Table1[[#This Row],[Unit]]&amp;Table1[[#This Row],[Unit Price]]</f>
        <v>BINDER CLIP KENKO NO. 260GRS180000</v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K65" s="280">
        <v>6</v>
      </c>
      <c r="L65" s="280" t="s">
        <v>136</v>
      </c>
      <c r="N65" s="280" t="s">
        <v>218</v>
      </c>
      <c r="O65" s="287" t="str">
        <f>IF(Table1[[#This Row],[h_Item Description]]="","",INDEX([1]!db[NB PAJAK],MATCH(Table1[[#This Row],[h_Item Description]],[1]!db[kode],0)))</f>
        <v>STAPLER HEAVY DUTY KENKO HD-12N/13</v>
      </c>
      <c r="P65" s="280" t="s">
        <v>219</v>
      </c>
      <c r="Q65" s="283">
        <v>84000</v>
      </c>
      <c r="R65" s="284">
        <v>0.1</v>
      </c>
      <c r="T65" s="283">
        <f>Table1[[#This Row],[h_hargasetelahdiskon]]</f>
        <v>453600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4</v>
      </c>
      <c r="Y65" s="283">
        <f>IF(Table1[Item Description]="","",Table1[[#This Row],[Qty]]*Table1[[#This Row],[Unit Price]])</f>
        <v>504000</v>
      </c>
      <c r="Z65" s="283">
        <f>IF(Table1[[#This Row],[h_hargasebelumdiskon]]="","",IF(Table1[[#This Row],[Disc 1]]="",0,Table1[[#This Row],[h_hargasebelumdiskon]]*Table1[[#This Row],[Disc 1]]))</f>
        <v>50400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50400</v>
      </c>
      <c r="AC65" s="283">
        <f>IF(Table1[Item Description]="","",Table1[[#This Row],[h_hargasebelumdiskon]]-Table1[[#This Row],[h_diskon]])</f>
        <v>453600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STAPLER HEAVY DUTY KENKO HD-12N/13PCS84000</v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K66" s="280">
        <v>3</v>
      </c>
      <c r="L66" s="280" t="s">
        <v>136</v>
      </c>
      <c r="N66" s="280" t="s">
        <v>220</v>
      </c>
      <c r="O66" s="287" t="str">
        <f>IF(Table1[[#This Row],[h_Item Description]]="","",INDEX([1]!db[NB PAJAK],MATCH(Table1[[#This Row],[h_Item Description]],[1]!db[kode],0)))</f>
        <v>STAPLER HEAVY DUTY KENKO HD-12N/24</v>
      </c>
      <c r="P66" s="280" t="s">
        <v>223</v>
      </c>
      <c r="Q66" s="283">
        <v>155000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4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HEAVY DUTY KENKO HD-12N/24PCS155000</v>
      </c>
    </row>
    <row r="67" spans="1:32" x14ac:dyDescent="0.25">
      <c r="A67" s="287" t="str">
        <f ca="1">IF(Table1[[#This Row],[No. Invoice :]]="","",ROW())</f>
        <v/>
      </c>
      <c r="B67" s="287" t="str">
        <f ca="1">IF(Table1[h_Kode Sales :_1]="","",B$1+COUNT(INDIRECT("B$2:B"&amp;ROW()-1)))</f>
        <v/>
      </c>
      <c r="C67" s="281" t="str">
        <f>IF(Table1[[#This Row],[H_TGL]]="","",Table1[[#This Row],[H_TGL]]+C$1-1)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Row],[h_Kode Sales :_1]])," ",Table1[[#This Row],[h_Kode Sales :_2]])</f>
        <v xml:space="preserve"> </v>
      </c>
      <c r="J67" s="287" t="str">
        <f>IF(Table1[[#This Row],[h_toko]]="","",INDEX(Table2[e],IF(Table1[[#This Row],[h_toko]]="","",MATCH(Table1[[#This Row],[h_toko]],Table2[a],0)),))</f>
        <v/>
      </c>
      <c r="K67" s="280">
        <v>2</v>
      </c>
      <c r="L67" s="280" t="s">
        <v>136</v>
      </c>
      <c r="N67" s="280" t="s">
        <v>221</v>
      </c>
      <c r="O67" s="287" t="str">
        <f>IF(Table1[[#This Row],[h_Item Description]]="","",INDEX([1]!db[NB PAJAK],MATCH(Table1[[#This Row],[h_Item Description]],[1]!db[kode],0)))</f>
        <v>STAPLER HEAVY DUTY KENKO HD-12L/24</v>
      </c>
      <c r="P67" s="280" t="s">
        <v>222</v>
      </c>
      <c r="Q67" s="283">
        <v>360000</v>
      </c>
      <c r="R67" s="284">
        <v>0.1</v>
      </c>
      <c r="T67" s="283">
        <f>Table1[[#This Row],[h_hargasetelahdiskon]]</f>
        <v>648000</v>
      </c>
      <c r="W67" s="287">
        <f ca="1">IF(Table1[[#This Row],[Item Description]]="","",IF(Table1[[#This Row],[//]]="",INDIRECT(ADDRESS(ROW()-1,COLUMN())),Table1[[#This Row],[//]]))</f>
        <v>64</v>
      </c>
      <c r="X67" s="287">
        <f ca="1">IF(Table1[[#This Row],[h_id]]="","",COUNTIF(Table1[h_id],Table1[[#This Row],[h_id]]))</f>
        <v>4</v>
      </c>
      <c r="Y67" s="283">
        <f>IF(Table1[Item Description]="","",Table1[[#This Row],[Qty]]*Table1[[#This Row],[Unit Price]])</f>
        <v>720000</v>
      </c>
      <c r="Z67" s="283">
        <f>IF(Table1[[#This Row],[h_hargasebelumdiskon]]="","",IF(Table1[[#This Row],[Disc 1]]="",0,Table1[[#This Row],[h_hargasebelumdiskon]]*Table1[[#This Row],[Disc 1]]))</f>
        <v>72000</v>
      </c>
      <c r="AA67" s="283">
        <f>IF(Table1[[#This Row],[h_hargasebelumdiskon]]="","",IF(Table1[[#This Row],[Disc 2]]="",0,(Table1[[#This Row],[h_hargasebelumdiskon]]-Table1[[#This Row],[h_disc 1]])*Table1[[#This Row],[Disc 2]]))</f>
        <v>0</v>
      </c>
      <c r="AB67" s="283">
        <f>IF(Table1[Item Description]="","",Table1[[#This Row],[h_disc 1]]+Table1[[#This Row],[h_disc 2]])</f>
        <v>72000</v>
      </c>
      <c r="AC67" s="283">
        <f>IF(Table1[Item Description]="","",Table1[[#This Row],[h_hargasebelumdiskon]]-Table1[[#This Row],[h_diskon]])</f>
        <v>648000</v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>STAPLER HEAVY DUTY KENKO HD-12L/24PCS360000</v>
      </c>
    </row>
    <row r="68" spans="1:32" x14ac:dyDescent="0.25">
      <c r="A68" s="287" t="str">
        <f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/>
      <c r="I68" s="288"/>
      <c r="J68" s="287" t="str">
        <f>IF(Table1[[#This Row],[h_toko]]="","",INDEX(Table2[e],IF(Table1[[#This Row],[h_toko]]="","",MATCH(Table1[[#This Row],[h_toko]],Table2[a],0)),))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>
        <f ca="1">IF(Table1[[#This Row],[No. Invoice :]]="","",ROW())</f>
        <v>69</v>
      </c>
      <c r="B69" s="287">
        <f ca="1">IF(Table1[h_Kode Sales :_1]="","",B$1+COUNT(INDIRECT("B$2:B"&amp;ROW()-1)))</f>
        <v>23080023</v>
      </c>
      <c r="C69" s="281">
        <f>IF(Table1[[#This Row],[H_TGL]]="","",Table1[[#This Row],[H_TGL]]+C$1-1)</f>
        <v>45156</v>
      </c>
      <c r="D69" s="292">
        <v>18</v>
      </c>
      <c r="E69" s="280" t="s">
        <v>162</v>
      </c>
      <c r="F69" s="282" t="s">
        <v>224</v>
      </c>
      <c r="G69" s="280" t="s">
        <v>84</v>
      </c>
      <c r="H69" s="287" t="str">
        <f ca="1">IF(Table1[[#This Row],[h_No. Invoice :]]="","",CONCATENATE("AM"," ",Table1[[#This Row],[h_No. Invoice :]]))</f>
        <v>AM 23080023</v>
      </c>
      <c r="I69" s="288" t="str">
        <f>CONCATENATE(UPPER(Table1[[#This Row],[h_Kode Sales :_1]])," ",Table1[[#This Row],[h_Kode Sales :_2]])</f>
        <v>KO 3047</v>
      </c>
      <c r="J69" s="287" t="str">
        <f>IF(Table1[[#This Row],[h_toko]]="","",INDEX(Table2[e],IF(Table1[[#This Row],[h_toko]]="","",MATCH(Table1[[#This Row],[h_toko]],Table2[a],0)),))</f>
        <v>CV PELITA JAYA (ANUGERAH SEJAHTERA) PURWOKERTO</v>
      </c>
      <c r="K69" s="280">
        <v>100</v>
      </c>
      <c r="L69" s="280" t="s">
        <v>143</v>
      </c>
      <c r="M69" s="280">
        <v>5</v>
      </c>
      <c r="N69" s="280" t="s">
        <v>225</v>
      </c>
      <c r="O69" s="287" t="str">
        <f>IF(Table1[[#This Row],[h_Item Description]]="","",INDEX([1]!db[NB PAJAK],MATCH(Table1[[#This Row],[h_Item Description]],[1]!db[kode],0)))</f>
        <v>STAPLER KENKO HD-10</v>
      </c>
      <c r="P69" s="280" t="s">
        <v>226</v>
      </c>
      <c r="Q69" s="283">
        <v>93000</v>
      </c>
      <c r="R69" s="284">
        <v>0.13500000000000001</v>
      </c>
      <c r="T69" s="283">
        <f>Table1[[#This Row],[h_hargasetelahdiskon]]</f>
        <v>8044500</v>
      </c>
      <c r="U69" s="283" t="s">
        <v>133</v>
      </c>
      <c r="W69" s="287">
        <f ca="1">IF(Table1[[#This Row],[Item Description]]="","",IF(Table1[[#This Row],[//]]="",INDIRECT(ADDRESS(ROW()-1,COLUMN())),Table1[[#This Row],[//]]))</f>
        <v>69</v>
      </c>
      <c r="X69" s="287">
        <f ca="1">IF(Table1[[#This Row],[h_id]]="","",COUNTIF(Table1[h_id],Table1[[#This Row],[h_id]]))</f>
        <v>1</v>
      </c>
      <c r="Y69" s="283">
        <f>IF(Table1[Item Description]="","",Table1[[#This Row],[Qty]]*Table1[[#This Row],[Unit Price]])</f>
        <v>9300000</v>
      </c>
      <c r="Z69" s="283">
        <f>IF(Table1[[#This Row],[h_hargasebelumdiskon]]="","",IF(Table1[[#This Row],[Disc 1]]="",0,Table1[[#This Row],[h_hargasebelumdiskon]]*Table1[[#This Row],[Disc 1]]))</f>
        <v>1255500</v>
      </c>
      <c r="AA69" s="283">
        <f>IF(Table1[[#This Row],[h_hargasebelumdiskon]]="","",IF(Table1[[#This Row],[Disc 2]]="",0,(Table1[[#This Row],[h_hargasebelumdiskon]]-Table1[[#This Row],[h_disc 1]])*Table1[[#This Row],[Disc 2]]))</f>
        <v>0</v>
      </c>
      <c r="AB69" s="283">
        <f>IF(Table1[Item Description]="","",Table1[[#This Row],[h_disc 1]]+Table1[[#This Row],[h_disc 2]])</f>
        <v>1255500</v>
      </c>
      <c r="AC69" s="283">
        <f>IF(Table1[Item Description]="","",Table1[[#This Row],[h_hargasebelumdiskon]]-Table1[[#This Row],[h_diskon]])</f>
        <v>8044500</v>
      </c>
      <c r="AD69" s="283">
        <f ca="1">IF(Table1[//]="","",SUMIF(Table1[h_id],Table1[h_id],Table1[h_hargasetelahdiskon]))</f>
        <v>8044500</v>
      </c>
      <c r="AE69" s="283"/>
      <c r="AF69" s="283" t="str">
        <f>Table1[[#This Row],[Item Description]]&amp;Table1[[#This Row],[Unit]]&amp;Table1[[#This Row],[Unit Price]]</f>
        <v>STAPLER KENKO HD-10LSN93000</v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>
        <f ca="1">IF(Table1[[#This Row],[No. Invoice :]]="","",ROW())</f>
        <v>71</v>
      </c>
      <c r="B71" s="287">
        <f ca="1">IF(Table1[h_Kode Sales :_1]="","",B$1+COUNT(INDIRECT("B$2:B"&amp;ROW()-1)))</f>
        <v>23080024</v>
      </c>
      <c r="C71" s="281">
        <f>IF(Table1[[#This Row],[H_TGL]]="","",Table1[[#This Row],[H_TGL]]+C$1-1)</f>
        <v>45156</v>
      </c>
      <c r="D71" s="292">
        <v>18</v>
      </c>
      <c r="E71" s="280" t="s">
        <v>177</v>
      </c>
      <c r="F71" s="282" t="s">
        <v>227</v>
      </c>
      <c r="G71" s="280" t="s">
        <v>93</v>
      </c>
      <c r="H71" s="287" t="str">
        <f ca="1">IF(Table1[[#This Row],[h_No. Invoice :]]="","",CONCATENATE("AM"," ",Table1[[#This Row],[h_No. Invoice :]]))</f>
        <v>AM 23080024</v>
      </c>
      <c r="I71" s="288" t="str">
        <f>CONCATENATE(UPPER(Table1[[#This Row],[h_Kode Sales :_1]])," ",Table1[[#This Row],[h_Kode Sales :_2]])</f>
        <v>G 3502</v>
      </c>
      <c r="J71" s="287" t="str">
        <f>IF(Table1[[#This Row],[h_toko]]="","",INDEX(Table2[e],IF(Table1[[#This Row],[h_toko]]="","",MATCH(Table1[[#This Row],[h_toko]],Table2[a],0)),))</f>
        <v>LILY JULIAWATI (REJO AGUNG) JOMBANG</v>
      </c>
      <c r="K71" s="280">
        <v>120</v>
      </c>
      <c r="L71" s="280" t="s">
        <v>136</v>
      </c>
      <c r="M71" s="280">
        <v>1</v>
      </c>
      <c r="N71" s="280" t="s">
        <v>228</v>
      </c>
      <c r="O71" s="287" t="str">
        <f>IF(Table1[[#This Row],[h_Item Description]]="","",INDEX([1]!db[NB PAJAK],MATCH(Table1[[#This Row],[h_Item Description]],[1]!db[kode],0)))</f>
        <v>CALCULATOR JOYKO CC-8CO WARNA</v>
      </c>
      <c r="P71" s="280" t="s">
        <v>233</v>
      </c>
      <c r="Q71" s="283">
        <v>47000</v>
      </c>
      <c r="R71" s="284">
        <v>0.125</v>
      </c>
      <c r="T71" s="283">
        <f>Table1[[#This Row],[h_hargasetelahdiskon]]</f>
        <v>4935000</v>
      </c>
      <c r="U71" s="283" t="s">
        <v>133</v>
      </c>
      <c r="W71" s="287">
        <f ca="1">IF(Table1[[#This Row],[Item Description]]="","",IF(Table1[[#This Row],[//]]="",INDIRECT(ADDRESS(ROW()-1,COLUMN())),Table1[[#This Row],[//]]))</f>
        <v>71</v>
      </c>
      <c r="X71" s="287">
        <f ca="1">IF(Table1[[#This Row],[h_id]]="","",COUNTIF(Table1[h_id],Table1[[#This Row],[h_id]]))</f>
        <v>12</v>
      </c>
      <c r="Y71" s="283">
        <f>IF(Table1[Item Description]="","",Table1[[#This Row],[Qty]]*Table1[[#This Row],[Unit Price]])</f>
        <v>5640000</v>
      </c>
      <c r="Z71" s="283">
        <f>IF(Table1[[#This Row],[h_hargasebelumdiskon]]="","",IF(Table1[[#This Row],[Disc 1]]="",0,Table1[[#This Row],[h_hargasebelumdiskon]]*Table1[[#This Row],[Disc 1]]))</f>
        <v>705000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705000</v>
      </c>
      <c r="AC71" s="283">
        <f>IF(Table1[Item Description]="","",Table1[[#This Row],[h_hargasebelumdiskon]]-Table1[[#This Row],[h_diskon]])</f>
        <v>4935000</v>
      </c>
      <c r="AD71" s="283">
        <f ca="1">IF(Table1[//]="","",SUMIF(Table1[h_id],Table1[h_id],Table1[h_hargasetelahdiskon]))</f>
        <v>28812000</v>
      </c>
      <c r="AE71" s="283"/>
      <c r="AF71" s="283" t="str">
        <f>Table1[[#This Row],[Item Description]]&amp;Table1[[#This Row],[Unit]]&amp;Table1[[#This Row],[Unit Price]]</f>
        <v>CALCULATOR JOYKO CC-8CO WARNAPCS47000</v>
      </c>
    </row>
    <row r="72" spans="1:32" x14ac:dyDescent="0.25">
      <c r="A72" s="287" t="str">
        <f ca="1">IF(Table1[[#This Row],[No. Invoice :]]="","",ROW())</f>
        <v/>
      </c>
      <c r="B72" s="287" t="str">
        <f ca="1">IF(Table1[h_Kode Sales :_1]="","",B$1+COUNT(INDIRECT("B$2:B"&amp;ROW()-1)))</f>
        <v/>
      </c>
      <c r="C72" s="281" t="str">
        <f>IF(Table1[[#This Row],[H_TGL]]="","",Table1[[#This Row],[H_TGL]]+C$1-1)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Row],[h_Kode Sales :_1]])," ",Table1[[#This Row],[h_Kode Sales :_2]])</f>
        <v xml:space="preserve"> </v>
      </c>
      <c r="J72" s="287" t="str">
        <f>IF(Table1[[#This Row],[h_toko]]="","",INDEX(Table2[e],IF(Table1[[#This Row],[h_toko]]="","",MATCH(Table1[[#This Row],[h_toko]],Table2[a],0)),))</f>
        <v/>
      </c>
      <c r="K72" s="280">
        <v>72</v>
      </c>
      <c r="L72" s="280" t="s">
        <v>136</v>
      </c>
      <c r="M72" s="280">
        <v>1</v>
      </c>
      <c r="O72" s="287" t="str">
        <f>IF(Table1[[#This Row],[h_Item Description]]="","",INDEX([1]!db[NB PAJAK],MATCH(Table1[[#This Row],[h_Item Description]],[1]!db[kode],0)))</f>
        <v/>
      </c>
      <c r="P72" s="280" t="s">
        <v>231</v>
      </c>
      <c r="Q72" s="283">
        <v>15800</v>
      </c>
      <c r="R72" s="284">
        <v>0.125</v>
      </c>
      <c r="T72" s="283">
        <f>Table1[[#This Row],[h_hargasetelahdiskon]]</f>
        <v>995400</v>
      </c>
      <c r="W72" s="287">
        <f ca="1">IF(Table1[[#This Row],[Item Description]]="","",IF(Table1[[#This Row],[//]]="",INDIRECT(ADDRESS(ROW()-1,COLUMN())),Table1[[#This Row],[//]]))</f>
        <v>71</v>
      </c>
      <c r="X72" s="287">
        <f ca="1">IF(Table1[[#This Row],[h_id]]="","",COUNTIF(Table1[h_id],Table1[[#This Row],[h_id]]))</f>
        <v>12</v>
      </c>
      <c r="Y72" s="283">
        <f>IF(Table1[Item Description]="","",Table1[[#This Row],[Qty]]*Table1[[#This Row],[Unit Price]])</f>
        <v>1137600</v>
      </c>
      <c r="Z72" s="283">
        <f>IF(Table1[[#This Row],[h_hargasebelumdiskon]]="","",IF(Table1[[#This Row],[Disc 1]]="",0,Table1[[#This Row],[h_hargasebelumdiskon]]*Table1[[#This Row],[Disc 1]]))</f>
        <v>142200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142200</v>
      </c>
      <c r="AC72" s="283">
        <f>IF(Table1[Item Description]="","",Table1[[#This Row],[h_hargasebelumdiskon]]-Table1[[#This Row],[h_diskon]])</f>
        <v>995400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BINDER NOTE JOYKO A5-TSAF-F511 (ANIMAL FACE) JK-FPCS15800</v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K73" s="280">
        <v>72</v>
      </c>
      <c r="L73" s="280" t="s">
        <v>136</v>
      </c>
      <c r="M73" s="280">
        <v>1</v>
      </c>
      <c r="O73" s="287" t="str">
        <f>IF(Table1[[#This Row],[h_Item Description]]="","",INDEX([1]!db[NB PAJAK],MATCH(Table1[[#This Row],[h_Item Description]],[1]!db[kode],0)))</f>
        <v/>
      </c>
      <c r="P73" s="280" t="s">
        <v>232</v>
      </c>
      <c r="Q73" s="283">
        <v>15800</v>
      </c>
      <c r="R73" s="284">
        <v>0.125</v>
      </c>
      <c r="T73" s="283">
        <f>Table1[[#This Row],[h_hargasetelahdiskon]]</f>
        <v>995400</v>
      </c>
      <c r="W73" s="287">
        <f ca="1">IF(Table1[[#This Row],[Item Description]]="","",IF(Table1[[#This Row],[//]]="",INDIRECT(ADDRESS(ROW()-1,COLUMN())),Table1[[#This Row],[//]]))</f>
        <v>71</v>
      </c>
      <c r="X73" s="287">
        <f ca="1">IF(Table1[[#This Row],[h_id]]="","",COUNTIF(Table1[h_id],Table1[[#This Row],[h_id]]))</f>
        <v>12</v>
      </c>
      <c r="Y73" s="283">
        <f>IF(Table1[Item Description]="","",Table1[[#This Row],[Qty]]*Table1[[#This Row],[Unit Price]])</f>
        <v>1137600</v>
      </c>
      <c r="Z73" s="283">
        <f>IF(Table1[[#This Row],[h_hargasebelumdiskon]]="","",IF(Table1[[#This Row],[Disc 1]]="",0,Table1[[#This Row],[h_hargasebelumdiskon]]*Table1[[#This Row],[Disc 1]]))</f>
        <v>142200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142200</v>
      </c>
      <c r="AC73" s="283">
        <f>IF(Table1[Item Description]="","",Table1[[#This Row],[h_hargasebelumdiskon]]-Table1[[#This Row],[h_diskon]])</f>
        <v>995400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BINDER NOTE JOYKO A5-TSAF-F512 (ANIMAL FACE) JK-FPCS15800</v>
      </c>
    </row>
    <row r="74" spans="1:32" x14ac:dyDescent="0.25">
      <c r="A74" s="287" t="str">
        <f ca="1">IF(Table1[[#This Row],[No. Invoice :]]="","",ROW())</f>
        <v/>
      </c>
      <c r="B74" s="287" t="str">
        <f ca="1">IF(Table1[h_Kode Sales :_1]="","",B$1+COUNT(INDIRECT("B$2:B"&amp;ROW()-1)))</f>
        <v/>
      </c>
      <c r="C74" s="281" t="str">
        <f>IF(Table1[[#This Row],[H_TGL]]="","",Table1[[#This Row],[H_TGL]]+C$1-1)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Row],[h_Kode Sales :_1]])," ",Table1[[#This Row],[h_Kode Sales :_2]])</f>
        <v xml:space="preserve"> </v>
      </c>
      <c r="J74" s="287" t="str">
        <f>IF(Table1[[#This Row],[h_toko]]="","",INDEX(Table2[e],IF(Table1[[#This Row],[h_toko]]="","",MATCH(Table1[[#This Row],[h_toko]],Table2[a],0)),))</f>
        <v/>
      </c>
      <c r="K74" s="280">
        <v>144</v>
      </c>
      <c r="L74" s="280" t="s">
        <v>143</v>
      </c>
      <c r="M74" s="280">
        <v>1</v>
      </c>
      <c r="N74" s="280" t="s">
        <v>186</v>
      </c>
      <c r="O74" s="287" t="str">
        <f>IF(Table1[[#This Row],[h_Item Description]]="","",INDEX([1]!db[NB PAJAK],MATCH(Table1[[#This Row],[h_Item Description]],[1]!db[kode],0)))</f>
        <v>ISI PENSIL 2B 2.0 MM JOYKO PL-10</v>
      </c>
      <c r="P74" s="280" t="s">
        <v>187</v>
      </c>
      <c r="Q74" s="283">
        <v>19800</v>
      </c>
      <c r="R74" s="284">
        <v>0.125</v>
      </c>
      <c r="T74" s="283">
        <f>Table1[[#This Row],[h_hargasetelahdiskon]]</f>
        <v>2494800</v>
      </c>
      <c r="W74" s="287">
        <f ca="1">IF(Table1[[#This Row],[Item Description]]="","",IF(Table1[[#This Row],[//]]="",INDIRECT(ADDRESS(ROW()-1,COLUMN())),Table1[[#This Row],[//]]))</f>
        <v>71</v>
      </c>
      <c r="X74" s="287">
        <f ca="1">IF(Table1[[#This Row],[h_id]]="","",COUNTIF(Table1[h_id],Table1[[#This Row],[h_id]]))</f>
        <v>12</v>
      </c>
      <c r="Y74" s="283">
        <f>IF(Table1[Item Description]="","",Table1[[#This Row],[Qty]]*Table1[[#This Row],[Unit Price]])</f>
        <v>2851200</v>
      </c>
      <c r="Z74" s="283">
        <f>IF(Table1[[#This Row],[h_hargasebelumdiskon]]="","",IF(Table1[[#This Row],[Disc 1]]="",0,Table1[[#This Row],[h_hargasebelumdiskon]]*Table1[[#This Row],[Disc 1]]))</f>
        <v>356400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356400</v>
      </c>
      <c r="AC74" s="283">
        <f>IF(Table1[Item Description]="","",Table1[[#This Row],[h_hargasebelumdiskon]]-Table1[[#This Row],[h_diskon]])</f>
        <v>2494800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ISI PENSIL 2B 2.0 MM JOYKO PL-10LSN19800</v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K75" s="280">
        <v>48</v>
      </c>
      <c r="L75" s="280" t="s">
        <v>136</v>
      </c>
      <c r="M75" s="280">
        <v>2</v>
      </c>
      <c r="N75" s="280" t="s">
        <v>229</v>
      </c>
      <c r="O75" s="287" t="str">
        <f>IF(Table1[[#This Row],[h_Item Description]]="","",INDEX([1]!db[NB PAJAK],MATCH(Table1[[#This Row],[h_Item Description]],[1]!db[kode],0)))</f>
        <v>PUNCH JOYKO 85</v>
      </c>
      <c r="P75" s="280" t="s">
        <v>234</v>
      </c>
      <c r="Q75" s="283">
        <v>40000</v>
      </c>
      <c r="R75" s="284">
        <v>0.125</v>
      </c>
      <c r="T75" s="283">
        <f>Table1[[#This Row],[h_hargasetelahdiskon]]</f>
        <v>1680000</v>
      </c>
      <c r="W75" s="287">
        <f ca="1">IF(Table1[[#This Row],[Item Description]]="","",IF(Table1[[#This Row],[//]]="",INDIRECT(ADDRESS(ROW()-1,COLUMN())),Table1[[#This Row],[//]]))</f>
        <v>71</v>
      </c>
      <c r="X75" s="287">
        <f ca="1">IF(Table1[[#This Row],[h_id]]="","",COUNTIF(Table1[h_id],Table1[[#This Row],[h_id]]))</f>
        <v>12</v>
      </c>
      <c r="Y75" s="283">
        <f>IF(Table1[Item Description]="","",Table1[[#This Row],[Qty]]*Table1[[#This Row],[Unit Price]])</f>
        <v>1920000</v>
      </c>
      <c r="Z75" s="283">
        <f>IF(Table1[[#This Row],[h_hargasebelumdiskon]]="","",IF(Table1[[#This Row],[Disc 1]]="",0,Table1[[#This Row],[h_hargasebelumdiskon]]*Table1[[#This Row],[Disc 1]]))</f>
        <v>240000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240000</v>
      </c>
      <c r="AC75" s="283">
        <f>IF(Table1[Item Description]="","",Table1[[#This Row],[h_hargasebelumdiskon]]-Table1[[#This Row],[h_diskon]])</f>
        <v>1680000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PUNCH JOYKO 85PCS40000</v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K76" s="280">
        <v>288</v>
      </c>
      <c r="L76" s="280" t="s">
        <v>143</v>
      </c>
      <c r="M76" s="280">
        <v>2</v>
      </c>
      <c r="N76" s="280" t="s">
        <v>230</v>
      </c>
      <c r="O76" s="287" t="str">
        <f>IF(Table1[[#This Row],[h_Item Description]]="","",INDEX([1]!db[NB PAJAK],MATCH(Table1[[#This Row],[h_Item Description]],[1]!db[kode],0)))</f>
        <v>GEL PEN JOYKO GP-237 X-TECH</v>
      </c>
      <c r="P76" s="280" t="s">
        <v>235</v>
      </c>
      <c r="Q76" s="283">
        <v>43200</v>
      </c>
      <c r="R76" s="284">
        <v>0.125</v>
      </c>
      <c r="T76" s="283">
        <f>Table1[[#This Row],[h_hargasetelahdiskon]]</f>
        <v>10886400</v>
      </c>
      <c r="W76" s="287">
        <f ca="1">IF(Table1[[#This Row],[Item Description]]="","",IF(Table1[[#This Row],[//]]="",INDIRECT(ADDRESS(ROW()-1,COLUMN())),Table1[[#This Row],[//]]))</f>
        <v>71</v>
      </c>
      <c r="X76" s="287">
        <f ca="1">IF(Table1[[#This Row],[h_id]]="","",COUNTIF(Table1[h_id],Table1[[#This Row],[h_id]]))</f>
        <v>12</v>
      </c>
      <c r="Y76" s="283">
        <f>IF(Table1[Item Description]="","",Table1[[#This Row],[Qty]]*Table1[[#This Row],[Unit Price]])</f>
        <v>12441600</v>
      </c>
      <c r="Z76" s="283">
        <f>IF(Table1[[#This Row],[h_hargasebelumdiskon]]="","",IF(Table1[[#This Row],[Disc 1]]="",0,Table1[[#This Row],[h_hargasebelumdiskon]]*Table1[[#This Row],[Disc 1]]))</f>
        <v>1555200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1555200</v>
      </c>
      <c r="AC76" s="283">
        <f>IF(Table1[Item Description]="","",Table1[[#This Row],[h_hargasebelumdiskon]]-Table1[[#This Row],[h_diskon]])</f>
        <v>10886400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GEL PEN JOYKO GP-237 X-TECHLSN43200</v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K77" s="280">
        <v>240</v>
      </c>
      <c r="L77" s="280" t="s">
        <v>188</v>
      </c>
      <c r="M77" s="280">
        <v>1</v>
      </c>
      <c r="N77" s="280" t="s">
        <v>189</v>
      </c>
      <c r="O77" s="287" t="str">
        <f>IF(Table1[[#This Row],[h_Item Description]]="","",INDEX([1]!db[NB PAJAK],MATCH(Table1[[#This Row],[h_Item Description]],[1]!db[kode],0)))</f>
        <v>KUAS SET JOYKO BR-1</v>
      </c>
      <c r="P77" s="280" t="s">
        <v>190</v>
      </c>
      <c r="Q77" s="283">
        <v>8800</v>
      </c>
      <c r="R77" s="284">
        <v>0.125</v>
      </c>
      <c r="T77" s="283">
        <f>Table1[[#This Row],[h_hargasetelahdiskon]]</f>
        <v>1848000</v>
      </c>
      <c r="W77" s="287">
        <f ca="1">IF(Table1[[#This Row],[Item Description]]="","",IF(Table1[[#This Row],[//]]="",INDIRECT(ADDRESS(ROW()-1,COLUMN())),Table1[[#This Row],[//]]))</f>
        <v>71</v>
      </c>
      <c r="X77" s="287">
        <f ca="1">IF(Table1[[#This Row],[h_id]]="","",COUNTIF(Table1[h_id],Table1[[#This Row],[h_id]]))</f>
        <v>12</v>
      </c>
      <c r="Y77" s="283">
        <f>IF(Table1[Item Description]="","",Table1[[#This Row],[Qty]]*Table1[[#This Row],[Unit Price]])</f>
        <v>2112000</v>
      </c>
      <c r="Z77" s="283">
        <f>IF(Table1[[#This Row],[h_hargasebelumdiskon]]="","",IF(Table1[[#This Row],[Disc 1]]="",0,Table1[[#This Row],[h_hargasebelumdiskon]]*Table1[[#This Row],[Disc 1]]))</f>
        <v>264000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264000</v>
      </c>
      <c r="AC77" s="283">
        <f>IF(Table1[Item Description]="","",Table1[[#This Row],[h_hargasebelumdiskon]]-Table1[[#This Row],[h_diskon]])</f>
        <v>1848000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KUAS SET JOYKO BR-1SET8800</v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K78" s="280">
        <v>72</v>
      </c>
      <c r="L78" s="280" t="s">
        <v>136</v>
      </c>
      <c r="M78" s="280">
        <v>1</v>
      </c>
      <c r="O78" s="287" t="str">
        <f>IF(Table1[[#This Row],[h_Item Description]]="","",INDEX([1]!db[NB PAJAK],MATCH(Table1[[#This Row],[h_Item Description]],[1]!db[kode],0)))</f>
        <v/>
      </c>
      <c r="P78" s="280" t="s">
        <v>236</v>
      </c>
      <c r="Q78" s="283">
        <v>15800</v>
      </c>
      <c r="R78" s="284">
        <v>0.125</v>
      </c>
      <c r="T78" s="283">
        <f>Table1[[#This Row],[h_hargasetelahdiskon]]</f>
        <v>995400</v>
      </c>
      <c r="W78" s="287">
        <f ca="1">IF(Table1[[#This Row],[Item Description]]="","",IF(Table1[[#This Row],[//]]="",INDIRECT(ADDRESS(ROW()-1,COLUMN())),Table1[[#This Row],[//]]))</f>
        <v>71</v>
      </c>
      <c r="X78" s="287">
        <f ca="1">IF(Table1[[#This Row],[h_id]]="","",COUNTIF(Table1[h_id],Table1[[#This Row],[h_id]]))</f>
        <v>12</v>
      </c>
      <c r="Y78" s="283">
        <f>IF(Table1[Item Description]="","",Table1[[#This Row],[Qty]]*Table1[[#This Row],[Unit Price]])</f>
        <v>1137600</v>
      </c>
      <c r="Z78" s="283">
        <f>IF(Table1[[#This Row],[h_hargasebelumdiskon]]="","",IF(Table1[[#This Row],[Disc 1]]="",0,Table1[[#This Row],[h_hargasebelumdiskon]]*Table1[[#This Row],[Disc 1]]))</f>
        <v>142200</v>
      </c>
      <c r="AA78" s="283">
        <f>IF(Table1[[#This Row],[h_hargasebelumdiskon]]="","",IF(Table1[[#This Row],[Disc 2]]="",0,(Table1[[#This Row],[h_hargasebelumdiskon]]-Table1[[#This Row],[h_disc 1]])*Table1[[#This Row],[Disc 2]]))</f>
        <v>0</v>
      </c>
      <c r="AB78" s="283">
        <f>IF(Table1[Item Description]="","",Table1[[#This Row],[h_disc 1]]+Table1[[#This Row],[h_disc 2]])</f>
        <v>142200</v>
      </c>
      <c r="AC78" s="283">
        <f>IF(Table1[Item Description]="","",Table1[[#This Row],[h_hargasebelumdiskon]]-Table1[[#This Row],[h_diskon]])</f>
        <v>995400</v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>BINDER NOTE JOYKO A5-TSBS-M376  (BASIC) -UPCS15800</v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K79" s="280">
        <v>72</v>
      </c>
      <c r="L79" s="280" t="s">
        <v>136</v>
      </c>
      <c r="M79" s="280">
        <v>1</v>
      </c>
      <c r="O79" s="287" t="str">
        <f>IF(Table1[[#This Row],[h_Item Description]]="","",INDEX([1]!db[NB PAJAK],MATCH(Table1[[#This Row],[h_Item Description]],[1]!db[kode],0)))</f>
        <v/>
      </c>
      <c r="P79" s="280" t="s">
        <v>237</v>
      </c>
      <c r="Q79" s="283">
        <v>15800</v>
      </c>
      <c r="R79" s="284">
        <v>0.125</v>
      </c>
      <c r="T79" s="283">
        <f>Table1[[#This Row],[h_hargasetelahdiskon]]</f>
        <v>995400</v>
      </c>
      <c r="W79" s="287">
        <f ca="1">IF(Table1[[#This Row],[Item Description]]="","",IF(Table1[[#This Row],[//]]="",INDIRECT(ADDRESS(ROW()-1,COLUMN())),Table1[[#This Row],[//]]))</f>
        <v>71</v>
      </c>
      <c r="X79" s="287">
        <f ca="1">IF(Table1[[#This Row],[h_id]]="","",COUNTIF(Table1[h_id],Table1[[#This Row],[h_id]]))</f>
        <v>12</v>
      </c>
      <c r="Y79" s="283">
        <f>IF(Table1[Item Description]="","",Table1[[#This Row],[Qty]]*Table1[[#This Row],[Unit Price]])</f>
        <v>1137600</v>
      </c>
      <c r="Z79" s="283">
        <f>IF(Table1[[#This Row],[h_hargasebelumdiskon]]="","",IF(Table1[[#This Row],[Disc 1]]="",0,Table1[[#This Row],[h_hargasebelumdiskon]]*Table1[[#This Row],[Disc 1]]))</f>
        <v>142200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142200</v>
      </c>
      <c r="AC79" s="283">
        <f>IF(Table1[Item Description]="","",Table1[[#This Row],[h_hargasebelumdiskon]]-Table1[[#This Row],[h_diskon]])</f>
        <v>995400</v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>BINDER NOTE JOYKO A5-TSCS-M432 (CLASSIC) - UPCS15800</v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K80" s="280">
        <v>72</v>
      </c>
      <c r="L80" s="280" t="s">
        <v>136</v>
      </c>
      <c r="M80" s="280">
        <v>1</v>
      </c>
      <c r="O80" s="287" t="str">
        <f>IF(Table1[[#This Row],[h_Item Description]]="","",INDEX([1]!db[NB PAJAK],MATCH(Table1[[#This Row],[h_Item Description]],[1]!db[kode],0)))</f>
        <v/>
      </c>
      <c r="P80" s="280" t="s">
        <v>238</v>
      </c>
      <c r="Q80" s="283">
        <v>15800</v>
      </c>
      <c r="R80" s="284">
        <v>0.125</v>
      </c>
      <c r="T80" s="283">
        <f>Table1[[#This Row],[h_hargasetelahdiskon]]</f>
        <v>995400</v>
      </c>
      <c r="W80" s="287">
        <f ca="1">IF(Table1[[#This Row],[Item Description]]="","",IF(Table1[[#This Row],[//]]="",INDIRECT(ADDRESS(ROW()-1,COLUMN())),Table1[[#This Row],[//]]))</f>
        <v>71</v>
      </c>
      <c r="X80" s="287">
        <f ca="1">IF(Table1[[#This Row],[h_id]]="","",COUNTIF(Table1[h_id],Table1[[#This Row],[h_id]]))</f>
        <v>12</v>
      </c>
      <c r="Y80" s="283">
        <f>IF(Table1[Item Description]="","",Table1[[#This Row],[Qty]]*Table1[[#This Row],[Unit Price]])</f>
        <v>1137600</v>
      </c>
      <c r="Z80" s="283">
        <f>IF(Table1[[#This Row],[h_hargasebelumdiskon]]="","",IF(Table1[[#This Row],[Disc 1]]="",0,Table1[[#This Row],[h_hargasebelumdiskon]]*Table1[[#This Row],[Disc 1]]))</f>
        <v>142200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142200</v>
      </c>
      <c r="AC80" s="283">
        <f>IF(Table1[Item Description]="","",Table1[[#This Row],[h_hargasebelumdiskon]]-Table1[[#This Row],[h_diskon]])</f>
        <v>995400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BINDER NOTE JOYKO A5-TSUN-M473 (UNIVERSITY) - UPCS15800</v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K81" s="280">
        <v>72</v>
      </c>
      <c r="L81" s="280" t="s">
        <v>136</v>
      </c>
      <c r="M81" s="280">
        <v>1</v>
      </c>
      <c r="O81" s="287" t="str">
        <f>IF(Table1[[#This Row],[h_Item Description]]="","",INDEX([1]!db[NB PAJAK],MATCH(Table1[[#This Row],[h_Item Description]],[1]!db[kode],0)))</f>
        <v/>
      </c>
      <c r="P81" s="280" t="s">
        <v>239</v>
      </c>
      <c r="Q81" s="283">
        <v>15800</v>
      </c>
      <c r="R81" s="284">
        <v>0.125</v>
      </c>
      <c r="T81" s="283">
        <f>Table1[[#This Row],[h_hargasetelahdiskon]]</f>
        <v>995400</v>
      </c>
      <c r="W81" s="287">
        <f ca="1">IF(Table1[[#This Row],[Item Description]]="","",IF(Table1[[#This Row],[//]]="",INDIRECT(ADDRESS(ROW()-1,COLUMN())),Table1[[#This Row],[//]]))</f>
        <v>71</v>
      </c>
      <c r="X81" s="287">
        <f ca="1">IF(Table1[[#This Row],[h_id]]="","",COUNTIF(Table1[h_id],Table1[[#This Row],[h_id]]))</f>
        <v>12</v>
      </c>
      <c r="Y81" s="283">
        <f>IF(Table1[Item Description]="","",Table1[[#This Row],[Qty]]*Table1[[#This Row],[Unit Price]])</f>
        <v>1137600</v>
      </c>
      <c r="Z81" s="283">
        <f>IF(Table1[[#This Row],[h_hargasebelumdiskon]]="","",IF(Table1[[#This Row],[Disc 1]]="",0,Table1[[#This Row],[h_hargasebelumdiskon]]*Table1[[#This Row],[Disc 1]]))</f>
        <v>142200</v>
      </c>
      <c r="AA81" s="283">
        <f>IF(Table1[[#This Row],[h_hargasebelumdiskon]]="","",IF(Table1[[#This Row],[Disc 2]]="",0,(Table1[[#This Row],[h_hargasebelumdiskon]]-Table1[[#This Row],[h_disc 1]])*Table1[[#This Row],[Disc 2]]))</f>
        <v>0</v>
      </c>
      <c r="AB81" s="283">
        <f>IF(Table1[Item Description]="","",Table1[[#This Row],[h_disc 1]]+Table1[[#This Row],[h_disc 2]])</f>
        <v>142200</v>
      </c>
      <c r="AC81" s="283">
        <f>IF(Table1[Item Description]="","",Table1[[#This Row],[h_hargasebelumdiskon]]-Table1[[#This Row],[h_diskon]])</f>
        <v>995400</v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>BINDER NOTE JOYKO A5-TSTP-513 (TEMPORARY) - UPCS15800</v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K82" s="280">
        <v>72</v>
      </c>
      <c r="L82" s="280" t="s">
        <v>136</v>
      </c>
      <c r="M82" s="280">
        <v>1</v>
      </c>
      <c r="O82" s="287" t="str">
        <f>IF(Table1[[#This Row],[h_Item Description]]="","",INDEX([1]!db[NB PAJAK],MATCH(Table1[[#This Row],[h_Item Description]],[1]!db[kode],0)))</f>
        <v/>
      </c>
      <c r="P82" s="280" t="s">
        <v>240</v>
      </c>
      <c r="Q82" s="283">
        <v>15800</v>
      </c>
      <c r="R82" s="284">
        <v>0.125</v>
      </c>
      <c r="T82" s="283">
        <f>Table1[[#This Row],[h_hargasetelahdiskon]]</f>
        <v>995400</v>
      </c>
      <c r="W82" s="287">
        <f ca="1">IF(Table1[[#This Row],[Item Description]]="","",IF(Table1[[#This Row],[//]]="",INDIRECT(ADDRESS(ROW()-1,COLUMN())),Table1[[#This Row],[//]]))</f>
        <v>71</v>
      </c>
      <c r="X82" s="287">
        <f ca="1">IF(Table1[[#This Row],[h_id]]="","",COUNTIF(Table1[h_id],Table1[[#This Row],[h_id]]))</f>
        <v>12</v>
      </c>
      <c r="Y82" s="283">
        <f>IF(Table1[Item Description]="","",Table1[[#This Row],[Qty]]*Table1[[#This Row],[Unit Price]])</f>
        <v>1137600</v>
      </c>
      <c r="Z82" s="283">
        <f>IF(Table1[[#This Row],[h_hargasebelumdiskon]]="","",IF(Table1[[#This Row],[Disc 1]]="",0,Table1[[#This Row],[h_hargasebelumdiskon]]*Table1[[#This Row],[Disc 1]]))</f>
        <v>142200</v>
      </c>
      <c r="AA82" s="283">
        <f>IF(Table1[[#This Row],[h_hargasebelumdiskon]]="","",IF(Table1[[#This Row],[Disc 2]]="",0,(Table1[[#This Row],[h_hargasebelumdiskon]]-Table1[[#This Row],[h_disc 1]])*Table1[[#This Row],[Disc 2]]))</f>
        <v>0</v>
      </c>
      <c r="AB82" s="283">
        <f>IF(Table1[Item Description]="","",Table1[[#This Row],[h_disc 1]]+Table1[[#This Row],[h_disc 2]])</f>
        <v>142200</v>
      </c>
      <c r="AC82" s="283">
        <f>IF(Table1[Item Description]="","",Table1[[#This Row],[h_hargasebelumdiskon]]-Table1[[#This Row],[h_diskon]])</f>
        <v>995400</v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>BINDER NOTE JOYKO A5-TSED-M477 (ACADEMY) - UPCS15800</v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>
        <f ca="1">IF(Table1[[#This Row],[No. Invoice :]]="","",ROW())</f>
        <v>84</v>
      </c>
      <c r="B84" s="287">
        <f ca="1">IF(Table1[h_Kode Sales :_1]="","",B$1+COUNT(INDIRECT("B$2:B"&amp;ROW()-1)))</f>
        <v>23080025</v>
      </c>
      <c r="C84" s="281">
        <f>IF(Table1[[#This Row],[H_TGL]]="","",Table1[[#This Row],[H_TGL]]+C$1-1)</f>
        <v>45160</v>
      </c>
      <c r="D84" s="292">
        <v>22</v>
      </c>
      <c r="E84" s="280" t="s">
        <v>128</v>
      </c>
      <c r="F84" s="282" t="s">
        <v>263</v>
      </c>
      <c r="G84" s="280" t="s">
        <v>67</v>
      </c>
      <c r="H84" s="287" t="str">
        <f ca="1">IF(Table1[[#This Row],[h_No. Invoice :]]="","",CONCATENATE("AM"," ",Table1[[#This Row],[h_No. Invoice :]]))</f>
        <v>AM 23080025</v>
      </c>
      <c r="I84" s="288" t="str">
        <f>CONCATENATE(UPPER(Table1[[#This Row],[h_Kode Sales :_1]])," ",Table1[[#This Row],[h_Kode Sales :_2]])</f>
        <v>KO 1585</v>
      </c>
      <c r="J84" s="287" t="str">
        <f>IF(Table1[[#This Row],[h_toko]]="","",INDEX(Table2[e],IF(Table1[[#This Row],[h_toko]]="","",MATCH(Table1[[#This Row],[h_toko]],Table2[a],0)),))</f>
        <v>CV RAINBOW NUSANTARA SIDOARJO</v>
      </c>
      <c r="K84" s="280">
        <v>156</v>
      </c>
      <c r="L84" s="280" t="s">
        <v>264</v>
      </c>
      <c r="O84" s="287" t="str">
        <f>IF(Table1[[#This Row],[h_Item Description]]="","",INDEX([1]!db[NB PAJAK],MATCH(Table1[[#This Row],[h_Item Description]],[1]!db[kode],0)))</f>
        <v/>
      </c>
      <c r="P84" s="280" t="s">
        <v>172</v>
      </c>
      <c r="Q84" s="283">
        <v>7500</v>
      </c>
      <c r="R84" s="284">
        <v>0.14499999999999999</v>
      </c>
      <c r="T84" s="283">
        <f>Table1[[#This Row],[h_hargasetelahdiskon]]</f>
        <v>1000350</v>
      </c>
      <c r="U84" s="283" t="s">
        <v>267</v>
      </c>
      <c r="W84" s="287">
        <f ca="1">IF(Table1[[#This Row],[Item Description]]="","",IF(Table1[[#This Row],[//]]="",INDIRECT(ADDRESS(ROW()-1,COLUMN())),Table1[[#This Row],[//]]))</f>
        <v>84</v>
      </c>
      <c r="X84" s="287">
        <f ca="1">IF(Table1[[#This Row],[h_id]]="","",COUNTIF(Table1[h_id],Table1[[#This Row],[h_id]]))</f>
        <v>5</v>
      </c>
      <c r="Y84" s="283">
        <f>IF(Table1[Item Description]="","",Table1[[#This Row],[Qty]]*Table1[[#This Row],[Unit Price]])</f>
        <v>1170000</v>
      </c>
      <c r="Z84" s="283">
        <f>IF(Table1[[#This Row],[h_hargasebelumdiskon]]="","",IF(Table1[[#This Row],[Disc 1]]="",0,Table1[[#This Row],[h_hargasebelumdiskon]]*Table1[[#This Row],[Disc 1]]))</f>
        <v>169650</v>
      </c>
      <c r="AA84" s="283">
        <f>IF(Table1[[#This Row],[h_hargasebelumdiskon]]="","",IF(Table1[[#This Row],[Disc 2]]="",0,(Table1[[#This Row],[h_hargasebelumdiskon]]-Table1[[#This Row],[h_disc 1]])*Table1[[#This Row],[Disc 2]]))</f>
        <v>0</v>
      </c>
      <c r="AB84" s="283">
        <f>IF(Table1[Item Description]="","",Table1[[#This Row],[h_disc 1]]+Table1[[#This Row],[h_disc 2]])</f>
        <v>169650</v>
      </c>
      <c r="AC84" s="283">
        <f>IF(Table1[Item Description]="","",Table1[[#This Row],[h_hargasebelumdiskon]]-Table1[[#This Row],[h_diskon]])</f>
        <v>1000350</v>
      </c>
      <c r="AD84" s="283">
        <f ca="1">IF(Table1[//]="","",SUMIF(Table1[h_id],Table1[h_id],Table1[h_hargasetelahdiskon]))</f>
        <v>2879725.5</v>
      </c>
      <c r="AE84" s="283"/>
      <c r="AF84" s="283" t="str">
        <f>Table1[[#This Row],[Item Description]]&amp;Table1[[#This Row],[Unit]]&amp;Table1[[#This Row],[Unit Price]]</f>
        <v>JANGKA (COMPASS SET) KENKO C-288 / MS-25PC7500</v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K85" s="280">
        <v>3</v>
      </c>
      <c r="L85" s="280" t="s">
        <v>264</v>
      </c>
      <c r="O85" s="287" t="str">
        <f>IF(Table1[[#This Row],[h_Item Description]]="","",INDEX([1]!db[NB PAJAK],MATCH(Table1[[#This Row],[h_Item Description]],[1]!db[kode],0)))</f>
        <v/>
      </c>
      <c r="P85" s="280" t="s">
        <v>265</v>
      </c>
      <c r="Q85" s="283">
        <v>43500</v>
      </c>
      <c r="R85" s="284">
        <v>0.14499999999999999</v>
      </c>
      <c r="T85" s="283">
        <f>Table1[[#This Row],[h_hargasetelahdiskon]]</f>
        <v>111577.5</v>
      </c>
      <c r="W85" s="287">
        <f ca="1">IF(Table1[[#This Row],[Item Description]]="","",IF(Table1[[#This Row],[//]]="",INDIRECT(ADDRESS(ROW()-1,COLUMN())),Table1[[#This Row],[//]]))</f>
        <v>84</v>
      </c>
      <c r="X85" s="287">
        <f ca="1">IF(Table1[[#This Row],[h_id]]="","",COUNTIF(Table1[h_id],Table1[[#This Row],[h_id]]))</f>
        <v>5</v>
      </c>
      <c r="Y85" s="283">
        <f>IF(Table1[Item Description]="","",Table1[[#This Row],[Qty]]*Table1[[#This Row],[Unit Price]])</f>
        <v>130500</v>
      </c>
      <c r="Z85" s="283">
        <f>IF(Table1[[#This Row],[h_hargasebelumdiskon]]="","",IF(Table1[[#This Row],[Disc 1]]="",0,Table1[[#This Row],[h_hargasebelumdiskon]]*Table1[[#This Row],[Disc 1]]))</f>
        <v>18922.5</v>
      </c>
      <c r="AA85" s="283">
        <f>IF(Table1[[#This Row],[h_hargasebelumdiskon]]="","",IF(Table1[[#This Row],[Disc 2]]="",0,(Table1[[#This Row],[h_hargasebelumdiskon]]-Table1[[#This Row],[h_disc 1]])*Table1[[#This Row],[Disc 2]]))</f>
        <v>0</v>
      </c>
      <c r="AB85" s="283">
        <f>IF(Table1[Item Description]="","",Table1[[#This Row],[h_disc 1]]+Table1[[#This Row],[h_disc 2]])</f>
        <v>18922.5</v>
      </c>
      <c r="AC85" s="283">
        <f>IF(Table1[Item Description]="","",Table1[[#This Row],[h_hargasebelumdiskon]]-Table1[[#This Row],[h_diskon]])</f>
        <v>111577.5</v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>GARISAN BESI (STAINLESS STEEL) KENKO 100 CM / 1 MPC43500</v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K86" s="280">
        <v>216</v>
      </c>
      <c r="L86" s="280" t="s">
        <v>264</v>
      </c>
      <c r="O86" s="287" t="str">
        <f>IF(Table1[[#This Row],[h_Item Description]]="","",INDEX([1]!db[NB PAJAK],MATCH(Table1[[#This Row],[h_Item Description]],[1]!db[kode],0)))</f>
        <v/>
      </c>
      <c r="P86" s="280" t="s">
        <v>266</v>
      </c>
      <c r="Q86" s="283">
        <v>3150</v>
      </c>
      <c r="R86" s="284">
        <v>0.14499999999999999</v>
      </c>
      <c r="T86" s="283">
        <f>Table1[[#This Row],[h_hargasetelahdiskon]]</f>
        <v>581742</v>
      </c>
      <c r="W86" s="287">
        <f ca="1">IF(Table1[[#This Row],[Item Description]]="","",IF(Table1[[#This Row],[//]]="",INDIRECT(ADDRESS(ROW()-1,COLUMN())),Table1[[#This Row],[//]]))</f>
        <v>84</v>
      </c>
      <c r="X86" s="287">
        <f ca="1">IF(Table1[[#This Row],[h_id]]="","",COUNTIF(Table1[h_id],Table1[[#This Row],[h_id]]))</f>
        <v>5</v>
      </c>
      <c r="Y86" s="283">
        <f>IF(Table1[Item Description]="","",Table1[[#This Row],[Qty]]*Table1[[#This Row],[Unit Price]])</f>
        <v>680400</v>
      </c>
      <c r="Z86" s="283">
        <f>IF(Table1[[#This Row],[h_hargasebelumdiskon]]="","",IF(Table1[[#This Row],[Disc 1]]="",0,Table1[[#This Row],[h_hargasebelumdiskon]]*Table1[[#This Row],[Disc 1]]))</f>
        <v>98658</v>
      </c>
      <c r="AA86" s="283">
        <f>IF(Table1[[#This Row],[h_hargasebelumdiskon]]="","",IF(Table1[[#This Row],[Disc 2]]="",0,(Table1[[#This Row],[h_hargasebelumdiskon]]-Table1[[#This Row],[h_disc 1]])*Table1[[#This Row],[Disc 2]]))</f>
        <v>0</v>
      </c>
      <c r="AB86" s="283">
        <f>IF(Table1[Item Description]="","",Table1[[#This Row],[h_disc 1]]+Table1[[#This Row],[h_disc 2]])</f>
        <v>98658</v>
      </c>
      <c r="AC86" s="283">
        <f>IF(Table1[Item Description]="","",Table1[[#This Row],[h_hargasebelumdiskon]]-Table1[[#This Row],[h_diskon]])</f>
        <v>581742</v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>GARISAN BESI (STAINLESS STEEL) KENKO 15 CMPC3150</v>
      </c>
    </row>
    <row r="87" spans="1:32" x14ac:dyDescent="0.25">
      <c r="A87" s="287" t="str">
        <f ca="1">IF(Table1[[#This Row],[No. Invoice :]]="","",ROW())</f>
        <v/>
      </c>
      <c r="B87" s="287" t="str">
        <f ca="1">IF(Table1[h_Kode Sales :_1]="","",B$1+COUNT(INDIRECT("B$2:B"&amp;ROW()-1)))</f>
        <v/>
      </c>
      <c r="C87" s="281" t="str">
        <f>IF(Table1[[#This Row],[H_TGL]]="","",Table1[[#This Row],[H_TGL]]+C$1-1)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Row],[h_Kode Sales :_1]])," ",Table1[[#This Row],[h_Kode Sales :_2]])</f>
        <v xml:space="preserve"> </v>
      </c>
      <c r="J87" s="287" t="str">
        <f>IF(Table1[[#This Row],[h_toko]]="","",INDEX(Table2[e],IF(Table1[[#This Row],[h_toko]]="","",MATCH(Table1[[#This Row],[h_toko]],Table2[a],0)),))</f>
        <v/>
      </c>
      <c r="K87" s="280">
        <v>288</v>
      </c>
      <c r="L87" s="280" t="s">
        <v>264</v>
      </c>
      <c r="O87" s="287" t="str">
        <f>IF(Table1[[#This Row],[h_Item Description]]="","",INDEX([1]!db[NB PAJAK],MATCH(Table1[[#This Row],[h_Item Description]],[1]!db[kode],0)))</f>
        <v/>
      </c>
      <c r="P87" s="280" t="s">
        <v>257</v>
      </c>
      <c r="Q87" s="283">
        <v>2750</v>
      </c>
      <c r="R87" s="284">
        <v>0.14499999999999999</v>
      </c>
      <c r="T87" s="283">
        <f>Table1[[#This Row],[h_hargasetelahdiskon]]</f>
        <v>677160</v>
      </c>
      <c r="W87" s="287">
        <f ca="1">IF(Table1[[#This Row],[Item Description]]="","",IF(Table1[[#This Row],[//]]="",INDIRECT(ADDRESS(ROW()-1,COLUMN())),Table1[[#This Row],[//]]))</f>
        <v>84</v>
      </c>
      <c r="X87" s="287">
        <f ca="1">IF(Table1[[#This Row],[h_id]]="","",COUNTIF(Table1[h_id],Table1[[#This Row],[h_id]]))</f>
        <v>5</v>
      </c>
      <c r="Y87" s="283">
        <f>IF(Table1[Item Description]="","",Table1[[#This Row],[Qty]]*Table1[[#This Row],[Unit Price]])</f>
        <v>792000</v>
      </c>
      <c r="Z87" s="283">
        <f>IF(Table1[[#This Row],[h_hargasebelumdiskon]]="","",IF(Table1[[#This Row],[Disc 1]]="",0,Table1[[#This Row],[h_hargasebelumdiskon]]*Table1[[#This Row],[Disc 1]]))</f>
        <v>114839.99999999999</v>
      </c>
      <c r="AA87" s="283">
        <f>IF(Table1[[#This Row],[h_hargasebelumdiskon]]="","",IF(Table1[[#This Row],[Disc 2]]="",0,(Table1[[#This Row],[h_hargasebelumdiskon]]-Table1[[#This Row],[h_disc 1]])*Table1[[#This Row],[Disc 2]]))</f>
        <v>0</v>
      </c>
      <c r="AB87" s="283">
        <f>IF(Table1[Item Description]="","",Table1[[#This Row],[h_disc 1]]+Table1[[#This Row],[h_disc 2]])</f>
        <v>114839.99999999999</v>
      </c>
      <c r="AC87" s="283">
        <f>IF(Table1[Item Description]="","",Table1[[#This Row],[h_hargasebelumdiskon]]-Table1[[#This Row],[h_diskon]])</f>
        <v>677160</v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>PUSH PIN KENKO PN-30PC2750</v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K88" s="280">
        <v>96</v>
      </c>
      <c r="L88" s="280" t="s">
        <v>264</v>
      </c>
      <c r="O88" s="287" t="str">
        <f>IF(Table1[[#This Row],[h_Item Description]]="","",INDEX([1]!db[NB PAJAK],MATCH(Table1[[#This Row],[h_Item Description]],[1]!db[kode],0)))</f>
        <v/>
      </c>
      <c r="P88" s="280" t="s">
        <v>173</v>
      </c>
      <c r="Q88" s="283">
        <v>6200</v>
      </c>
      <c r="R88" s="284">
        <v>0.14499999999999999</v>
      </c>
      <c r="T88" s="283">
        <f>Table1[[#This Row],[h_hargasetelahdiskon]]</f>
        <v>508896</v>
      </c>
      <c r="W88" s="287">
        <f ca="1">IF(Table1[[#This Row],[Item Description]]="","",IF(Table1[[#This Row],[//]]="",INDIRECT(ADDRESS(ROW()-1,COLUMN())),Table1[[#This Row],[//]]))</f>
        <v>84</v>
      </c>
      <c r="X88" s="287">
        <f ca="1">IF(Table1[[#This Row],[h_id]]="","",COUNTIF(Table1[h_id],Table1[[#This Row],[h_id]]))</f>
        <v>5</v>
      </c>
      <c r="Y88" s="283">
        <f>IF(Table1[Item Description]="","",Table1[[#This Row],[Qty]]*Table1[[#This Row],[Unit Price]])</f>
        <v>595200</v>
      </c>
      <c r="Z88" s="283">
        <f>IF(Table1[[#This Row],[h_hargasebelumdiskon]]="","",IF(Table1[[#This Row],[Disc 1]]="",0,Table1[[#This Row],[h_hargasebelumdiskon]]*Table1[[#This Row],[Disc 1]]))</f>
        <v>86304</v>
      </c>
      <c r="AA88" s="283">
        <f>IF(Table1[[#This Row],[h_hargasebelumdiskon]]="","",IF(Table1[[#This Row],[Disc 2]]="",0,(Table1[[#This Row],[h_hargasebelumdiskon]]-Table1[[#This Row],[h_disc 1]])*Table1[[#This Row],[Disc 2]]))</f>
        <v>0</v>
      </c>
      <c r="AB88" s="283">
        <f>IF(Table1[Item Description]="","",Table1[[#This Row],[h_disc 1]]+Table1[[#This Row],[h_disc 2]])</f>
        <v>86304</v>
      </c>
      <c r="AC88" s="283">
        <f>IF(Table1[Item Description]="","",Table1[[#This Row],[h_hargasebelumdiskon]]-Table1[[#This Row],[h_diskon]])</f>
        <v>508896</v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>DATE STAMP KENKO D-4 (Cap Tanggal 4 Mm)PC6200</v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>
        <f ca="1">IF(Table1[[#This Row],[No. Invoice :]]="","",ROW())</f>
        <v>90</v>
      </c>
      <c r="B90" s="287">
        <f ca="1">IF(Table1[h_Kode Sales :_1]="","",B$1+COUNT(INDIRECT("B$2:B"&amp;ROW()-1)))</f>
        <v>23080026</v>
      </c>
      <c r="C90" s="281">
        <f>IF(Table1[[#This Row],[H_TGL]]="","",Table1[[#This Row],[H_TGL]]+C$1-1)</f>
        <v>45161</v>
      </c>
      <c r="D90" s="292">
        <v>23</v>
      </c>
      <c r="E90" s="280" t="s">
        <v>128</v>
      </c>
      <c r="F90" s="282" t="s">
        <v>262</v>
      </c>
      <c r="G90" s="280" t="s">
        <v>70</v>
      </c>
      <c r="H90" s="287" t="str">
        <f ca="1">IF(Table1[[#This Row],[h_No. Invoice :]]="","",CONCATENATE("AM"," ",Table1[[#This Row],[h_No. Invoice :]]))</f>
        <v>AM 23080026</v>
      </c>
      <c r="I90" s="288" t="str">
        <f>CONCATENATE(UPPER(Table1[[#This Row],[h_Kode Sales :_1]])," ",Table1[[#This Row],[h_Kode Sales :_2]])</f>
        <v>KO 3516</v>
      </c>
      <c r="J90" s="287" t="str">
        <f>IF(Table1[[#This Row],[h_toko]]="","",INDEX(Table2[e],IF(Table1[[#This Row],[h_toko]]="","",MATCH(Table1[[#This Row],[h_toko]],Table2[a],0)),))</f>
        <v>HARNOYO (BENDAN) PEKALONGAN</v>
      </c>
      <c r="K90" s="280">
        <v>100</v>
      </c>
      <c r="L90" s="280" t="s">
        <v>130</v>
      </c>
      <c r="M90" s="280">
        <v>2</v>
      </c>
      <c r="N90" s="280" t="s">
        <v>249</v>
      </c>
      <c r="O90" s="287" t="str">
        <f>IF(Table1[[#This Row],[h_Item Description]]="","",INDEX([1]!db[NB PAJAK],MATCH(Table1[[#This Row],[h_Item Description]],[1]!db[kode],0)))</f>
        <v>BINDER CLIP KENKO NO. 105</v>
      </c>
      <c r="P90" s="280" t="s">
        <v>256</v>
      </c>
      <c r="Q90" s="283">
        <v>17000</v>
      </c>
      <c r="R90" s="284">
        <v>0.14000000000000001</v>
      </c>
      <c r="T90" s="283">
        <f>Table1[[#This Row],[h_hargasetelahdiskon]]</f>
        <v>1462000</v>
      </c>
      <c r="U90" s="283" t="s">
        <v>261</v>
      </c>
      <c r="W90" s="287">
        <f ca="1">IF(Table1[[#This Row],[Item Description]]="","",IF(Table1[[#This Row],[//]]="",INDIRECT(ADDRESS(ROW()-1,COLUMN())),Table1[[#This Row],[//]]))</f>
        <v>90</v>
      </c>
      <c r="X90" s="287">
        <f ca="1">IF(Table1[[#This Row],[h_id]]="","",COUNTIF(Table1[h_id],Table1[[#This Row],[h_id]]))</f>
        <v>1</v>
      </c>
      <c r="Y90" s="283">
        <f>IF(Table1[Item Description]="","",Table1[[#This Row],[Qty]]*Table1[[#This Row],[Unit Price]])</f>
        <v>1700000</v>
      </c>
      <c r="Z90" s="283">
        <f>IF(Table1[[#This Row],[h_hargasebelumdiskon]]="","",IF(Table1[[#This Row],[Disc 1]]="",0,Table1[[#This Row],[h_hargasebelumdiskon]]*Table1[[#This Row],[Disc 1]]))</f>
        <v>238000.00000000003</v>
      </c>
      <c r="AA90" s="283">
        <f>IF(Table1[[#This Row],[h_hargasebelumdiskon]]="","",IF(Table1[[#This Row],[Disc 2]]="",0,(Table1[[#This Row],[h_hargasebelumdiskon]]-Table1[[#This Row],[h_disc 1]])*Table1[[#This Row],[Disc 2]]))</f>
        <v>0</v>
      </c>
      <c r="AB90" s="283">
        <f>IF(Table1[Item Description]="","",Table1[[#This Row],[h_disc 1]]+Table1[[#This Row],[h_disc 2]])</f>
        <v>238000.00000000003</v>
      </c>
      <c r="AC90" s="283">
        <f>IF(Table1[Item Description]="","",Table1[[#This Row],[h_hargasebelumdiskon]]-Table1[[#This Row],[h_diskon]])</f>
        <v>1462000</v>
      </c>
      <c r="AD90" s="283">
        <f ca="1">IF(Table1[//]="","",SUMIF(Table1[h_id],Table1[h_id],Table1[h_hargasetelahdiskon]))</f>
        <v>1462000</v>
      </c>
      <c r="AE90" s="283"/>
      <c r="AF90" s="283" t="str">
        <f>Table1[[#This Row],[Item Description]]&amp;Table1[[#This Row],[Unit]]&amp;Table1[[#This Row],[Unit Price]]</f>
        <v>BINDER CLIP KENKO NO. 105PAK17000</v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>
        <f ca="1">IF(Table1[[#This Row],[No. Invoice :]]="","",ROW())</f>
        <v>92</v>
      </c>
      <c r="B92" s="287">
        <f ca="1">IF(Table1[h_Kode Sales :_1]="","",B$1+COUNT(INDIRECT("B$2:B"&amp;ROW()-1)))</f>
        <v>23080027</v>
      </c>
      <c r="C92" s="281">
        <f>IF(Table1[[#This Row],[H_TGL]]="","",Table1[[#This Row],[H_TGL]]+C$1-1)</f>
        <v>45161</v>
      </c>
      <c r="D92" s="292">
        <v>23</v>
      </c>
      <c r="E92" s="280" t="s">
        <v>162</v>
      </c>
      <c r="F92" s="282" t="s">
        <v>258</v>
      </c>
      <c r="G92" s="280" t="s">
        <v>84</v>
      </c>
      <c r="H92" s="287" t="str">
        <f ca="1">IF(Table1[[#This Row],[h_No. Invoice :]]="","",CONCATENATE("AM"," ",Table1[[#This Row],[h_No. Invoice :]]))</f>
        <v>AM 23080027</v>
      </c>
      <c r="I92" s="288" t="str">
        <f>CONCATENATE(UPPER(Table1[[#This Row],[h_Kode Sales :_1]])," ",Table1[[#This Row],[h_Kode Sales :_2]])</f>
        <v>KO 3520</v>
      </c>
      <c r="J92" s="287" t="str">
        <f>IF(Table1[[#This Row],[h_toko]]="","",INDEX(Table2[e],IF(Table1[[#This Row],[h_toko]]="","",MATCH(Table1[[#This Row],[h_toko]],Table2[a],0)),))</f>
        <v>CV PELITA JAYA (ANUGERAH SEJAHTERA) PURWOKERTO</v>
      </c>
      <c r="K92" s="280">
        <v>144</v>
      </c>
      <c r="L92" s="280" t="s">
        <v>268</v>
      </c>
      <c r="M92" s="280">
        <v>2</v>
      </c>
      <c r="N92" s="280" t="s">
        <v>259</v>
      </c>
      <c r="O92" s="287" t="str">
        <f>IF(Table1[[#This Row],[h_Item Description]]="","",INDEX([1]!db[NB PAJAK],MATCH(Table1[[#This Row],[h_Item Description]],[1]!db[kode],0)))</f>
        <v>CORRECTION FLUID KENKO KE-108</v>
      </c>
      <c r="P92" s="280" t="s">
        <v>260</v>
      </c>
      <c r="Q92" s="283">
        <v>47100</v>
      </c>
      <c r="R92" s="284">
        <v>0.13500000000000001</v>
      </c>
      <c r="T92" s="283">
        <f>Table1[[#This Row],[h_hargasetelahdiskon]]</f>
        <v>5866776</v>
      </c>
      <c r="U92" s="283" t="s">
        <v>261</v>
      </c>
      <c r="W92" s="287">
        <f ca="1">IF(Table1[[#This Row],[Item Description]]="","",IF(Table1[[#This Row],[//]]="",INDIRECT(ADDRESS(ROW()-1,COLUMN())),Table1[[#This Row],[//]]))</f>
        <v>92</v>
      </c>
      <c r="X92" s="287">
        <f ca="1">IF(Table1[[#This Row],[h_id]]="","",COUNTIF(Table1[h_id],Table1[[#This Row],[h_id]]))</f>
        <v>1</v>
      </c>
      <c r="Y92" s="283">
        <f>IF(Table1[Item Description]="","",Table1[[#This Row],[Qty]]*Table1[[#This Row],[Unit Price]])</f>
        <v>6782400</v>
      </c>
      <c r="Z92" s="283">
        <f>IF(Table1[[#This Row],[h_hargasebelumdiskon]]="","",IF(Table1[[#This Row],[Disc 1]]="",0,Table1[[#This Row],[h_hargasebelumdiskon]]*Table1[[#This Row],[Disc 1]]))</f>
        <v>915624.00000000012</v>
      </c>
      <c r="AA92" s="283">
        <f>IF(Table1[[#This Row],[h_hargasebelumdiskon]]="","",IF(Table1[[#This Row],[Disc 2]]="",0,(Table1[[#This Row],[h_hargasebelumdiskon]]-Table1[[#This Row],[h_disc 1]])*Table1[[#This Row],[Disc 2]]))</f>
        <v>0</v>
      </c>
      <c r="AB92" s="283">
        <f>IF(Table1[Item Description]="","",Table1[[#This Row],[h_disc 1]]+Table1[[#This Row],[h_disc 2]])</f>
        <v>915624.00000000012</v>
      </c>
      <c r="AC92" s="283">
        <f>IF(Table1[Item Description]="","",Table1[[#This Row],[h_hargasebelumdiskon]]-Table1[[#This Row],[h_diskon]])</f>
        <v>5866776</v>
      </c>
      <c r="AD92" s="283">
        <f ca="1">IF(Table1[//]="","",SUMIF(Table1[h_id],Table1[h_id],Table1[h_hargasetelahdiskon]))</f>
        <v>5866776</v>
      </c>
      <c r="AE92" s="283"/>
      <c r="AF92" s="283" t="str">
        <f>Table1[[#This Row],[Item Description]]&amp;Table1[[#This Row],[Unit]]&amp;Table1[[#This Row],[Unit Price]]</f>
        <v>CORRECTION FLUID KENKO KE-108LS47100</v>
      </c>
    </row>
    <row r="93" spans="1:32" x14ac:dyDescent="0.25">
      <c r="A93" s="287" t="str">
        <f ca="1">IF(Table1[[#This Row],[No. Invoice :]]="","",ROW())</f>
        <v/>
      </c>
      <c r="B93" s="287" t="str">
        <f ca="1">IF(Table1[h_Kode Sales :_1]="","",B$1+COUNT(INDIRECT("B$2:B"&amp;ROW()-1)))</f>
        <v/>
      </c>
      <c r="C93" s="281" t="str">
        <f>IF(Table1[[#This Row],[H_TGL]]="","",Table1[[#This Row],[H_TGL]]+C$1-1)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Row],[h_Kode Sales :_1]])," ",Table1[[#This Row],[h_Kode Sales :_2]])</f>
        <v xml:space="preserve"> </v>
      </c>
      <c r="J93" s="287" t="str">
        <f>IF(Table1[[#This Row],[h_toko]]="","",INDEX(Table2[e],IF(Table1[[#This Row],[h_toko]]="","",MATCH(Table1[[#This Row],[h_toko]],Table2[a],0)),))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>
        <f ca="1">IF(Table1[[#This Row],[No. Invoice :]]="","",ROW())</f>
        <v>94</v>
      </c>
      <c r="B94" s="287">
        <f ca="1">IF(Table1[h_Kode Sales :_1]="","",B$1+COUNT(INDIRECT("B$2:B"&amp;ROW()-1)))</f>
        <v>23080028</v>
      </c>
      <c r="C94" s="281">
        <f>IF(Table1[[#This Row],[H_TGL]]="","",Table1[[#This Row],[H_TGL]]+C$1-1)</f>
        <v>45166</v>
      </c>
      <c r="D94" s="292">
        <v>28</v>
      </c>
      <c r="E94" s="280" t="s">
        <v>177</v>
      </c>
      <c r="F94" s="282" t="s">
        <v>269</v>
      </c>
      <c r="G94" s="280" t="s">
        <v>93</v>
      </c>
      <c r="H94" s="287" t="str">
        <f ca="1">IF(Table1[[#This Row],[h_No. Invoice :]]="","",CONCATENATE("AM"," ",Table1[[#This Row],[h_No. Invoice :]]))</f>
        <v>AM 23080028</v>
      </c>
      <c r="I94" s="288" t="str">
        <f>CONCATENATE(UPPER(Table1[[#This Row],[h_Kode Sales :_1]])," ",Table1[[#This Row],[h_Kode Sales :_2]])</f>
        <v>G 3589</v>
      </c>
      <c r="J94" s="287" t="str">
        <f>IF(Table1[[#This Row],[h_toko]]="","",INDEX(Table2[e],IF(Table1[[#This Row],[h_toko]]="","",MATCH(Table1[[#This Row],[h_toko]],Table2[a],0)),))</f>
        <v>LILY JULIAWATI (REJO AGUNG) JOMBANG</v>
      </c>
      <c r="K94" s="280">
        <v>80</v>
      </c>
      <c r="L94" s="280" t="s">
        <v>264</v>
      </c>
      <c r="M94" s="280">
        <v>1</v>
      </c>
      <c r="O94" s="287" t="str">
        <f>IF(Table1[[#This Row],[h_Item Description]]="","",INDEX([1]!db[NB PAJAK],MATCH(Table1[[#This Row],[h_Item Description]],[1]!db[kode],0)))</f>
        <v/>
      </c>
      <c r="P94" s="280" t="s">
        <v>270</v>
      </c>
      <c r="Q94" s="283">
        <v>56000</v>
      </c>
      <c r="R94" s="284">
        <v>0.125</v>
      </c>
      <c r="T94" s="283">
        <f>Table1[[#This Row],[h_hargasetelahdiskon]]</f>
        <v>3920000</v>
      </c>
      <c r="U94" s="283" t="s">
        <v>267</v>
      </c>
      <c r="W94" s="287">
        <f ca="1">IF(Table1[[#This Row],[Item Description]]="","",IF(Table1[[#This Row],[//]]="",INDIRECT(ADDRESS(ROW()-1,COLUMN())),Table1[[#This Row],[//]]))</f>
        <v>94</v>
      </c>
      <c r="X94" s="287">
        <f ca="1">IF(Table1[[#This Row],[h_id]]="","",COUNTIF(Table1[h_id],Table1[[#This Row],[h_id]]))</f>
        <v>2</v>
      </c>
      <c r="Y94" s="283">
        <f>IF(Table1[Item Description]="","",Table1[[#This Row],[Qty]]*Table1[[#This Row],[Unit Price]])</f>
        <v>4480000</v>
      </c>
      <c r="Z94" s="283">
        <f>IF(Table1[[#This Row],[h_hargasebelumdiskon]]="","",IF(Table1[[#This Row],[Disc 1]]="",0,Table1[[#This Row],[h_hargasebelumdiskon]]*Table1[[#This Row],[Disc 1]]))</f>
        <v>560000</v>
      </c>
      <c r="AA94" s="283">
        <f>IF(Table1[[#This Row],[h_hargasebelumdiskon]]="","",IF(Table1[[#This Row],[Disc 2]]="",0,(Table1[[#This Row],[h_hargasebelumdiskon]]-Table1[[#This Row],[h_disc 1]])*Table1[[#This Row],[Disc 2]]))</f>
        <v>0</v>
      </c>
      <c r="AB94" s="283">
        <f>IF(Table1[Item Description]="","",Table1[[#This Row],[h_disc 1]]+Table1[[#This Row],[h_disc 2]])</f>
        <v>560000</v>
      </c>
      <c r="AC94" s="283">
        <f>IF(Table1[Item Description]="","",Table1[[#This Row],[h_hargasebelumdiskon]]-Table1[[#This Row],[h_diskon]])</f>
        <v>3920000</v>
      </c>
      <c r="AD94" s="283">
        <f ca="1">IF(Table1[//]="","",SUMIF(Table1[h_id],Table1[h_id],Table1[h_hargasetelahdiskon]))</f>
        <v>11669000</v>
      </c>
      <c r="AE94" s="283"/>
      <c r="AF94" s="283" t="str">
        <f>Table1[[#This Row],[Item Description]]&amp;Table1[[#This Row],[Unit]]&amp;Table1[[#This Row],[Unit Price]]</f>
        <v>CALCULATOR JOYKO CC-12COPC56000</v>
      </c>
    </row>
    <row r="95" spans="1:32" x14ac:dyDescent="0.25">
      <c r="A95" s="287" t="str">
        <f ca="1">IF(Table1[[#This Row],[No. Invoice :]]="","",ROW())</f>
        <v/>
      </c>
      <c r="B95" s="287" t="str">
        <f ca="1">IF(Table1[h_Kode Sales :_1]="","",B$1+COUNT(INDIRECT("B$2:B"&amp;ROW()-1)))</f>
        <v/>
      </c>
      <c r="C95" s="281" t="str">
        <f>IF(Table1[[#This Row],[H_TGL]]="","",Table1[[#This Row],[H_TGL]]+C$1-1)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Row],[h_Kode Sales :_1]])," ",Table1[[#This Row],[h_Kode Sales :_2]])</f>
        <v xml:space="preserve"> </v>
      </c>
      <c r="J95" s="287" t="str">
        <f>IF(Table1[[#This Row],[h_toko]]="","",INDEX(Table2[e],IF(Table1[[#This Row],[h_toko]]="","",MATCH(Table1[[#This Row],[h_toko]],Table2[a],0)),))</f>
        <v/>
      </c>
      <c r="K95" s="280">
        <v>60</v>
      </c>
      <c r="L95" s="280" t="s">
        <v>268</v>
      </c>
      <c r="M95" s="280">
        <v>3</v>
      </c>
      <c r="O95" s="287" t="str">
        <f>IF(Table1[[#This Row],[h_Item Description]]="","",INDEX([1]!db[NB PAJAK],MATCH(Table1[[#This Row],[h_Item Description]],[1]!db[kode],0)))</f>
        <v/>
      </c>
      <c r="P95" s="280" t="s">
        <v>271</v>
      </c>
      <c r="Q95" s="283">
        <v>147600</v>
      </c>
      <c r="R95" s="284">
        <v>0.125</v>
      </c>
      <c r="T95" s="283">
        <f>Table1[[#This Row],[h_hargasetelahdiskon]]</f>
        <v>7749000</v>
      </c>
      <c r="W95" s="287">
        <f ca="1">IF(Table1[[#This Row],[Item Description]]="","",IF(Table1[[#This Row],[//]]="",INDIRECT(ADDRESS(ROW()-1,COLUMN())),Table1[[#This Row],[//]]))</f>
        <v>94</v>
      </c>
      <c r="X95" s="287">
        <f ca="1">IF(Table1[[#This Row],[h_id]]="","",COUNTIF(Table1[h_id],Table1[[#This Row],[h_id]]))</f>
        <v>2</v>
      </c>
      <c r="Y95" s="283">
        <f>IF(Table1[Item Description]="","",Table1[[#This Row],[Qty]]*Table1[[#This Row],[Unit Price]])</f>
        <v>8856000</v>
      </c>
      <c r="Z95" s="283">
        <f>IF(Table1[[#This Row],[h_hargasebelumdiskon]]="","",IF(Table1[[#This Row],[Disc 1]]="",0,Table1[[#This Row],[h_hargasebelumdiskon]]*Table1[[#This Row],[Disc 1]]))</f>
        <v>1107000</v>
      </c>
      <c r="AA95" s="283">
        <f>IF(Table1[[#This Row],[h_hargasebelumdiskon]]="","",IF(Table1[[#This Row],[Disc 2]]="",0,(Table1[[#This Row],[h_hargasebelumdiskon]]-Table1[[#This Row],[h_disc 1]])*Table1[[#This Row],[Disc 2]]))</f>
        <v>0</v>
      </c>
      <c r="AB95" s="283">
        <f>IF(Table1[Item Description]="","",Table1[[#This Row],[h_disc 1]]+Table1[[#This Row],[h_disc 2]])</f>
        <v>1107000</v>
      </c>
      <c r="AC95" s="283">
        <f>IF(Table1[Item Description]="","",Table1[[#This Row],[h_hargasebelumdiskon]]-Table1[[#This Row],[h_diskon]])</f>
        <v>7749000</v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>CUTTER 18 MM KENKO L-500 (BESAR)LS147600</v>
      </c>
    </row>
    <row r="96" spans="1:32" x14ac:dyDescent="0.25">
      <c r="A96" s="287" t="str">
        <f ca="1">IF(Table1[[#This Row],[No. Invoice :]]="","",ROW())</f>
        <v/>
      </c>
      <c r="B96" s="287" t="str">
        <f ca="1">IF(Table1[h_Kode Sales :_1]="","",B$1+COUNT(INDIRECT("B$2:B"&amp;ROW()-1)))</f>
        <v/>
      </c>
      <c r="C96" s="281" t="str">
        <f>IF(Table1[[#This Row],[H_TGL]]="","",Table1[[#This Row],[H_TGL]]+C$1-1)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Row],[h_Kode Sales :_1]])," ",Table1[[#This Row],[h_Kode Sales :_2]])</f>
        <v xml:space="preserve"> </v>
      </c>
      <c r="J96" s="287" t="str">
        <f>IF(Table1[[#This Row],[h_toko]]="","",INDEX(Table2[e],IF(Table1[[#This Row],[h_toko]]="","",MATCH(Table1[[#This Row],[h_toko]],Table2[a],0)),))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>
        <f ca="1">IF(Table1[[#This Row],[No. Invoice :]]="","",ROW())</f>
        <v>97</v>
      </c>
      <c r="B97" s="287">
        <f ca="1">IF(Table1[h_Kode Sales :_1]="","",B$1+COUNT(INDIRECT("B$2:B"&amp;ROW()-1)))</f>
        <v>23080029</v>
      </c>
      <c r="C97" s="281">
        <f>IF(Table1[[#This Row],[H_TGL]]="","",Table1[[#This Row],[H_TGL]]+C$1-1)</f>
        <v>45162</v>
      </c>
      <c r="D97" s="292">
        <v>24</v>
      </c>
      <c r="E97" s="280" t="s">
        <v>128</v>
      </c>
      <c r="F97" s="282" t="s">
        <v>242</v>
      </c>
      <c r="G97" s="280" t="s">
        <v>215</v>
      </c>
      <c r="H97" s="287" t="str">
        <f ca="1">IF(Table1[[#This Row],[h_No. Invoice :]]="","",CONCATENATE("AM"," ",Table1[[#This Row],[h_No. Invoice :]]))</f>
        <v>AM 23080029</v>
      </c>
      <c r="I97" s="288" t="str">
        <f>CONCATENATE(UPPER(Table1[[#This Row],[h_Kode Sales :_1]])," ",Table1[[#This Row],[h_Kode Sales :_2]])</f>
        <v>KO 3572</v>
      </c>
      <c r="J97" s="287" t="str">
        <f>IF(Table1[[#This Row],[h_toko]]="","",INDEX(Table2[e],IF(Table1[[#This Row],[h_toko]]="","",MATCH(Table1[[#This Row],[h_toko]],Table2[a],0)),))</f>
        <v>CV DWI JAYA YOGYAKARTA</v>
      </c>
      <c r="K97" s="280">
        <v>6</v>
      </c>
      <c r="L97" s="280" t="s">
        <v>143</v>
      </c>
      <c r="N97" s="280" t="s">
        <v>243</v>
      </c>
      <c r="O97" s="287" t="str">
        <f>IF(Table1[[#This Row],[h_Item Description]]="","",INDEX([1]!db[NB PAJAK],MATCH(Table1[[#This Row],[h_Item Description]],[1]!db[kode],0)))</f>
        <v>CORRECTION FLUID KENKO KE-01</v>
      </c>
      <c r="P97" s="280" t="s">
        <v>251</v>
      </c>
      <c r="Q97" s="283">
        <v>54300</v>
      </c>
      <c r="R97" s="284">
        <v>0.1</v>
      </c>
      <c r="T97" s="283">
        <f>Table1[[#This Row],[h_hargasetelahdiskon]]</f>
        <v>293220</v>
      </c>
      <c r="U97" s="283" t="s">
        <v>133</v>
      </c>
      <c r="W97" s="287">
        <f ca="1">IF(Table1[[#This Row],[Item Description]]="","",IF(Table1[[#This Row],[//]]="",INDIRECT(ADDRESS(ROW()-1,COLUMN())),Table1[[#This Row],[//]]))</f>
        <v>97</v>
      </c>
      <c r="X97" s="287">
        <f ca="1">IF(Table1[[#This Row],[h_id]]="","",COUNTIF(Table1[h_id],Table1[[#This Row],[h_id]]))</f>
        <v>8</v>
      </c>
      <c r="Y97" s="283">
        <f>IF(Table1[Item Description]="","",Table1[[#This Row],[Qty]]*Table1[[#This Row],[Unit Price]])</f>
        <v>325800</v>
      </c>
      <c r="Z97" s="283">
        <f>IF(Table1[[#This Row],[h_hargasebelumdiskon]]="","",IF(Table1[[#This Row],[Disc 1]]="",0,Table1[[#This Row],[h_hargasebelumdiskon]]*Table1[[#This Row],[Disc 1]]))</f>
        <v>32580</v>
      </c>
      <c r="AA97" s="283">
        <f>IF(Table1[[#This Row],[h_hargasebelumdiskon]]="","",IF(Table1[[#This Row],[Disc 2]]="",0,(Table1[[#This Row],[h_hargasebelumdiskon]]-Table1[[#This Row],[h_disc 1]])*Table1[[#This Row],[Disc 2]]))</f>
        <v>0</v>
      </c>
      <c r="AB97" s="283">
        <f>IF(Table1[Item Description]="","",Table1[[#This Row],[h_disc 1]]+Table1[[#This Row],[h_disc 2]])</f>
        <v>32580</v>
      </c>
      <c r="AC97" s="283">
        <f>IF(Table1[Item Description]="","",Table1[[#This Row],[h_hargasebelumdiskon]]-Table1[[#This Row],[h_diskon]])</f>
        <v>293220</v>
      </c>
      <c r="AD97" s="283">
        <f ca="1">IF(Table1[//]="","",SUMIF(Table1[h_id],Table1[h_id],Table1[h_hargasetelahdiskon]))</f>
        <v>3602340</v>
      </c>
      <c r="AE97" s="283"/>
      <c r="AF97" s="283" t="str">
        <f>Table1[[#This Row],[Item Description]]&amp;Table1[[#This Row],[Unit]]&amp;Table1[[#This Row],[Unit Price]]</f>
        <v>CORRECTION FLUID KENKO KE-01LSN54300</v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K98" s="280">
        <v>6</v>
      </c>
      <c r="L98" s="280" t="s">
        <v>143</v>
      </c>
      <c r="N98" s="280" t="s">
        <v>244</v>
      </c>
      <c r="O98" s="287" t="str">
        <f>IF(Table1[[#This Row],[h_Item Description]]="","",INDEX([1]!db[NB PAJAK],MATCH(Table1[[#This Row],[h_Item Description]],[1]!db[kode],0)))</f>
        <v>CORRECTION TAPE KENKO CT-902 (12M x 5MM)</v>
      </c>
      <c r="P98" s="280" t="s">
        <v>252</v>
      </c>
      <c r="Q98" s="283">
        <v>60000</v>
      </c>
      <c r="R98" s="284">
        <v>0.1</v>
      </c>
      <c r="T98" s="283">
        <f>Table1[[#This Row],[h_hargasetelahdiskon]]</f>
        <v>324000</v>
      </c>
      <c r="W98" s="287">
        <f ca="1">IF(Table1[[#This Row],[Item Description]]="","",IF(Table1[[#This Row],[//]]="",INDIRECT(ADDRESS(ROW()-1,COLUMN())),Table1[[#This Row],[//]]))</f>
        <v>97</v>
      </c>
      <c r="X98" s="287">
        <f ca="1">IF(Table1[[#This Row],[h_id]]="","",COUNTIF(Table1[h_id],Table1[[#This Row],[h_id]]))</f>
        <v>8</v>
      </c>
      <c r="Y98" s="283">
        <f>IF(Table1[Item Description]="","",Table1[[#This Row],[Qty]]*Table1[[#This Row],[Unit Price]])</f>
        <v>360000</v>
      </c>
      <c r="Z98" s="283">
        <f>IF(Table1[[#This Row],[h_hargasebelumdiskon]]="","",IF(Table1[[#This Row],[Disc 1]]="",0,Table1[[#This Row],[h_hargasebelumdiskon]]*Table1[[#This Row],[Disc 1]]))</f>
        <v>36000</v>
      </c>
      <c r="AA98" s="283">
        <f>IF(Table1[[#This Row],[h_hargasebelumdiskon]]="","",IF(Table1[[#This Row],[Disc 2]]="",0,(Table1[[#This Row],[h_hargasebelumdiskon]]-Table1[[#This Row],[h_disc 1]])*Table1[[#This Row],[Disc 2]]))</f>
        <v>0</v>
      </c>
      <c r="AB98" s="283">
        <f>IF(Table1[Item Description]="","",Table1[[#This Row],[h_disc 1]]+Table1[[#This Row],[h_disc 2]])</f>
        <v>36000</v>
      </c>
      <c r="AC98" s="283">
        <f>IF(Table1[Item Description]="","",Table1[[#This Row],[h_hargasebelumdiskon]]-Table1[[#This Row],[h_diskon]])</f>
        <v>324000</v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>CORRECTION TAPE KENKO CT-902 (12M x 5MM)LSN60000</v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K99" s="280">
        <v>12</v>
      </c>
      <c r="L99" s="280" t="s">
        <v>143</v>
      </c>
      <c r="N99" s="280" t="s">
        <v>245</v>
      </c>
      <c r="O99" s="287" t="str">
        <f>IF(Table1[[#This Row],[h_Item Description]]="","",INDEX([1]!db[NB PAJAK],MATCH(Table1[[#This Row],[h_Item Description]],[1]!db[kode],0)))</f>
        <v>GEL PEN KENKO K-1 HITAM</v>
      </c>
      <c r="P99" s="280" t="s">
        <v>253</v>
      </c>
      <c r="Q99" s="283">
        <v>39600</v>
      </c>
      <c r="R99" s="284">
        <v>0.1</v>
      </c>
      <c r="T99" s="283">
        <f>Table1[[#This Row],[h_hargasetelahdiskon]]</f>
        <v>427680</v>
      </c>
      <c r="W99" s="287">
        <f ca="1">IF(Table1[[#This Row],[Item Description]]="","",IF(Table1[[#This Row],[//]]="",INDIRECT(ADDRESS(ROW()-1,COLUMN())),Table1[[#This Row],[//]]))</f>
        <v>97</v>
      </c>
      <c r="X99" s="287">
        <f ca="1">IF(Table1[[#This Row],[h_id]]="","",COUNTIF(Table1[h_id],Table1[[#This Row],[h_id]]))</f>
        <v>8</v>
      </c>
      <c r="Y99" s="283">
        <f>IF(Table1[Item Description]="","",Table1[[#This Row],[Qty]]*Table1[[#This Row],[Unit Price]])</f>
        <v>475200</v>
      </c>
      <c r="Z99" s="283">
        <f>IF(Table1[[#This Row],[h_hargasebelumdiskon]]="","",IF(Table1[[#This Row],[Disc 1]]="",0,Table1[[#This Row],[h_hargasebelumdiskon]]*Table1[[#This Row],[Disc 1]]))</f>
        <v>47520</v>
      </c>
      <c r="AA99" s="283">
        <f>IF(Table1[[#This Row],[h_hargasebelumdiskon]]="","",IF(Table1[[#This Row],[Disc 2]]="",0,(Table1[[#This Row],[h_hargasebelumdiskon]]-Table1[[#This Row],[h_disc 1]])*Table1[[#This Row],[Disc 2]]))</f>
        <v>0</v>
      </c>
      <c r="AB99" s="283">
        <f>IF(Table1[Item Description]="","",Table1[[#This Row],[h_disc 1]]+Table1[[#This Row],[h_disc 2]])</f>
        <v>47520</v>
      </c>
      <c r="AC99" s="283">
        <f>IF(Table1[Item Description]="","",Table1[[#This Row],[h_hargasebelumdiskon]]-Table1[[#This Row],[h_diskon]])</f>
        <v>427680</v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>GEL PEN KENKO K-1 HITAMLSN39600</v>
      </c>
    </row>
    <row r="100" spans="1:32" x14ac:dyDescent="0.25">
      <c r="A100" s="287" t="str">
        <f ca="1">IF(Table1[[#This Row],[No. Invoice :]]="","",ROW())</f>
        <v/>
      </c>
      <c r="B100" s="287" t="str">
        <f ca="1">IF(Table1[h_Kode Sales :_1]="","",B$1+COUNT(INDIRECT("B$2:B"&amp;ROW()-1)))</f>
        <v/>
      </c>
      <c r="C100" s="281" t="str">
        <f>IF(Table1[[#This Row],[H_TGL]]="","",Table1[[#This Row],[H_TGL]]+C$1-1)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Row],[h_Kode Sales :_1]])," ",Table1[[#This Row],[h_Kode Sales :_2]])</f>
        <v xml:space="preserve"> </v>
      </c>
      <c r="J100" s="287" t="str">
        <f>IF(Table1[[#This Row],[h_toko]]="","",INDEX(Table2[e],IF(Table1[[#This Row],[h_toko]]="","",MATCH(Table1[[#This Row],[h_toko]],Table2[a],0)),))</f>
        <v/>
      </c>
      <c r="K100" s="280">
        <v>12</v>
      </c>
      <c r="L100" s="280" t="s">
        <v>143</v>
      </c>
      <c r="N100" s="280" t="s">
        <v>246</v>
      </c>
      <c r="O100" s="287" t="str">
        <f>IF(Table1[[#This Row],[h_Item Description]]="","",INDEX([1]!db[NB PAJAK],MATCH(Table1[[#This Row],[h_Item Description]],[1]!db[kode],0)))</f>
        <v>GEL PEN KENKO KE-303 T-GEL TRIANGULAR HITAM</v>
      </c>
      <c r="P100" s="280" t="s">
        <v>254</v>
      </c>
      <c r="Q100" s="283">
        <v>21600</v>
      </c>
      <c r="R100" s="284">
        <v>0.1</v>
      </c>
      <c r="T100" s="283">
        <f>Table1[[#This Row],[h_hargasetelahdiskon]]</f>
        <v>233280</v>
      </c>
      <c r="W100" s="287">
        <f ca="1">IF(Table1[[#This Row],[Item Description]]="","",IF(Table1[[#This Row],[//]]="",INDIRECT(ADDRESS(ROW()-1,COLUMN())),Table1[[#This Row],[//]]))</f>
        <v>97</v>
      </c>
      <c r="X100" s="287">
        <f ca="1">IF(Table1[[#This Row],[h_id]]="","",COUNTIF(Table1[h_id],Table1[[#This Row],[h_id]]))</f>
        <v>8</v>
      </c>
      <c r="Y100" s="283">
        <f>IF(Table1[Item Description]="","",Table1[[#This Row],[Qty]]*Table1[[#This Row],[Unit Price]])</f>
        <v>259200</v>
      </c>
      <c r="Z100" s="283">
        <f>IF(Table1[[#This Row],[h_hargasebelumdiskon]]="","",IF(Table1[[#This Row],[Disc 1]]="",0,Table1[[#This Row],[h_hargasebelumdiskon]]*Table1[[#This Row],[Disc 1]]))</f>
        <v>25920</v>
      </c>
      <c r="AA100" s="283">
        <f>IF(Table1[[#This Row],[h_hargasebelumdiskon]]="","",IF(Table1[[#This Row],[Disc 2]]="",0,(Table1[[#This Row],[h_hargasebelumdiskon]]-Table1[[#This Row],[h_disc 1]])*Table1[[#This Row],[Disc 2]]))</f>
        <v>0</v>
      </c>
      <c r="AB100" s="283">
        <f>IF(Table1[Item Description]="","",Table1[[#This Row],[h_disc 1]]+Table1[[#This Row],[h_disc 2]])</f>
        <v>25920</v>
      </c>
      <c r="AC100" s="283">
        <f>IF(Table1[Item Description]="","",Table1[[#This Row],[h_hargasebelumdiskon]]-Table1[[#This Row],[h_diskon]])</f>
        <v>233280</v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>GEL PEN KENKO KE-303 T-GEL TRIANGULAR HITAMLSN21600</v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K101" s="280">
        <v>6</v>
      </c>
      <c r="L101" s="280" t="s">
        <v>143</v>
      </c>
      <c r="N101" s="280" t="s">
        <v>250</v>
      </c>
      <c r="O101" s="287" t="str">
        <f>IF(Table1[[#This Row],[h_Item Description]]="","",INDEX([1]!db[NB PAJAK],MATCH(Table1[[#This Row],[h_Item Description]],[1]!db[kode],0)))</f>
        <v>PUSH PIN KENKO PN-30 WARNA</v>
      </c>
      <c r="P101" s="280" t="s">
        <v>257</v>
      </c>
      <c r="Q101" s="283">
        <v>33000</v>
      </c>
      <c r="R101" s="284">
        <v>0.1</v>
      </c>
      <c r="T101" s="283">
        <f>Table1[[#This Row],[h_hargasetelahdiskon]]</f>
        <v>178200</v>
      </c>
      <c r="W101" s="287">
        <f ca="1">IF(Table1[[#This Row],[Item Description]]="","",IF(Table1[[#This Row],[//]]="",INDIRECT(ADDRESS(ROW()-1,COLUMN())),Table1[[#This Row],[//]]))</f>
        <v>97</v>
      </c>
      <c r="X101" s="287">
        <f ca="1">IF(Table1[[#This Row],[h_id]]="","",COUNTIF(Table1[h_id],Table1[[#This Row],[h_id]]))</f>
        <v>8</v>
      </c>
      <c r="Y101" s="283">
        <f>IF(Table1[Item Description]="","",Table1[[#This Row],[Qty]]*Table1[[#This Row],[Unit Price]])</f>
        <v>198000</v>
      </c>
      <c r="Z101" s="283">
        <f>IF(Table1[[#This Row],[h_hargasebelumdiskon]]="","",IF(Table1[[#This Row],[Disc 1]]="",0,Table1[[#This Row],[h_hargasebelumdiskon]]*Table1[[#This Row],[Disc 1]]))</f>
        <v>19800</v>
      </c>
      <c r="AA101" s="283">
        <f>IF(Table1[[#This Row],[h_hargasebelumdiskon]]="","",IF(Table1[[#This Row],[Disc 2]]="",0,(Table1[[#This Row],[h_hargasebelumdiskon]]-Table1[[#This Row],[h_disc 1]])*Table1[[#This Row],[Disc 2]]))</f>
        <v>0</v>
      </c>
      <c r="AB101" s="283">
        <f>IF(Table1[Item Description]="","",Table1[[#This Row],[h_disc 1]]+Table1[[#This Row],[h_disc 2]])</f>
        <v>19800</v>
      </c>
      <c r="AC101" s="283">
        <f>IF(Table1[Item Description]="","",Table1[[#This Row],[h_hargasebelumdiskon]]-Table1[[#This Row],[h_diskon]])</f>
        <v>178200</v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>PUSH PIN KENKO PN-30LSN33000</v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K102" s="280">
        <v>6</v>
      </c>
      <c r="L102" s="280" t="s">
        <v>143</v>
      </c>
      <c r="N102" s="280" t="s">
        <v>247</v>
      </c>
      <c r="O102" s="287" t="str">
        <f>IF(Table1[[#This Row],[h_Item Description]]="","",INDEX([1]!db[NB PAJAK],MATCH(Table1[[#This Row],[h_Item Description]],[1]!db[kode],0)))</f>
        <v>PAPER CLIP WARNA KENKO 3100</v>
      </c>
      <c r="P102" s="280" t="s">
        <v>255</v>
      </c>
      <c r="Q102" s="283">
        <v>41400</v>
      </c>
      <c r="R102" s="284">
        <v>0.1</v>
      </c>
      <c r="T102" s="283">
        <f>Table1[[#This Row],[h_hargasetelahdiskon]]</f>
        <v>223560</v>
      </c>
      <c r="W102" s="287">
        <f ca="1">IF(Table1[[#This Row],[Item Description]]="","",IF(Table1[[#This Row],[//]]="",INDIRECT(ADDRESS(ROW()-1,COLUMN())),Table1[[#This Row],[//]]))</f>
        <v>97</v>
      </c>
      <c r="X102" s="287">
        <f ca="1">IF(Table1[[#This Row],[h_id]]="","",COUNTIF(Table1[h_id],Table1[[#This Row],[h_id]]))</f>
        <v>8</v>
      </c>
      <c r="Y102" s="283">
        <f>IF(Table1[Item Description]="","",Table1[[#This Row],[Qty]]*Table1[[#This Row],[Unit Price]])</f>
        <v>248400</v>
      </c>
      <c r="Z102" s="283">
        <f>IF(Table1[[#This Row],[h_hargasebelumdiskon]]="","",IF(Table1[[#This Row],[Disc 1]]="",0,Table1[[#This Row],[h_hargasebelumdiskon]]*Table1[[#This Row],[Disc 1]]))</f>
        <v>24840</v>
      </c>
      <c r="AA102" s="283">
        <f>IF(Table1[[#This Row],[h_hargasebelumdiskon]]="","",IF(Table1[[#This Row],[Disc 2]]="",0,(Table1[[#This Row],[h_hargasebelumdiskon]]-Table1[[#This Row],[h_disc 1]])*Table1[[#This Row],[Disc 2]]))</f>
        <v>0</v>
      </c>
      <c r="AB102" s="283">
        <f>IF(Table1[Item Description]="","",Table1[[#This Row],[h_disc 1]]+Table1[[#This Row],[h_disc 2]])</f>
        <v>24840</v>
      </c>
      <c r="AC102" s="283">
        <f>IF(Table1[Item Description]="","",Table1[[#This Row],[h_hargasebelumdiskon]]-Table1[[#This Row],[h_diskon]])</f>
        <v>223560</v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>PAPER CLIP WARNA KENKO 3100LSN41400</v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K103" s="280">
        <v>2</v>
      </c>
      <c r="L103" s="280" t="s">
        <v>143</v>
      </c>
      <c r="N103" s="280" t="s">
        <v>248</v>
      </c>
      <c r="O103" s="287" t="str">
        <f>IF(Table1[[#This Row],[h_Item Description]]="","",INDEX([1]!db[NB PAJAK],MATCH(Table1[[#This Row],[h_Item Description]],[1]!db[kode],0)))</f>
        <v>DESK SET KENKO K-8312 ORGANIZER</v>
      </c>
      <c r="P103" s="280" t="s">
        <v>174</v>
      </c>
      <c r="Q103" s="283">
        <v>348000</v>
      </c>
      <c r="R103" s="284">
        <v>0.1</v>
      </c>
      <c r="T103" s="283">
        <f>Table1[[#This Row],[h_hargasetelahdiskon]]</f>
        <v>626400</v>
      </c>
      <c r="W103" s="287">
        <f ca="1">IF(Table1[[#This Row],[Item Description]]="","",IF(Table1[[#This Row],[//]]="",INDIRECT(ADDRESS(ROW()-1,COLUMN())),Table1[[#This Row],[//]]))</f>
        <v>97</v>
      </c>
      <c r="X103" s="287">
        <f ca="1">IF(Table1[[#This Row],[h_id]]="","",COUNTIF(Table1[h_id],Table1[[#This Row],[h_id]]))</f>
        <v>8</v>
      </c>
      <c r="Y103" s="283">
        <f>IF(Table1[Item Description]="","",Table1[[#This Row],[Qty]]*Table1[[#This Row],[Unit Price]])</f>
        <v>696000</v>
      </c>
      <c r="Z103" s="283">
        <f>IF(Table1[[#This Row],[h_hargasebelumdiskon]]="","",IF(Table1[[#This Row],[Disc 1]]="",0,Table1[[#This Row],[h_hargasebelumdiskon]]*Table1[[#This Row],[Disc 1]]))</f>
        <v>69600</v>
      </c>
      <c r="AA103" s="283">
        <f>IF(Table1[[#This Row],[h_hargasebelumdiskon]]="","",IF(Table1[[#This Row],[Disc 2]]="",0,(Table1[[#This Row],[h_hargasebelumdiskon]]-Table1[[#This Row],[h_disc 1]])*Table1[[#This Row],[Disc 2]]))</f>
        <v>0</v>
      </c>
      <c r="AB103" s="283">
        <f>IF(Table1[Item Description]="","",Table1[[#This Row],[h_disc 1]]+Table1[[#This Row],[h_disc 2]])</f>
        <v>69600</v>
      </c>
      <c r="AC103" s="283">
        <f>IF(Table1[Item Description]="","",Table1[[#This Row],[h_hargasebelumdiskon]]-Table1[[#This Row],[h_diskon]])</f>
        <v>626400</v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>DESK SET KENKO K-8312 ORGANIZERLSN348000</v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K104" s="280">
        <v>50</v>
      </c>
      <c r="L104" s="280" t="s">
        <v>204</v>
      </c>
      <c r="M104" s="280">
        <v>1</v>
      </c>
      <c r="N104" s="280" t="s">
        <v>249</v>
      </c>
      <c r="O104" s="287" t="str">
        <f>IF(Table1[[#This Row],[h_Item Description]]="","",INDEX([1]!db[NB PAJAK],MATCH(Table1[[#This Row],[h_Item Description]],[1]!db[kode],0)))</f>
        <v>BINDER CLIP KENKO NO. 105</v>
      </c>
      <c r="P104" s="280" t="s">
        <v>256</v>
      </c>
      <c r="Q104" s="283">
        <v>28800</v>
      </c>
      <c r="R104" s="284">
        <v>0.1</v>
      </c>
      <c r="T104" s="283">
        <f>Table1[[#This Row],[h_hargasetelahdiskon]]</f>
        <v>1296000</v>
      </c>
      <c r="W104" s="287">
        <f ca="1">IF(Table1[[#This Row],[Item Description]]="","",IF(Table1[[#This Row],[//]]="",INDIRECT(ADDRESS(ROW()-1,COLUMN())),Table1[[#This Row],[//]]))</f>
        <v>97</v>
      </c>
      <c r="X104" s="287">
        <f ca="1">IF(Table1[[#This Row],[h_id]]="","",COUNTIF(Table1[h_id],Table1[[#This Row],[h_id]]))</f>
        <v>8</v>
      </c>
      <c r="Y104" s="283">
        <f>IF(Table1[Item Description]="","",Table1[[#This Row],[Qty]]*Table1[[#This Row],[Unit Price]])</f>
        <v>1440000</v>
      </c>
      <c r="Z104" s="283">
        <f>IF(Table1[[#This Row],[h_hargasebelumdiskon]]="","",IF(Table1[[#This Row],[Disc 1]]="",0,Table1[[#This Row],[h_hargasebelumdiskon]]*Table1[[#This Row],[Disc 1]]))</f>
        <v>144000</v>
      </c>
      <c r="AA104" s="283">
        <f>IF(Table1[[#This Row],[h_hargasebelumdiskon]]="","",IF(Table1[[#This Row],[Disc 2]]="",0,(Table1[[#This Row],[h_hargasebelumdiskon]]-Table1[[#This Row],[h_disc 1]])*Table1[[#This Row],[Disc 2]]))</f>
        <v>0</v>
      </c>
      <c r="AB104" s="283">
        <f>IF(Table1[Item Description]="","",Table1[[#This Row],[h_disc 1]]+Table1[[#This Row],[h_disc 2]])</f>
        <v>144000</v>
      </c>
      <c r="AC104" s="283">
        <f>IF(Table1[Item Description]="","",Table1[[#This Row],[h_hargasebelumdiskon]]-Table1[[#This Row],[h_diskon]])</f>
        <v>1296000</v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>BINDER CLIP KENKO NO. 105GRS28800</v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>
        <f ca="1">IF(Table1[[#This Row],[No. Invoice :]]="","",ROW())</f>
        <v>106</v>
      </c>
      <c r="B106" s="287">
        <f ca="1">IF(Table1[h_Kode Sales :_1]="","",B$1+COUNT(INDIRECT("B$2:B"&amp;ROW()-1)))</f>
        <v>23080030</v>
      </c>
      <c r="C106" s="281">
        <f>IF(Table1[[#This Row],[H_TGL]]="","",Table1[[#This Row],[H_TGL]]+C$1-1)</f>
        <v>45166</v>
      </c>
      <c r="D106" s="292">
        <v>28</v>
      </c>
      <c r="E106" s="280" t="s">
        <v>162</v>
      </c>
      <c r="F106" s="282" t="s">
        <v>272</v>
      </c>
      <c r="G106" s="280" t="s">
        <v>84</v>
      </c>
      <c r="H106" s="287" t="str">
        <f ca="1">IF(Table1[[#This Row],[h_No. Invoice :]]="","",CONCATENATE("AM"," ",Table1[[#This Row],[h_No. Invoice :]]))</f>
        <v>AM 23080030</v>
      </c>
      <c r="I106" s="288" t="str">
        <f>CONCATENATE(UPPER(Table1[[#This Row],[h_Kode Sales :_1]])," ",Table1[[#This Row],[h_Kode Sales :_2]])</f>
        <v>KO 3591</v>
      </c>
      <c r="J106" s="287" t="str">
        <f>IF(Table1[[#This Row],[h_toko]]="","",INDEX(Table2[e],IF(Table1[[#This Row],[h_toko]]="","",MATCH(Table1[[#This Row],[h_toko]],Table2[a],0)),))</f>
        <v>CV PELITA JAYA (ANUGERAH SEJAHTERA) PURWOKERTO</v>
      </c>
      <c r="K106" s="280">
        <v>48</v>
      </c>
      <c r="L106" s="280" t="s">
        <v>268</v>
      </c>
      <c r="M106" s="280">
        <v>2</v>
      </c>
      <c r="O106" s="287" t="str">
        <f>IF(Table1[[#This Row],[h_Item Description]]="","",INDEX([1]!db[NB PAJAK],MATCH(Table1[[#This Row],[h_Item Description]],[1]!db[kode],0)))</f>
        <v/>
      </c>
      <c r="P106" s="280" t="s">
        <v>273</v>
      </c>
      <c r="Q106" s="283">
        <v>124200</v>
      </c>
      <c r="R106" s="284">
        <v>0.13500000000000001</v>
      </c>
      <c r="T106" s="283">
        <f>Table1[[#This Row],[h_hargasetelahdiskon]]</f>
        <v>5156784</v>
      </c>
      <c r="U106" s="283" t="s">
        <v>267</v>
      </c>
      <c r="W106" s="287">
        <f ca="1">IF(Table1[[#This Row],[Item Description]]="","",IF(Table1[[#This Row],[//]]="",INDIRECT(ADDRESS(ROW()-1,COLUMN())),Table1[[#This Row],[//]]))</f>
        <v>106</v>
      </c>
      <c r="X106" s="287">
        <f ca="1">IF(Table1[[#This Row],[h_id]]="","",COUNTIF(Table1[h_id],Table1[[#This Row],[h_id]]))</f>
        <v>2</v>
      </c>
      <c r="Y106" s="283">
        <f>IF(Table1[Item Description]="","",Table1[[#This Row],[Qty]]*Table1[[#This Row],[Unit Price]])</f>
        <v>5961600</v>
      </c>
      <c r="Z106" s="283">
        <f>IF(Table1[[#This Row],[h_hargasebelumdiskon]]="","",IF(Table1[[#This Row],[Disc 1]]="",0,Table1[[#This Row],[h_hargasebelumdiskon]]*Table1[[#This Row],[Disc 1]]))</f>
        <v>804816</v>
      </c>
      <c r="AA106" s="283">
        <f>IF(Table1[[#This Row],[h_hargasebelumdiskon]]="","",IF(Table1[[#This Row],[Disc 2]]="",0,(Table1[[#This Row],[h_hargasebelumdiskon]]-Table1[[#This Row],[h_disc 1]])*Table1[[#This Row],[Disc 2]]))</f>
        <v>0</v>
      </c>
      <c r="AB106" s="283">
        <f>IF(Table1[Item Description]="","",Table1[[#This Row],[h_disc 1]]+Table1[[#This Row],[h_disc 2]])</f>
        <v>804816</v>
      </c>
      <c r="AC106" s="283">
        <f>IF(Table1[Item Description]="","",Table1[[#This Row],[h_hargasebelumdiskon]]-Table1[[#This Row],[h_diskon]])</f>
        <v>5156784</v>
      </c>
      <c r="AD106" s="283">
        <f ca="1">IF(Table1[//]="","",SUMIF(Table1[h_id],Table1[h_id],Table1[h_hargasetelahdiskon]))</f>
        <v>6018324</v>
      </c>
      <c r="AE106" s="283"/>
      <c r="AF106" s="283" t="str">
        <f>Table1[[#This Row],[Item Description]]&amp;Table1[[#This Row],[Unit]]&amp;Table1[[#This Row],[Unit Price]]</f>
        <v>PENSIL WARNA KENKO CP-12F CLASSIC (PANJANG)LS124200</v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K107" s="280">
        <v>10</v>
      </c>
      <c r="L107" s="280" t="s">
        <v>268</v>
      </c>
      <c r="O107" s="287" t="str">
        <f>IF(Table1[[#This Row],[h_Item Description]]="","",INDEX([1]!db[NB PAJAK],MATCH(Table1[[#This Row],[h_Item Description]],[1]!db[kode],0)))</f>
        <v/>
      </c>
      <c r="P107" s="280" t="s">
        <v>274</v>
      </c>
      <c r="Q107" s="283">
        <v>99600</v>
      </c>
      <c r="R107" s="284">
        <v>0.13500000000000001</v>
      </c>
      <c r="T107" s="283">
        <f>Table1[[#This Row],[h_hargasetelahdiskon]]</f>
        <v>861540</v>
      </c>
      <c r="W107" s="287">
        <f ca="1">IF(Table1[[#This Row],[Item Description]]="","",IF(Table1[[#This Row],[//]]="",INDIRECT(ADDRESS(ROW()-1,COLUMN())),Table1[[#This Row],[//]]))</f>
        <v>106</v>
      </c>
      <c r="X107" s="287">
        <f ca="1">IF(Table1[[#This Row],[h_id]]="","",COUNTIF(Table1[h_id],Table1[[#This Row],[h_id]]))</f>
        <v>2</v>
      </c>
      <c r="Y107" s="283">
        <f>IF(Table1[Item Description]="","",Table1[[#This Row],[Qty]]*Table1[[#This Row],[Unit Price]])</f>
        <v>996000</v>
      </c>
      <c r="Z107" s="283">
        <f>IF(Table1[[#This Row],[h_hargasebelumdiskon]]="","",IF(Table1[[#This Row],[Disc 1]]="",0,Table1[[#This Row],[h_hargasebelumdiskon]]*Table1[[#This Row],[Disc 1]]))</f>
        <v>134460</v>
      </c>
      <c r="AA107" s="283">
        <f>IF(Table1[[#This Row],[h_hargasebelumdiskon]]="","",IF(Table1[[#This Row],[Disc 2]]="",0,(Table1[[#This Row],[h_hargasebelumdiskon]]-Table1[[#This Row],[h_disc 1]])*Table1[[#This Row],[Disc 2]]))</f>
        <v>0</v>
      </c>
      <c r="AB107" s="283">
        <f>IF(Table1[Item Description]="","",Table1[[#This Row],[h_disc 1]]+Table1[[#This Row],[h_disc 2]])</f>
        <v>134460</v>
      </c>
      <c r="AC107" s="283">
        <f>IF(Table1[Item Description]="","",Table1[[#This Row],[h_hargasebelumdiskon]]-Table1[[#This Row],[h_diskon]])</f>
        <v>861540</v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>STAMP PLATE DATER KENKO S-68 (Cap Lunas)LS99600</v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>
        <f ca="1">IF(Table1[[#This Row],[No. Invoice :]]="","",ROW())</f>
        <v>109</v>
      </c>
      <c r="B109" s="287">
        <f ca="1">IF(Table1[h_Kode Sales :_1]="","",B$1+COUNT(INDIRECT("B$2:B"&amp;ROW()-1)))</f>
        <v>23080031</v>
      </c>
      <c r="C109" s="281">
        <f>IF(Table1[[#This Row],[H_TGL]]="","",Table1[[#This Row],[H_TGL]]+C$1-1)</f>
        <v>45167</v>
      </c>
      <c r="D109" s="292">
        <v>29</v>
      </c>
      <c r="E109" s="280" t="s">
        <v>162</v>
      </c>
      <c r="F109" s="282" t="s">
        <v>275</v>
      </c>
      <c r="G109" s="280" t="s">
        <v>276</v>
      </c>
      <c r="H109" s="287" t="str">
        <f ca="1">IF(Table1[[#This Row],[h_No. Invoice :]]="","",CONCATENATE("AM"," ",Table1[[#This Row],[h_No. Invoice :]]))</f>
        <v>AM 23080031</v>
      </c>
      <c r="I109" s="288" t="str">
        <f>CONCATENATE(UPPER(Table1[[#This Row],[h_Kode Sales :_1]])," ",Table1[[#This Row],[h_Kode Sales :_2]])</f>
        <v>KO 3599</v>
      </c>
      <c r="J109" s="287" t="str">
        <f>IF(Table1[[#This Row],[h_toko]]="","",INDEX(Table2[e],IF(Table1[[#This Row],[h_toko]]="","",MATCH(Table1[[#This Row],[h_toko]],Table2[a],0)),))</f>
        <v>CV SINAR CAHAYA NIRMALA BREBES</v>
      </c>
      <c r="K109" s="280">
        <v>1</v>
      </c>
      <c r="L109" s="280" t="s">
        <v>277</v>
      </c>
      <c r="N109" s="280" t="s">
        <v>166</v>
      </c>
      <c r="O109" s="287" t="str">
        <f>IF(Table1[[#This Row],[h_Item Description]]="","",INDEX([1]!db[NB PAJAK],MATCH(Table1[[#This Row],[h_Item Description]],[1]!db[kode],0)))</f>
        <v>JANGKA (COMPASS SET) KENKO C-288 / MS-25</v>
      </c>
      <c r="P109" s="280" t="s">
        <v>172</v>
      </c>
      <c r="Q109" s="283">
        <v>90000</v>
      </c>
      <c r="R109" s="284">
        <v>0.1</v>
      </c>
      <c r="T109" s="283">
        <f>Table1[[#This Row],[h_hargasetelahdiskon]]</f>
        <v>81000</v>
      </c>
      <c r="U109" s="283" t="s">
        <v>133</v>
      </c>
      <c r="W109" s="287">
        <f ca="1">IF(Table1[[#This Row],[Item Description]]="","",IF(Table1[[#This Row],[//]]="",INDIRECT(ADDRESS(ROW()-1,COLUMN())),Table1[[#This Row],[//]]))</f>
        <v>109</v>
      </c>
      <c r="X109" s="287">
        <f ca="1">IF(Table1[[#This Row],[h_id]]="","",COUNTIF(Table1[h_id],Table1[[#This Row],[h_id]]))</f>
        <v>15</v>
      </c>
      <c r="Y109" s="283">
        <f>IF(Table1[Item Description]="","",Table1[[#This Row],[Qty]]*Table1[[#This Row],[Unit Price]])</f>
        <v>90000</v>
      </c>
      <c r="Z109" s="283">
        <f>IF(Table1[[#This Row],[h_hargasebelumdiskon]]="","",IF(Table1[[#This Row],[Disc 1]]="",0,Table1[[#This Row],[h_hargasebelumdiskon]]*Table1[[#This Row],[Disc 1]]))</f>
        <v>9000</v>
      </c>
      <c r="AA109" s="283">
        <f>IF(Table1[[#This Row],[h_hargasebelumdiskon]]="","",IF(Table1[[#This Row],[Disc 2]]="",0,(Table1[[#This Row],[h_hargasebelumdiskon]]-Table1[[#This Row],[h_disc 1]])*Table1[[#This Row],[Disc 2]]))</f>
        <v>0</v>
      </c>
      <c r="AB109" s="283">
        <f>IF(Table1[Item Description]="","",Table1[[#This Row],[h_disc 1]]+Table1[[#This Row],[h_disc 2]])</f>
        <v>9000</v>
      </c>
      <c r="AC109" s="283">
        <f>IF(Table1[Item Description]="","",Table1[[#This Row],[h_hargasebelumdiskon]]-Table1[[#This Row],[h_diskon]])</f>
        <v>81000</v>
      </c>
      <c r="AD109" s="283">
        <f ca="1">IF(Table1[//]="","",SUMIF(Table1[h_id],Table1[h_id],Table1[h_hargasetelahdiskon]))</f>
        <v>1690330</v>
      </c>
      <c r="AE109" s="283"/>
      <c r="AF109" s="283" t="str">
        <f>Table1[[#This Row],[Item Description]]&amp;Table1[[#This Row],[Unit]]&amp;Table1[[#This Row],[Unit Price]]</f>
        <v>JANGKA (COMPASS SET) KENKO C-288 / MS-25lsn90000</v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K110" s="280">
        <v>1</v>
      </c>
      <c r="L110" s="280" t="s">
        <v>204</v>
      </c>
      <c r="N110" s="280" t="s">
        <v>278</v>
      </c>
      <c r="O110" s="287" t="str">
        <f>IF(Table1[[#This Row],[h_Item Description]]="","",INDEX([1]!db[NB PAJAK],MATCH(Table1[[#This Row],[h_Item Description]],[1]!db[kode],0)))</f>
        <v>PENSIL KENKO 2B-6393 FLUORESCENT</v>
      </c>
      <c r="P110" s="287" t="s">
        <v>296</v>
      </c>
      <c r="Q110" s="283">
        <v>120000</v>
      </c>
      <c r="R110" s="284">
        <v>0.1</v>
      </c>
      <c r="T110" s="283">
        <f>Table1[[#This Row],[h_hargasetelahdiskon]]</f>
        <v>108000</v>
      </c>
      <c r="W110" s="287">
        <f ca="1">IF(Table1[[#This Row],[Item Description]]="","",IF(Table1[[#This Row],[//]]="",INDIRECT(ADDRESS(ROW()-1,COLUMN())),Table1[[#This Row],[//]]))</f>
        <v>109</v>
      </c>
      <c r="X110" s="287">
        <f ca="1">IF(Table1[[#This Row],[h_id]]="","",COUNTIF(Table1[h_id],Table1[[#This Row],[h_id]]))</f>
        <v>15</v>
      </c>
      <c r="Y110" s="283">
        <f>IF(Table1[Item Description]="","",Table1[[#This Row],[Qty]]*Table1[[#This Row],[Unit Price]])</f>
        <v>120000</v>
      </c>
      <c r="Z110" s="283">
        <f>IF(Table1[[#This Row],[h_hargasebelumdiskon]]="","",IF(Table1[[#This Row],[Disc 1]]="",0,Table1[[#This Row],[h_hargasebelumdiskon]]*Table1[[#This Row],[Disc 1]]))</f>
        <v>12000</v>
      </c>
      <c r="AA110" s="283">
        <f>IF(Table1[[#This Row],[h_hargasebelumdiskon]]="","",IF(Table1[[#This Row],[Disc 2]]="",0,(Table1[[#This Row],[h_hargasebelumdiskon]]-Table1[[#This Row],[h_disc 1]])*Table1[[#This Row],[Disc 2]]))</f>
        <v>0</v>
      </c>
      <c r="AB110" s="283">
        <f>IF(Table1[Item Description]="","",Table1[[#This Row],[h_disc 1]]+Table1[[#This Row],[h_disc 2]])</f>
        <v>12000</v>
      </c>
      <c r="AC110" s="283">
        <f>IF(Table1[Item Description]="","",Table1[[#This Row],[h_hargasebelumdiskon]]-Table1[[#This Row],[h_diskon]])</f>
        <v>108000</v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>PENSIL KENKO 2B-6393 FLUORESCENTGRS120000</v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K111" s="280">
        <v>1</v>
      </c>
      <c r="L111" s="280" t="s">
        <v>143</v>
      </c>
      <c r="N111" s="280" t="s">
        <v>279</v>
      </c>
      <c r="O111" s="287" t="e">
        <f>IF(Table1[[#This Row],[h_Item Description]]="","",INDEX([1]!db[NB PAJAK],MATCH(Table1[[#This Row],[h_Item Description]],[1]!db[kode],0)))</f>
        <v>#N/A</v>
      </c>
      <c r="P111" s="280" t="s">
        <v>290</v>
      </c>
      <c r="Q111" s="283">
        <v>158400</v>
      </c>
      <c r="R111" s="284">
        <v>0.1</v>
      </c>
      <c r="T111" s="283">
        <f>Table1[[#This Row],[h_hargasetelahdiskon]]</f>
        <v>142560</v>
      </c>
      <c r="W111" s="287">
        <f ca="1">IF(Table1[[#This Row],[Item Description]]="","",IF(Table1[[#This Row],[//]]="",INDIRECT(ADDRESS(ROW()-1,COLUMN())),Table1[[#This Row],[//]]))</f>
        <v>109</v>
      </c>
      <c r="X111" s="287">
        <f ca="1">IF(Table1[[#This Row],[h_id]]="","",COUNTIF(Table1[h_id],Table1[[#This Row],[h_id]]))</f>
        <v>15</v>
      </c>
      <c r="Y111" s="283">
        <f>IF(Table1[Item Description]="","",Table1[[#This Row],[Qty]]*Table1[[#This Row],[Unit Price]])</f>
        <v>158400</v>
      </c>
      <c r="Z111" s="283">
        <f>IF(Table1[[#This Row],[h_hargasebelumdiskon]]="","",IF(Table1[[#This Row],[Disc 1]]="",0,Table1[[#This Row],[h_hargasebelumdiskon]]*Table1[[#This Row],[Disc 1]]))</f>
        <v>15840</v>
      </c>
      <c r="AA111" s="283">
        <f>IF(Table1[[#This Row],[h_hargasebelumdiskon]]="","",IF(Table1[[#This Row],[Disc 2]]="",0,(Table1[[#This Row],[h_hargasebelumdiskon]]-Table1[[#This Row],[h_disc 1]])*Table1[[#This Row],[Disc 2]]))</f>
        <v>0</v>
      </c>
      <c r="AB111" s="283">
        <f>IF(Table1[Item Description]="","",Table1[[#This Row],[h_disc 1]]+Table1[[#This Row],[h_disc 2]])</f>
        <v>15840</v>
      </c>
      <c r="AC111" s="283">
        <f>IF(Table1[Item Description]="","",Table1[[#This Row],[h_hargasebelumdiskon]]-Table1[[#This Row],[h_diskon]])</f>
        <v>142560</v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>PUNCH KENKO NO. 30NPLSN158400</v>
      </c>
    </row>
    <row r="112" spans="1:32" x14ac:dyDescent="0.25">
      <c r="A112" s="287" t="str">
        <f ca="1">IF(Table1[[#This Row],[No. Invoice :]]="","",ROW())</f>
        <v/>
      </c>
      <c r="B112" s="287" t="str">
        <f ca="1">IF(Table1[h_Kode Sales :_1]="","",B$1+COUNT(INDIRECT("B$2:B"&amp;ROW()-1)))</f>
        <v/>
      </c>
      <c r="C112" s="281" t="str">
        <f>IF(Table1[[#This Row],[H_TGL]]="","",Table1[[#This Row],[H_TGL]]+C$1-1)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Row],[h_Kode Sales :_1]])," ",Table1[[#This Row],[h_Kode Sales :_2]])</f>
        <v xml:space="preserve"> </v>
      </c>
      <c r="J112" s="287" t="str">
        <f>IF(Table1[[#This Row],[h_toko]]="","",INDEX(Table2[e],IF(Table1[[#This Row],[h_toko]]="","",MATCH(Table1[[#This Row],[h_toko]],Table2[a],0)),))</f>
        <v/>
      </c>
      <c r="K112" s="280">
        <v>3</v>
      </c>
      <c r="L112" s="280" t="s">
        <v>143</v>
      </c>
      <c r="N112" s="280" t="s">
        <v>280</v>
      </c>
      <c r="O112" s="287" t="e">
        <f>IF(Table1[[#This Row],[h_Item Description]]="","",INDEX([1]!db[NB PAJAK],MATCH(Table1[[#This Row],[h_Item Description]],[1]!db[kode],0)))</f>
        <v>#N/A</v>
      </c>
      <c r="P112" s="280" t="s">
        <v>291</v>
      </c>
      <c r="Q112" s="283">
        <v>26400</v>
      </c>
      <c r="R112" s="284">
        <v>0.1</v>
      </c>
      <c r="T112" s="283">
        <f>Table1[[#This Row],[h_hargasetelahdiskon]]</f>
        <v>71280</v>
      </c>
      <c r="W112" s="287">
        <f ca="1">IF(Table1[[#This Row],[Item Description]]="","",IF(Table1[[#This Row],[//]]="",INDIRECT(ADDRESS(ROW()-1,COLUMN())),Table1[[#This Row],[//]]))</f>
        <v>109</v>
      </c>
      <c r="X112" s="287">
        <f ca="1">IF(Table1[[#This Row],[h_id]]="","",COUNTIF(Table1[h_id],Table1[[#This Row],[h_id]]))</f>
        <v>15</v>
      </c>
      <c r="Y112" s="283">
        <f>IF(Table1[Item Description]="","",Table1[[#This Row],[Qty]]*Table1[[#This Row],[Unit Price]])</f>
        <v>79200</v>
      </c>
      <c r="Z112" s="283">
        <f>IF(Table1[[#This Row],[h_hargasebelumdiskon]]="","",IF(Table1[[#This Row],[Disc 1]]="",0,Table1[[#This Row],[h_hargasebelumdiskon]]*Table1[[#This Row],[Disc 1]]))</f>
        <v>7920</v>
      </c>
      <c r="AA112" s="283">
        <f>IF(Table1[[#This Row],[h_hargasebelumdiskon]]="","",IF(Table1[[#This Row],[Disc 2]]="",0,(Table1[[#This Row],[h_hargasebelumdiskon]]-Table1[[#This Row],[h_disc 1]])*Table1[[#This Row],[Disc 2]]))</f>
        <v>0</v>
      </c>
      <c r="AB112" s="283">
        <f>IF(Table1[Item Description]="","",Table1[[#This Row],[h_disc 1]]+Table1[[#This Row],[h_disc 2]])</f>
        <v>7920</v>
      </c>
      <c r="AC112" s="283">
        <f>IF(Table1[Item Description]="","",Table1[[#This Row],[h_hargasebelumdiskon]]-Table1[[#This Row],[h_diskon]])</f>
        <v>71280</v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>GEL PEN JOYKO GP-218LSN26400</v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K113" s="280">
        <v>48</v>
      </c>
      <c r="L113" s="280" t="s">
        <v>136</v>
      </c>
      <c r="N113" s="280" t="s">
        <v>281</v>
      </c>
      <c r="O113" s="287" t="e">
        <f>IF(Table1[[#This Row],[h_Item Description]]="","",INDEX([1]!db[NB PAJAK],MATCH(Table1[[#This Row],[h_Item Description]],[1]!db[kode],0)))</f>
        <v>#N/A</v>
      </c>
      <c r="P113" s="280" t="s">
        <v>292</v>
      </c>
      <c r="Q113" s="283">
        <v>10000</v>
      </c>
      <c r="R113" s="284">
        <v>0.1</v>
      </c>
      <c r="T113" s="283">
        <f>Table1[[#This Row],[h_hargasetelahdiskon]]</f>
        <v>432000</v>
      </c>
      <c r="W113" s="287">
        <f ca="1">IF(Table1[[#This Row],[Item Description]]="","",IF(Table1[[#This Row],[//]]="",INDIRECT(ADDRESS(ROW()-1,COLUMN())),Table1[[#This Row],[//]]))</f>
        <v>109</v>
      </c>
      <c r="X113" s="287">
        <f ca="1">IF(Table1[[#This Row],[h_id]]="","",COUNTIF(Table1[h_id],Table1[[#This Row],[h_id]]))</f>
        <v>15</v>
      </c>
      <c r="Y113" s="283">
        <f>IF(Table1[Item Description]="","",Table1[[#This Row],[Qty]]*Table1[[#This Row],[Unit Price]])</f>
        <v>480000</v>
      </c>
      <c r="Z113" s="283">
        <f>IF(Table1[[#This Row],[h_hargasebelumdiskon]]="","",IF(Table1[[#This Row],[Disc 1]]="",0,Table1[[#This Row],[h_hargasebelumdiskon]]*Table1[[#This Row],[Disc 1]]))</f>
        <v>48000</v>
      </c>
      <c r="AA113" s="283">
        <f>IF(Table1[[#This Row],[h_hargasebelumdiskon]]="","",IF(Table1[[#This Row],[Disc 2]]="",0,(Table1[[#This Row],[h_hargasebelumdiskon]]-Table1[[#This Row],[h_disc 1]])*Table1[[#This Row],[Disc 2]]))</f>
        <v>0</v>
      </c>
      <c r="AB113" s="283">
        <f>IF(Table1[Item Description]="","",Table1[[#This Row],[h_disc 1]]+Table1[[#This Row],[h_disc 2]])</f>
        <v>48000</v>
      </c>
      <c r="AC113" s="283">
        <f>IF(Table1[Item Description]="","",Table1[[#This Row],[h_hargasebelumdiskon]]-Table1[[#This Row],[h_diskon]])</f>
        <v>432000</v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>PLAKBAND BENING 80 M KENKO 48 MM RED COREPCS10000</v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K114" s="280">
        <v>1</v>
      </c>
      <c r="L114" s="280" t="s">
        <v>143</v>
      </c>
      <c r="N114" s="280" t="s">
        <v>282</v>
      </c>
      <c r="O114" s="287" t="str">
        <f>IF(Table1[[#This Row],[h_Item Description]]="","",INDEX([1]!db[NB PAJAK],MATCH(Table1[[#This Row],[h_Item Description]],[1]!db[kode],0)))</f>
        <v>TAPE DISPENSER POLAR BEAR MN-305 @12pc</v>
      </c>
      <c r="P114" s="280" t="s">
        <v>295</v>
      </c>
      <c r="Q114" s="283">
        <v>120000</v>
      </c>
      <c r="R114" s="284"/>
      <c r="T114" s="283">
        <f>Table1[[#This Row],[h_hargasetelahdiskon]]</f>
        <v>120000</v>
      </c>
      <c r="W114" s="287">
        <f ca="1">IF(Table1[[#This Row],[Item Description]]="","",IF(Table1[[#This Row],[//]]="",INDIRECT(ADDRESS(ROW()-1,COLUMN())),Table1[[#This Row],[//]]))</f>
        <v>109</v>
      </c>
      <c r="X114" s="287">
        <f ca="1">IF(Table1[[#This Row],[h_id]]="","",COUNTIF(Table1[h_id],Table1[[#This Row],[h_id]]))</f>
        <v>15</v>
      </c>
      <c r="Y114" s="283">
        <f>IF(Table1[Item Description]="","",Table1[[#This Row],[Qty]]*Table1[[#This Row],[Unit Price]])</f>
        <v>120000</v>
      </c>
      <c r="Z114" s="283">
        <f>IF(Table1[[#This Row],[h_hargasebelumdiskon]]="","",IF(Table1[[#This Row],[Disc 1]]="",0,Table1[[#This Row],[h_hargasebelumdiskon]]*Table1[[#This Row],[Disc 1]]))</f>
        <v>0</v>
      </c>
      <c r="AA114" s="283">
        <f>IF(Table1[[#This Row],[h_hargasebelumdiskon]]="","",IF(Table1[[#This Row],[Disc 2]]="",0,(Table1[[#This Row],[h_hargasebelumdiskon]]-Table1[[#This Row],[h_disc 1]])*Table1[[#This Row],[Disc 2]]))</f>
        <v>0</v>
      </c>
      <c r="AB114" s="283">
        <f>IF(Table1[Item Description]="","",Table1[[#This Row],[h_disc 1]]+Table1[[#This Row],[h_disc 2]])</f>
        <v>0</v>
      </c>
      <c r="AC114" s="283">
        <f>IF(Table1[Item Description]="","",Table1[[#This Row],[h_hargasebelumdiskon]]-Table1[[#This Row],[h_diskon]])</f>
        <v>120000</v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>TAPE DISPENSER POLAR BEAR MN-305LSN120000</v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K115" s="280">
        <v>3</v>
      </c>
      <c r="L115" s="280" t="s">
        <v>143</v>
      </c>
      <c r="N115" s="280" t="s">
        <v>283</v>
      </c>
      <c r="O115" s="287" t="str">
        <f>IF(Table1[[#This Row],[h_Item Description]]="","",INDEX([1]!db[NB PAJAK],MATCH(Table1[[#This Row],[h_Item Description]],[1]!db[kode],0)))</f>
        <v>GEL PEN JOYKO GP-243 WHIZ GEL HITAM</v>
      </c>
      <c r="P115" s="280" t="s">
        <v>293</v>
      </c>
      <c r="Q115" s="283">
        <v>24600</v>
      </c>
      <c r="R115" s="284">
        <v>0.1</v>
      </c>
      <c r="T115" s="283">
        <f>Table1[[#This Row],[h_hargasetelahdiskon]]</f>
        <v>66420</v>
      </c>
      <c r="W115" s="287">
        <f ca="1">IF(Table1[[#This Row],[Item Description]]="","",IF(Table1[[#This Row],[//]]="",INDIRECT(ADDRESS(ROW()-1,COLUMN())),Table1[[#This Row],[//]]))</f>
        <v>109</v>
      </c>
      <c r="X115" s="287">
        <f ca="1">IF(Table1[[#This Row],[h_id]]="","",COUNTIF(Table1[h_id],Table1[[#This Row],[h_id]]))</f>
        <v>15</v>
      </c>
      <c r="Y115" s="283">
        <f>IF(Table1[Item Description]="","",Table1[[#This Row],[Qty]]*Table1[[#This Row],[Unit Price]])</f>
        <v>73800</v>
      </c>
      <c r="Z115" s="283">
        <f>IF(Table1[[#This Row],[h_hargasebelumdiskon]]="","",IF(Table1[[#This Row],[Disc 1]]="",0,Table1[[#This Row],[h_hargasebelumdiskon]]*Table1[[#This Row],[Disc 1]]))</f>
        <v>7380</v>
      </c>
      <c r="AA115" s="283">
        <f>IF(Table1[[#This Row],[h_hargasebelumdiskon]]="","",IF(Table1[[#This Row],[Disc 2]]="",0,(Table1[[#This Row],[h_hargasebelumdiskon]]-Table1[[#This Row],[h_disc 1]])*Table1[[#This Row],[Disc 2]]))</f>
        <v>0</v>
      </c>
      <c r="AB115" s="283">
        <f>IF(Table1[Item Description]="","",Table1[[#This Row],[h_disc 1]]+Table1[[#This Row],[h_disc 2]])</f>
        <v>7380</v>
      </c>
      <c r="AC115" s="283">
        <f>IF(Table1[Item Description]="","",Table1[[#This Row],[h_hargasebelumdiskon]]-Table1[[#This Row],[h_diskon]])</f>
        <v>66420</v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>GEL PEN JOYKO GP-243 WHIZ GEL HITAMLSN24600</v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K116" s="280">
        <v>1</v>
      </c>
      <c r="L116" s="280" t="s">
        <v>143</v>
      </c>
      <c r="N116" s="280" t="s">
        <v>284</v>
      </c>
      <c r="O116" s="287" t="str">
        <f>IF(Table1[[#This Row],[h_Item Description]]="","",INDEX([1]!db[NB PAJAK],MATCH(Table1[[#This Row],[h_Item Description]],[1]!db[kode],0)))</f>
        <v>BALLPEN JOYKO BP-288 QUACO 3 (4 WARNA)</v>
      </c>
      <c r="P116" s="280" t="s">
        <v>294</v>
      </c>
      <c r="Q116" s="283">
        <v>42600</v>
      </c>
      <c r="R116" s="284">
        <v>0.1</v>
      </c>
      <c r="T116" s="283">
        <f>Table1[[#This Row],[h_hargasetelahdiskon]]</f>
        <v>38340</v>
      </c>
      <c r="W116" s="287">
        <f ca="1">IF(Table1[[#This Row],[Item Description]]="","",IF(Table1[[#This Row],[//]]="",INDIRECT(ADDRESS(ROW()-1,COLUMN())),Table1[[#This Row],[//]]))</f>
        <v>109</v>
      </c>
      <c r="X116" s="287">
        <f ca="1">IF(Table1[[#This Row],[h_id]]="","",COUNTIF(Table1[h_id],Table1[[#This Row],[h_id]]))</f>
        <v>15</v>
      </c>
      <c r="Y116" s="283">
        <f>IF(Table1[Item Description]="","",Table1[[#This Row],[Qty]]*Table1[[#This Row],[Unit Price]])</f>
        <v>42600</v>
      </c>
      <c r="Z116" s="283">
        <f>IF(Table1[[#This Row],[h_hargasebelumdiskon]]="","",IF(Table1[[#This Row],[Disc 1]]="",0,Table1[[#This Row],[h_hargasebelumdiskon]]*Table1[[#This Row],[Disc 1]]))</f>
        <v>4260</v>
      </c>
      <c r="AA116" s="283">
        <f>IF(Table1[[#This Row],[h_hargasebelumdiskon]]="","",IF(Table1[[#This Row],[Disc 2]]="",0,(Table1[[#This Row],[h_hargasebelumdiskon]]-Table1[[#This Row],[h_disc 1]])*Table1[[#This Row],[Disc 2]]))</f>
        <v>0</v>
      </c>
      <c r="AB116" s="283">
        <f>IF(Table1[Item Description]="","",Table1[[#This Row],[h_disc 1]]+Table1[[#This Row],[h_disc 2]])</f>
        <v>4260</v>
      </c>
      <c r="AC116" s="283">
        <f>IF(Table1[Item Description]="","",Table1[[#This Row],[h_hargasebelumdiskon]]-Table1[[#This Row],[h_diskon]])</f>
        <v>38340</v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>BALLPEN JOYKO BP-288 QUACO 3 (4 WARNA)LSN42600</v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K117" s="280">
        <v>1</v>
      </c>
      <c r="L117" s="280" t="s">
        <v>143</v>
      </c>
      <c r="N117" s="280" t="s">
        <v>285</v>
      </c>
      <c r="O117" s="287" t="e">
        <f>IF(Table1[[#This Row],[h_Item Description]]="","",INDEX([1]!db[NB PAJAK],MATCH(Table1[[#This Row],[h_Item Description]],[1]!db[kode],0)))</f>
        <v>#N/A</v>
      </c>
      <c r="P117" s="280" t="s">
        <v>301</v>
      </c>
      <c r="Q117" s="283">
        <v>67200</v>
      </c>
      <c r="R117" s="284">
        <v>0.1</v>
      </c>
      <c r="T117" s="283">
        <f>Table1[[#This Row],[h_hargasetelahdiskon]]</f>
        <v>60480</v>
      </c>
      <c r="W117" s="287">
        <f ca="1">IF(Table1[[#This Row],[Item Description]]="","",IF(Table1[[#This Row],[//]]="",INDIRECT(ADDRESS(ROW()-1,COLUMN())),Table1[[#This Row],[//]]))</f>
        <v>109</v>
      </c>
      <c r="X117" s="287">
        <f ca="1">IF(Table1[[#This Row],[h_id]]="","",COUNTIF(Table1[h_id],Table1[[#This Row],[h_id]]))</f>
        <v>15</v>
      </c>
      <c r="Y117" s="283">
        <f>IF(Table1[Item Description]="","",Table1[[#This Row],[Qty]]*Table1[[#This Row],[Unit Price]])</f>
        <v>67200</v>
      </c>
      <c r="Z117" s="283">
        <f>IF(Table1[[#This Row],[h_hargasebelumdiskon]]="","",IF(Table1[[#This Row],[Disc 1]]="",0,Table1[[#This Row],[h_hargasebelumdiskon]]*Table1[[#This Row],[Disc 1]]))</f>
        <v>6720</v>
      </c>
      <c r="AA117" s="283">
        <f>IF(Table1[[#This Row],[h_hargasebelumdiskon]]="","",IF(Table1[[#This Row],[Disc 2]]="",0,(Table1[[#This Row],[h_hargasebelumdiskon]]-Table1[[#This Row],[h_disc 1]])*Table1[[#This Row],[Disc 2]]))</f>
        <v>0</v>
      </c>
      <c r="AB117" s="283">
        <f>IF(Table1[Item Description]="","",Table1[[#This Row],[h_disc 1]]+Table1[[#This Row],[h_disc 2]])</f>
        <v>6720</v>
      </c>
      <c r="AC117" s="283">
        <f>IF(Table1[Item Description]="","",Table1[[#This Row],[h_hargasebelumdiskon]]-Table1[[#This Row],[h_diskon]])</f>
        <v>60480</v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>STAPLER KENKO HD-10MP (MINI PLASTIK)LSN67200</v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K118" s="280">
        <v>10</v>
      </c>
      <c r="L118" s="280" t="s">
        <v>136</v>
      </c>
      <c r="N118" s="280" t="s">
        <v>286</v>
      </c>
      <c r="O118" s="287" t="str">
        <f>IF(Table1[[#This Row],[h_Item Description]]="","",INDEX([1]!db[NB PAJAK],MATCH(Table1[[#This Row],[h_Item Description]],[1]!db[kode],0)))</f>
        <v>BUKU KAS KWARTO</v>
      </c>
      <c r="P118" s="280" t="s">
        <v>297</v>
      </c>
      <c r="Q118" s="283">
        <v>9500</v>
      </c>
      <c r="R118" s="284"/>
      <c r="T118" s="283">
        <f>Table1[[#This Row],[h_hargasetelahdiskon]]</f>
        <v>95000</v>
      </c>
      <c r="W118" s="287">
        <f ca="1">IF(Table1[[#This Row],[Item Description]]="","",IF(Table1[[#This Row],[//]]="",INDIRECT(ADDRESS(ROW()-1,COLUMN())),Table1[[#This Row],[//]]))</f>
        <v>109</v>
      </c>
      <c r="X118" s="287">
        <f ca="1">IF(Table1[[#This Row],[h_id]]="","",COUNTIF(Table1[h_id],Table1[[#This Row],[h_id]]))</f>
        <v>15</v>
      </c>
      <c r="Y118" s="283">
        <f>IF(Table1[Item Description]="","",Table1[[#This Row],[Qty]]*Table1[[#This Row],[Unit Price]])</f>
        <v>95000</v>
      </c>
      <c r="Z118" s="283">
        <f>IF(Table1[[#This Row],[h_hargasebelumdiskon]]="","",IF(Table1[[#This Row],[Disc 1]]="",0,Table1[[#This Row],[h_hargasebelumdiskon]]*Table1[[#This Row],[Disc 1]]))</f>
        <v>0</v>
      </c>
      <c r="AA118" s="283">
        <f>IF(Table1[[#This Row],[h_hargasebelumdiskon]]="","",IF(Table1[[#This Row],[Disc 2]]="",0,(Table1[[#This Row],[h_hargasebelumdiskon]]-Table1[[#This Row],[h_disc 1]])*Table1[[#This Row],[Disc 2]]))</f>
        <v>0</v>
      </c>
      <c r="AB118" s="283">
        <f>IF(Table1[Item Description]="","",Table1[[#This Row],[h_disc 1]]+Table1[[#This Row],[h_disc 2]])</f>
        <v>0</v>
      </c>
      <c r="AC118" s="283">
        <f>IF(Table1[Item Description]="","",Table1[[#This Row],[h_hargasebelumdiskon]]-Table1[[#This Row],[h_diskon]])</f>
        <v>95000</v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>BUKU KAS KWARTOPCS9500</v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K119" s="280">
        <v>10</v>
      </c>
      <c r="L119" s="280" t="s">
        <v>136</v>
      </c>
      <c r="N119" s="280" t="s">
        <v>287</v>
      </c>
      <c r="O119" s="287" t="str">
        <f>IF(Table1[[#This Row],[h_Item Description]]="","",INDEX([1]!db[NB PAJAK],MATCH(Table1[[#This Row],[h_Item Description]],[1]!db[kode],0)))</f>
        <v>BUKU KAS (FOLIO)</v>
      </c>
      <c r="P119" s="280" t="s">
        <v>300</v>
      </c>
      <c r="Q119" s="283">
        <v>18500</v>
      </c>
      <c r="R119" s="284"/>
      <c r="T119" s="283">
        <f>Table1[[#This Row],[h_hargasetelahdiskon]]</f>
        <v>185000</v>
      </c>
      <c r="W119" s="287">
        <f ca="1">IF(Table1[[#This Row],[Item Description]]="","",IF(Table1[[#This Row],[//]]="",INDIRECT(ADDRESS(ROW()-1,COLUMN())),Table1[[#This Row],[//]]))</f>
        <v>109</v>
      </c>
      <c r="X119" s="287">
        <f ca="1">IF(Table1[[#This Row],[h_id]]="","",COUNTIF(Table1[h_id],Table1[[#This Row],[h_id]]))</f>
        <v>15</v>
      </c>
      <c r="Y119" s="283">
        <f>IF(Table1[Item Description]="","",Table1[[#This Row],[Qty]]*Table1[[#This Row],[Unit Price]])</f>
        <v>185000</v>
      </c>
      <c r="Z119" s="283">
        <f>IF(Table1[[#This Row],[h_hargasebelumdiskon]]="","",IF(Table1[[#This Row],[Disc 1]]="",0,Table1[[#This Row],[h_hargasebelumdiskon]]*Table1[[#This Row],[Disc 1]]))</f>
        <v>0</v>
      </c>
      <c r="AA119" s="283">
        <f>IF(Table1[[#This Row],[h_hargasebelumdiskon]]="","",IF(Table1[[#This Row],[Disc 2]]="",0,(Table1[[#This Row],[h_hargasebelumdiskon]]-Table1[[#This Row],[h_disc 1]])*Table1[[#This Row],[Disc 2]]))</f>
        <v>0</v>
      </c>
      <c r="AB119" s="283">
        <f>IF(Table1[Item Description]="","",Table1[[#This Row],[h_disc 1]]+Table1[[#This Row],[h_disc 2]])</f>
        <v>0</v>
      </c>
      <c r="AC119" s="283">
        <f>IF(Table1[Item Description]="","",Table1[[#This Row],[h_hargasebelumdiskon]]-Table1[[#This Row],[h_diskon]])</f>
        <v>185000</v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>BUKU KAS FOLIOPCS18500</v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K120" s="280">
        <v>2</v>
      </c>
      <c r="L120" s="280" t="s">
        <v>143</v>
      </c>
      <c r="N120" s="280" t="s">
        <v>247</v>
      </c>
      <c r="O120" s="287" t="str">
        <f>IF(Table1[[#This Row],[h_Item Description]]="","",INDEX([1]!db[NB PAJAK],MATCH(Table1[[#This Row],[h_Item Description]],[1]!db[kode],0)))</f>
        <v>PAPER CLIP WARNA KENKO 3100</v>
      </c>
      <c r="P120" s="280" t="s">
        <v>255</v>
      </c>
      <c r="Q120" s="283">
        <v>41400</v>
      </c>
      <c r="R120" s="284">
        <v>0.1</v>
      </c>
      <c r="T120" s="283">
        <f>Table1[[#This Row],[h_hargasetelahdiskon]]</f>
        <v>74520</v>
      </c>
      <c r="W120" s="287">
        <f ca="1">IF(Table1[[#This Row],[Item Description]]="","",IF(Table1[[#This Row],[//]]="",INDIRECT(ADDRESS(ROW()-1,COLUMN())),Table1[[#This Row],[//]]))</f>
        <v>109</v>
      </c>
      <c r="X120" s="287">
        <f ca="1">IF(Table1[[#This Row],[h_id]]="","",COUNTIF(Table1[h_id],Table1[[#This Row],[h_id]]))</f>
        <v>15</v>
      </c>
      <c r="Y120" s="283">
        <f>IF(Table1[Item Description]="","",Table1[[#This Row],[Qty]]*Table1[[#This Row],[Unit Price]])</f>
        <v>82800</v>
      </c>
      <c r="Z120" s="283">
        <f>IF(Table1[[#This Row],[h_hargasebelumdiskon]]="","",IF(Table1[[#This Row],[Disc 1]]="",0,Table1[[#This Row],[h_hargasebelumdiskon]]*Table1[[#This Row],[Disc 1]]))</f>
        <v>8280</v>
      </c>
      <c r="AA120" s="283">
        <f>IF(Table1[[#This Row],[h_hargasebelumdiskon]]="","",IF(Table1[[#This Row],[Disc 2]]="",0,(Table1[[#This Row],[h_hargasebelumdiskon]]-Table1[[#This Row],[h_disc 1]])*Table1[[#This Row],[Disc 2]]))</f>
        <v>0</v>
      </c>
      <c r="AB120" s="283">
        <f>IF(Table1[Item Description]="","",Table1[[#This Row],[h_disc 1]]+Table1[[#This Row],[h_disc 2]])</f>
        <v>8280</v>
      </c>
      <c r="AC120" s="283">
        <f>IF(Table1[Item Description]="","",Table1[[#This Row],[h_hargasebelumdiskon]]-Table1[[#This Row],[h_diskon]])</f>
        <v>74520</v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>PAPER CLIP WARNA KENKO 3100LSN41400</v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K121" s="280">
        <v>2</v>
      </c>
      <c r="L121" s="280" t="s">
        <v>204</v>
      </c>
      <c r="N121" s="280" t="s">
        <v>249</v>
      </c>
      <c r="O121" s="287" t="str">
        <f>IF(Table1[[#This Row],[h_Item Description]]="","",INDEX([1]!db[NB PAJAK],MATCH(Table1[[#This Row],[h_Item Description]],[1]!db[kode],0)))</f>
        <v>BINDER CLIP KENKO NO. 105</v>
      </c>
      <c r="P121" s="280" t="s">
        <v>256</v>
      </c>
      <c r="Q121" s="283">
        <v>28800</v>
      </c>
      <c r="R121" s="284">
        <v>0.1</v>
      </c>
      <c r="T121" s="283">
        <f>Table1[[#This Row],[h_hargasetelahdiskon]]</f>
        <v>51840</v>
      </c>
      <c r="W121" s="287">
        <f ca="1">IF(Table1[[#This Row],[Item Description]]="","",IF(Table1[[#This Row],[//]]="",INDIRECT(ADDRESS(ROW()-1,COLUMN())),Table1[[#This Row],[//]]))</f>
        <v>109</v>
      </c>
      <c r="X121" s="287">
        <f ca="1">IF(Table1[[#This Row],[h_id]]="","",COUNTIF(Table1[h_id],Table1[[#This Row],[h_id]]))</f>
        <v>15</v>
      </c>
      <c r="Y121" s="283">
        <f>IF(Table1[Item Description]="","",Table1[[#This Row],[Qty]]*Table1[[#This Row],[Unit Price]])</f>
        <v>57600</v>
      </c>
      <c r="Z121" s="283">
        <f>IF(Table1[[#This Row],[h_hargasebelumdiskon]]="","",IF(Table1[[#This Row],[Disc 1]]="",0,Table1[[#This Row],[h_hargasebelumdiskon]]*Table1[[#This Row],[Disc 1]]))</f>
        <v>5760</v>
      </c>
      <c r="AA121" s="283">
        <f>IF(Table1[[#This Row],[h_hargasebelumdiskon]]="","",IF(Table1[[#This Row],[Disc 2]]="",0,(Table1[[#This Row],[h_hargasebelumdiskon]]-Table1[[#This Row],[h_disc 1]])*Table1[[#This Row],[Disc 2]]))</f>
        <v>0</v>
      </c>
      <c r="AB121" s="283">
        <f>IF(Table1[Item Description]="","",Table1[[#This Row],[h_disc 1]]+Table1[[#This Row],[h_disc 2]])</f>
        <v>5760</v>
      </c>
      <c r="AC121" s="283">
        <f>IF(Table1[Item Description]="","",Table1[[#This Row],[h_hargasebelumdiskon]]-Table1[[#This Row],[h_diskon]])</f>
        <v>51840</v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>BINDER CLIP KENKO NO. 105GRS28800</v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K122" s="280">
        <v>2</v>
      </c>
      <c r="L122" s="280" t="s">
        <v>143</v>
      </c>
      <c r="N122" s="280" t="s">
        <v>288</v>
      </c>
      <c r="O122" s="287" t="str">
        <f>IF(Table1[[#This Row],[h_Item Description]]="","",INDEX([1]!db[NB PAJAK],MATCH(Table1[[#This Row],[h_Item Description]],[1]!db[kode],0)))</f>
        <v>LEM CAIR 35 ML KENKO LG-35</v>
      </c>
      <c r="P122" s="280" t="s">
        <v>298</v>
      </c>
      <c r="Q122" s="283">
        <v>19800</v>
      </c>
      <c r="R122" s="284">
        <v>0.1</v>
      </c>
      <c r="T122" s="283">
        <f>Table1[[#This Row],[h_hargasetelahdiskon]]</f>
        <v>35640</v>
      </c>
      <c r="W122" s="287">
        <f ca="1">IF(Table1[[#This Row],[Item Description]]="","",IF(Table1[[#This Row],[//]]="",INDIRECT(ADDRESS(ROW()-1,COLUMN())),Table1[[#This Row],[//]]))</f>
        <v>109</v>
      </c>
      <c r="X122" s="287">
        <f ca="1">IF(Table1[[#This Row],[h_id]]="","",COUNTIF(Table1[h_id],Table1[[#This Row],[h_id]]))</f>
        <v>15</v>
      </c>
      <c r="Y122" s="283">
        <f>IF(Table1[Item Description]="","",Table1[[#This Row],[Qty]]*Table1[[#This Row],[Unit Price]])</f>
        <v>39600</v>
      </c>
      <c r="Z122" s="283">
        <f>IF(Table1[[#This Row],[h_hargasebelumdiskon]]="","",IF(Table1[[#This Row],[Disc 1]]="",0,Table1[[#This Row],[h_hargasebelumdiskon]]*Table1[[#This Row],[Disc 1]]))</f>
        <v>3960</v>
      </c>
      <c r="AA122" s="283">
        <f>IF(Table1[[#This Row],[h_hargasebelumdiskon]]="","",IF(Table1[[#This Row],[Disc 2]]="",0,(Table1[[#This Row],[h_hargasebelumdiskon]]-Table1[[#This Row],[h_disc 1]])*Table1[[#This Row],[Disc 2]]))</f>
        <v>0</v>
      </c>
      <c r="AB122" s="283">
        <f>IF(Table1[Item Description]="","",Table1[[#This Row],[h_disc 1]]+Table1[[#This Row],[h_disc 2]])</f>
        <v>3960</v>
      </c>
      <c r="AC122" s="283">
        <f>IF(Table1[Item Description]="","",Table1[[#This Row],[h_hargasebelumdiskon]]-Table1[[#This Row],[h_diskon]])</f>
        <v>35640</v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>LEM CAIR 35 ML KENKO LG-35LSN19800</v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K123" s="280">
        <v>25</v>
      </c>
      <c r="L123" s="280" t="s">
        <v>130</v>
      </c>
      <c r="N123" s="280" t="s">
        <v>289</v>
      </c>
      <c r="O123" s="287" t="str">
        <f>IF(Table1[[#This Row],[h_Item Description]]="","",INDEX([1]!db[NB PAJAK],MATCH(Table1[[#This Row],[h_Item Description]],[1]!db[kode],0)))</f>
        <v>LOOSE LEAF JOYART B5-2670 (50S)</v>
      </c>
      <c r="P123" s="280" t="s">
        <v>299</v>
      </c>
      <c r="Q123" s="283">
        <v>5700</v>
      </c>
      <c r="R123" s="284">
        <v>0.1</v>
      </c>
      <c r="T123" s="283">
        <f>Table1[[#This Row],[h_hargasetelahdiskon]]</f>
        <v>128250</v>
      </c>
      <c r="W123" s="287">
        <f ca="1">IF(Table1[[#This Row],[Item Description]]="","",IF(Table1[[#This Row],[//]]="",INDIRECT(ADDRESS(ROW()-1,COLUMN())),Table1[[#This Row],[//]]))</f>
        <v>109</v>
      </c>
      <c r="X123" s="287">
        <f ca="1">IF(Table1[[#This Row],[h_id]]="","",COUNTIF(Table1[h_id],Table1[[#This Row],[h_id]]))</f>
        <v>15</v>
      </c>
      <c r="Y123" s="283">
        <f>IF(Table1[Item Description]="","",Table1[[#This Row],[Qty]]*Table1[[#This Row],[Unit Price]])</f>
        <v>142500</v>
      </c>
      <c r="Z123" s="283">
        <f>IF(Table1[[#This Row],[h_hargasebelumdiskon]]="","",IF(Table1[[#This Row],[Disc 1]]="",0,Table1[[#This Row],[h_hargasebelumdiskon]]*Table1[[#This Row],[Disc 1]]))</f>
        <v>14250</v>
      </c>
      <c r="AA123" s="283">
        <f>IF(Table1[[#This Row],[h_hargasebelumdiskon]]="","",IF(Table1[[#This Row],[Disc 2]]="",0,(Table1[[#This Row],[h_hargasebelumdiskon]]-Table1[[#This Row],[h_disc 1]])*Table1[[#This Row],[Disc 2]]))</f>
        <v>0</v>
      </c>
      <c r="AB123" s="283">
        <f>IF(Table1[Item Description]="","",Table1[[#This Row],[h_disc 1]]+Table1[[#This Row],[h_disc 2]])</f>
        <v>14250</v>
      </c>
      <c r="AC123" s="283">
        <f>IF(Table1[Item Description]="","",Table1[[#This Row],[h_hargasebelumdiskon]]-Table1[[#This Row],[h_diskon]])</f>
        <v>128250</v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>LOOSE LEAF JOYART B5-2670 (50S)PAK5700</v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>
        <f ca="1">IF(Table1[[#This Row],[No. Invoice :]]="","",ROW())</f>
        <v>125</v>
      </c>
      <c r="B125" s="287">
        <f ca="1">IF(Table1[h_Kode Sales :_1]="","",B$1+COUNT(INDIRECT("B$2:B"&amp;ROW()-1)))</f>
        <v>23080032</v>
      </c>
      <c r="C125" s="281">
        <f>IF(Table1[[#This Row],[H_TGL]]="","",Table1[[#This Row],[H_TGL]]+C$1-1)</f>
        <v>45169</v>
      </c>
      <c r="D125" s="292">
        <v>31</v>
      </c>
      <c r="E125" s="280" t="s">
        <v>162</v>
      </c>
      <c r="F125" s="282" t="s">
        <v>303</v>
      </c>
      <c r="G125" s="280" t="s">
        <v>70</v>
      </c>
      <c r="H125" s="287" t="str">
        <f ca="1">IF(Table1[[#This Row],[h_No. Invoice :]]="","",CONCATENATE("AM"," ",Table1[[#This Row],[h_No. Invoice :]]))</f>
        <v>AM 23080032</v>
      </c>
      <c r="I125" s="288" t="str">
        <f>CONCATENATE(UPPER(Table1[[#This Row],[h_Kode Sales :_1]])," ",Table1[[#This Row],[h_Kode Sales :_2]])</f>
        <v>KO 3605</v>
      </c>
      <c r="J125" s="287" t="str">
        <f>IF(Table1[[#This Row],[h_toko]]="","",INDEX(Table2[e],IF(Table1[[#This Row],[h_toko]]="","",MATCH(Table1[[#This Row],[h_toko]],Table2[a],0)),))</f>
        <v>HARNOYO (BENDAN) PEKALONGAN</v>
      </c>
      <c r="K125" s="280">
        <v>20</v>
      </c>
      <c r="L125" s="280" t="s">
        <v>143</v>
      </c>
      <c r="M125" s="280">
        <v>1</v>
      </c>
      <c r="N125" s="280" t="s">
        <v>304</v>
      </c>
      <c r="O125" s="287" t="str">
        <f>IF(Table1[[#This Row],[h_Item Description]]="","",INDEX([1]!db[NB PAJAK],MATCH(Table1[[#This Row],[h_Item Description]],[1]!db[kode],0)))</f>
        <v>CUTTER 18 MM KENKO L-500 (BESAR)</v>
      </c>
      <c r="P125" s="280" t="s">
        <v>271</v>
      </c>
      <c r="Q125" s="283">
        <v>147600</v>
      </c>
      <c r="R125" s="284">
        <v>0.14000000000000001</v>
      </c>
      <c r="T125" s="283">
        <f>Table1[[#This Row],[h_hargasetelahdiskon]]</f>
        <v>2538720</v>
      </c>
      <c r="U125" s="283" t="s">
        <v>133</v>
      </c>
      <c r="W125" s="287">
        <f ca="1">IF(Table1[[#This Row],[Item Description]]="","",IF(Table1[[#This Row],[//]]="",INDIRECT(ADDRESS(ROW()-1,COLUMN())),Table1[[#This Row],[//]]))</f>
        <v>125</v>
      </c>
      <c r="X125" s="287">
        <f ca="1">IF(Table1[[#This Row],[h_id]]="","",COUNTIF(Table1[h_id],Table1[[#This Row],[h_id]]))</f>
        <v>1</v>
      </c>
      <c r="Y125" s="283">
        <f>IF(Table1[Item Description]="","",Table1[[#This Row],[Qty]]*Table1[[#This Row],[Unit Price]])</f>
        <v>2952000</v>
      </c>
      <c r="Z125" s="283">
        <f>IF(Table1[[#This Row],[h_hargasebelumdiskon]]="","",IF(Table1[[#This Row],[Disc 1]]="",0,Table1[[#This Row],[h_hargasebelumdiskon]]*Table1[[#This Row],[Disc 1]]))</f>
        <v>413280.00000000006</v>
      </c>
      <c r="AA125" s="283">
        <f>IF(Table1[[#This Row],[h_hargasebelumdiskon]]="","",IF(Table1[[#This Row],[Disc 2]]="",0,(Table1[[#This Row],[h_hargasebelumdiskon]]-Table1[[#This Row],[h_disc 1]])*Table1[[#This Row],[Disc 2]]))</f>
        <v>0</v>
      </c>
      <c r="AB125" s="283">
        <f>IF(Table1[Item Description]="","",Table1[[#This Row],[h_disc 1]]+Table1[[#This Row],[h_disc 2]])</f>
        <v>413280.00000000006</v>
      </c>
      <c r="AC125" s="283">
        <f>IF(Table1[Item Description]="","",Table1[[#This Row],[h_hargasebelumdiskon]]-Table1[[#This Row],[h_diskon]])</f>
        <v>2538720</v>
      </c>
      <c r="AD125" s="283">
        <f ca="1">IF(Table1[//]="","",SUMIF(Table1[h_id],Table1[h_id],Table1[h_hargasetelahdiskon]))</f>
        <v>2538720</v>
      </c>
      <c r="AE125" s="283"/>
      <c r="AF125" s="283" t="str">
        <f>Table1[[#This Row],[Item Description]]&amp;Table1[[#This Row],[Unit]]&amp;Table1[[#This Row],[Unit Price]]</f>
        <v>CUTTER 18 MM KENKO L-500 (BESAR)LSN147600</v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>
        <f ca="1">IF(Table1[[#This Row],[No. Invoice :]]="","",ROW())</f>
        <v>127</v>
      </c>
      <c r="B127" s="287">
        <f ca="1">IF(Table1[h_Kode Sales :_1]="","",B$1+COUNT(INDIRECT("B$2:B"&amp;ROW()-1)))</f>
        <v>23080033</v>
      </c>
      <c r="C127" s="281">
        <f>IF(Table1[[#This Row],[H_TGL]]="","",Table1[[#This Row],[H_TGL]]+C$1-1)</f>
        <v>45169</v>
      </c>
      <c r="D127" s="292">
        <v>31</v>
      </c>
      <c r="E127" s="280" t="s">
        <v>162</v>
      </c>
      <c r="F127" s="282" t="s">
        <v>305</v>
      </c>
      <c r="G127" s="280" t="s">
        <v>84</v>
      </c>
      <c r="H127" s="287" t="str">
        <f ca="1">IF(Table1[[#This Row],[h_No. Invoice :]]="","",CONCATENATE("AM"," ",Table1[[#This Row],[h_No. Invoice :]]))</f>
        <v>AM 23080033</v>
      </c>
      <c r="I127" s="288" t="str">
        <f>CONCATENATE(UPPER(Table1[[#This Row],[h_Kode Sales :_1]])," ",Table1[[#This Row],[h_Kode Sales :_2]])</f>
        <v>KO 3615</v>
      </c>
      <c r="J127" s="287" t="str">
        <f>IF(Table1[[#This Row],[h_toko]]="","",INDEX(Table2[e],IF(Table1[[#This Row],[h_toko]]="","",MATCH(Table1[[#This Row],[h_toko]],Table2[a],0)),))</f>
        <v>CV PELITA JAYA (ANUGERAH SEJAHTERA) PURWOKERTO</v>
      </c>
      <c r="K127" s="280">
        <v>36</v>
      </c>
      <c r="L127" s="280" t="s">
        <v>306</v>
      </c>
      <c r="M127" s="280">
        <v>1</v>
      </c>
      <c r="N127" s="280" t="s">
        <v>307</v>
      </c>
      <c r="O127" s="287" t="str">
        <f>IF(Table1[[#This Row],[h_Item Description]]="","",INDEX([1]!db[NB PAJAK],MATCH(Table1[[#This Row],[h_Item Description]],[1]!db[kode],0)))</f>
        <v>LEM STICK KENKO 15 GR (TANGGUNG) isi 20 pc</v>
      </c>
      <c r="P127" s="280" t="s">
        <v>310</v>
      </c>
      <c r="Q127" s="283">
        <v>72000</v>
      </c>
      <c r="R127" s="284">
        <v>0.13500000000000001</v>
      </c>
      <c r="T127" s="283">
        <f>Table1[[#This Row],[h_hargasetelahdiskon]]</f>
        <v>2242080</v>
      </c>
      <c r="U127" s="283" t="s">
        <v>133</v>
      </c>
      <c r="W127" s="287">
        <f ca="1">IF(Table1[[#This Row],[Item Description]]="","",IF(Table1[[#This Row],[//]]="",INDIRECT(ADDRESS(ROW()-1,COLUMN())),Table1[[#This Row],[//]]))</f>
        <v>127</v>
      </c>
      <c r="X127" s="287">
        <f ca="1">IF(Table1[[#This Row],[h_id]]="","",COUNTIF(Table1[h_id],Table1[[#This Row],[h_id]]))</f>
        <v>3</v>
      </c>
      <c r="Y127" s="283">
        <f>IF(Table1[Item Description]="","",Table1[[#This Row],[Qty]]*Table1[[#This Row],[Unit Price]])</f>
        <v>2592000</v>
      </c>
      <c r="Z127" s="283">
        <f>IF(Table1[[#This Row],[h_hargasebelumdiskon]]="","",IF(Table1[[#This Row],[Disc 1]]="",0,Table1[[#This Row],[h_hargasebelumdiskon]]*Table1[[#This Row],[Disc 1]]))</f>
        <v>349920</v>
      </c>
      <c r="AA127" s="283">
        <f>IF(Table1[[#This Row],[h_hargasebelumdiskon]]="","",IF(Table1[[#This Row],[Disc 2]]="",0,(Table1[[#This Row],[h_hargasebelumdiskon]]-Table1[[#This Row],[h_disc 1]])*Table1[[#This Row],[Disc 2]]))</f>
        <v>0</v>
      </c>
      <c r="AB127" s="283">
        <f>IF(Table1[Item Description]="","",Table1[[#This Row],[h_disc 1]]+Table1[[#This Row],[h_disc 2]])</f>
        <v>349920</v>
      </c>
      <c r="AC127" s="283">
        <f>IF(Table1[Item Description]="","",Table1[[#This Row],[h_hargasebelumdiskon]]-Table1[[#This Row],[h_diskon]])</f>
        <v>2242080</v>
      </c>
      <c r="AD127" s="283">
        <f ca="1">IF(Table1[//]="","",SUMIF(Table1[h_id],Table1[h_id],Table1[h_hargasetelahdiskon]))</f>
        <v>19032768</v>
      </c>
      <c r="AE127" s="283"/>
      <c r="AF127" s="283" t="str">
        <f>Table1[[#This Row],[Item Description]]&amp;Table1[[#This Row],[Unit]]&amp;Table1[[#This Row],[Unit Price]]</f>
        <v>LEM STICK KENKO 15 GR (TANGGUNG) isi 20 pcbox72000</v>
      </c>
    </row>
    <row r="128" spans="1:32" x14ac:dyDescent="0.25">
      <c r="A128" s="287" t="str">
        <f ca="1">IF(Table1[[#This Row],[No. Invoice :]]="","",ROW())</f>
        <v/>
      </c>
      <c r="B128" s="287" t="str">
        <f ca="1">IF(Table1[h_Kode Sales :_1]="","",B$1+COUNT(INDIRECT("B$2:B"&amp;ROW()-1)))</f>
        <v/>
      </c>
      <c r="C128" s="281" t="str">
        <f>IF(Table1[[#This Row],[H_TGL]]="","",Table1[[#This Row],[H_TGL]]+C$1-1)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Row],[h_Kode Sales :_1]])," ",Table1[[#This Row],[h_Kode Sales :_2]])</f>
        <v xml:space="preserve"> </v>
      </c>
      <c r="J128" s="287" t="str">
        <f>IF(Table1[[#This Row],[h_toko]]="","",INDEX(Table2[e],IF(Table1[[#This Row],[h_toko]]="","",MATCH(Table1[[#This Row],[h_toko]],Table2[a],0)),))</f>
        <v/>
      </c>
      <c r="K128" s="280">
        <v>48</v>
      </c>
      <c r="L128" s="280" t="s">
        <v>277</v>
      </c>
      <c r="M128" s="280">
        <v>2</v>
      </c>
      <c r="N128" s="280" t="s">
        <v>308</v>
      </c>
      <c r="O128" s="287" t="str">
        <f>IF(Table1[[#This Row],[h_Item Description]]="","",INDEX([1]!db[NB PAJAK],MATCH(Table1[[#This Row],[h_Item Description]],[1]!db[kode],0)))</f>
        <v>PENSIL WARNA JOYKO CP-S12 MINI (PENDEK)</v>
      </c>
      <c r="P128" s="280" t="s">
        <v>311</v>
      </c>
      <c r="Q128" s="283">
        <v>80400</v>
      </c>
      <c r="R128" s="284">
        <v>0.13500000000000001</v>
      </c>
      <c r="T128" s="283">
        <f>Table1[[#This Row],[h_hargasetelahdiskon]]</f>
        <v>3338208</v>
      </c>
      <c r="W128" s="287">
        <f ca="1">IF(Table1[[#This Row],[Item Description]]="","",IF(Table1[[#This Row],[//]]="",INDIRECT(ADDRESS(ROW()-1,COLUMN())),Table1[[#This Row],[//]]))</f>
        <v>127</v>
      </c>
      <c r="X128" s="287">
        <f ca="1">IF(Table1[[#This Row],[h_id]]="","",COUNTIF(Table1[h_id],Table1[[#This Row],[h_id]]))</f>
        <v>3</v>
      </c>
      <c r="Y128" s="283">
        <f>IF(Table1[Item Description]="","",Table1[[#This Row],[Qty]]*Table1[[#This Row],[Unit Price]])</f>
        <v>3859200</v>
      </c>
      <c r="Z128" s="283">
        <f>IF(Table1[[#This Row],[h_hargasebelumdiskon]]="","",IF(Table1[[#This Row],[Disc 1]]="",0,Table1[[#This Row],[h_hargasebelumdiskon]]*Table1[[#This Row],[Disc 1]]))</f>
        <v>520992.00000000006</v>
      </c>
      <c r="AA128" s="283">
        <f>IF(Table1[[#This Row],[h_hargasebelumdiskon]]="","",IF(Table1[[#This Row],[Disc 2]]="",0,(Table1[[#This Row],[h_hargasebelumdiskon]]-Table1[[#This Row],[h_disc 1]])*Table1[[#This Row],[Disc 2]]))</f>
        <v>0</v>
      </c>
      <c r="AB128" s="283">
        <f>IF(Table1[Item Description]="","",Table1[[#This Row],[h_disc 1]]+Table1[[#This Row],[h_disc 2]])</f>
        <v>520992.00000000006</v>
      </c>
      <c r="AC128" s="283">
        <f>IF(Table1[Item Description]="","",Table1[[#This Row],[h_hargasebelumdiskon]]-Table1[[#This Row],[h_diskon]])</f>
        <v>3338208</v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>PENSIL WARNA JOYKO CP-S12 MINI (PENDEK)lsn80400</v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K129" s="280">
        <v>240</v>
      </c>
      <c r="L129" s="280" t="s">
        <v>277</v>
      </c>
      <c r="M129" s="280">
        <v>4</v>
      </c>
      <c r="N129" s="280" t="s">
        <v>309</v>
      </c>
      <c r="O129" s="287" t="str">
        <f>IF(Table1[[#This Row],[h_Item Description]]="","",INDEX([1]!db[NB PAJAK],MATCH(Table1[[#This Row],[h_Item Description]],[1]!db[kode],0)))</f>
        <v>ISI CUTTER 18 MM KENKO L-150 (BESAR)</v>
      </c>
      <c r="P129" s="280" t="s">
        <v>312</v>
      </c>
      <c r="Q129" s="283">
        <v>64800</v>
      </c>
      <c r="R129" s="284">
        <v>0.13500000000000001</v>
      </c>
      <c r="T129" s="283">
        <f>Table1[[#This Row],[h_hargasetelahdiskon]]</f>
        <v>13452480</v>
      </c>
      <c r="W129" s="287">
        <f ca="1">IF(Table1[[#This Row],[Item Description]]="","",IF(Table1[[#This Row],[//]]="",INDIRECT(ADDRESS(ROW()-1,COLUMN())),Table1[[#This Row],[//]]))</f>
        <v>127</v>
      </c>
      <c r="X129" s="287">
        <f ca="1">IF(Table1[[#This Row],[h_id]]="","",COUNTIF(Table1[h_id],Table1[[#This Row],[h_id]]))</f>
        <v>3</v>
      </c>
      <c r="Y129" s="283">
        <f>IF(Table1[Item Description]="","",Table1[[#This Row],[Qty]]*Table1[[#This Row],[Unit Price]])</f>
        <v>15552000</v>
      </c>
      <c r="Z129" s="283">
        <f>IF(Table1[[#This Row],[h_hargasebelumdiskon]]="","",IF(Table1[[#This Row],[Disc 1]]="",0,Table1[[#This Row],[h_hargasebelumdiskon]]*Table1[[#This Row],[Disc 1]]))</f>
        <v>2099520</v>
      </c>
      <c r="AA129" s="283">
        <f>IF(Table1[[#This Row],[h_hargasebelumdiskon]]="","",IF(Table1[[#This Row],[Disc 2]]="",0,(Table1[[#This Row],[h_hargasebelumdiskon]]-Table1[[#This Row],[h_disc 1]])*Table1[[#This Row],[Disc 2]]))</f>
        <v>0</v>
      </c>
      <c r="AB129" s="283">
        <f>IF(Table1[Item Description]="","",Table1[[#This Row],[h_disc 1]]+Table1[[#This Row],[h_disc 2]])</f>
        <v>2099520</v>
      </c>
      <c r="AC129" s="283">
        <f>IF(Table1[Item Description]="","",Table1[[#This Row],[h_hargasebelumdiskon]]-Table1[[#This Row],[h_diskon]])</f>
        <v>13452480</v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>ISI CUTTER 18 MM KENKO L-150 (BESAR)lsn64800</v>
      </c>
    </row>
    <row r="130" spans="1:32" x14ac:dyDescent="0.25">
      <c r="A130" s="287" t="str">
        <f ca="1">IF(Table1[[#This Row],[No. Invoice :]]="","",ROW())</f>
        <v/>
      </c>
      <c r="B130" s="287" t="str">
        <f ca="1">IF(Table1[h_Kode Sales :_1]="","",B$1+COUNT(INDIRECT("B$2:B"&amp;ROW()-1)))</f>
        <v/>
      </c>
      <c r="C130" s="281" t="str">
        <f>IF(Table1[[#This Row],[H_TGL]]="","",Table1[[#This Row],[H_TGL]]+C$1-1)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Row],[h_Kode Sales :_1]])," ",Table1[[#This Row],[h_Kode Sales :_2]])</f>
        <v xml:space="preserve"> </v>
      </c>
      <c r="J130" s="287" t="str">
        <f>IF(Table1[[#This Row],[h_toko]]="","",INDEX(Table2[e],IF(Table1[[#This Row],[h_toko]]="","",MATCH(Table1[[#This Row],[h_toko]],Table2[a],0)),))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IF(Table1[h_Kode Sales :_1]="","",B$1+COUNT(INDIRECT("B$2:B"&amp;ROW()-1)))</f>
        <v/>
      </c>
      <c r="C131" s="281" t="str">
        <f>IF(Table1[[#This Row],[H_TGL]]="","",Table1[[#This Row],[H_TGL]]+C$1-1)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Row],[h_Kode Sales :_1]])," ",Table1[[#This Row],[h_Kode Sales :_2]])</f>
        <v xml:space="preserve"> </v>
      </c>
      <c r="J131" s="287" t="str">
        <f>IF(Table1[[#This Row],[h_toko]]="","",INDEX(Table2[e],IF(Table1[[#This Row],[h_toko]]="","",MATCH(Table1[[#This Row],[h_toko]],Table2[a],0)),))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IF(Table1[h_Kode Sales :_1]="","",B$1+COUNT(INDIRECT("B$2:B"&amp;ROW()-1)))</f>
        <v/>
      </c>
      <c r="C134" s="281" t="str">
        <f>IF(Table1[[#This Row],[H_TGL]]="","",Table1[[#This Row],[H_TGL]]+C$1-1)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Row],[h_Kode Sales :_1]])," ",Table1[[#This Row],[h_Kode Sales :_2]])</f>
        <v xml:space="preserve"> </v>
      </c>
      <c r="J134" s="287" t="str">
        <f>IF(Table1[[#This Row],[h_toko]]="","",INDEX(Table2[e],IF(Table1[[#This Row],[h_toko]]="","",MATCH(Table1[[#This Row],[h_toko]],Table2[a],0)),))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IF(Table1[h_Kode Sales :_1]="","",B$1+COUNT(INDIRECT("B$2:B"&amp;ROW()-1)))</f>
        <v/>
      </c>
      <c r="C138" s="281" t="str">
        <f>IF(Table1[[#This Row],[H_TGL]]="","",Table1[[#This Row],[H_TGL]]+C$1-1)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Row],[h_Kode Sales :_1]])," ",Table1[[#This Row],[h_Kode Sales :_2]])</f>
        <v xml:space="preserve"> </v>
      </c>
      <c r="J138" s="287" t="str">
        <f>IF(Table1[[#This Row],[h_toko]]="","",INDEX(Table2[e],IF(Table1[[#This Row],[h_toko]]="","",MATCH(Table1[[#This Row],[h_toko]],Table2[a],0)),))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IF(Table1[h_Kode Sales :_1]="","",B$1+COUNT(INDIRECT("B$2:B"&amp;ROW()-1)))</f>
        <v/>
      </c>
      <c r="C141" s="281" t="str">
        <f>IF(Table1[[#This Row],[H_TGL]]="","",Table1[[#This Row],[H_TGL]]+C$1-1)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Row],[h_Kode Sales :_1]])," ",Table1[[#This Row],[h_Kode Sales :_2]])</f>
        <v xml:space="preserve"> </v>
      </c>
      <c r="J141" s="287" t="str">
        <f>IF(Table1[[#This Row],[h_toko]]="","",INDEX(Table2[e],IF(Table1[[#This Row],[h_toko]]="","",MATCH(Table1[[#This Row],[h_toko]],Table2[a],0)),))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IF(Table1[h_Kode Sales :_1]="","",B$1+COUNT(INDIRECT("B$2:B"&amp;ROW()-1)))</f>
        <v/>
      </c>
      <c r="C149" s="281" t="str">
        <f>IF(Table1[[#This Row],[H_TGL]]="","",Table1[[#This Row],[H_TGL]]+C$1-1)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Row],[h_Kode Sales :_1]])," ",Table1[[#This Row],[h_Kode Sales :_2]])</f>
        <v xml:space="preserve"> </v>
      </c>
      <c r="J149" s="287" t="str">
        <f>IF(Table1[[#This Row],[h_toko]]="","",INDEX(Table2[e],IF(Table1[[#This Row],[h_toko]]="","",MATCH(Table1[[#This Row],[h_toko]],Table2[a],0)),))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IF(Table1[h_Kode Sales :_1]="","",B$1+COUNT(INDIRECT("B$2:B"&amp;ROW()-1)))</f>
        <v/>
      </c>
      <c r="C151" s="281" t="str">
        <f>IF(Table1[[#This Row],[H_TGL]]="","",Table1[[#This Row],[H_TGL]]+C$1-1)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Row],[h_Kode Sales :_1]])," ",Table1[[#This Row],[h_Kode Sales :_2]])</f>
        <v xml:space="preserve"> </v>
      </c>
      <c r="J151" s="287" t="str">
        <f>IF(Table1[[#This Row],[h_toko]]="","",INDEX(Table2[e],IF(Table1[[#This Row],[h_toko]]="","",MATCH(Table1[[#This Row],[h_toko]],Table2[a],0)),))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IF(Table1[h_Kode Sales :_1]="","",B$1+COUNT(INDIRECT("B$2:B"&amp;ROW()-1)))</f>
        <v/>
      </c>
      <c r="C153" s="281" t="str">
        <f>IF(Table1[[#This Row],[H_TGL]]="","",Table1[[#This Row],[H_TGL]]+C$1-1)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Row],[h_Kode Sales :_1]])," ",Table1[[#This Row],[h_Kode Sales :_2]])</f>
        <v xml:space="preserve"> </v>
      </c>
      <c r="J153" s="287" t="str">
        <f>IF(Table1[[#This Row],[h_toko]]="","",INDEX(Table2[e],IF(Table1[[#This Row],[h_toko]]="","",MATCH(Table1[[#This Row],[h_toko]],Table2[a],0)),))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ht="16.5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P173" s="290"/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">
        <v>127</v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">
        <v>118</v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">
        <v>119</v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P239" s="287"/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IF(Table1[h_Kode Sales :_1]="","",B$1+COUNT(INDIRECT("B$2:B"&amp;ROW()-1)))</f>
        <v/>
      </c>
      <c r="C264" s="281" t="str">
        <f>IF(Table1[[#This Row],[H_TGL]]="","",Table1[[#This Row],[H_TGL]]+C$1-1)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Row],[h_Kode Sales :_1]])," ",Table1[[#This Row],[h_Kode Sales :_2]])</f>
        <v xml:space="preserve"> </v>
      </c>
      <c r="J264" s="287" t="str">
        <f>IF(Table1[[#This Row],[h_toko]]="","",INDEX(Table2[e],IF(Table1[[#This Row],[h_toko]]="","",MATCH(Table1[[#This Row],[h_toko]],Table2[a],0)),))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IF(Table1[h_Kode Sales :_1]="","",B$1+COUNT(INDIRECT("B$2:B"&amp;ROW()-1)))</f>
        <v/>
      </c>
      <c r="C265" s="281" t="str">
        <f>IF(Table1[[#This Row],[H_TGL]]="","",Table1[[#This Row],[H_TGL]]+C$1-1)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Row],[h_Kode Sales :_1]])," ",Table1[[#This Row],[h_Kode Sales :_2]])</f>
        <v xml:space="preserve"> </v>
      </c>
      <c r="J265" s="287" t="str">
        <f>IF(Table1[[#This Row],[h_toko]]="","",INDEX(Table2[e],IF(Table1[[#This Row],[h_toko]]="","",MATCH(Table1[[#This Row],[h_toko]],Table2[a],0)),))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IF(Table1[h_Kode Sales :_1]="","",B$1+COUNT(INDIRECT("B$2:B"&amp;ROW()-1)))</f>
        <v/>
      </c>
      <c r="C266" s="281" t="str">
        <f>IF(Table1[[#This Row],[H_TGL]]="","",Table1[[#This Row],[H_TGL]]+C$1-1)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Row],[h_Kode Sales :_1]])," ",Table1[[#This Row],[h_Kode Sales :_2]])</f>
        <v xml:space="preserve"> </v>
      </c>
      <c r="J266" s="287" t="str">
        <f>IF(Table1[[#This Row],[h_toko]]="","",INDEX(Table2[e],IF(Table1[[#This Row],[h_toko]]="","",MATCH(Table1[[#This Row],[h_toko]],Table2[a],0)),))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IF(Table1[h_Kode Sales :_1]="","",B$1+COUNT(INDIRECT("B$2:B"&amp;ROW()-1)))</f>
        <v/>
      </c>
      <c r="C267" s="281" t="str">
        <f>IF(Table1[[#This Row],[H_TGL]]="","",Table1[[#This Row],[H_TGL]]+C$1-1)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Row],[h_Kode Sales :_1]])," ",Table1[[#This Row],[h_Kode Sales :_2]])</f>
        <v xml:space="preserve"> </v>
      </c>
      <c r="J267" s="287" t="str">
        <f>IF(Table1[[#This Row],[h_toko]]="","",INDEX(Table2[e],IF(Table1[[#This Row],[h_toko]]="","",MATCH(Table1[[#This Row],[h_toko]],Table2[a],0)),))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IF(Table1[h_Kode Sales :_1]="","",B$1+COUNT(INDIRECT("B$2:B"&amp;ROW()-1)))</f>
        <v/>
      </c>
      <c r="C268" s="281" t="str">
        <f>IF(Table1[[#This Row],[H_TGL]]="","",Table1[[#This Row],[H_TGL]]+C$1-1)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Row],[h_Kode Sales :_1]])," ",Table1[[#This Row],[h_Kode Sales :_2]])</f>
        <v xml:space="preserve"> </v>
      </c>
      <c r="J268" s="287" t="str">
        <f>IF(Table1[[#This Row],[h_toko]]="","",INDEX(Table2[e],IF(Table1[[#This Row],[h_toko]]="","",MATCH(Table1[[#This Row],[h_toko]],Table2[a],0)),))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97"/>
      <c r="B269" s="297"/>
      <c r="C269" s="298"/>
      <c r="D269" s="299"/>
      <c r="E269" s="300"/>
      <c r="F269" s="301"/>
      <c r="G269" s="300"/>
      <c r="H269" s="297"/>
      <c r="I269" s="302"/>
      <c r="J269" s="297"/>
      <c r="K269" s="300"/>
      <c r="L269" s="300"/>
      <c r="M269" s="300"/>
      <c r="N269" s="300"/>
      <c r="O269" s="297"/>
      <c r="P269" s="300"/>
      <c r="Q269" s="303"/>
      <c r="R269" s="304"/>
      <c r="S269" s="304"/>
      <c r="T269" s="303"/>
      <c r="U269" s="303"/>
      <c r="V269" s="300"/>
      <c r="W269" s="297"/>
      <c r="X269" s="297"/>
      <c r="Y269" s="303"/>
      <c r="Z269" s="303"/>
      <c r="AA269" s="303"/>
      <c r="AB269" s="303"/>
      <c r="AC269" s="303"/>
      <c r="AD269" s="303"/>
      <c r="AE269" s="303"/>
      <c r="AF269" s="303"/>
    </row>
  </sheetData>
  <conditionalFormatting sqref="P54">
    <cfRule type="duplicateValues" dxfId="98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C13" zoomScaleNormal="100" workbookViewId="0">
      <selection activeCell="H14" sqref="H14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121</v>
      </c>
      <c r="T1" s="183" t="s">
        <v>122</v>
      </c>
      <c r="U1" s="183" t="s">
        <v>121</v>
      </c>
      <c r="V1" s="183" t="s">
        <v>121</v>
      </c>
      <c r="W1" s="183" t="s">
        <v>123</v>
      </c>
      <c r="X1" s="183" t="s">
        <v>124</v>
      </c>
    </row>
    <row r="2" spans="1:27" x14ac:dyDescent="0.25">
      <c r="H2" t="s">
        <v>141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33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126</v>
      </c>
      <c r="Q4" s="279"/>
      <c r="R4" s="291" t="s">
        <v>15</v>
      </c>
      <c r="S4" s="295" t="s">
        <v>125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158348204.5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15692164.409909911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15692164.409909908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 xml:space="preserve">   </v>
      </c>
      <c r="H13" t="e">
        <f ca="1">IF(pajak[[#This Row],[//]]="","",INDEX(Table1[Toko],pajak[//]-offset))</f>
        <v>#N/A</v>
      </c>
      <c r="I13" s="87">
        <f ca="1">IF(pajak[[#This Row],[//]]="","",SUMIF(Table1[h_id],pajak[[#This Row],[//]],Table1[h_hargasebelumdiskon]))</f>
        <v>0</v>
      </c>
      <c r="J13" s="87">
        <f ca="1">IF(pajak[[#This Row],[//]]="","",SUMIF(Table1[h_id],pajak[[#This Row],[//]],Table1[h_diskon]))</f>
        <v>0</v>
      </c>
      <c r="K13" s="87">
        <f ca="1">IF(pajak[[#This Row],[//]]="","",SUMIF(Table1[h_id],pajak[[#This Row],[//]],Table1[h_hargasetelahdiskon]))</f>
        <v>0</v>
      </c>
      <c r="L13" s="87">
        <f ca="1">IF(pajak[//]="","",pajak[[#This Row],[Sub Total]]/1.11*11%)</f>
        <v>0</v>
      </c>
      <c r="M13" s="87">
        <f ca="1">pajak[[#This Row],[Sub Total]]</f>
        <v>0</v>
      </c>
      <c r="N13" s="85">
        <f ca="1">IF(pajak[[#This Row],[//]]="","",INDEX(Table1[pembuat nota :],pajak[//]-offset))</f>
        <v>0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 xml:space="preserve">   </v>
      </c>
      <c r="H14" s="85" t="e">
        <f ca="1">IF(pajak[[#This Row],[//]]="","",INDEX(Table1[Toko],pajak[//]-offset))</f>
        <v>#N/A</v>
      </c>
      <c r="I14" s="87">
        <f ca="1">IF(pajak[[#This Row],[//]]="","",SUMIF(Table1[h_id],pajak[[#This Row],[//]],Table1[h_hargasebelumdiskon]))</f>
        <v>0</v>
      </c>
      <c r="J14" s="87">
        <f ca="1">IF(pajak[[#This Row],[//]]="","",SUMIF(Table1[h_id],pajak[[#This Row],[//]],Table1[h_diskon]))</f>
        <v>0</v>
      </c>
      <c r="K14" s="87">
        <f ca="1">IF(pajak[[#This Row],[//]]="","",SUMIF(Table1[h_id],pajak[[#This Row],[//]],Table1[h_hargasetelahdiskon]))</f>
        <v>0</v>
      </c>
      <c r="L14" s="87">
        <f ca="1">IF(pajak[//]="","",pajak[[#This Row],[Sub Total]]/1.11*11%)</f>
        <v>0</v>
      </c>
      <c r="M14" s="87">
        <f ca="1">pajak[[#This Row],[Sub Total]]</f>
        <v>0</v>
      </c>
      <c r="N14" s="85">
        <f ca="1">IF(pajak[[#This Row],[//]]="","",INDEX(Table1[pembuat nota :],pajak[//]-offset))</f>
        <v>0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32</v>
      </c>
      <c r="D15" s="85">
        <f t="shared" ca="1" si="0"/>
        <v>32</v>
      </c>
      <c r="E15" t="str">
        <f ca="1">IF(pajak[[#This Row],[//]]="","",INDEX(Table1[No. Invoice :],pajak[//]-offset))</f>
        <v>AM 23080011</v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 xml:space="preserve">   </v>
      </c>
      <c r="H15" s="85" t="str">
        <f ca="1">IF(pajak[[#This Row],[//]]="","",INDEX(Table1[Toko],pajak[//]-offset))</f>
        <v/>
      </c>
      <c r="I15" s="87">
        <f ca="1">IF(pajak[[#This Row],[//]]="","",SUMIF(Table1[h_id],pajak[[#This Row],[//]],Table1[h_hargasebelumdiskon]))</f>
        <v>0</v>
      </c>
      <c r="J15" s="87">
        <f ca="1">IF(pajak[[#This Row],[//]]="","",SUMIF(Table1[h_id],pajak[[#This Row],[//]],Table1[h_diskon]))</f>
        <v>0</v>
      </c>
      <c r="K15" s="87">
        <f ca="1">IF(pajak[[#This Row],[//]]="","",SUMIF(Table1[h_id],pajak[[#This Row],[//]],Table1[h_hargasetelahdiskon]))</f>
        <v>0</v>
      </c>
      <c r="L15" s="87">
        <f ca="1">IF(pajak[//]="","",pajak[[#This Row],[Sub Total]]/1.11*11%)</f>
        <v>0</v>
      </c>
      <c r="M15" s="87">
        <f ca="1">pajak[[#This Row],[Sub Total]]</f>
        <v>0</v>
      </c>
      <c r="N15" s="85">
        <f ca="1">IF(pajak[[#This Row],[//]]="","",INDEX(Table1[pembuat nota :],pajak[//]-offset))</f>
        <v>0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A16" s="291">
        <v>34</v>
      </c>
      <c r="D16" s="85">
        <f t="shared" ca="1" si="0"/>
        <v>34</v>
      </c>
      <c r="E16" t="str">
        <f ca="1">IF(pajak[[#This Row],[//]]="","",INDEX(Table1[No. Invoice :],pajak[//]-offset))</f>
        <v>AM 23080012</v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 xml:space="preserve">   </v>
      </c>
      <c r="H16" s="85" t="e">
        <f ca="1">IF(pajak[[#This Row],[//]]="","",INDEX(Table1[Toko],pajak[//]-offset))</f>
        <v>#N/A</v>
      </c>
      <c r="I16" s="87">
        <f ca="1">IF(pajak[[#This Row],[//]]="","",SUMIF(Table1[h_id],pajak[[#This Row],[//]],Table1[h_hargasebelumdiskon]))</f>
        <v>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0</v>
      </c>
      <c r="L16" s="87">
        <f ca="1">IF(pajak[//]="","",pajak[[#This Row],[Sub Total]]/1.11*11%)</f>
        <v>0</v>
      </c>
      <c r="M16" s="87">
        <f ca="1">pajak[[#This Row],[Sub Total]]</f>
        <v>0</v>
      </c>
      <c r="N16" s="85">
        <f ca="1">IF(pajak[[#This Row],[//]]="","",INDEX(Table1[pembuat nota :],pajak[//]-offset))</f>
        <v>0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 t="e">
        <f ca="1">IF(Table4[[#This Row],[AM]]&amp;" "&amp;Table4[[#This Row],[---]]=INDIRECT("pajak[@["&amp;Table4[#Headers]&amp;"]]"),MATCH(Table4[[#This Row],[---]],INDIRECT($3:$3),0))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36</v>
      </c>
      <c r="D17" s="85">
        <f t="shared" ca="1" si="0"/>
        <v>36</v>
      </c>
      <c r="E17" t="str">
        <f ca="1">IF(pajak[[#This Row],[//]]="","",INDEX(Table1[No. Invoice :],pajak[//]-offset))</f>
        <v>AM 23080013</v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 xml:space="preserve">   </v>
      </c>
      <c r="H17" s="85" t="str">
        <f ca="1">IF(pajak[[#This Row],[//]]="","",INDEX(Table1[Toko],pajak[//]-offset))</f>
        <v/>
      </c>
      <c r="I17" s="87">
        <f ca="1">IF(pajak[[#This Row],[//]]="","",SUMIF(Table1[h_id],pajak[[#This Row],[//]],Table1[h_hargasebelumdiskon]))</f>
        <v>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0</v>
      </c>
      <c r="L17" s="87">
        <f ca="1">IF(pajak[//]="","",pajak[[#This Row],[Sub Total]]/1.11*11%)</f>
        <v>0</v>
      </c>
      <c r="M17" s="87">
        <f ca="1">pajak[[#This Row],[Sub Total]]</f>
        <v>0</v>
      </c>
      <c r="N17" s="85">
        <f ca="1">IF(pajak[[#This Row],[//]]="","",INDEX(Table1[pembuat nota :],pajak[//]-offset))</f>
        <v>0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38</v>
      </c>
      <c r="D18" s="85">
        <f t="shared" ca="1" si="0"/>
        <v>38</v>
      </c>
      <c r="E18" t="str">
        <f ca="1">IF(pajak[[#This Row],[//]]="","",INDEX(Table1[No. Invoice :],pajak[//]-offset))</f>
        <v>AM 23080014</v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 xml:space="preserve">   </v>
      </c>
      <c r="H18" s="85" t="str">
        <f ca="1">IF(pajak[[#This Row],[//]]="","",INDEX(Table1[Toko],pajak[//]-offset))</f>
        <v/>
      </c>
      <c r="I18" s="87">
        <f ca="1">IF(pajak[[#This Row],[//]]="","",SUMIF(Table1[h_id],pajak[[#This Row],[//]],Table1[h_hargasebelumdiskon]))</f>
        <v>0</v>
      </c>
      <c r="J18" s="87">
        <f ca="1">IF(pajak[[#This Row],[//]]="","",SUMIF(Table1[h_id],pajak[[#This Row],[//]],Table1[h_diskon]))</f>
        <v>0</v>
      </c>
      <c r="K18" s="87">
        <f ca="1">IF(pajak[[#This Row],[//]]="","",SUMIF(Table1[h_id],pajak[[#This Row],[//]],Table1[h_hargasetelahdiskon]))</f>
        <v>0</v>
      </c>
      <c r="L18" s="87">
        <f ca="1">IF(pajak[//]="","",pajak[[#This Row],[Sub Total]]/1.11*11%)</f>
        <v>0</v>
      </c>
      <c r="M18" s="87">
        <f ca="1">pajak[[#This Row],[Sub Total]]</f>
        <v>0</v>
      </c>
      <c r="N18" s="85">
        <f ca="1">IF(pajak[[#This Row],[//]]="","",INDEX(Table1[pembuat nota :],pajak[//]-offset))</f>
        <v>0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40</v>
      </c>
      <c r="D19" s="85">
        <f t="shared" ca="1" si="0"/>
        <v>40</v>
      </c>
      <c r="E19" t="str">
        <f ca="1">IF(pajak[[#This Row],[//]]="","",INDEX(Table1[No. Invoice :],pajak[//]-offset))</f>
        <v>AM 23080015</v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 xml:space="preserve">   </v>
      </c>
      <c r="H19" s="85" t="str">
        <f ca="1">IF(pajak[[#This Row],[//]]="","",INDEX(Table1[Toko],pajak[//]-offset))</f>
        <v/>
      </c>
      <c r="I19" s="87">
        <f ca="1">IF(pajak[[#This Row],[//]]="","",SUMIF(Table1[h_id],pajak[[#This Row],[//]],Table1[h_hargasebelumdiskon]))</f>
        <v>0</v>
      </c>
      <c r="J19" s="87">
        <f ca="1">IF(pajak[[#This Row],[//]]="","",SUMIF(Table1[h_id],pajak[[#This Row],[//]],Table1[h_diskon]))</f>
        <v>0</v>
      </c>
      <c r="K19" s="87">
        <f ca="1">IF(pajak[[#This Row],[//]]="","",SUMIF(Table1[h_id],pajak[[#This Row],[//]],Table1[h_hargasetelahdiskon]))</f>
        <v>0</v>
      </c>
      <c r="L19" s="87">
        <f ca="1">IF(pajak[//]="","",pajak[[#This Row],[Sub Total]]/1.11*11%)</f>
        <v>0</v>
      </c>
      <c r="M19" s="87">
        <f ca="1">pajak[[#This Row],[Sub Total]]</f>
        <v>0</v>
      </c>
      <c r="N19" s="85">
        <f ca="1">IF(pajak[[#This Row],[//]]="","",INDEX(Table1[pembuat nota :],pajak[//]-offset))</f>
        <v>0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42</v>
      </c>
      <c r="D20" s="85">
        <f t="shared" ca="1" si="0"/>
        <v>42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CV FM 90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44</v>
      </c>
      <c r="D21" s="85">
        <f t="shared" ca="1" si="0"/>
        <v>44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48</v>
      </c>
      <c r="B22" s="291"/>
      <c r="D22" s="85">
        <f t="shared" ca="1" si="0"/>
        <v>48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50</v>
      </c>
      <c r="D23" s="85">
        <f t="shared" ca="1" si="0"/>
        <v>50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>
        <v>58</v>
      </c>
      <c r="D24" s="85">
        <f t="shared" ca="1" si="0"/>
        <v>58</v>
      </c>
      <c r="E24" s="85" t="str">
        <f ca="1">IF(pajak[[#This Row],[//]]="","",INDEX(Table1[No. Invoice :],pajak[//]-offset))</f>
        <v>AM 23080020</v>
      </c>
      <c r="F24" s="88">
        <f ca="1">IF(pajak[[#This Row],[//]]="","",INDEX(Table1[Tgl Invoice :],pajak[//]-offset))</f>
        <v>45154</v>
      </c>
      <c r="G24" s="85" t="str">
        <f ca="1">IF(pajak[[#This Row],[//]]="","",INDEX(Table1[Kode Sales :],pajak[//]-offset))</f>
        <v>G 3036</v>
      </c>
      <c r="H24" s="85" t="str">
        <f ca="1">IF(pajak[[#This Row],[//]]="","",INDEX(Table1[Toko],pajak[//]-offset))</f>
        <v>LILY JULIAWATI (REJO AGUNG) JOMBANG</v>
      </c>
      <c r="I24" s="87">
        <f ca="1">IF(pajak[[#This Row],[//]]="","",SUMIF(Table1[h_id],pajak[[#This Row],[//]],Table1[h_hargasebelumdiskon]))</f>
        <v>9590400</v>
      </c>
      <c r="J24" s="87">
        <f ca="1">IF(pajak[[#This Row],[//]]="","",SUMIF(Table1[h_id],pajak[[#This Row],[//]],Table1[h_diskon]))</f>
        <v>1198800</v>
      </c>
      <c r="K24" s="87">
        <f ca="1">IF(pajak[[#This Row],[//]]="","",SUMIF(Table1[h_id],pajak[[#This Row],[//]],Table1[h_hargasetelahdiskon]))</f>
        <v>8391600</v>
      </c>
      <c r="L24" s="87">
        <f ca="1">IF(pajak[//]="","",pajak[[#This Row],[Sub Total]]/1.11*11%)</f>
        <v>831599.99999999988</v>
      </c>
      <c r="M24" s="87">
        <f ca="1">pajak[[#This Row],[Sub Total]]</f>
        <v>8391600</v>
      </c>
      <c r="N24" s="85" t="str">
        <f ca="1">IF(pajak[[#This Row],[//]]="","",INDEX(Table1[pembuat nota :],pajak[//]-offset))</f>
        <v>NOVI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 t="e">
        <f ca="1">IF(Table4[[#This Row],[AM]]&amp;" "&amp;Table4[[#This Row],[---]]=INDIRECT("pajak[@["&amp;Table4[#Headers]&amp;"]]"),MATCH(Table4[[#This Row],[---]],INDIRECT($3:$3),0))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>
        <v>61</v>
      </c>
      <c r="D25" s="85">
        <f t="shared" ca="1" si="0"/>
        <v>61</v>
      </c>
      <c r="E25" s="85" t="str">
        <f ca="1">IF(pajak[[#This Row],[//]]="","",INDEX(Table1[No. Invoice :],pajak[//]-offset))</f>
        <v>AM 23080021</v>
      </c>
      <c r="F25" s="88">
        <f ca="1">IF(pajak[[#This Row],[//]]="","",INDEX(Table1[Tgl Invoice :],pajak[//]-offset))</f>
        <v>45154</v>
      </c>
      <c r="G25" s="85" t="str">
        <f ca="1">IF(pajak[[#This Row],[//]]="","",INDEX(Table1[Kode Sales :],pajak[//]-offset))</f>
        <v>KO 3033</v>
      </c>
      <c r="H25" s="85" t="str">
        <f ca="1">IF(pajak[[#This Row],[//]]="","",INDEX(Table1[Toko],pajak[//]-offset))</f>
        <v>HARNOYO (BENDAN) PEKALONGAN</v>
      </c>
      <c r="I25" s="87">
        <f ca="1">IF(pajak[[#This Row],[//]]="","",SUMIF(Table1[h_id],pajak[[#This Row],[//]],Table1[h_hargasebelumdiskon]))</f>
        <v>2046400</v>
      </c>
      <c r="J25" s="87">
        <f ca="1">IF(pajak[[#This Row],[//]]="","",SUMIF(Table1[h_id],pajak[[#This Row],[//]],Table1[h_diskon]))</f>
        <v>286496.00000000006</v>
      </c>
      <c r="K25" s="87">
        <f ca="1">IF(pajak[[#This Row],[//]]="","",SUMIF(Table1[h_id],pajak[[#This Row],[//]],Table1[h_hargasetelahdiskon]))</f>
        <v>1759904</v>
      </c>
      <c r="L25" s="87">
        <f ca="1">IF(pajak[//]="","",pajak[[#This Row],[Sub Total]]/1.11*11%)</f>
        <v>174404.90090090089</v>
      </c>
      <c r="M25" s="87">
        <f ca="1">pajak[[#This Row],[Sub Total]]</f>
        <v>1759904</v>
      </c>
      <c r="N25" s="85" t="str">
        <f ca="1">IF(pajak[[#This Row],[//]]="","",INDEX(Table1[pembuat nota :],pajak[//]-offset))</f>
        <v>NOVI / CONDRO</v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 t="e">
        <f ca="1">IF(Table4[[#This Row],[AM]]&amp;" "&amp;Table4[[#This Row],[---]]=INDIRECT("pajak[@["&amp;Table4[#Headers]&amp;"]]"),MATCH(Table4[[#This Row],[---]],INDIRECT($3:$3),0))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A26" s="291">
        <v>64</v>
      </c>
      <c r="D26" s="85">
        <f t="shared" ca="1" si="0"/>
        <v>64</v>
      </c>
      <c r="E26" s="85" t="str">
        <f ca="1">IF(pajak[[#This Row],[//]]="","",INDEX(Table1[No. Invoice :],pajak[//]-offset))</f>
        <v>AM 23080022</v>
      </c>
      <c r="F26" s="88">
        <f ca="1">IF(pajak[[#This Row],[//]]="","",INDEX(Table1[Tgl Invoice :],pajak[//]-offset))</f>
        <v>45154</v>
      </c>
      <c r="G26" s="85" t="str">
        <f ca="1">IF(pajak[[#This Row],[//]]="","",INDEX(Table1[Kode Sales :],pajak[//]-offset))</f>
        <v>KO 3035</v>
      </c>
      <c r="H26" s="85" t="str">
        <f ca="1">IF(pajak[[#This Row],[//]]="","",INDEX(Table1[Toko],pajak[//]-offset))</f>
        <v>CV DWI JAYA YOGYAKARTA</v>
      </c>
      <c r="I26" s="87">
        <f ca="1">IF(pajak[[#This Row],[//]]="","",SUMIF(Table1[h_id],pajak[[#This Row],[//]],Table1[h_hargasebelumdiskon]))</f>
        <v>2589000</v>
      </c>
      <c r="J26" s="87">
        <f ca="1">IF(pajak[[#This Row],[//]]="","",SUMIF(Table1[h_id],pajak[[#This Row],[//]],Table1[h_diskon]))</f>
        <v>258900</v>
      </c>
      <c r="K26" s="87">
        <f ca="1">IF(pajak[[#This Row],[//]]="","",SUMIF(Table1[h_id],pajak[[#This Row],[//]],Table1[h_hargasetelahdiskon]))</f>
        <v>2330100</v>
      </c>
      <c r="L26" s="87">
        <f ca="1">IF(pajak[//]="","",pajak[[#This Row],[Sub Total]]/1.11*11%)</f>
        <v>230910.8108108108</v>
      </c>
      <c r="M26" s="87">
        <f ca="1">pajak[[#This Row],[Sub Total]]</f>
        <v>2330100</v>
      </c>
      <c r="N26" s="85" t="str">
        <f ca="1">IF(pajak[[#This Row],[//]]="","",INDEX(Table1[pembuat nota :],pajak[//]-offset))</f>
        <v>NOVI / CONDRO</v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 t="e">
        <f ca="1">IF(Table4[[#This Row],[AM]]&amp;" "&amp;Table4[[#This Row],[---]]=INDIRECT("pajak[@["&amp;Table4[#Headers]&amp;"]]"),MATCH(Table4[[#This Row],[---]],INDIRECT($3:$3),0))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A27" s="291">
        <v>69</v>
      </c>
      <c r="D27" s="85">
        <f t="shared" ca="1" si="0"/>
        <v>69</v>
      </c>
      <c r="E27" s="85" t="str">
        <f ca="1">IF(pajak[[#This Row],[//]]="","",INDEX(Table1[No. Invoice :],pajak[//]-offset))</f>
        <v>AM 23080023</v>
      </c>
      <c r="F27" s="88">
        <f ca="1">IF(pajak[[#This Row],[//]]="","",INDEX(Table1[Tgl Invoice :],pajak[//]-offset))</f>
        <v>45156</v>
      </c>
      <c r="G27" s="85" t="str">
        <f ca="1">IF(pajak[[#This Row],[//]]="","",INDEX(Table1[Kode Sales :],pajak[//]-offset))</f>
        <v>KO 3047</v>
      </c>
      <c r="H27" s="85" t="str">
        <f ca="1">IF(pajak[[#This Row],[//]]="","",INDEX(Table1[Toko],pajak[//]-offset))</f>
        <v>CV PELITA JAYA (ANUGERAH SEJAHTERA) PURWOKERTO</v>
      </c>
      <c r="I27" s="87">
        <f ca="1">IF(pajak[[#This Row],[//]]="","",SUMIF(Table1[h_id],pajak[[#This Row],[//]],Table1[h_hargasebelumdiskon]))</f>
        <v>9300000</v>
      </c>
      <c r="J27" s="87">
        <f ca="1">IF(pajak[[#This Row],[//]]="","",SUMIF(Table1[h_id],pajak[[#This Row],[//]],Table1[h_diskon]))</f>
        <v>1255500</v>
      </c>
      <c r="K27" s="87">
        <f ca="1">IF(pajak[[#This Row],[//]]="","",SUMIF(Table1[h_id],pajak[[#This Row],[//]],Table1[h_hargasetelahdiskon]))</f>
        <v>8044500</v>
      </c>
      <c r="L27" s="87">
        <f ca="1">IF(pajak[//]="","",pajak[[#This Row],[Sub Total]]/1.11*11%)</f>
        <v>797202.70270270272</v>
      </c>
      <c r="M27" s="87">
        <f ca="1">pajak[[#This Row],[Sub Total]]</f>
        <v>8044500</v>
      </c>
      <c r="N27" s="85" t="str">
        <f ca="1">IF(pajak[[#This Row],[//]]="","",INDEX(Table1[pembuat nota :],pajak[//]-offset))</f>
        <v>NOVI / CONDRO</v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e">
        <f ca="1">IF(Table4[[#This Row],[AM]]&amp;" "&amp;Table4[[#This Row],[---]]=INDIRECT("pajak[@["&amp;Table4[#Headers]&amp;"]]"),MATCH(Table4[[#This Row],[---]],INDIRECT($3:$3),0))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A28" s="291">
        <v>71</v>
      </c>
      <c r="D28" s="85">
        <f t="shared" ca="1" si="0"/>
        <v>71</v>
      </c>
      <c r="E28" s="85" t="str">
        <f ca="1">IF(pajak[[#This Row],[//]]="","",INDEX(Table1[No. Invoice :],pajak[//]-offset))</f>
        <v>AM 23080024</v>
      </c>
      <c r="F28" s="88">
        <f ca="1">IF(pajak[[#This Row],[//]]="","",INDEX(Table1[Tgl Invoice :],pajak[//]-offset))</f>
        <v>45156</v>
      </c>
      <c r="G28" s="85" t="str">
        <f ca="1">IF(pajak[[#This Row],[//]]="","",INDEX(Table1[Kode Sales :],pajak[//]-offset))</f>
        <v>G 3502</v>
      </c>
      <c r="H28" s="85" t="str">
        <f ca="1">IF(pajak[[#This Row],[//]]="","",INDEX(Table1[Toko],pajak[//]-offset))</f>
        <v>LILY JULIAWATI (REJO AGUNG) JOMBANG</v>
      </c>
      <c r="I28" s="87">
        <f ca="1">IF(pajak[[#This Row],[//]]="","",SUMIF(Table1[h_id],pajak[[#This Row],[//]],Table1[h_hargasebelumdiskon]))</f>
        <v>32928000</v>
      </c>
      <c r="J28" s="87">
        <f ca="1">IF(pajak[[#This Row],[//]]="","",SUMIF(Table1[h_id],pajak[[#This Row],[//]],Table1[h_diskon]))</f>
        <v>4116000</v>
      </c>
      <c r="K28" s="87">
        <f ca="1">IF(pajak[[#This Row],[//]]="","",SUMIF(Table1[h_id],pajak[[#This Row],[//]],Table1[h_hargasetelahdiskon]))</f>
        <v>28812000</v>
      </c>
      <c r="L28" s="87">
        <f ca="1">IF(pajak[//]="","",pajak[[#This Row],[Sub Total]]/1.11*11%)</f>
        <v>2855243.2432432426</v>
      </c>
      <c r="M28" s="87">
        <f ca="1">pajak[[#This Row],[Sub Total]]</f>
        <v>28812000</v>
      </c>
      <c r="N28" s="85" t="str">
        <f ca="1">IF(pajak[[#This Row],[//]]="","",INDEX(Table1[pembuat nota :],pajak[//]-offset))</f>
        <v>NOVI / CONDRO</v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e">
        <f ca="1">IF(Table4[[#This Row],[AM]]&amp;" "&amp;Table4[[#This Row],[---]]=INDIRECT("pajak[@["&amp;Table4[#Headers]&amp;"]]"),MATCH(Table4[[#This Row],[---]],INDIRECT($3:$3),0))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A29" s="291">
        <v>84</v>
      </c>
      <c r="D29" s="85">
        <f t="shared" ca="1" si="0"/>
        <v>84</v>
      </c>
      <c r="E29" s="85" t="str">
        <f ca="1">IF(pajak[[#This Row],[//]]="","",INDEX(Table1[No. Invoice :],pajak[//]-offset))</f>
        <v>AM 23080025</v>
      </c>
      <c r="F29" s="88">
        <f ca="1">IF(pajak[[#This Row],[//]]="","",INDEX(Table1[Tgl Invoice :],pajak[//]-offset))</f>
        <v>45160</v>
      </c>
      <c r="G29" s="85" t="str">
        <f ca="1">IF(pajak[[#This Row],[//]]="","",INDEX(Table1[Kode Sales :],pajak[//]-offset))</f>
        <v>KO 1585</v>
      </c>
      <c r="H29" s="85" t="str">
        <f ca="1">IF(pajak[[#This Row],[//]]="","",INDEX(Table1[Toko],pajak[//]-offset))</f>
        <v>CV RAINBOW NUSANTARA SIDOARJO</v>
      </c>
      <c r="I29" s="87">
        <f ca="1">IF(pajak[[#This Row],[//]]="","",SUMIF(Table1[h_id],pajak[[#This Row],[//]],Table1[h_hargasebelumdiskon]))</f>
        <v>3368100</v>
      </c>
      <c r="J29" s="87">
        <f ca="1">IF(pajak[[#This Row],[//]]="","",SUMIF(Table1[h_id],pajak[[#This Row],[//]],Table1[h_diskon]))</f>
        <v>488374.5</v>
      </c>
      <c r="K29" s="87">
        <f ca="1">IF(pajak[[#This Row],[//]]="","",SUMIF(Table1[h_id],pajak[[#This Row],[//]],Table1[h_hargasetelahdiskon]))</f>
        <v>2879725.5</v>
      </c>
      <c r="L29" s="87">
        <f ca="1">IF(pajak[//]="","",pajak[[#This Row],[Sub Total]]/1.11*11%)</f>
        <v>285378.20270270266</v>
      </c>
      <c r="M29" s="87">
        <f ca="1">pajak[[#This Row],[Sub Total]]</f>
        <v>2879725.5</v>
      </c>
      <c r="N29" s="85" t="str">
        <f ca="1">IF(pajak[[#This Row],[//]]="","",INDEX(Table1[pembuat nota :],pajak[//]-offset))</f>
        <v>NOVI / YO</v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e">
        <f ca="1">IF(Table4[[#This Row],[AM]]&amp;" "&amp;Table4[[#This Row],[---]]=INDIRECT("pajak[@["&amp;Table4[#Headers]&amp;"]]"),MATCH(Table4[[#This Row],[---]],INDIRECT($3:$3),0))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A30" s="291">
        <v>90</v>
      </c>
      <c r="D30" s="85">
        <f t="shared" ca="1" si="0"/>
        <v>90</v>
      </c>
      <c r="E30" s="85" t="str">
        <f ca="1">IF(pajak[[#This Row],[//]]="","",INDEX(Table1[No. Invoice :],pajak[//]-offset))</f>
        <v>AM 23080026</v>
      </c>
      <c r="F30" s="88">
        <f ca="1">IF(pajak[[#This Row],[//]]="","",INDEX(Table1[Tgl Invoice :],pajak[//]-offset))</f>
        <v>45161</v>
      </c>
      <c r="G30" s="85" t="str">
        <f ca="1">IF(pajak[[#This Row],[//]]="","",INDEX(Table1[Kode Sales :],pajak[//]-offset))</f>
        <v>KO 3516</v>
      </c>
      <c r="H30" s="85" t="str">
        <f ca="1">IF(pajak[[#This Row],[//]]="","",INDEX(Table1[Toko],pajak[//]-offset))</f>
        <v>HARNOYO (BENDAN) PEKALONGAN</v>
      </c>
      <c r="I30" s="87">
        <f ca="1">IF(pajak[[#This Row],[//]]="","",SUMIF(Table1[h_id],pajak[[#This Row],[//]],Table1[h_hargasebelumdiskon]))</f>
        <v>1700000</v>
      </c>
      <c r="J30" s="87">
        <f ca="1">IF(pajak[[#This Row],[//]]="","",SUMIF(Table1[h_id],pajak[[#This Row],[//]],Table1[h_diskon]))</f>
        <v>238000.00000000003</v>
      </c>
      <c r="K30" s="87">
        <f ca="1">IF(pajak[[#This Row],[//]]="","",SUMIF(Table1[h_id],pajak[[#This Row],[//]],Table1[h_hargasetelahdiskon]))</f>
        <v>1462000</v>
      </c>
      <c r="L30" s="87">
        <f ca="1">IF(pajak[//]="","",pajak[[#This Row],[Sub Total]]/1.11*11%)</f>
        <v>144882.88288288287</v>
      </c>
      <c r="M30" s="87">
        <f ca="1">pajak[[#This Row],[Sub Total]]</f>
        <v>1462000</v>
      </c>
      <c r="N30" s="85" t="str">
        <f ca="1">IF(pajak[[#This Row],[//]]="","",INDEX(Table1[pembuat nota :],pajak[//]-offset))</f>
        <v>LENA / YO</v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e">
        <f ca="1">IF(Table4[[#This Row],[AM]]&amp;" "&amp;Table4[[#This Row],[---]]=INDIRECT("pajak[@["&amp;Table4[#Headers]&amp;"]]"),MATCH(Table4[[#This Row],[---]],INDIRECT($3:$3),0))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A31" s="291">
        <v>92</v>
      </c>
      <c r="D31" s="85">
        <f t="shared" ca="1" si="0"/>
        <v>92</v>
      </c>
      <c r="E31" s="85" t="str">
        <f ca="1">IF(pajak[[#This Row],[//]]="","",INDEX(Table1[No. Invoice :],pajak[//]-offset))</f>
        <v>AM 23080027</v>
      </c>
      <c r="F31" s="88">
        <f ca="1">IF(pajak[[#This Row],[//]]="","",INDEX(Table1[Tgl Invoice :],pajak[//]-offset))</f>
        <v>45161</v>
      </c>
      <c r="G31" s="85" t="str">
        <f ca="1">IF(pajak[[#This Row],[//]]="","",INDEX(Table1[Kode Sales :],pajak[//]-offset))</f>
        <v>KO 3520</v>
      </c>
      <c r="H31" s="85" t="str">
        <f ca="1">IF(pajak[[#This Row],[//]]="","",INDEX(Table1[Toko],pajak[//]-offset))</f>
        <v>CV PELITA JAYA (ANUGERAH SEJAHTERA) PURWOKERTO</v>
      </c>
      <c r="I31" s="87">
        <f ca="1">IF(pajak[[#This Row],[//]]="","",SUMIF(Table1[h_id],pajak[[#This Row],[//]],Table1[h_hargasebelumdiskon]))</f>
        <v>6782400</v>
      </c>
      <c r="J31" s="87">
        <f ca="1">IF(pajak[[#This Row],[//]]="","",SUMIF(Table1[h_id],pajak[[#This Row],[//]],Table1[h_diskon]))</f>
        <v>915624.00000000012</v>
      </c>
      <c r="K31" s="87">
        <f ca="1">IF(pajak[[#This Row],[//]]="","",SUMIF(Table1[h_id],pajak[[#This Row],[//]],Table1[h_hargasetelahdiskon]))</f>
        <v>5866776</v>
      </c>
      <c r="L31" s="87">
        <f ca="1">IF(pajak[//]="","",pajak[[#This Row],[Sub Total]]/1.11*11%)</f>
        <v>581392.21621621621</v>
      </c>
      <c r="M31" s="87">
        <f ca="1">pajak[[#This Row],[Sub Total]]</f>
        <v>5866776</v>
      </c>
      <c r="N31" s="85" t="str">
        <f ca="1">IF(pajak[[#This Row],[//]]="","",INDEX(Table1[pembuat nota :],pajak[//]-offset))</f>
        <v>LENA / YO</v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e">
        <f ca="1">IF(Table4[[#This Row],[AM]]&amp;" "&amp;Table4[[#This Row],[---]]=INDIRECT("pajak[@["&amp;Table4[#Headers]&amp;"]]"),MATCH(Table4[[#This Row],[---]],INDIRECT($3:$3),0))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A32" s="291">
        <v>94</v>
      </c>
      <c r="D32" s="85">
        <f t="shared" ca="1" si="0"/>
        <v>94</v>
      </c>
      <c r="E32" s="85" t="str">
        <f ca="1">IF(pajak[[#This Row],[//]]="","",INDEX(Table1[No. Invoice :],pajak[//]-offset))</f>
        <v>AM 23080028</v>
      </c>
      <c r="F32" s="88">
        <f ca="1">IF(pajak[[#This Row],[//]]="","",INDEX(Table1[Tgl Invoice :],pajak[//]-offset))</f>
        <v>45166</v>
      </c>
      <c r="G32" s="85" t="str">
        <f ca="1">IF(pajak[[#This Row],[//]]="","",INDEX(Table1[Kode Sales :],pajak[//]-offset))</f>
        <v>G 3589</v>
      </c>
      <c r="H32" s="85" t="str">
        <f ca="1">IF(pajak[[#This Row],[//]]="","",INDEX(Table1[Toko],pajak[//]-offset))</f>
        <v>LILY JULIAWATI (REJO AGUNG) JOMBANG</v>
      </c>
      <c r="I32" s="87">
        <f ca="1">IF(pajak[[#This Row],[//]]="","",SUMIF(Table1[h_id],pajak[[#This Row],[//]],Table1[h_hargasebelumdiskon]))</f>
        <v>13336000</v>
      </c>
      <c r="J32" s="87">
        <f ca="1">IF(pajak[[#This Row],[//]]="","",SUMIF(Table1[h_id],pajak[[#This Row],[//]],Table1[h_diskon]))</f>
        <v>1667000</v>
      </c>
      <c r="K32" s="87">
        <f ca="1">IF(pajak[[#This Row],[//]]="","",SUMIF(Table1[h_id],pajak[[#This Row],[//]],Table1[h_hargasetelahdiskon]))</f>
        <v>11669000</v>
      </c>
      <c r="L32" s="87">
        <f ca="1">IF(pajak[//]="","",pajak[[#This Row],[Sub Total]]/1.11*11%)</f>
        <v>1156387.3873873875</v>
      </c>
      <c r="M32" s="87">
        <f ca="1">pajak[[#This Row],[Sub Total]]</f>
        <v>11669000</v>
      </c>
      <c r="N32" s="85" t="str">
        <f ca="1">IF(pajak[[#This Row],[//]]="","",INDEX(Table1[pembuat nota :],pajak[//]-offset))</f>
        <v>NOVI / YO</v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e">
        <f ca="1">IF(Table4[[#This Row],[AM]]&amp;" "&amp;Table4[[#This Row],[---]]=INDIRECT("pajak[@["&amp;Table4[#Headers]&amp;"]]"),MATCH(Table4[[#This Row],[---]],INDIRECT($3:$3),0))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1:24" x14ac:dyDescent="0.25">
      <c r="A33" s="291">
        <v>97</v>
      </c>
      <c r="D33" s="85">
        <f t="shared" ca="1" si="0"/>
        <v>97</v>
      </c>
      <c r="E33" s="85" t="str">
        <f ca="1">IF(pajak[[#This Row],[//]]="","",INDEX(Table1[No. Invoice :],pajak[//]-offset))</f>
        <v>AM 23080029</v>
      </c>
      <c r="F33" s="88">
        <f ca="1">IF(pajak[[#This Row],[//]]="","",INDEX(Table1[Tgl Invoice :],pajak[//]-offset))</f>
        <v>45162</v>
      </c>
      <c r="G33" s="85" t="str">
        <f ca="1">IF(pajak[[#This Row],[//]]="","",INDEX(Table1[Kode Sales :],pajak[//]-offset))</f>
        <v>KO 3572</v>
      </c>
      <c r="H33" s="85" t="str">
        <f ca="1">IF(pajak[[#This Row],[//]]="","",INDEX(Table1[Toko],pajak[//]-offset))</f>
        <v>CV DWI JAYA YOGYAKARTA</v>
      </c>
      <c r="I33" s="87">
        <f ca="1">IF(pajak[[#This Row],[//]]="","",SUMIF(Table1[h_id],pajak[[#This Row],[//]],Table1[h_hargasebelumdiskon]))</f>
        <v>4002600</v>
      </c>
      <c r="J33" s="87">
        <f ca="1">IF(pajak[[#This Row],[//]]="","",SUMIF(Table1[h_id],pajak[[#This Row],[//]],Table1[h_diskon]))</f>
        <v>400260</v>
      </c>
      <c r="K33" s="87">
        <f ca="1">IF(pajak[[#This Row],[//]]="","",SUMIF(Table1[h_id],pajak[[#This Row],[//]],Table1[h_hargasetelahdiskon]))</f>
        <v>3602340</v>
      </c>
      <c r="L33" s="87">
        <f ca="1">IF(pajak[//]="","",pajak[[#This Row],[Sub Total]]/1.11*11%)</f>
        <v>356988.64864864864</v>
      </c>
      <c r="M33" s="87">
        <f ca="1">pajak[[#This Row],[Sub Total]]</f>
        <v>3602340</v>
      </c>
      <c r="N33" s="85" t="str">
        <f ca="1">IF(pajak[[#This Row],[//]]="","",INDEX(Table1[pembuat nota :],pajak[//]-offset))</f>
        <v>NOVI / CONDRO</v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e">
        <f ca="1">IF(Table4[[#This Row],[AM]]&amp;" "&amp;Table4[[#This Row],[---]]=INDIRECT("pajak[@["&amp;Table4[#Headers]&amp;"]]"),MATCH(Table4[[#This Row],[---]],INDIRECT($3:$3),0))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1:24" x14ac:dyDescent="0.25">
      <c r="A34" s="291">
        <v>106</v>
      </c>
      <c r="D34" s="85">
        <f t="shared" ca="1" si="0"/>
        <v>106</v>
      </c>
      <c r="E34" s="85" t="str">
        <f ca="1">IF(pajak[[#This Row],[//]]="","",INDEX(Table1[No. Invoice :],pajak[//]-offset))</f>
        <v>AM 23080030</v>
      </c>
      <c r="F34" s="88">
        <f ca="1">IF(pajak[[#This Row],[//]]="","",INDEX(Table1[Tgl Invoice :],pajak[//]-offset))</f>
        <v>45166</v>
      </c>
      <c r="G34" s="85" t="str">
        <f ca="1">IF(pajak[[#This Row],[//]]="","",INDEX(Table1[Kode Sales :],pajak[//]-offset))</f>
        <v>KO 3591</v>
      </c>
      <c r="H34" s="85" t="str">
        <f ca="1">IF(pajak[[#This Row],[//]]="","",INDEX(Table1[Toko],pajak[//]-offset))</f>
        <v>CV PELITA JAYA (ANUGERAH SEJAHTERA) PURWOKERTO</v>
      </c>
      <c r="I34" s="87">
        <f ca="1">IF(pajak[[#This Row],[//]]="","",SUMIF(Table1[h_id],pajak[[#This Row],[//]],Table1[h_hargasebelumdiskon]))</f>
        <v>6957600</v>
      </c>
      <c r="J34" s="87">
        <f ca="1">IF(pajak[[#This Row],[//]]="","",SUMIF(Table1[h_id],pajak[[#This Row],[//]],Table1[h_diskon]))</f>
        <v>939276</v>
      </c>
      <c r="K34" s="87">
        <f ca="1">IF(pajak[[#This Row],[//]]="","",SUMIF(Table1[h_id],pajak[[#This Row],[//]],Table1[h_hargasetelahdiskon]))</f>
        <v>6018324</v>
      </c>
      <c r="L34" s="87">
        <f ca="1">IF(pajak[//]="","",pajak[[#This Row],[Sub Total]]/1.11*11%)</f>
        <v>596410.48648648639</v>
      </c>
      <c r="M34" s="87">
        <f ca="1">pajak[[#This Row],[Sub Total]]</f>
        <v>6018324</v>
      </c>
      <c r="N34" s="85" t="str">
        <f ca="1">IF(pajak[[#This Row],[//]]="","",INDEX(Table1[pembuat nota :],pajak[//]-offset))</f>
        <v>NOVI / YO</v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e">
        <f ca="1">IF(Table4[[#This Row],[AM]]&amp;" "&amp;Table4[[#This Row],[---]]=INDIRECT("pajak[@["&amp;Table4[#Headers]&amp;"]]"),MATCH(Table4[[#This Row],[---]],INDIRECT($3:$3),0))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1:24" x14ac:dyDescent="0.25">
      <c r="A35" s="291">
        <v>109</v>
      </c>
      <c r="D35" s="85">
        <f t="shared" ca="1" si="0"/>
        <v>109</v>
      </c>
      <c r="E35" s="85" t="str">
        <f ca="1">IF(pajak[[#This Row],[//]]="","",INDEX(Table1[No. Invoice :],pajak[//]-offset))</f>
        <v>AM 23080031</v>
      </c>
      <c r="F35" s="88">
        <f ca="1">IF(pajak[[#This Row],[//]]="","",INDEX(Table1[Tgl Invoice :],pajak[//]-offset))</f>
        <v>45167</v>
      </c>
      <c r="G35" s="85" t="str">
        <f ca="1">IF(pajak[[#This Row],[//]]="","",INDEX(Table1[Kode Sales :],pajak[//]-offset))</f>
        <v>KO 3599</v>
      </c>
      <c r="H35" s="85" t="str">
        <f ca="1">IF(pajak[[#This Row],[//]]="","",INDEX(Table1[Toko],pajak[//]-offset))</f>
        <v>CV SINAR CAHAYA NIRMALA BREBES</v>
      </c>
      <c r="I35" s="87">
        <f ca="1">IF(pajak[[#This Row],[//]]="","",SUMIF(Table1[h_id],pajak[[#This Row],[//]],Table1[h_hargasebelumdiskon]))</f>
        <v>1833700</v>
      </c>
      <c r="J35" s="87">
        <f ca="1">IF(pajak[[#This Row],[//]]="","",SUMIF(Table1[h_id],pajak[[#This Row],[//]],Table1[h_diskon]))</f>
        <v>143370</v>
      </c>
      <c r="K35" s="87">
        <f ca="1">IF(pajak[[#This Row],[//]]="","",SUMIF(Table1[h_id],pajak[[#This Row],[//]],Table1[h_hargasetelahdiskon]))</f>
        <v>1690330</v>
      </c>
      <c r="L35" s="87">
        <f ca="1">IF(pajak[//]="","",pajak[[#This Row],[Sub Total]]/1.11*11%)</f>
        <v>167510.18018018015</v>
      </c>
      <c r="M35" s="87">
        <f ca="1">pajak[[#This Row],[Sub Total]]</f>
        <v>1690330</v>
      </c>
      <c r="N35" s="85" t="str">
        <f ca="1">IF(pajak[[#This Row],[//]]="","",INDEX(Table1[pembuat nota :],pajak[//]-offset))</f>
        <v>NOVI / CONDRO</v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e">
        <f ca="1">IF(Table4[[#This Row],[AM]]&amp;" "&amp;Table4[[#This Row],[---]]=INDIRECT("pajak[@["&amp;Table4[#Headers]&amp;"]]"),MATCH(Table4[[#This Row],[---]],INDIRECT($3:$3),0))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1:24" x14ac:dyDescent="0.25">
      <c r="A36" s="291">
        <v>125</v>
      </c>
      <c r="D36" s="85">
        <f t="shared" ca="1" si="0"/>
        <v>125</v>
      </c>
      <c r="E36" s="85" t="str">
        <f ca="1">IF(pajak[[#This Row],[//]]="","",INDEX(Table1[No. Invoice :],pajak[//]-offset))</f>
        <v>AM 23080032</v>
      </c>
      <c r="F36" s="88">
        <f ca="1">IF(pajak[[#This Row],[//]]="","",INDEX(Table1[Tgl Invoice :],pajak[//]-offset))</f>
        <v>45169</v>
      </c>
      <c r="G36" s="85" t="str">
        <f ca="1">IF(pajak[[#This Row],[//]]="","",INDEX(Table1[Kode Sales :],pajak[//]-offset))</f>
        <v>KO 3605</v>
      </c>
      <c r="H36" s="85" t="str">
        <f ca="1">IF(pajak[[#This Row],[//]]="","",INDEX(Table1[Toko],pajak[//]-offset))</f>
        <v>HARNOYO (BENDAN) PEKALONGAN</v>
      </c>
      <c r="I36" s="87">
        <f ca="1">IF(pajak[[#This Row],[//]]="","",SUMIF(Table1[h_id],pajak[[#This Row],[//]],Table1[h_hargasebelumdiskon]))</f>
        <v>2952000</v>
      </c>
      <c r="J36" s="87">
        <f ca="1">IF(pajak[[#This Row],[//]]="","",SUMIF(Table1[h_id],pajak[[#This Row],[//]],Table1[h_diskon]))</f>
        <v>413280.00000000006</v>
      </c>
      <c r="K36" s="87">
        <f ca="1">IF(pajak[[#This Row],[//]]="","",SUMIF(Table1[h_id],pajak[[#This Row],[//]],Table1[h_hargasetelahdiskon]))</f>
        <v>2538720</v>
      </c>
      <c r="L36" s="87">
        <f ca="1">IF(pajak[//]="","",pajak[[#This Row],[Sub Total]]/1.11*11%)</f>
        <v>251584.86486486488</v>
      </c>
      <c r="M36" s="87">
        <f ca="1">pajak[[#This Row],[Sub Total]]</f>
        <v>2538720</v>
      </c>
      <c r="N36" s="85" t="str">
        <f ca="1">IF(pajak[[#This Row],[//]]="","",INDEX(Table1[pembuat nota :],pajak[//]-offset))</f>
        <v>NOVI / CONDRO</v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e">
        <f ca="1">IF(Table4[[#This Row],[AM]]&amp;" "&amp;Table4[[#This Row],[---]]=INDIRECT("pajak[@["&amp;Table4[#Headers]&amp;"]]"),MATCH(Table4[[#This Row],[---]],INDIRECT($3:$3),0))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1:24" x14ac:dyDescent="0.25">
      <c r="A37" s="291">
        <v>127</v>
      </c>
      <c r="D37" s="85">
        <f t="shared" ref="D37:D57" ca="1" si="2">IF(ROW()-(COUNTBLANK($D$1:$D$3)+1)&lt;=jNota,A37,"")</f>
        <v>127</v>
      </c>
      <c r="E37" s="85" t="str">
        <f ca="1">IF(pajak[[#This Row],[//]]="","",INDEX(Table1[No. Invoice :],pajak[//]-offset))</f>
        <v>AM 23080033</v>
      </c>
      <c r="F37" s="88">
        <f ca="1">IF(pajak[[#This Row],[//]]="","",INDEX(Table1[Tgl Invoice :],pajak[//]-offset))</f>
        <v>45169</v>
      </c>
      <c r="G37" s="85" t="str">
        <f ca="1">IF(pajak[[#This Row],[//]]="","",INDEX(Table1[Kode Sales :],pajak[//]-offset))</f>
        <v>KO 3615</v>
      </c>
      <c r="H37" s="85" t="str">
        <f ca="1">IF(pajak[[#This Row],[//]]="","",INDEX(Table1[Toko],pajak[//]-offset))</f>
        <v>CV PELITA JAYA (ANUGERAH SEJAHTERA) PURWOKERTO</v>
      </c>
      <c r="I37" s="87">
        <f ca="1">IF(pajak[[#This Row],[//]]="","",SUMIF(Table1[h_id],pajak[[#This Row],[//]],Table1[h_hargasebelumdiskon]))</f>
        <v>22003200</v>
      </c>
      <c r="J37" s="87">
        <f ca="1">IF(pajak[[#This Row],[//]]="","",SUMIF(Table1[h_id],pajak[[#This Row],[//]],Table1[h_diskon]))</f>
        <v>2970432</v>
      </c>
      <c r="K37" s="87">
        <f ca="1">IF(pajak[[#This Row],[//]]="","",SUMIF(Table1[h_id],pajak[[#This Row],[//]],Table1[h_hargasetelahdiskon]))</f>
        <v>19032768</v>
      </c>
      <c r="L37" s="87">
        <f ca="1">IF(pajak[//]="","",pajak[[#This Row],[Sub Total]]/1.11*11%)</f>
        <v>1886130.1621621621</v>
      </c>
      <c r="M37" s="87">
        <f ca="1">pajak[[#This Row],[Sub Total]]</f>
        <v>19032768</v>
      </c>
      <c r="N37" s="85" t="str">
        <f ca="1">IF(pajak[[#This Row],[//]]="","",INDEX(Table1[pembuat nota :],pajak[//]-offset))</f>
        <v>NOVI / CONDRO</v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e">
        <f ca="1">IF(Table4[[#This Row],[AM]]&amp;" "&amp;Table4[[#This Row],[---]]=INDIRECT("pajak[@["&amp;Table4[#Headers]&amp;"]]"),MATCH(Table4[[#This Row],[---]],INDIRECT($3:$3),0))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1:24" x14ac:dyDescent="0.25">
      <c r="A38" s="291"/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1:24" x14ac:dyDescent="0.25">
      <c r="A39" s="291" t="s">
        <v>55</v>
      </c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1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1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1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1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1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1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1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1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1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51</v>
      </c>
      <c r="F58"/>
      <c r="I58" s="87">
        <f ca="1">SUBTOTAL(109,pajak[Total])</f>
        <v>180189400</v>
      </c>
      <c r="J58" s="87">
        <f ca="1">SUBTOTAL(109,pajak[Diskon])</f>
        <v>21841195.5</v>
      </c>
      <c r="K58" s="87">
        <f ca="1">SUBTOTAL(109,pajak[Sub Total])</f>
        <v>158348204.5</v>
      </c>
      <c r="L58" s="87">
        <f ca="1">SUBTOTAL(109,pajak[PPN 11%])</f>
        <v>15692164.409909911</v>
      </c>
      <c r="M58" s="87">
        <f ca="1">SUBTOTAL(109,pajak[Total Invoice])</f>
        <v>158348204.5</v>
      </c>
      <c r="N58"/>
      <c r="O58"/>
      <c r="P58"/>
    </row>
  </sheetData>
  <conditionalFormatting sqref="G59:G1048576 G3:G57">
    <cfRule type="duplicateValues" dxfId="30" priority="9"/>
  </conditionalFormatting>
  <conditionalFormatting sqref="T1:X2 T4:X1048576">
    <cfRule type="containsText" dxfId="29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F20" sqref="F20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127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ANUGERAH</v>
      </c>
      <c r="F1" t="s">
        <v>46</v>
      </c>
      <c r="G1">
        <f ca="1">INDEX(Table1[h_jumlahbarang],newestIdRow-offset)</f>
        <v>3</v>
      </c>
      <c r="I1" s="305" t="s">
        <v>74</v>
      </c>
      <c r="J1" s="305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103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23080033</v>
      </c>
      <c r="G3" s="10" t="s">
        <v>16</v>
      </c>
      <c r="H3" s="312" t="str">
        <f ca="1">INDEX(Table2[b],MATCH(kToko,Table2[a],0))</f>
        <v>CV PELITA JAYA</v>
      </c>
      <c r="I3" s="312"/>
      <c r="J3" s="312"/>
      <c r="K3" s="313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6" t="s">
        <v>18</v>
      </c>
      <c r="G4" s="16"/>
      <c r="H4" s="314"/>
      <c r="I4" s="314"/>
      <c r="J4" s="314"/>
      <c r="K4" s="315"/>
      <c r="L4" s="11"/>
    </row>
    <row r="5" spans="1:12" s="9" customFormat="1" ht="16.5" customHeight="1" x14ac:dyDescent="0.3">
      <c r="A5" s="6"/>
      <c r="B5" s="1" t="s">
        <v>2</v>
      </c>
      <c r="C5" s="7"/>
      <c r="D5" s="317">
        <f ca="1">INDEX(Table1[Tgl Invoice :],newestIdRow-offset)</f>
        <v>45169</v>
      </c>
      <c r="E5" s="318"/>
      <c r="F5" s="316"/>
      <c r="G5" s="17"/>
      <c r="H5" s="319" t="str">
        <f ca="1">IF(INDEX(Table2[c],MATCH(kToko,Table2[a],0))="","",INDEX(Table2[c],MATCH(kToko,Table2[a],0)))</f>
        <v>(ANUGERAH SEJAHTERA)</v>
      </c>
      <c r="I5" s="319"/>
      <c r="J5" s="319"/>
      <c r="K5" s="320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6"/>
      <c r="G6" s="17"/>
      <c r="H6" s="321" t="str">
        <f ca="1">INDEX(Table2[d],MATCH(kToko,Table2[a],0))</f>
        <v>PURWOKERTO</v>
      </c>
      <c r="I6" s="321"/>
      <c r="J6" s="321"/>
      <c r="K6" s="322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3615</v>
      </c>
      <c r="E7" s="8"/>
      <c r="F7" s="20"/>
      <c r="G7" s="21"/>
      <c r="H7" s="323"/>
      <c r="I7" s="323"/>
      <c r="J7" s="323"/>
      <c r="K7" s="324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36</v>
      </c>
      <c r="C11" s="45" t="str">
        <f ca="1">IF(A11&gt;jumlahBarang,"",UPPER((INDEX(Table1[Unit],newestIdRow-offset+A11-1))))</f>
        <v>BOX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LEM STICK KENKO 15 GR (TANGGUNG) isi 20 pc</v>
      </c>
      <c r="F11" s="48"/>
      <c r="G11" s="49"/>
      <c r="H11" s="50">
        <f ca="1">IF(A11&gt;jumlahBarang,"",INDEX(Table1[Unit Price],newestIdRow-offset+A11-1))</f>
        <v>72000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2242080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48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2</v>
      </c>
      <c r="E12" s="47" t="str">
        <f ca="1">IF(A12&gt;jumlahBarang,"",INDEX(Table1[Item Description],newestIdRow-offset+A12-1))</f>
        <v>PENSIL WARNA JOYKO CP-S12 MINI (PENDEK)</v>
      </c>
      <c r="F12" s="48"/>
      <c r="G12" s="49"/>
      <c r="H12" s="50">
        <f ca="1">IF(A12&gt;jumlahBarang,"",INDEX(Table1[Unit Price],newestIdRow-offset+A12-1))</f>
        <v>80400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3338208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240</v>
      </c>
      <c r="C13" s="45" t="str">
        <f ca="1">IF(A13&gt;jumlahBarang,"",UPPER((INDEX(Table1[Unit],newestIdRow-offset+A13-1))))</f>
        <v>LSN</v>
      </c>
      <c r="D13" s="46">
        <f ca="1">IF(A13&gt;jumlahBarang,"",IF(INDEX(Table1[C],newestIdRow-offset+A13-1)="","",INDEX(Table1[C],newestIdRow-offset+A13-1)))</f>
        <v>4</v>
      </c>
      <c r="E13" s="47" t="str">
        <f ca="1">IF(A13&gt;jumlahBarang,"",INDEX(Table1[Item Description],newestIdRow-offset+A13-1))</f>
        <v>ISI CUTTER 18 MM KENKO L-150 (BESAR)</v>
      </c>
      <c r="F13" s="48"/>
      <c r="G13" s="49"/>
      <c r="H13" s="50">
        <f ca="1">IF(A13&gt;jumlahBarang,"",INDEX(Table1[Unit Price],newestIdRow-offset+A13-1))</f>
        <v>64800</v>
      </c>
      <c r="I13" s="51">
        <f ca="1">IF(A13&gt;jumlahBarang,"",IF(INDEX(Table1[Disc 1],newestIdRow-offset+A13-1)="","",INDEX(Table1[Disc 1],newestIdRow-offset+A13-1)))</f>
        <v>0.13500000000000001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13452480</v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1"/>
      <c r="K28" s="311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8">
        <f ca="1">INDEX(pajak[Sub Total],MATCH(newestIdRow,pajak[//],0))</f>
        <v>19032768</v>
      </c>
      <c r="K29" s="309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0"/>
      <c r="K30" s="310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1"/>
      <c r="K32" s="311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8">
        <f ca="1">INDEX(pajak[PPN 11%],MATCH(newestIdRow,pajak[//],0))</f>
        <v>1886130.1621621621</v>
      </c>
      <c r="K33" s="309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1"/>
      <c r="K34" s="311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19032768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06" t="str">
        <f ca="1">INDEX(pajak[pembuat nota],MATCH(newestIdRow,pajak[//],0))</f>
        <v>NOVI / CONDRO</v>
      </c>
      <c r="K37" s="307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06" t="str">
        <f ca="1">INDEX(pajak[edited],MATCH(newestIdRow,pajak[//],0))</f>
        <v/>
      </c>
      <c r="K38" s="307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23080033</v>
      </c>
      <c r="F41" s="195"/>
      <c r="G41" s="196" t="s">
        <v>16</v>
      </c>
      <c r="H41" s="325" t="str">
        <f ca="1">H3</f>
        <v>CV PELITA JAYA</v>
      </c>
      <c r="I41" s="325"/>
      <c r="J41" s="325"/>
      <c r="K41" s="326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29" t="s">
        <v>18</v>
      </c>
      <c r="G42" s="202"/>
      <c r="H42" s="327"/>
      <c r="I42" s="327"/>
      <c r="J42" s="327"/>
      <c r="K42" s="328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0">
        <f ca="1">D5</f>
        <v>45169</v>
      </c>
      <c r="E43" s="331"/>
      <c r="F43" s="329"/>
      <c r="G43" s="203"/>
      <c r="H43" s="332" t="str">
        <f ca="1">H5</f>
        <v>(ANUGERAH SEJAHTERA)</v>
      </c>
      <c r="I43" s="332"/>
      <c r="J43" s="332"/>
      <c r="K43" s="333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29"/>
      <c r="G44" s="203"/>
      <c r="H44" s="334" t="str">
        <f ca="1">H6</f>
        <v>PURWOKERTO</v>
      </c>
      <c r="I44" s="334"/>
      <c r="J44" s="334"/>
      <c r="K44" s="335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3615</v>
      </c>
      <c r="E45" s="194"/>
      <c r="F45" s="207"/>
      <c r="G45" s="208"/>
      <c r="H45" s="336"/>
      <c r="I45" s="336"/>
      <c r="J45" s="336"/>
      <c r="K45" s="337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36</v>
      </c>
      <c r="C49" s="234" t="str">
        <f t="shared" ca="1" si="0"/>
        <v>BOX</v>
      </c>
      <c r="D49" s="235">
        <f t="shared" ca="1" si="0"/>
        <v>1</v>
      </c>
      <c r="E49" s="236" t="str">
        <f t="shared" ca="1" si="0"/>
        <v>LEM STICK KENKO 15 GR (TANGGUNG) isi 20 pc</v>
      </c>
      <c r="F49" s="237"/>
      <c r="G49" s="238"/>
      <c r="H49" s="239">
        <f t="shared" ref="H49:K64" ca="1" si="1">H11</f>
        <v>72000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2242080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48</v>
      </c>
      <c r="C50" s="234" t="str">
        <f t="shared" ca="1" si="0"/>
        <v>LSN</v>
      </c>
      <c r="D50" s="235">
        <f t="shared" ca="1" si="0"/>
        <v>2</v>
      </c>
      <c r="E50" s="236" t="str">
        <f t="shared" ca="1" si="0"/>
        <v>PENSIL WARNA JOYKO CP-S12 MINI (PENDEK)</v>
      </c>
      <c r="F50" s="237"/>
      <c r="G50" s="238"/>
      <c r="H50" s="239">
        <f t="shared" ca="1" si="1"/>
        <v>80400</v>
      </c>
      <c r="I50" s="240">
        <f t="shared" ca="1" si="1"/>
        <v>0.13500000000000001</v>
      </c>
      <c r="J50" s="240" t="str">
        <f t="shared" ca="1" si="1"/>
        <v/>
      </c>
      <c r="K50" s="241">
        <f t="shared" ca="1" si="1"/>
        <v>3338208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240</v>
      </c>
      <c r="C51" s="234" t="str">
        <f t="shared" ca="1" si="0"/>
        <v>LSN</v>
      </c>
      <c r="D51" s="235">
        <f t="shared" ca="1" si="0"/>
        <v>4</v>
      </c>
      <c r="E51" s="236" t="str">
        <f t="shared" ca="1" si="0"/>
        <v>ISI CUTTER 18 MM KENKO L-150 (BESAR)</v>
      </c>
      <c r="F51" s="237"/>
      <c r="G51" s="238"/>
      <c r="H51" s="239">
        <f t="shared" ca="1" si="1"/>
        <v>64800</v>
      </c>
      <c r="I51" s="240">
        <f t="shared" ca="1" si="1"/>
        <v>0.13500000000000001</v>
      </c>
      <c r="J51" s="240" t="str">
        <f t="shared" ca="1" si="1"/>
        <v/>
      </c>
      <c r="K51" s="241">
        <f t="shared" ca="1" si="1"/>
        <v>13452480</v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8"/>
      <c r="K66" s="338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9">
        <f ca="1">J29</f>
        <v>19032768</v>
      </c>
      <c r="K67" s="340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1"/>
      <c r="K68" s="341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8"/>
      <c r="K70" s="338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9">
        <f ca="1">J33</f>
        <v>1886130.1621621621</v>
      </c>
      <c r="K71" s="340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8"/>
      <c r="K72" s="338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19032768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2" t="str">
        <f ca="1">J37</f>
        <v>NOVI / CONDRO</v>
      </c>
      <c r="K75" s="343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2" t="str">
        <f ca="1">J38</f>
        <v/>
      </c>
      <c r="K76" s="343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23080033</v>
      </c>
      <c r="F79" s="100"/>
      <c r="G79" s="101" t="s">
        <v>16</v>
      </c>
      <c r="H79" s="344" t="str">
        <f ca="1">H41</f>
        <v>CV PELITA JAYA</v>
      </c>
      <c r="I79" s="344"/>
      <c r="J79" s="344"/>
      <c r="K79" s="345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8" t="s">
        <v>18</v>
      </c>
      <c r="G80" s="107"/>
      <c r="H80" s="346"/>
      <c r="I80" s="346"/>
      <c r="J80" s="346"/>
      <c r="K80" s="347"/>
      <c r="L80" s="102"/>
    </row>
    <row r="81" spans="1:12" s="9" customFormat="1" ht="16.5" customHeight="1" x14ac:dyDescent="0.3">
      <c r="A81" s="95"/>
      <c r="B81" s="96" t="s">
        <v>2</v>
      </c>
      <c r="C81" s="97"/>
      <c r="D81" s="349">
        <f ca="1">D43</f>
        <v>45169</v>
      </c>
      <c r="E81" s="350"/>
      <c r="F81" s="348"/>
      <c r="G81" s="108"/>
      <c r="H81" s="351" t="str">
        <f ca="1">H43</f>
        <v>(ANUGERAH SEJAHTERA)</v>
      </c>
      <c r="I81" s="351"/>
      <c r="J81" s="351"/>
      <c r="K81" s="352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8"/>
      <c r="G82" s="108"/>
      <c r="H82" s="353" t="str">
        <f ca="1">H44</f>
        <v>PURWOKERTO</v>
      </c>
      <c r="I82" s="353"/>
      <c r="J82" s="353"/>
      <c r="K82" s="354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3615</v>
      </c>
      <c r="E83" s="99"/>
      <c r="F83" s="112"/>
      <c r="G83" s="113"/>
      <c r="H83" s="355"/>
      <c r="I83" s="355"/>
      <c r="J83" s="355"/>
      <c r="K83" s="356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36</v>
      </c>
      <c r="C87" s="139" t="str">
        <f t="shared" ca="1" si="2"/>
        <v>BOX</v>
      </c>
      <c r="D87" s="140">
        <f t="shared" ca="1" si="2"/>
        <v>1</v>
      </c>
      <c r="E87" s="141" t="str">
        <f t="shared" ca="1" si="2"/>
        <v>LEM STICK KENKO 15 GR (TANGGUNG) isi 20 pc</v>
      </c>
      <c r="F87" s="142"/>
      <c r="G87" s="143"/>
      <c r="H87" s="144">
        <f t="shared" ref="H87:K102" ca="1" si="3">H49</f>
        <v>72000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2242080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48</v>
      </c>
      <c r="C88" s="139" t="str">
        <f t="shared" ca="1" si="2"/>
        <v>LSN</v>
      </c>
      <c r="D88" s="140">
        <f t="shared" ca="1" si="2"/>
        <v>2</v>
      </c>
      <c r="E88" s="141" t="str">
        <f t="shared" ca="1" si="2"/>
        <v>PENSIL WARNA JOYKO CP-S12 MINI (PENDEK)</v>
      </c>
      <c r="F88" s="142"/>
      <c r="G88" s="143"/>
      <c r="H88" s="144">
        <f t="shared" ca="1" si="3"/>
        <v>80400</v>
      </c>
      <c r="I88" s="145">
        <f t="shared" ca="1" si="3"/>
        <v>0.13500000000000001</v>
      </c>
      <c r="J88" s="145" t="str">
        <f t="shared" ca="1" si="3"/>
        <v/>
      </c>
      <c r="K88" s="146">
        <f t="shared" ca="1" si="3"/>
        <v>3338208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240</v>
      </c>
      <c r="C89" s="139" t="str">
        <f t="shared" ca="1" si="2"/>
        <v>LSN</v>
      </c>
      <c r="D89" s="140">
        <f t="shared" ca="1" si="2"/>
        <v>4</v>
      </c>
      <c r="E89" s="141" t="str">
        <f t="shared" ca="1" si="2"/>
        <v>ISI CUTTER 18 MM KENKO L-150 (BESAR)</v>
      </c>
      <c r="F89" s="142"/>
      <c r="G89" s="143"/>
      <c r="H89" s="144">
        <f t="shared" ca="1" si="3"/>
        <v>64800</v>
      </c>
      <c r="I89" s="145">
        <f t="shared" ca="1" si="3"/>
        <v>0.13500000000000001</v>
      </c>
      <c r="J89" s="145" t="str">
        <f t="shared" ca="1" si="3"/>
        <v/>
      </c>
      <c r="K89" s="146">
        <f t="shared" ca="1" si="3"/>
        <v>13452480</v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7"/>
      <c r="K104" s="357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8">
        <f ca="1">J67</f>
        <v>19032768</v>
      </c>
      <c r="K105" s="359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2"/>
      <c r="K106" s="362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7"/>
      <c r="K108" s="357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8">
        <f ca="1">J71</f>
        <v>1886130.1621621621</v>
      </c>
      <c r="K109" s="359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7"/>
      <c r="K110" s="357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19032768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0" t="str">
        <f ca="1">J75</f>
        <v>NOVI / CONDRO</v>
      </c>
      <c r="K113" s="361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0" t="str">
        <f ca="1">J76</f>
        <v/>
      </c>
      <c r="K114" s="361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E15" sqref="E15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302</v>
      </c>
      <c r="D15" t="s">
        <v>102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117</v>
      </c>
      <c r="C17" t="s">
        <v>116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112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106</v>
      </c>
      <c r="B19" t="s">
        <v>107</v>
      </c>
      <c r="D19" t="s">
        <v>108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111</v>
      </c>
      <c r="B20" t="s">
        <v>109</v>
      </c>
      <c r="C20" t="s">
        <v>110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113</v>
      </c>
      <c r="B21" t="s">
        <v>114</v>
      </c>
      <c r="C21" t="s">
        <v>115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2023-09-01T09:00:17Z</dcterms:modified>
</cp:coreProperties>
</file>