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9 SEPTEMBER\"/>
    </mc:Choice>
  </mc:AlternateContent>
  <bookViews>
    <workbookView xWindow="240" yWindow="105" windowWidth="14805" windowHeight="8010"/>
  </bookViews>
  <sheets>
    <sheet name="NOTA" sheetId="1" r:id="rId1"/>
    <sheet name="VAR" sheetId="3" r:id="rId2"/>
    <sheet name="PAJAK" sheetId="2" r:id="rId3"/>
    <sheet name="KENKO" sheetId="4" r:id="rId4"/>
    <sheet name="KALINDO" sheetId="7" r:id="rId5"/>
    <sheet name="ATALI" sheetId="5" r:id="rId6"/>
    <sheet name="99" sheetId="6" r:id="rId7"/>
    <sheet name="SDI" sheetId="10" r:id="rId8"/>
    <sheet name="SAJ" sheetId="8" r:id="rId9"/>
    <sheet name="MGN" sheetId="9" r:id="rId10"/>
    <sheet name="LIE" sheetId="11" r:id="rId11"/>
    <sheet name="LMA" sheetId="12" r:id="rId12"/>
    <sheet name="PARAMA" sheetId="13" r:id="rId13"/>
    <sheet name="RAP" sheetId="14" r:id="rId14"/>
    <sheet name="NCL" sheetId="1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P608" i="1" l="1"/>
  <c r="N608" i="1"/>
  <c r="N607" i="1"/>
  <c r="N587" i="1"/>
  <c r="X3" i="1"/>
  <c r="X4" i="1"/>
  <c r="X6" i="1"/>
  <c r="X7" i="1"/>
  <c r="X8" i="1"/>
  <c r="X9" i="1"/>
  <c r="X10" i="1"/>
  <c r="X11" i="1"/>
  <c r="X13" i="1"/>
  <c r="X14" i="1"/>
  <c r="X15" i="1"/>
  <c r="X16" i="1"/>
  <c r="X18" i="1"/>
  <c r="X19" i="1"/>
  <c r="X20" i="1"/>
  <c r="X21" i="1"/>
  <c r="X22" i="1"/>
  <c r="X31" i="1"/>
  <c r="X32" i="1"/>
  <c r="X33" i="1"/>
  <c r="X34" i="1"/>
  <c r="X35" i="1"/>
  <c r="X36" i="1"/>
  <c r="X37" i="1"/>
  <c r="X38" i="1"/>
  <c r="X39" i="1"/>
  <c r="X40" i="1"/>
  <c r="X42" i="1"/>
  <c r="X43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5" i="1"/>
  <c r="X66" i="1"/>
  <c r="X67" i="1"/>
  <c r="X68" i="1"/>
  <c r="X69" i="1"/>
  <c r="X70" i="1"/>
  <c r="X71" i="1"/>
  <c r="X72" i="1"/>
  <c r="X74" i="1"/>
  <c r="X79" i="1"/>
  <c r="X80" i="1"/>
  <c r="X81" i="1"/>
  <c r="X82" i="1"/>
  <c r="X84" i="1"/>
  <c r="X85" i="1"/>
  <c r="X86" i="1"/>
  <c r="X87" i="1"/>
  <c r="X88" i="1"/>
  <c r="X89" i="1"/>
  <c r="X90" i="1"/>
  <c r="X91" i="1"/>
  <c r="X92" i="1"/>
  <c r="X93" i="1"/>
  <c r="X95" i="1"/>
  <c r="X96" i="1"/>
  <c r="X97" i="1"/>
  <c r="X98" i="1"/>
  <c r="X99" i="1"/>
  <c r="X100" i="1"/>
  <c r="X101" i="1"/>
  <c r="X102" i="1"/>
  <c r="X103" i="1"/>
  <c r="X104" i="1"/>
  <c r="X220" i="1"/>
  <c r="X221" i="1"/>
  <c r="X222" i="1"/>
  <c r="X223" i="1"/>
  <c r="X224" i="1"/>
  <c r="X225" i="1"/>
  <c r="X226" i="1"/>
  <c r="X228" i="1"/>
  <c r="X229" i="1"/>
  <c r="X230" i="1"/>
  <c r="X232" i="1"/>
  <c r="X233" i="1"/>
  <c r="X234" i="1"/>
  <c r="X235" i="1"/>
  <c r="X236" i="1"/>
  <c r="X237" i="1"/>
  <c r="X238" i="1"/>
  <c r="X239" i="1"/>
  <c r="X240" i="1"/>
  <c r="X241" i="1"/>
  <c r="X242" i="1"/>
  <c r="X253" i="1"/>
  <c r="X254" i="1"/>
  <c r="X255" i="1"/>
  <c r="X332" i="1"/>
  <c r="X333" i="1"/>
  <c r="X334" i="1"/>
  <c r="X335" i="1"/>
  <c r="X336" i="1"/>
  <c r="X337" i="1"/>
  <c r="X338" i="1"/>
  <c r="X430" i="1"/>
  <c r="X431" i="1"/>
  <c r="X433" i="1"/>
  <c r="X434" i="1"/>
  <c r="X435" i="1"/>
  <c r="X436" i="1"/>
  <c r="X438" i="1"/>
  <c r="X439" i="1"/>
  <c r="X517" i="1"/>
  <c r="X518" i="1"/>
  <c r="X519" i="1"/>
  <c r="X520" i="1"/>
  <c r="X521" i="1"/>
  <c r="X523" i="1"/>
  <c r="X524" i="1"/>
  <c r="X525" i="1"/>
  <c r="X526" i="1"/>
  <c r="X532" i="1"/>
  <c r="X558" i="1"/>
  <c r="X559" i="1"/>
  <c r="X560" i="1"/>
  <c r="X561" i="1"/>
  <c r="X562" i="1"/>
  <c r="X563" i="1"/>
  <c r="X564" i="1"/>
  <c r="X566" i="1"/>
  <c r="X567" i="1"/>
  <c r="X569" i="1"/>
  <c r="X570" i="1"/>
  <c r="X585" i="1"/>
  <c r="X586" i="1"/>
  <c r="X587" i="1"/>
  <c r="N470" i="1" l="1"/>
  <c r="B432" i="1"/>
  <c r="C432" i="1" s="1"/>
  <c r="D432" i="1"/>
  <c r="AE432" i="1" s="1"/>
  <c r="AF432" i="1"/>
  <c r="AG432" i="1"/>
  <c r="AI432" i="1"/>
  <c r="AL432" i="1" s="1"/>
  <c r="AM432" i="1"/>
  <c r="AO432" i="1" s="1"/>
  <c r="AP432" i="1"/>
  <c r="AQ432" i="1" s="1"/>
  <c r="AS432" i="1"/>
  <c r="X432" i="1" l="1"/>
  <c r="Z432" i="1" s="1"/>
  <c r="AN432" i="1"/>
  <c r="AR432" i="1"/>
  <c r="AD432" i="1"/>
  <c r="AT432" i="1"/>
  <c r="AJ432" i="1"/>
  <c r="AH432" i="1"/>
  <c r="AV432" i="1"/>
  <c r="AC432" i="1"/>
  <c r="AA432" i="1"/>
  <c r="AB432" i="1" l="1"/>
  <c r="Y432" i="1"/>
  <c r="AU432" i="1"/>
  <c r="AW432" i="1" s="1"/>
  <c r="G1" i="17" l="1"/>
  <c r="G14" i="3"/>
  <c r="N392" i="1" l="1"/>
  <c r="N391" i="1"/>
  <c r="N383" i="1"/>
  <c r="B144" i="1" l="1"/>
  <c r="C144" i="1" s="1"/>
  <c r="AG144" i="1"/>
  <c r="X144" i="1" s="1"/>
  <c r="AM144" i="1"/>
  <c r="AP144" i="1"/>
  <c r="AQ144" i="1" s="1"/>
  <c r="AS144" i="1"/>
  <c r="B122" i="1"/>
  <c r="C122" i="1" s="1"/>
  <c r="AG122" i="1"/>
  <c r="X122" i="1" s="1"/>
  <c r="AM122" i="1"/>
  <c r="AP122" i="1"/>
  <c r="AQ122" i="1" s="1"/>
  <c r="AS122" i="1"/>
  <c r="Y144" i="1" l="1"/>
  <c r="Z144" i="1" s="1"/>
  <c r="AF144" i="1"/>
  <c r="AO144" i="1" s="1"/>
  <c r="Y122" i="1"/>
  <c r="Z122" i="1" s="1"/>
  <c r="AF122" i="1"/>
  <c r="AO122" i="1" s="1"/>
  <c r="B123" i="1"/>
  <c r="C123" i="1" s="1"/>
  <c r="AA144" i="1" l="1"/>
  <c r="AB144" i="1" s="1"/>
  <c r="AC144" i="1" s="1"/>
  <c r="AN144" i="1"/>
  <c r="AA122" i="1"/>
  <c r="AB122" i="1" s="1"/>
  <c r="AC122" i="1" s="1"/>
  <c r="AN122" i="1"/>
  <c r="AG123" i="1"/>
  <c r="X123" i="1" s="1"/>
  <c r="Y123" i="1" l="1"/>
  <c r="Z123" i="1" s="1"/>
  <c r="AF123" i="1"/>
  <c r="AM123" i="1"/>
  <c r="AP123" i="1"/>
  <c r="AQ123" i="1" s="1"/>
  <c r="AS123" i="1"/>
  <c r="B99" i="1"/>
  <c r="C99" i="1" s="1"/>
  <c r="Y99" i="1"/>
  <c r="AG99" i="1"/>
  <c r="AF99" i="1" s="1"/>
  <c r="AM99" i="1"/>
  <c r="AP99" i="1"/>
  <c r="AQ99" i="1" s="1"/>
  <c r="AS99" i="1"/>
  <c r="Z99" i="1" l="1"/>
  <c r="AA99" i="1" s="1"/>
  <c r="AB99" i="1" s="1"/>
  <c r="AC99" i="1" s="1"/>
  <c r="AN123" i="1"/>
  <c r="AO99" i="1"/>
  <c r="AO123" i="1"/>
  <c r="AA123" i="1"/>
  <c r="AB123" i="1" s="1"/>
  <c r="AC123" i="1" s="1"/>
  <c r="AN99" i="1"/>
  <c r="B59" i="1"/>
  <c r="C59" i="1" s="1"/>
  <c r="Y59" i="1"/>
  <c r="AG59" i="1"/>
  <c r="AF59" i="1" s="1"/>
  <c r="AM59" i="1"/>
  <c r="AP59" i="1"/>
  <c r="AQ59" i="1" s="1"/>
  <c r="AS59" i="1"/>
  <c r="Z59" i="1" l="1"/>
  <c r="AA59" i="1" s="1"/>
  <c r="AN59" i="1"/>
  <c r="AO59" i="1"/>
  <c r="AP4" i="1"/>
  <c r="AQ4" i="1" s="1"/>
  <c r="AP5" i="1"/>
  <c r="AQ5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4" i="1"/>
  <c r="AQ14" i="1" s="1"/>
  <c r="AP15" i="1"/>
  <c r="AQ15" i="1" s="1"/>
  <c r="AP16" i="1"/>
  <c r="AQ16" i="1" s="1"/>
  <c r="AP17" i="1"/>
  <c r="AQ17" i="1" s="1"/>
  <c r="AP19" i="1"/>
  <c r="AQ19" i="1" s="1"/>
  <c r="AP20" i="1"/>
  <c r="AQ20" i="1" s="1"/>
  <c r="AP21" i="1"/>
  <c r="AQ21" i="1" s="1"/>
  <c r="AP22" i="1"/>
  <c r="AQ22" i="1" s="1"/>
  <c r="AP23" i="1"/>
  <c r="AQ23" i="1" s="1"/>
  <c r="AP25" i="1"/>
  <c r="AQ25" i="1" s="1"/>
  <c r="AP26" i="1"/>
  <c r="AQ26" i="1" s="1"/>
  <c r="AP28" i="1"/>
  <c r="AQ28" i="1" s="1"/>
  <c r="AP30" i="1"/>
  <c r="AQ30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3" i="1"/>
  <c r="AQ43" i="1" s="1"/>
  <c r="AP44" i="1"/>
  <c r="AQ44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7" i="1"/>
  <c r="AQ57" i="1" s="1"/>
  <c r="AP58" i="1"/>
  <c r="AQ58" i="1" s="1"/>
  <c r="AP60" i="1"/>
  <c r="AQ60" i="1" s="1"/>
  <c r="AP61" i="1"/>
  <c r="AQ61" i="1" s="1"/>
  <c r="AP62" i="1"/>
  <c r="AQ62" i="1" s="1"/>
  <c r="AP63" i="1"/>
  <c r="AQ63" i="1" s="1"/>
  <c r="AP64" i="1"/>
  <c r="AQ64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6" i="1"/>
  <c r="AQ96" i="1" s="1"/>
  <c r="AP97" i="1"/>
  <c r="AQ97" i="1" s="1"/>
  <c r="AP98" i="1"/>
  <c r="AQ98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7" i="1"/>
  <c r="AQ107" i="1" s="1"/>
  <c r="AP108" i="1"/>
  <c r="AQ108" i="1" s="1"/>
  <c r="AP110" i="1"/>
  <c r="AQ110" i="1" s="1"/>
  <c r="AP111" i="1"/>
  <c r="AQ111" i="1" s="1"/>
  <c r="AP112" i="1"/>
  <c r="AQ112" i="1" s="1"/>
  <c r="AP113" i="1"/>
  <c r="AQ113" i="1" s="1"/>
  <c r="AP115" i="1"/>
  <c r="AQ115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4" i="1"/>
  <c r="AQ124" i="1" s="1"/>
  <c r="AP125" i="1"/>
  <c r="AQ125" i="1" s="1"/>
  <c r="AP127" i="1"/>
  <c r="AQ127" i="1" s="1"/>
  <c r="AP128" i="1"/>
  <c r="AQ128" i="1" s="1"/>
  <c r="AP129" i="1"/>
  <c r="AQ129" i="1" s="1"/>
  <c r="AP130" i="1"/>
  <c r="AQ130" i="1" s="1"/>
  <c r="AP131" i="1"/>
  <c r="AQ131" i="1" s="1"/>
  <c r="AP132" i="1"/>
  <c r="AQ132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2" i="1"/>
  <c r="AQ152" i="1" s="1"/>
  <c r="AP153" i="1"/>
  <c r="AQ153" i="1" s="1"/>
  <c r="AP154" i="1"/>
  <c r="AQ154" i="1" s="1"/>
  <c r="AP155" i="1"/>
  <c r="AQ155" i="1" s="1"/>
  <c r="AP156" i="1"/>
  <c r="AQ156" i="1" s="1"/>
  <c r="AP157" i="1"/>
  <c r="AQ157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5" i="1"/>
  <c r="AQ165" i="1" s="1"/>
  <c r="AP166" i="1"/>
  <c r="AQ166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4" i="1"/>
  <c r="AQ174" i="1" s="1"/>
  <c r="AP176" i="1"/>
  <c r="AQ176" i="1" s="1"/>
  <c r="AP178" i="1"/>
  <c r="AQ178" i="1" s="1"/>
  <c r="AP180" i="1"/>
  <c r="AQ180" i="1" s="1"/>
  <c r="AP181" i="1"/>
  <c r="AQ181" i="1" s="1"/>
  <c r="AP182" i="1"/>
  <c r="AQ182" i="1" s="1"/>
  <c r="AP184" i="1"/>
  <c r="AQ184" i="1" s="1"/>
  <c r="AP186" i="1"/>
  <c r="AQ186" i="1" s="1"/>
  <c r="AP187" i="1"/>
  <c r="AQ187" i="1" s="1"/>
  <c r="AP189" i="1"/>
  <c r="AQ189" i="1" s="1"/>
  <c r="AP190" i="1"/>
  <c r="AQ190" i="1" s="1"/>
  <c r="AP192" i="1"/>
  <c r="AQ192" i="1" s="1"/>
  <c r="AP193" i="1"/>
  <c r="AQ193" i="1" s="1"/>
  <c r="AP195" i="1"/>
  <c r="AQ195" i="1" s="1"/>
  <c r="AP196" i="1"/>
  <c r="AQ196" i="1" s="1"/>
  <c r="AP197" i="1"/>
  <c r="AQ197" i="1" s="1"/>
  <c r="AP198" i="1"/>
  <c r="AQ198" i="1" s="1"/>
  <c r="AP199" i="1"/>
  <c r="AQ199" i="1" s="1"/>
  <c r="AP200" i="1"/>
  <c r="AQ200" i="1" s="1"/>
  <c r="AP201" i="1"/>
  <c r="AQ201" i="1" s="1"/>
  <c r="AP203" i="1"/>
  <c r="AQ203" i="1" s="1"/>
  <c r="AP204" i="1"/>
  <c r="AQ204" i="1" s="1"/>
  <c r="AP206" i="1"/>
  <c r="AQ206" i="1" s="1"/>
  <c r="AP208" i="1"/>
  <c r="AQ208" i="1" s="1"/>
  <c r="AP209" i="1"/>
  <c r="AQ209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6" i="1"/>
  <c r="AQ216" i="1" s="1"/>
  <c r="AP218" i="1"/>
  <c r="AQ218" i="1" s="1"/>
  <c r="AP219" i="1"/>
  <c r="AQ219" i="1" s="1"/>
  <c r="AP221" i="1"/>
  <c r="AQ221" i="1" s="1"/>
  <c r="AP222" i="1"/>
  <c r="AQ222" i="1" s="1"/>
  <c r="AP223" i="1"/>
  <c r="AQ223" i="1" s="1"/>
  <c r="AP224" i="1"/>
  <c r="AQ224" i="1" s="1"/>
  <c r="AP225" i="1"/>
  <c r="AQ225" i="1" s="1"/>
  <c r="AP226" i="1"/>
  <c r="AQ226" i="1" s="1"/>
  <c r="AP227" i="1"/>
  <c r="AQ227" i="1" s="1"/>
  <c r="AP229" i="1"/>
  <c r="AQ229" i="1" s="1"/>
  <c r="AP230" i="1"/>
  <c r="AQ230" i="1" s="1"/>
  <c r="AP231" i="1"/>
  <c r="AQ231" i="1" s="1"/>
  <c r="AP233" i="1"/>
  <c r="AQ233" i="1" s="1"/>
  <c r="AP234" i="1"/>
  <c r="AQ234" i="1" s="1"/>
  <c r="AP235" i="1"/>
  <c r="AQ235" i="1" s="1"/>
  <c r="AP236" i="1"/>
  <c r="AQ236" i="1" s="1"/>
  <c r="AP237" i="1"/>
  <c r="AQ237" i="1" s="1"/>
  <c r="AP238" i="1"/>
  <c r="AQ238" i="1" s="1"/>
  <c r="AP239" i="1"/>
  <c r="AQ239" i="1" s="1"/>
  <c r="AP240" i="1"/>
  <c r="AQ240" i="1" s="1"/>
  <c r="AP241" i="1"/>
  <c r="AQ241" i="1" s="1"/>
  <c r="AP242" i="1"/>
  <c r="AQ242" i="1" s="1"/>
  <c r="AP243" i="1"/>
  <c r="AQ243" i="1" s="1"/>
  <c r="AP245" i="1"/>
  <c r="AQ245" i="1" s="1"/>
  <c r="AP246" i="1"/>
  <c r="AQ246" i="1" s="1"/>
  <c r="AP248" i="1"/>
  <c r="AQ248" i="1" s="1"/>
  <c r="AP249" i="1"/>
  <c r="AQ249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6" i="1"/>
  <c r="AQ256" i="1" s="1"/>
  <c r="AP258" i="1"/>
  <c r="AQ258" i="1" s="1"/>
  <c r="AP259" i="1"/>
  <c r="AQ259" i="1" s="1"/>
  <c r="AP260" i="1"/>
  <c r="AQ260" i="1" s="1"/>
  <c r="AP261" i="1"/>
  <c r="AQ261" i="1" s="1"/>
  <c r="AP263" i="1"/>
  <c r="AQ263" i="1" s="1"/>
  <c r="AP264" i="1"/>
  <c r="AQ264" i="1" s="1"/>
  <c r="AP265" i="1"/>
  <c r="AQ265" i="1" s="1"/>
  <c r="AP266" i="1"/>
  <c r="AQ266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5" i="1"/>
  <c r="AQ275" i="1" s="1"/>
  <c r="AP276" i="1"/>
  <c r="AQ276" i="1" s="1"/>
  <c r="AP277" i="1"/>
  <c r="AQ277" i="1" s="1"/>
  <c r="AP278" i="1"/>
  <c r="AQ278" i="1" s="1"/>
  <c r="AP279" i="1"/>
  <c r="AQ279" i="1" s="1"/>
  <c r="AP280" i="1"/>
  <c r="AQ280" i="1" s="1"/>
  <c r="AP281" i="1"/>
  <c r="AQ281" i="1" s="1"/>
  <c r="AP282" i="1"/>
  <c r="AQ282" i="1" s="1"/>
  <c r="AP283" i="1"/>
  <c r="AQ283" i="1" s="1"/>
  <c r="AP284" i="1"/>
  <c r="AQ284" i="1" s="1"/>
  <c r="AP285" i="1"/>
  <c r="AQ285" i="1" s="1"/>
  <c r="AP286" i="1"/>
  <c r="AQ286" i="1" s="1"/>
  <c r="AP288" i="1"/>
  <c r="AQ288" i="1" s="1"/>
  <c r="AP290" i="1"/>
  <c r="AQ290" i="1" s="1"/>
  <c r="AP291" i="1"/>
  <c r="AQ291" i="1" s="1"/>
  <c r="AP292" i="1"/>
  <c r="AQ292" i="1" s="1"/>
  <c r="AP293" i="1"/>
  <c r="AQ293" i="1" s="1"/>
  <c r="AP294" i="1"/>
  <c r="AQ294" i="1" s="1"/>
  <c r="AP295" i="1"/>
  <c r="AQ295" i="1" s="1"/>
  <c r="AP296" i="1"/>
  <c r="AQ296" i="1" s="1"/>
  <c r="AP297" i="1"/>
  <c r="AQ297" i="1" s="1"/>
  <c r="AP299" i="1"/>
  <c r="AQ299" i="1" s="1"/>
  <c r="AP301" i="1"/>
  <c r="AQ301" i="1" s="1"/>
  <c r="AP302" i="1"/>
  <c r="AQ302" i="1" s="1"/>
  <c r="AP304" i="1"/>
  <c r="AQ304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1" i="1"/>
  <c r="AQ311" i="1" s="1"/>
  <c r="AP312" i="1"/>
  <c r="AQ312" i="1" s="1"/>
  <c r="AP314" i="1"/>
  <c r="AQ314" i="1" s="1"/>
  <c r="AP315" i="1"/>
  <c r="AQ315" i="1" s="1"/>
  <c r="AP316" i="1"/>
  <c r="AQ316" i="1" s="1"/>
  <c r="AP317" i="1"/>
  <c r="AQ317" i="1" s="1"/>
  <c r="AP318" i="1"/>
  <c r="AQ318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28" i="1"/>
  <c r="AQ328" i="1" s="1"/>
  <c r="AP329" i="1"/>
  <c r="AQ329" i="1" s="1"/>
  <c r="AP330" i="1"/>
  <c r="AQ330" i="1" s="1"/>
  <c r="AP331" i="1"/>
  <c r="AQ331" i="1" s="1"/>
  <c r="AP333" i="1"/>
  <c r="AQ333" i="1" s="1"/>
  <c r="AP334" i="1"/>
  <c r="AQ334" i="1" s="1"/>
  <c r="AP335" i="1"/>
  <c r="AQ335" i="1" s="1"/>
  <c r="AP336" i="1"/>
  <c r="AQ336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7" i="1"/>
  <c r="AQ357" i="1" s="1"/>
  <c r="AP358" i="1"/>
  <c r="AQ358" i="1" s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69" i="1"/>
  <c r="AQ369" i="1" s="1"/>
  <c r="AP370" i="1"/>
  <c r="AQ370" i="1" s="1"/>
  <c r="AP371" i="1"/>
  <c r="AQ371" i="1" s="1"/>
  <c r="AP373" i="1"/>
  <c r="AQ373" i="1" s="1"/>
  <c r="AP374" i="1"/>
  <c r="AQ374" i="1" s="1"/>
  <c r="AP375" i="1"/>
  <c r="AQ375" i="1" s="1"/>
  <c r="AP376" i="1"/>
  <c r="AQ376" i="1" s="1"/>
  <c r="AP377" i="1"/>
  <c r="AQ377" i="1" s="1"/>
  <c r="AP378" i="1"/>
  <c r="AQ378" i="1" s="1"/>
  <c r="AP379" i="1"/>
  <c r="AQ379" i="1" s="1"/>
  <c r="AP380" i="1"/>
  <c r="AQ380" i="1" s="1"/>
  <c r="AP381" i="1"/>
  <c r="AQ381" i="1" s="1"/>
  <c r="AP382" i="1"/>
  <c r="AQ382" i="1" s="1"/>
  <c r="AP384" i="1"/>
  <c r="AQ384" i="1" s="1"/>
  <c r="AP386" i="1"/>
  <c r="AQ386" i="1" s="1"/>
  <c r="AP387" i="1"/>
  <c r="AQ387" i="1" s="1"/>
  <c r="AP389" i="1"/>
  <c r="AQ389" i="1" s="1"/>
  <c r="AP390" i="1"/>
  <c r="AQ390" i="1" s="1"/>
  <c r="AP392" i="1"/>
  <c r="AQ392" i="1" s="1"/>
  <c r="AP393" i="1"/>
  <c r="AQ393" i="1" s="1"/>
  <c r="AP395" i="1"/>
  <c r="AQ395" i="1" s="1"/>
  <c r="AP397" i="1"/>
  <c r="AQ397" i="1" s="1"/>
  <c r="AP399" i="1"/>
  <c r="AQ399" i="1" s="1"/>
  <c r="AP401" i="1"/>
  <c r="AQ401" i="1" s="1"/>
  <c r="AP402" i="1"/>
  <c r="AQ402" i="1" s="1"/>
  <c r="AP403" i="1"/>
  <c r="AQ403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9" i="1"/>
  <c r="AQ419" i="1" s="1"/>
  <c r="AP420" i="1"/>
  <c r="AQ420" i="1" s="1"/>
  <c r="AP421" i="1"/>
  <c r="AQ421" i="1" s="1"/>
  <c r="AP423" i="1"/>
  <c r="AQ423" i="1" s="1"/>
  <c r="AP424" i="1"/>
  <c r="AQ424" i="1" s="1"/>
  <c r="AP425" i="1"/>
  <c r="AQ425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4" i="1"/>
  <c r="AQ434" i="1" s="1"/>
  <c r="AP435" i="1"/>
  <c r="AQ435" i="1" s="1"/>
  <c r="AP436" i="1"/>
  <c r="AQ436" i="1" s="1"/>
  <c r="AP437" i="1"/>
  <c r="AQ437" i="1" s="1"/>
  <c r="AP439" i="1"/>
  <c r="AQ439" i="1" s="1"/>
  <c r="AP440" i="1"/>
  <c r="AQ440" i="1" s="1"/>
  <c r="AP442" i="1"/>
  <c r="AQ442" i="1" s="1"/>
  <c r="AP443" i="1"/>
  <c r="AQ443" i="1" s="1"/>
  <c r="AP444" i="1"/>
  <c r="AQ444" i="1" s="1"/>
  <c r="AP445" i="1"/>
  <c r="AQ445" i="1" s="1"/>
  <c r="AP446" i="1"/>
  <c r="AQ446" i="1" s="1"/>
  <c r="AP447" i="1"/>
  <c r="AQ447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4" i="1"/>
  <c r="AQ454" i="1" s="1"/>
  <c r="AP455" i="1"/>
  <c r="AQ455" i="1" s="1"/>
  <c r="AP456" i="1"/>
  <c r="AQ456" i="1" s="1"/>
  <c r="AP457" i="1"/>
  <c r="AQ457" i="1" s="1"/>
  <c r="AP458" i="1"/>
  <c r="AQ458" i="1" s="1"/>
  <c r="AP459" i="1"/>
  <c r="AQ459" i="1" s="1"/>
  <c r="AP460" i="1"/>
  <c r="AQ460" i="1" s="1"/>
  <c r="AP461" i="1"/>
  <c r="AQ461" i="1" s="1"/>
  <c r="AP462" i="1"/>
  <c r="AQ462" i="1" s="1"/>
  <c r="AP463" i="1"/>
  <c r="AQ463" i="1" s="1"/>
  <c r="AP465" i="1"/>
  <c r="AQ465" i="1" s="1"/>
  <c r="AP466" i="1"/>
  <c r="AQ466" i="1" s="1"/>
  <c r="AP467" i="1"/>
  <c r="AQ467" i="1" s="1"/>
  <c r="AP469" i="1"/>
  <c r="AQ469" i="1" s="1"/>
  <c r="AP471" i="1"/>
  <c r="AQ471" i="1" s="1"/>
  <c r="AP473" i="1"/>
  <c r="AQ473" i="1" s="1"/>
  <c r="AP475" i="1"/>
  <c r="AQ475" i="1" s="1"/>
  <c r="AP476" i="1"/>
  <c r="AQ476" i="1" s="1"/>
  <c r="AP478" i="1"/>
  <c r="AQ478" i="1" s="1"/>
  <c r="AP480" i="1"/>
  <c r="AQ480" i="1" s="1"/>
  <c r="AP482" i="1"/>
  <c r="AQ482" i="1" s="1"/>
  <c r="AP483" i="1"/>
  <c r="AQ483" i="1" s="1"/>
  <c r="AP485" i="1"/>
  <c r="AQ485" i="1" s="1"/>
  <c r="AP486" i="1"/>
  <c r="AQ486" i="1" s="1"/>
  <c r="AP488" i="1"/>
  <c r="AQ488" i="1" s="1"/>
  <c r="AP489" i="1"/>
  <c r="AQ489" i="1" s="1"/>
  <c r="AP491" i="1"/>
  <c r="AQ491" i="1" s="1"/>
  <c r="AP492" i="1"/>
  <c r="AQ492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500" i="1"/>
  <c r="AQ500" i="1" s="1"/>
  <c r="AP501" i="1"/>
  <c r="AQ501" i="1" s="1"/>
  <c r="AP503" i="1"/>
  <c r="AQ503" i="1" s="1"/>
  <c r="AP504" i="1"/>
  <c r="AQ504" i="1" s="1"/>
  <c r="AP505" i="1"/>
  <c r="AQ505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5" i="1"/>
  <c r="AQ515" i="1" s="1"/>
  <c r="AP516" i="1"/>
  <c r="AQ516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4" i="1"/>
  <c r="AQ524" i="1" s="1"/>
  <c r="AP525" i="1"/>
  <c r="AQ525" i="1" s="1"/>
  <c r="AP526" i="1"/>
  <c r="AQ526" i="1" s="1"/>
  <c r="AP527" i="1"/>
  <c r="AQ527" i="1" s="1"/>
  <c r="AP528" i="1"/>
  <c r="AQ528" i="1" s="1"/>
  <c r="AP529" i="1"/>
  <c r="AQ529" i="1" s="1"/>
  <c r="AP530" i="1"/>
  <c r="AQ530" i="1" s="1"/>
  <c r="AP531" i="1"/>
  <c r="AQ531" i="1" s="1"/>
  <c r="AP533" i="1"/>
  <c r="AQ533" i="1" s="1"/>
  <c r="AP535" i="1"/>
  <c r="AQ535" i="1" s="1"/>
  <c r="AP536" i="1"/>
  <c r="AQ536" i="1" s="1"/>
  <c r="AP537" i="1"/>
  <c r="AQ537" i="1" s="1"/>
  <c r="AP539" i="1"/>
  <c r="AQ539" i="1" s="1"/>
  <c r="AP541" i="1"/>
  <c r="AQ541" i="1" s="1"/>
  <c r="AP542" i="1"/>
  <c r="AQ542" i="1" s="1"/>
  <c r="AP544" i="1"/>
  <c r="AQ544" i="1" s="1"/>
  <c r="AP546" i="1"/>
  <c r="AQ546" i="1" s="1"/>
  <c r="AP548" i="1"/>
  <c r="AQ548" i="1" s="1"/>
  <c r="AP550" i="1"/>
  <c r="AQ550" i="1" s="1"/>
  <c r="AP552" i="1"/>
  <c r="AQ552" i="1" s="1"/>
  <c r="AP553" i="1"/>
  <c r="AQ553" i="1" s="1"/>
  <c r="AP554" i="1"/>
  <c r="AQ554" i="1" s="1"/>
  <c r="AP555" i="1"/>
  <c r="AQ555" i="1" s="1"/>
  <c r="AP556" i="1"/>
  <c r="AQ556" i="1" s="1"/>
  <c r="AP557" i="1"/>
  <c r="AQ557" i="1" s="1"/>
  <c r="AP559" i="1"/>
  <c r="AQ559" i="1" s="1"/>
  <c r="AP560" i="1"/>
  <c r="AQ560" i="1" s="1"/>
  <c r="AP561" i="1"/>
  <c r="AQ561" i="1" s="1"/>
  <c r="AP562" i="1"/>
  <c r="AQ562" i="1" s="1"/>
  <c r="AP563" i="1"/>
  <c r="AQ563" i="1" s="1"/>
  <c r="AP564" i="1"/>
  <c r="AQ564" i="1" s="1"/>
  <c r="AP565" i="1"/>
  <c r="AQ565" i="1" s="1"/>
  <c r="AP567" i="1"/>
  <c r="AQ567" i="1" s="1"/>
  <c r="AP568" i="1"/>
  <c r="AQ568" i="1" s="1"/>
  <c r="AP570" i="1"/>
  <c r="AQ570" i="1" s="1"/>
  <c r="AP571" i="1"/>
  <c r="AQ571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8" i="1"/>
  <c r="AQ578" i="1" s="1"/>
  <c r="AP579" i="1"/>
  <c r="AQ579" i="1" s="1"/>
  <c r="AP580" i="1"/>
  <c r="AQ580" i="1" s="1"/>
  <c r="AP582" i="1"/>
  <c r="AQ582" i="1" s="1"/>
  <c r="AP583" i="1"/>
  <c r="AQ583" i="1" s="1"/>
  <c r="AP585" i="1"/>
  <c r="AQ585" i="1" s="1"/>
  <c r="AP586" i="1"/>
  <c r="AQ586" i="1" s="1"/>
  <c r="AP587" i="1"/>
  <c r="AQ587" i="1" s="1"/>
  <c r="AP588" i="1"/>
  <c r="AQ588" i="1" s="1"/>
  <c r="AP590" i="1"/>
  <c r="AQ590" i="1" s="1"/>
  <c r="AP592" i="1"/>
  <c r="AQ592" i="1" s="1"/>
  <c r="AP593" i="1"/>
  <c r="AQ593" i="1" s="1"/>
  <c r="AP595" i="1"/>
  <c r="AQ595" i="1" s="1"/>
  <c r="AP596" i="1"/>
  <c r="AQ596" i="1" s="1"/>
  <c r="AP598" i="1"/>
  <c r="AQ598" i="1" s="1"/>
  <c r="AP600" i="1"/>
  <c r="AQ600" i="1" s="1"/>
  <c r="AP601" i="1"/>
  <c r="AQ601" i="1" s="1"/>
  <c r="AP603" i="1"/>
  <c r="AQ603" i="1" s="1"/>
  <c r="AP605" i="1"/>
  <c r="AQ605" i="1" s="1"/>
  <c r="AP606" i="1"/>
  <c r="AQ606" i="1" s="1"/>
  <c r="AP608" i="1"/>
  <c r="AQ608" i="1" s="1"/>
  <c r="AP609" i="1"/>
  <c r="AQ609" i="1" s="1"/>
  <c r="AP611" i="1"/>
  <c r="AQ611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19" i="1"/>
  <c r="AQ619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6" i="1"/>
  <c r="AQ626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6" i="1"/>
  <c r="AQ636" i="1" s="1"/>
  <c r="AP637" i="1"/>
  <c r="AQ637" i="1" s="1"/>
  <c r="AP638" i="1"/>
  <c r="AQ638" i="1" s="1"/>
  <c r="AP639" i="1"/>
  <c r="AQ639" i="1" s="1"/>
  <c r="AP640" i="1"/>
  <c r="AQ640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5" i="1"/>
  <c r="AQ655" i="1" s="1"/>
  <c r="AP656" i="1"/>
  <c r="AQ656" i="1" s="1"/>
  <c r="AP657" i="1"/>
  <c r="AQ657" i="1" s="1"/>
  <c r="AP658" i="1"/>
  <c r="AQ658" i="1" s="1"/>
  <c r="AP659" i="1"/>
  <c r="AQ659" i="1" s="1"/>
  <c r="AP660" i="1"/>
  <c r="AQ660" i="1" s="1"/>
  <c r="AP661" i="1"/>
  <c r="AQ661" i="1" s="1"/>
  <c r="AP662" i="1"/>
  <c r="AQ662" i="1" s="1"/>
  <c r="AP663" i="1"/>
  <c r="AQ663" i="1" s="1"/>
  <c r="AP664" i="1"/>
  <c r="AQ664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6" i="1"/>
  <c r="AQ676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8" i="1"/>
  <c r="AQ688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8" i="1"/>
  <c r="AQ698" i="1" s="1"/>
  <c r="AP699" i="1"/>
  <c r="AQ699" i="1" s="1"/>
  <c r="AP700" i="1"/>
  <c r="AQ700" i="1" s="1"/>
  <c r="AP701" i="1"/>
  <c r="AQ701" i="1" s="1"/>
  <c r="AP702" i="1"/>
  <c r="AQ702" i="1" s="1"/>
  <c r="AP703" i="1"/>
  <c r="AQ703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0" i="1"/>
  <c r="AQ710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7" i="1"/>
  <c r="AQ717" i="1" s="1"/>
  <c r="AP718" i="1"/>
  <c r="AQ718" i="1" s="1"/>
  <c r="AP719" i="1"/>
  <c r="AQ719" i="1" s="1"/>
  <c r="AP720" i="1"/>
  <c r="AQ720" i="1" s="1"/>
  <c r="AP721" i="1"/>
  <c r="AQ721" i="1" s="1"/>
  <c r="AP722" i="1"/>
  <c r="AQ722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29" i="1"/>
  <c r="AQ729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6" i="1"/>
  <c r="AQ736" i="1" s="1"/>
  <c r="AP737" i="1"/>
  <c r="AQ737" i="1" s="1"/>
  <c r="AP738" i="1"/>
  <c r="AQ738" i="1" s="1"/>
  <c r="AP739" i="1"/>
  <c r="AQ739" i="1" s="1"/>
  <c r="AP740" i="1"/>
  <c r="AQ740" i="1" s="1"/>
  <c r="AP741" i="1"/>
  <c r="AQ741" i="1" s="1"/>
  <c r="AP742" i="1"/>
  <c r="AQ742" i="1" s="1"/>
  <c r="AP743" i="1"/>
  <c r="AQ743" i="1" s="1"/>
  <c r="AP744" i="1"/>
  <c r="AQ744" i="1" s="1"/>
  <c r="AP745" i="1"/>
  <c r="AQ745" i="1" s="1"/>
  <c r="AP746" i="1"/>
  <c r="AQ746" i="1" s="1"/>
  <c r="AP747" i="1"/>
  <c r="AQ747" i="1" s="1"/>
  <c r="AP748" i="1"/>
  <c r="AQ748" i="1" s="1"/>
  <c r="AP749" i="1"/>
  <c r="AQ749" i="1" s="1"/>
  <c r="AP750" i="1"/>
  <c r="AQ750" i="1" s="1"/>
  <c r="AP751" i="1"/>
  <c r="AQ751" i="1" s="1"/>
  <c r="AP752" i="1"/>
  <c r="AQ752" i="1" s="1"/>
  <c r="AP753" i="1"/>
  <c r="AQ753" i="1" s="1"/>
  <c r="AP754" i="1"/>
  <c r="AQ754" i="1" s="1"/>
  <c r="AP755" i="1"/>
  <c r="AQ755" i="1" s="1"/>
  <c r="AP756" i="1"/>
  <c r="AQ756" i="1" s="1"/>
  <c r="AP757" i="1"/>
  <c r="AQ757" i="1" s="1"/>
  <c r="AP758" i="1"/>
  <c r="AQ758" i="1" s="1"/>
  <c r="AP759" i="1"/>
  <c r="AQ759" i="1" s="1"/>
  <c r="AP760" i="1"/>
  <c r="AQ760" i="1" s="1"/>
  <c r="AP761" i="1"/>
  <c r="AQ761" i="1" s="1"/>
  <c r="AP762" i="1"/>
  <c r="AQ762" i="1" s="1"/>
  <c r="AP763" i="1"/>
  <c r="AQ763" i="1" s="1"/>
  <c r="AP764" i="1"/>
  <c r="AQ764" i="1" s="1"/>
  <c r="AP765" i="1"/>
  <c r="AQ765" i="1" s="1"/>
  <c r="AP766" i="1"/>
  <c r="AQ766" i="1" s="1"/>
  <c r="AP767" i="1"/>
  <c r="AQ767" i="1" s="1"/>
  <c r="AP768" i="1"/>
  <c r="AQ768" i="1" s="1"/>
  <c r="AP769" i="1"/>
  <c r="AQ769" i="1" s="1"/>
  <c r="AP770" i="1"/>
  <c r="AQ770" i="1" s="1"/>
  <c r="AP771" i="1"/>
  <c r="AQ771" i="1" s="1"/>
  <c r="AP772" i="1"/>
  <c r="AQ772" i="1" s="1"/>
  <c r="AP773" i="1"/>
  <c r="AQ773" i="1" s="1"/>
  <c r="AP774" i="1"/>
  <c r="AQ774" i="1" s="1"/>
  <c r="AP775" i="1"/>
  <c r="AQ775" i="1" s="1"/>
  <c r="AP776" i="1"/>
  <c r="AQ776" i="1" s="1"/>
  <c r="AP777" i="1"/>
  <c r="AQ777" i="1" s="1"/>
  <c r="AP778" i="1"/>
  <c r="AQ778" i="1" s="1"/>
  <c r="AP779" i="1"/>
  <c r="AQ779" i="1" s="1"/>
  <c r="AP780" i="1"/>
  <c r="AQ780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7" i="1"/>
  <c r="AQ787" i="1" s="1"/>
  <c r="AP788" i="1"/>
  <c r="AQ788" i="1" s="1"/>
  <c r="AP789" i="1"/>
  <c r="AQ789" i="1" s="1"/>
  <c r="AP790" i="1"/>
  <c r="AQ790" i="1" s="1"/>
  <c r="AP791" i="1"/>
  <c r="AQ791" i="1" s="1"/>
  <c r="AP792" i="1"/>
  <c r="AQ792" i="1" s="1"/>
  <c r="AP793" i="1"/>
  <c r="AQ793" i="1" s="1"/>
  <c r="AP794" i="1"/>
  <c r="AQ794" i="1" s="1"/>
  <c r="AP795" i="1"/>
  <c r="AQ795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2" i="1"/>
  <c r="AQ812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4" i="1"/>
  <c r="AQ824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5" i="1"/>
  <c r="AQ835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3" i="1"/>
  <c r="AQ843" i="1" s="1"/>
  <c r="AP844" i="1"/>
  <c r="AQ844" i="1" s="1"/>
  <c r="AP845" i="1"/>
  <c r="AQ845" i="1" s="1"/>
  <c r="AP846" i="1"/>
  <c r="AQ846" i="1" s="1"/>
  <c r="AP847" i="1"/>
  <c r="AQ847" i="1" s="1"/>
  <c r="AP848" i="1"/>
  <c r="AQ848" i="1" s="1"/>
  <c r="AP849" i="1"/>
  <c r="AQ849" i="1" s="1"/>
  <c r="AP850" i="1"/>
  <c r="AQ850" i="1" s="1"/>
  <c r="AP851" i="1"/>
  <c r="AQ851" i="1" s="1"/>
  <c r="AP852" i="1"/>
  <c r="AQ852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0" i="1"/>
  <c r="AQ860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8" i="1"/>
  <c r="AQ868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0" i="1"/>
  <c r="AQ880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P891" i="1"/>
  <c r="AQ891" i="1" s="1"/>
  <c r="AP892" i="1"/>
  <c r="AQ892" i="1" s="1"/>
  <c r="AP893" i="1"/>
  <c r="AQ893" i="1" s="1"/>
  <c r="AP894" i="1"/>
  <c r="AQ894" i="1" s="1"/>
  <c r="AP895" i="1"/>
  <c r="AQ895" i="1" s="1"/>
  <c r="AP896" i="1"/>
  <c r="AQ896" i="1" s="1"/>
  <c r="AP897" i="1"/>
  <c r="AQ897" i="1" s="1"/>
  <c r="AP898" i="1"/>
  <c r="AQ898" i="1" s="1"/>
  <c r="AP899" i="1"/>
  <c r="AQ899" i="1" s="1"/>
  <c r="AP900" i="1"/>
  <c r="AQ900" i="1" s="1"/>
  <c r="AP901" i="1"/>
  <c r="AQ901" i="1" s="1"/>
  <c r="AP902" i="1"/>
  <c r="AQ902" i="1" s="1"/>
  <c r="AP903" i="1"/>
  <c r="AQ903" i="1" s="1"/>
  <c r="AP904" i="1"/>
  <c r="AQ904" i="1" s="1"/>
  <c r="AP905" i="1"/>
  <c r="AQ905" i="1" s="1"/>
  <c r="AP906" i="1"/>
  <c r="AQ906" i="1" s="1"/>
  <c r="AP907" i="1"/>
  <c r="AQ907" i="1" s="1"/>
  <c r="AP908" i="1"/>
  <c r="AQ908" i="1" s="1"/>
  <c r="AP909" i="1"/>
  <c r="AQ909" i="1" s="1"/>
  <c r="AP910" i="1"/>
  <c r="AQ910" i="1" s="1"/>
  <c r="AP911" i="1"/>
  <c r="AQ911" i="1" s="1"/>
  <c r="AP912" i="1"/>
  <c r="AQ912" i="1" s="1"/>
  <c r="AP913" i="1"/>
  <c r="AQ913" i="1" s="1"/>
  <c r="AP914" i="1"/>
  <c r="AQ914" i="1" s="1"/>
  <c r="AP915" i="1"/>
  <c r="AQ915" i="1" s="1"/>
  <c r="AP916" i="1"/>
  <c r="AQ916" i="1" s="1"/>
  <c r="AP917" i="1"/>
  <c r="AQ917" i="1" s="1"/>
  <c r="AP918" i="1"/>
  <c r="AQ918" i="1" s="1"/>
  <c r="AP919" i="1"/>
  <c r="AQ919" i="1" s="1"/>
  <c r="AP920" i="1"/>
  <c r="AQ920" i="1" s="1"/>
  <c r="AG3" i="1"/>
  <c r="AF3" i="1" s="1"/>
  <c r="AG4" i="1"/>
  <c r="AF4" i="1" s="1"/>
  <c r="AG5" i="1"/>
  <c r="X5" i="1" s="1"/>
  <c r="Z5" i="1" s="1"/>
  <c r="AG6" i="1"/>
  <c r="AF6" i="1" s="1"/>
  <c r="AG7" i="1"/>
  <c r="AF7" i="1" s="1"/>
  <c r="AG8" i="1"/>
  <c r="AF8" i="1" s="1"/>
  <c r="AG9" i="1"/>
  <c r="AF9" i="1" s="1"/>
  <c r="AG10" i="1"/>
  <c r="AF10" i="1" s="1"/>
  <c r="AG11" i="1"/>
  <c r="AF11" i="1" s="1"/>
  <c r="AG12" i="1"/>
  <c r="AG13" i="1"/>
  <c r="AF13" i="1" s="1"/>
  <c r="AG14" i="1"/>
  <c r="AF14" i="1" s="1"/>
  <c r="AG15" i="1"/>
  <c r="AF15" i="1" s="1"/>
  <c r="AG16" i="1"/>
  <c r="AF16" i="1" s="1"/>
  <c r="AG17" i="1"/>
  <c r="X17" i="1" s="1"/>
  <c r="Z17" i="1" s="1"/>
  <c r="AG18" i="1"/>
  <c r="AF18" i="1" s="1"/>
  <c r="AG19" i="1"/>
  <c r="AF19" i="1" s="1"/>
  <c r="AG20" i="1"/>
  <c r="AF20" i="1" s="1"/>
  <c r="AG21" i="1"/>
  <c r="AF21" i="1" s="1"/>
  <c r="AG22" i="1"/>
  <c r="AF22" i="1" s="1"/>
  <c r="AG23" i="1"/>
  <c r="X23" i="1" s="1"/>
  <c r="Z23" i="1" s="1"/>
  <c r="AG24" i="1"/>
  <c r="X24" i="1" s="1"/>
  <c r="AG25" i="1"/>
  <c r="X25" i="1" s="1"/>
  <c r="AG26" i="1"/>
  <c r="X26" i="1" s="1"/>
  <c r="Z26" i="1" s="1"/>
  <c r="AG27" i="1"/>
  <c r="X27" i="1" s="1"/>
  <c r="AG28" i="1"/>
  <c r="X28" i="1" s="1"/>
  <c r="Z28" i="1" s="1"/>
  <c r="AG29" i="1"/>
  <c r="X29" i="1" s="1"/>
  <c r="AG30" i="1"/>
  <c r="AG31" i="1"/>
  <c r="AG32" i="1"/>
  <c r="AG33" i="1"/>
  <c r="AG34" i="1"/>
  <c r="AG35" i="1"/>
  <c r="AG36" i="1"/>
  <c r="AG37" i="1"/>
  <c r="AG39" i="1"/>
  <c r="AG40" i="1"/>
  <c r="AG41" i="1"/>
  <c r="X41" i="1" s="1"/>
  <c r="Z41" i="1" s="1"/>
  <c r="AG42" i="1"/>
  <c r="AG43" i="1"/>
  <c r="AG44" i="1"/>
  <c r="X44" i="1" s="1"/>
  <c r="Z44" i="1" s="1"/>
  <c r="AG45" i="1"/>
  <c r="AG46" i="1"/>
  <c r="AG47" i="1"/>
  <c r="AG48" i="1"/>
  <c r="AG49" i="1"/>
  <c r="AG50" i="1"/>
  <c r="AG51" i="1"/>
  <c r="AG52" i="1"/>
  <c r="AG53" i="1"/>
  <c r="AG54" i="1"/>
  <c r="AG55" i="1"/>
  <c r="X55" i="1" s="1"/>
  <c r="Z55" i="1" s="1"/>
  <c r="AG56" i="1"/>
  <c r="AG57" i="1"/>
  <c r="AG58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X73" i="1" s="1"/>
  <c r="Z73" i="1" s="1"/>
  <c r="AG74" i="1"/>
  <c r="AG75" i="1"/>
  <c r="X75" i="1" s="1"/>
  <c r="AG76" i="1"/>
  <c r="X76" i="1" s="1"/>
  <c r="AG77" i="1"/>
  <c r="X77" i="1" s="1"/>
  <c r="AG78" i="1"/>
  <c r="X78" i="1" s="1"/>
  <c r="AG79" i="1"/>
  <c r="AG80" i="1"/>
  <c r="AG81" i="1"/>
  <c r="AG82" i="1"/>
  <c r="AG83" i="1"/>
  <c r="X83" i="1" s="1"/>
  <c r="Z83" i="1" s="1"/>
  <c r="AG84" i="1"/>
  <c r="AG85" i="1"/>
  <c r="AG86" i="1"/>
  <c r="AG87" i="1"/>
  <c r="AG88" i="1"/>
  <c r="AG89" i="1"/>
  <c r="AG90" i="1"/>
  <c r="AG91" i="1"/>
  <c r="AG92" i="1"/>
  <c r="AG93" i="1"/>
  <c r="AG94" i="1"/>
  <c r="X94" i="1" s="1"/>
  <c r="Z94" i="1" s="1"/>
  <c r="AG95" i="1"/>
  <c r="AG96" i="1"/>
  <c r="AG97" i="1"/>
  <c r="AG98" i="1"/>
  <c r="AG100" i="1"/>
  <c r="AG101" i="1"/>
  <c r="AG102" i="1"/>
  <c r="AG103" i="1"/>
  <c r="AG104" i="1"/>
  <c r="AG105" i="1"/>
  <c r="AG106" i="1"/>
  <c r="X106" i="1" s="1"/>
  <c r="AG107" i="1"/>
  <c r="X107" i="1" s="1"/>
  <c r="AG108" i="1"/>
  <c r="X108" i="1" s="1"/>
  <c r="Z108" i="1" s="1"/>
  <c r="AG109" i="1"/>
  <c r="X109" i="1" s="1"/>
  <c r="AG110" i="1"/>
  <c r="X110" i="1" s="1"/>
  <c r="AG111" i="1"/>
  <c r="X111" i="1" s="1"/>
  <c r="AG112" i="1"/>
  <c r="X112" i="1" s="1"/>
  <c r="AG113" i="1"/>
  <c r="AG114" i="1"/>
  <c r="X114" i="1" s="1"/>
  <c r="AG115" i="1"/>
  <c r="X115" i="1" s="1"/>
  <c r="AG116" i="1"/>
  <c r="X116" i="1" s="1"/>
  <c r="AG117" i="1"/>
  <c r="X117" i="1" s="1"/>
  <c r="AG118" i="1"/>
  <c r="X118" i="1" s="1"/>
  <c r="AG119" i="1"/>
  <c r="X119" i="1" s="1"/>
  <c r="AG120" i="1"/>
  <c r="X120" i="1" s="1"/>
  <c r="AG121" i="1"/>
  <c r="X121" i="1" s="1"/>
  <c r="AG124" i="1"/>
  <c r="X124" i="1" s="1"/>
  <c r="AG125" i="1"/>
  <c r="X125" i="1" s="1"/>
  <c r="Z125" i="1" s="1"/>
  <c r="AG126" i="1"/>
  <c r="X126" i="1" s="1"/>
  <c r="AG127" i="1"/>
  <c r="X127" i="1" s="1"/>
  <c r="AG128" i="1"/>
  <c r="X128" i="1" s="1"/>
  <c r="AG129" i="1"/>
  <c r="X129" i="1" s="1"/>
  <c r="AG130" i="1"/>
  <c r="X130" i="1" s="1"/>
  <c r="AG131" i="1"/>
  <c r="X131" i="1" s="1"/>
  <c r="AG132" i="1"/>
  <c r="X132" i="1" s="1"/>
  <c r="AG133" i="1"/>
  <c r="X133" i="1" s="1"/>
  <c r="AG134" i="1"/>
  <c r="X134" i="1" s="1"/>
  <c r="AG135" i="1"/>
  <c r="X135" i="1" s="1"/>
  <c r="AG136" i="1"/>
  <c r="X136" i="1" s="1"/>
  <c r="AG137" i="1"/>
  <c r="X137" i="1" s="1"/>
  <c r="AG138" i="1"/>
  <c r="AG139" i="1"/>
  <c r="X139" i="1" s="1"/>
  <c r="AG140" i="1"/>
  <c r="X140" i="1" s="1"/>
  <c r="AG141" i="1"/>
  <c r="X141" i="1" s="1"/>
  <c r="AG142" i="1"/>
  <c r="X142" i="1" s="1"/>
  <c r="AG143" i="1"/>
  <c r="X143" i="1" s="1"/>
  <c r="AG145" i="1"/>
  <c r="X145" i="1" s="1"/>
  <c r="AG146" i="1"/>
  <c r="X146" i="1" s="1"/>
  <c r="AG147" i="1"/>
  <c r="X147" i="1" s="1"/>
  <c r="AG148" i="1"/>
  <c r="X148" i="1" s="1"/>
  <c r="AG149" i="1"/>
  <c r="X149" i="1" s="1"/>
  <c r="AG150" i="1"/>
  <c r="X150" i="1" s="1"/>
  <c r="Z150" i="1" s="1"/>
  <c r="AG151" i="1"/>
  <c r="X151" i="1" s="1"/>
  <c r="AG152" i="1"/>
  <c r="X152" i="1" s="1"/>
  <c r="AG153" i="1"/>
  <c r="X153" i="1" s="1"/>
  <c r="AG154" i="1"/>
  <c r="X154" i="1" s="1"/>
  <c r="AG155" i="1"/>
  <c r="X155" i="1" s="1"/>
  <c r="AG156" i="1"/>
  <c r="X156" i="1" s="1"/>
  <c r="AG157" i="1"/>
  <c r="X157" i="1" s="1"/>
  <c r="AG158" i="1"/>
  <c r="X158" i="1" s="1"/>
  <c r="AG159" i="1"/>
  <c r="X159" i="1" s="1"/>
  <c r="AG160" i="1"/>
  <c r="X160" i="1" s="1"/>
  <c r="AG161" i="1"/>
  <c r="X161" i="1" s="1"/>
  <c r="AG162" i="1"/>
  <c r="X162" i="1" s="1"/>
  <c r="AG163" i="1"/>
  <c r="AG164" i="1"/>
  <c r="X164" i="1" s="1"/>
  <c r="AG165" i="1"/>
  <c r="X165" i="1" s="1"/>
  <c r="AG166" i="1"/>
  <c r="X166" i="1" s="1"/>
  <c r="AG167" i="1"/>
  <c r="X167" i="1" s="1"/>
  <c r="AG168" i="1"/>
  <c r="X168" i="1" s="1"/>
  <c r="AG169" i="1"/>
  <c r="X169" i="1" s="1"/>
  <c r="AG170" i="1"/>
  <c r="X170" i="1" s="1"/>
  <c r="AG171" i="1"/>
  <c r="X171" i="1" s="1"/>
  <c r="AG172" i="1"/>
  <c r="X172" i="1" s="1"/>
  <c r="Z172" i="1" s="1"/>
  <c r="AG173" i="1"/>
  <c r="X173" i="1" s="1"/>
  <c r="AG174" i="1"/>
  <c r="X174" i="1" s="1"/>
  <c r="Z174" i="1" s="1"/>
  <c r="AG175" i="1"/>
  <c r="X175" i="1" s="1"/>
  <c r="AG176" i="1"/>
  <c r="X176" i="1" s="1"/>
  <c r="Z176" i="1" s="1"/>
  <c r="AG177" i="1"/>
  <c r="X177" i="1" s="1"/>
  <c r="AG178" i="1"/>
  <c r="X178" i="1" s="1"/>
  <c r="Z178" i="1" s="1"/>
  <c r="AG179" i="1"/>
  <c r="X179" i="1" s="1"/>
  <c r="AG180" i="1"/>
  <c r="X180" i="1" s="1"/>
  <c r="AG181" i="1"/>
  <c r="X181" i="1" s="1"/>
  <c r="AG182" i="1"/>
  <c r="X182" i="1" s="1"/>
  <c r="Z182" i="1" s="1"/>
  <c r="AG183" i="1"/>
  <c r="X183" i="1" s="1"/>
  <c r="AG184" i="1"/>
  <c r="X184" i="1" s="1"/>
  <c r="Z184" i="1" s="1"/>
  <c r="AG185" i="1"/>
  <c r="X185" i="1" s="1"/>
  <c r="AG186" i="1"/>
  <c r="X186" i="1" s="1"/>
  <c r="AG187" i="1"/>
  <c r="AG188" i="1"/>
  <c r="X188" i="1" s="1"/>
  <c r="AG189" i="1"/>
  <c r="X189" i="1" s="1"/>
  <c r="AG190" i="1"/>
  <c r="X190" i="1" s="1"/>
  <c r="Z190" i="1" s="1"/>
  <c r="AG191" i="1"/>
  <c r="X191" i="1" s="1"/>
  <c r="AG192" i="1"/>
  <c r="X192" i="1" s="1"/>
  <c r="AG193" i="1"/>
  <c r="X193" i="1" s="1"/>
  <c r="Z193" i="1" s="1"/>
  <c r="AG194" i="1"/>
  <c r="X194" i="1" s="1"/>
  <c r="AG195" i="1"/>
  <c r="X195" i="1" s="1"/>
  <c r="AG196" i="1"/>
  <c r="X196" i="1" s="1"/>
  <c r="AG197" i="1"/>
  <c r="X197" i="1" s="1"/>
  <c r="AG198" i="1"/>
  <c r="X198" i="1" s="1"/>
  <c r="AG199" i="1"/>
  <c r="X199" i="1" s="1"/>
  <c r="AG200" i="1"/>
  <c r="X200" i="1" s="1"/>
  <c r="AG201" i="1"/>
  <c r="X201" i="1" s="1"/>
  <c r="Z201" i="1" s="1"/>
  <c r="AG202" i="1"/>
  <c r="X202" i="1" s="1"/>
  <c r="AG203" i="1"/>
  <c r="X203" i="1" s="1"/>
  <c r="AG204" i="1"/>
  <c r="X204" i="1" s="1"/>
  <c r="Z204" i="1" s="1"/>
  <c r="AG205" i="1"/>
  <c r="X205" i="1" s="1"/>
  <c r="AG206" i="1"/>
  <c r="X206" i="1" s="1"/>
  <c r="Z206" i="1" s="1"/>
  <c r="AG207" i="1"/>
  <c r="X207" i="1" s="1"/>
  <c r="AG208" i="1"/>
  <c r="X208" i="1" s="1"/>
  <c r="AG209" i="1"/>
  <c r="X209" i="1" s="1"/>
  <c r="AG210" i="1"/>
  <c r="X210" i="1" s="1"/>
  <c r="AG211" i="1"/>
  <c r="AG212" i="1"/>
  <c r="X212" i="1" s="1"/>
  <c r="AG213" i="1"/>
  <c r="X213" i="1" s="1"/>
  <c r="AG214" i="1"/>
  <c r="X214" i="1" s="1"/>
  <c r="AG215" i="1"/>
  <c r="X215" i="1" s="1"/>
  <c r="AG216" i="1"/>
  <c r="X216" i="1" s="1"/>
  <c r="Z216" i="1" s="1"/>
  <c r="AG217" i="1"/>
  <c r="X217" i="1" s="1"/>
  <c r="AG218" i="1"/>
  <c r="X218" i="1" s="1"/>
  <c r="AG219" i="1"/>
  <c r="AG220" i="1"/>
  <c r="AG221" i="1"/>
  <c r="AF221" i="1" s="1"/>
  <c r="AG222" i="1"/>
  <c r="AG223" i="1"/>
  <c r="AF223" i="1" s="1"/>
  <c r="AG224" i="1"/>
  <c r="AG225" i="1"/>
  <c r="AF225" i="1" s="1"/>
  <c r="AG226" i="1"/>
  <c r="AG227" i="1"/>
  <c r="AG228" i="1"/>
  <c r="AG229" i="1"/>
  <c r="AF229" i="1" s="1"/>
  <c r="AG230" i="1"/>
  <c r="AG231" i="1"/>
  <c r="AG232" i="1"/>
  <c r="AG233" i="1"/>
  <c r="AF233" i="1" s="1"/>
  <c r="AG234" i="1"/>
  <c r="AG235" i="1"/>
  <c r="AF235" i="1" s="1"/>
  <c r="AG236" i="1"/>
  <c r="AG237" i="1"/>
  <c r="AF237" i="1" s="1"/>
  <c r="AG238" i="1"/>
  <c r="AG239" i="1"/>
  <c r="AF239" i="1" s="1"/>
  <c r="AG240" i="1"/>
  <c r="AG241" i="1"/>
  <c r="AF241" i="1" s="1"/>
  <c r="AG242" i="1"/>
  <c r="AG243" i="1"/>
  <c r="AG244" i="1"/>
  <c r="X244" i="1" s="1"/>
  <c r="AG245" i="1"/>
  <c r="X245" i="1" s="1"/>
  <c r="AG246" i="1"/>
  <c r="X246" i="1" s="1"/>
  <c r="Z246" i="1" s="1"/>
  <c r="AG247" i="1"/>
  <c r="X247" i="1" s="1"/>
  <c r="AG248" i="1"/>
  <c r="X248" i="1" s="1"/>
  <c r="AG249" i="1"/>
  <c r="X249" i="1" s="1"/>
  <c r="AG250" i="1"/>
  <c r="X250" i="1" s="1"/>
  <c r="AG251" i="1"/>
  <c r="X251" i="1" s="1"/>
  <c r="AG252" i="1"/>
  <c r="X252" i="1" s="1"/>
  <c r="Z252" i="1" s="1"/>
  <c r="AG253" i="1"/>
  <c r="AF253" i="1" s="1"/>
  <c r="AG254" i="1"/>
  <c r="AG255" i="1"/>
  <c r="AF255" i="1" s="1"/>
  <c r="AG256" i="1"/>
  <c r="X256" i="1" s="1"/>
  <c r="Z256" i="1" s="1"/>
  <c r="AG257" i="1"/>
  <c r="X257" i="1" s="1"/>
  <c r="AG258" i="1"/>
  <c r="X258" i="1" s="1"/>
  <c r="AG259" i="1"/>
  <c r="X259" i="1" s="1"/>
  <c r="AG260" i="1"/>
  <c r="X260" i="1" s="1"/>
  <c r="AG261" i="1"/>
  <c r="X261" i="1" s="1"/>
  <c r="Z261" i="1" s="1"/>
  <c r="AG262" i="1"/>
  <c r="X262" i="1" s="1"/>
  <c r="AG263" i="1"/>
  <c r="X263" i="1" s="1"/>
  <c r="AG264" i="1"/>
  <c r="X264" i="1" s="1"/>
  <c r="AG265" i="1"/>
  <c r="X265" i="1" s="1"/>
  <c r="AG266" i="1"/>
  <c r="X266" i="1" s="1"/>
  <c r="AG267" i="1"/>
  <c r="X267" i="1" s="1"/>
  <c r="AG268" i="1"/>
  <c r="X268" i="1" s="1"/>
  <c r="AG269" i="1"/>
  <c r="X269" i="1" s="1"/>
  <c r="AG270" i="1"/>
  <c r="X270" i="1" s="1"/>
  <c r="AG271" i="1"/>
  <c r="X271" i="1" s="1"/>
  <c r="AG272" i="1"/>
  <c r="X272" i="1" s="1"/>
  <c r="AG273" i="1"/>
  <c r="X273" i="1" s="1"/>
  <c r="Z273" i="1" s="1"/>
  <c r="AG274" i="1"/>
  <c r="X274" i="1" s="1"/>
  <c r="AG275" i="1"/>
  <c r="X275" i="1" s="1"/>
  <c r="AG276" i="1"/>
  <c r="X276" i="1" s="1"/>
  <c r="AG277" i="1"/>
  <c r="X277" i="1" s="1"/>
  <c r="AG278" i="1"/>
  <c r="X278" i="1" s="1"/>
  <c r="AG279" i="1"/>
  <c r="X279" i="1" s="1"/>
  <c r="AG280" i="1"/>
  <c r="X280" i="1" s="1"/>
  <c r="AG281" i="1"/>
  <c r="X281" i="1" s="1"/>
  <c r="AG282" i="1"/>
  <c r="X282" i="1" s="1"/>
  <c r="AG283" i="1"/>
  <c r="X283" i="1" s="1"/>
  <c r="AG284" i="1"/>
  <c r="X284" i="1" s="1"/>
  <c r="AG285" i="1"/>
  <c r="X285" i="1" s="1"/>
  <c r="AG286" i="1"/>
  <c r="X286" i="1" s="1"/>
  <c r="Z286" i="1" s="1"/>
  <c r="AG287" i="1"/>
  <c r="X287" i="1" s="1"/>
  <c r="AG288" i="1"/>
  <c r="X288" i="1" s="1"/>
  <c r="Z288" i="1" s="1"/>
  <c r="AG289" i="1"/>
  <c r="X289" i="1" s="1"/>
  <c r="AG290" i="1"/>
  <c r="X290" i="1" s="1"/>
  <c r="AG291" i="1"/>
  <c r="X291" i="1" s="1"/>
  <c r="AG292" i="1"/>
  <c r="X292" i="1" s="1"/>
  <c r="Z292" i="1" s="1"/>
  <c r="AG293" i="1"/>
  <c r="X293" i="1" s="1"/>
  <c r="AG294" i="1"/>
  <c r="X294" i="1" s="1"/>
  <c r="AG295" i="1"/>
  <c r="X295" i="1" s="1"/>
  <c r="AG296" i="1"/>
  <c r="X296" i="1" s="1"/>
  <c r="AG297" i="1"/>
  <c r="AG298" i="1"/>
  <c r="X298" i="1" s="1"/>
  <c r="AG299" i="1"/>
  <c r="AG300" i="1"/>
  <c r="X300" i="1" s="1"/>
  <c r="AG301" i="1"/>
  <c r="X301" i="1" s="1"/>
  <c r="AG302" i="1"/>
  <c r="X302" i="1" s="1"/>
  <c r="Z302" i="1" s="1"/>
  <c r="AG303" i="1"/>
  <c r="X303" i="1" s="1"/>
  <c r="AG304" i="1"/>
  <c r="X304" i="1" s="1"/>
  <c r="Z304" i="1" s="1"/>
  <c r="AG305" i="1"/>
  <c r="X305" i="1" s="1"/>
  <c r="AG306" i="1"/>
  <c r="X306" i="1" s="1"/>
  <c r="AG307" i="1"/>
  <c r="X307" i="1" s="1"/>
  <c r="AG308" i="1"/>
  <c r="X308" i="1" s="1"/>
  <c r="AG309" i="1"/>
  <c r="X309" i="1" s="1"/>
  <c r="AG310" i="1"/>
  <c r="X310" i="1" s="1"/>
  <c r="AG311" i="1"/>
  <c r="X311" i="1" s="1"/>
  <c r="AG312" i="1"/>
  <c r="X312" i="1" s="1"/>
  <c r="Z312" i="1" s="1"/>
  <c r="AG313" i="1"/>
  <c r="X313" i="1" s="1"/>
  <c r="AG314" i="1"/>
  <c r="X314" i="1" s="1"/>
  <c r="AG315" i="1"/>
  <c r="X315" i="1" s="1"/>
  <c r="AG316" i="1"/>
  <c r="X316" i="1" s="1"/>
  <c r="AG317" i="1"/>
  <c r="X317" i="1" s="1"/>
  <c r="AG318" i="1"/>
  <c r="X318" i="1" s="1"/>
  <c r="AG319" i="1"/>
  <c r="X319" i="1" s="1"/>
  <c r="AG320" i="1"/>
  <c r="X320" i="1" s="1"/>
  <c r="AG321" i="1"/>
  <c r="X321" i="1" s="1"/>
  <c r="AG322" i="1"/>
  <c r="X322" i="1" s="1"/>
  <c r="Z322" i="1" s="1"/>
  <c r="AG323" i="1"/>
  <c r="X323" i="1" s="1"/>
  <c r="AG324" i="1"/>
  <c r="X324" i="1" s="1"/>
  <c r="AG325" i="1"/>
  <c r="X325" i="1" s="1"/>
  <c r="AG326" i="1"/>
  <c r="X326" i="1" s="1"/>
  <c r="AG327" i="1"/>
  <c r="X327" i="1" s="1"/>
  <c r="AG328" i="1"/>
  <c r="X328" i="1" s="1"/>
  <c r="AG329" i="1"/>
  <c r="X329" i="1" s="1"/>
  <c r="AG330" i="1"/>
  <c r="X330" i="1" s="1"/>
  <c r="AG331" i="1"/>
  <c r="AG332" i="1"/>
  <c r="AG333" i="1"/>
  <c r="AF333" i="1" s="1"/>
  <c r="AG334" i="1"/>
  <c r="AG335" i="1"/>
  <c r="AF335" i="1" s="1"/>
  <c r="AG336" i="1"/>
  <c r="AG337" i="1"/>
  <c r="AF337" i="1" s="1"/>
  <c r="AG338" i="1"/>
  <c r="AG339" i="1"/>
  <c r="AG340" i="1"/>
  <c r="X340" i="1" s="1"/>
  <c r="AG341" i="1"/>
  <c r="X341" i="1" s="1"/>
  <c r="AG342" i="1"/>
  <c r="X342" i="1" s="1"/>
  <c r="AG343" i="1"/>
  <c r="AG344" i="1"/>
  <c r="X344" i="1" s="1"/>
  <c r="AG345" i="1"/>
  <c r="X345" i="1" s="1"/>
  <c r="AG346" i="1"/>
  <c r="X346" i="1" s="1"/>
  <c r="Z346" i="1" s="1"/>
  <c r="AG347" i="1"/>
  <c r="X347" i="1" s="1"/>
  <c r="AG348" i="1"/>
  <c r="X348" i="1" s="1"/>
  <c r="AG349" i="1"/>
  <c r="X349" i="1" s="1"/>
  <c r="AG350" i="1"/>
  <c r="X350" i="1" s="1"/>
  <c r="AG351" i="1"/>
  <c r="AF351" i="1" s="1"/>
  <c r="AG352" i="1"/>
  <c r="X352" i="1" s="1"/>
  <c r="AG353" i="1"/>
  <c r="X353" i="1" s="1"/>
  <c r="AG354" i="1"/>
  <c r="X354" i="1" s="1"/>
  <c r="AG355" i="1"/>
  <c r="X355" i="1" s="1"/>
  <c r="AG356" i="1"/>
  <c r="X356" i="1" s="1"/>
  <c r="AG357" i="1"/>
  <c r="X357" i="1" s="1"/>
  <c r="AG358" i="1"/>
  <c r="X358" i="1" s="1"/>
  <c r="Z358" i="1" s="1"/>
  <c r="AG359" i="1"/>
  <c r="X359" i="1" s="1"/>
  <c r="AG360" i="1"/>
  <c r="X360" i="1" s="1"/>
  <c r="AG361" i="1"/>
  <c r="X361" i="1" s="1"/>
  <c r="AG362" i="1"/>
  <c r="X362" i="1" s="1"/>
  <c r="AG363" i="1"/>
  <c r="X363" i="1" s="1"/>
  <c r="AG364" i="1"/>
  <c r="X364" i="1" s="1"/>
  <c r="AG365" i="1"/>
  <c r="X365" i="1" s="1"/>
  <c r="AG366" i="1"/>
  <c r="X366" i="1" s="1"/>
  <c r="AG367" i="1"/>
  <c r="X367" i="1" s="1"/>
  <c r="AG368" i="1"/>
  <c r="X368" i="1" s="1"/>
  <c r="AG369" i="1"/>
  <c r="X369" i="1" s="1"/>
  <c r="AG370" i="1"/>
  <c r="X370" i="1" s="1"/>
  <c r="AG371" i="1"/>
  <c r="AG372" i="1"/>
  <c r="X372" i="1" s="1"/>
  <c r="AG373" i="1"/>
  <c r="X373" i="1" s="1"/>
  <c r="AG374" i="1"/>
  <c r="X374" i="1" s="1"/>
  <c r="AG375" i="1"/>
  <c r="X375" i="1" s="1"/>
  <c r="AG376" i="1"/>
  <c r="X376" i="1" s="1"/>
  <c r="AG377" i="1"/>
  <c r="X377" i="1" s="1"/>
  <c r="AG378" i="1"/>
  <c r="X378" i="1" s="1"/>
  <c r="AG379" i="1"/>
  <c r="X379" i="1" s="1"/>
  <c r="AG380" i="1"/>
  <c r="X380" i="1" s="1"/>
  <c r="AG381" i="1"/>
  <c r="X381" i="1" s="1"/>
  <c r="AG382" i="1"/>
  <c r="X382" i="1" s="1"/>
  <c r="Z382" i="1" s="1"/>
  <c r="AG383" i="1"/>
  <c r="X383" i="1" s="1"/>
  <c r="AG384" i="1"/>
  <c r="X384" i="1" s="1"/>
  <c r="Z384" i="1" s="1"/>
  <c r="AG385" i="1"/>
  <c r="X385" i="1" s="1"/>
  <c r="AG386" i="1"/>
  <c r="X386" i="1" s="1"/>
  <c r="AG387" i="1"/>
  <c r="AG388" i="1"/>
  <c r="X388" i="1" s="1"/>
  <c r="AG389" i="1"/>
  <c r="X389" i="1" s="1"/>
  <c r="AG390" i="1"/>
  <c r="X390" i="1" s="1"/>
  <c r="Z390" i="1" s="1"/>
  <c r="AG391" i="1"/>
  <c r="X391" i="1" s="1"/>
  <c r="AG392" i="1"/>
  <c r="X392" i="1" s="1"/>
  <c r="AG393" i="1"/>
  <c r="AG394" i="1"/>
  <c r="X394" i="1" s="1"/>
  <c r="AG395" i="1"/>
  <c r="AG396" i="1"/>
  <c r="X396" i="1" s="1"/>
  <c r="AG397" i="1"/>
  <c r="AG398" i="1"/>
  <c r="X398" i="1" s="1"/>
  <c r="AG399" i="1"/>
  <c r="AG400" i="1"/>
  <c r="X400" i="1" s="1"/>
  <c r="AG401" i="1"/>
  <c r="X401" i="1" s="1"/>
  <c r="AG402" i="1"/>
  <c r="X402" i="1" s="1"/>
  <c r="AG403" i="1"/>
  <c r="X403" i="1" s="1"/>
  <c r="AG404" i="1"/>
  <c r="X404" i="1" s="1"/>
  <c r="AG405" i="1"/>
  <c r="X405" i="1" s="1"/>
  <c r="AG406" i="1"/>
  <c r="X406" i="1" s="1"/>
  <c r="AG407" i="1"/>
  <c r="X407" i="1" s="1"/>
  <c r="AG408" i="1"/>
  <c r="X408" i="1" s="1"/>
  <c r="Z408" i="1" s="1"/>
  <c r="AG409" i="1"/>
  <c r="X409" i="1" s="1"/>
  <c r="AG410" i="1"/>
  <c r="X410" i="1" s="1"/>
  <c r="Z410" i="1" s="1"/>
  <c r="AG411" i="1"/>
  <c r="X411" i="1" s="1"/>
  <c r="AG412" i="1"/>
  <c r="X412" i="1" s="1"/>
  <c r="Z412" i="1" s="1"/>
  <c r="AG413" i="1"/>
  <c r="X413" i="1" s="1"/>
  <c r="AG414" i="1"/>
  <c r="X414" i="1" s="1"/>
  <c r="AG415" i="1"/>
  <c r="X415" i="1" s="1"/>
  <c r="AG416" i="1"/>
  <c r="X416" i="1" s="1"/>
  <c r="AG417" i="1"/>
  <c r="X417" i="1" s="1"/>
  <c r="Z417" i="1" s="1"/>
  <c r="AG418" i="1"/>
  <c r="X418" i="1" s="1"/>
  <c r="AG419" i="1"/>
  <c r="X419" i="1" s="1"/>
  <c r="AG420" i="1"/>
  <c r="X420" i="1" s="1"/>
  <c r="AG421" i="1"/>
  <c r="AG422" i="1"/>
  <c r="X422" i="1" s="1"/>
  <c r="AG423" i="1"/>
  <c r="X423" i="1" s="1"/>
  <c r="AG424" i="1"/>
  <c r="X424" i="1" s="1"/>
  <c r="AG425" i="1"/>
  <c r="X425" i="1" s="1"/>
  <c r="AG426" i="1"/>
  <c r="X426" i="1" s="1"/>
  <c r="AG427" i="1"/>
  <c r="X427" i="1" s="1"/>
  <c r="AG428" i="1"/>
  <c r="X428" i="1" s="1"/>
  <c r="AG429" i="1"/>
  <c r="X429" i="1" s="1"/>
  <c r="Z429" i="1" s="1"/>
  <c r="AG430" i="1"/>
  <c r="AG431" i="1"/>
  <c r="AF431" i="1" s="1"/>
  <c r="AG433" i="1"/>
  <c r="AG434" i="1"/>
  <c r="AF434" i="1" s="1"/>
  <c r="AG435" i="1"/>
  <c r="AG436" i="1"/>
  <c r="AF436" i="1" s="1"/>
  <c r="AG437" i="1"/>
  <c r="X437" i="1" s="1"/>
  <c r="Z437" i="1" s="1"/>
  <c r="AG438" i="1"/>
  <c r="AF438" i="1" s="1"/>
  <c r="AG439" i="1"/>
  <c r="AG440" i="1"/>
  <c r="AG441" i="1"/>
  <c r="X441" i="1" s="1"/>
  <c r="AG442" i="1"/>
  <c r="X442" i="1" s="1"/>
  <c r="AG443" i="1"/>
  <c r="X443" i="1" s="1"/>
  <c r="AG444" i="1"/>
  <c r="X444" i="1" s="1"/>
  <c r="AG445" i="1"/>
  <c r="X445" i="1" s="1"/>
  <c r="AG446" i="1"/>
  <c r="AG447" i="1"/>
  <c r="X447" i="1" s="1"/>
  <c r="AG448" i="1"/>
  <c r="X448" i="1" s="1"/>
  <c r="AG449" i="1"/>
  <c r="X449" i="1" s="1"/>
  <c r="AG450" i="1"/>
  <c r="X450" i="1" s="1"/>
  <c r="AG451" i="1"/>
  <c r="X451" i="1" s="1"/>
  <c r="AG452" i="1"/>
  <c r="AG453" i="1"/>
  <c r="X453" i="1" s="1"/>
  <c r="AG454" i="1"/>
  <c r="X454" i="1" s="1"/>
  <c r="AG455" i="1"/>
  <c r="X455" i="1" s="1"/>
  <c r="AG456" i="1"/>
  <c r="X456" i="1" s="1"/>
  <c r="AG457" i="1"/>
  <c r="X457" i="1" s="1"/>
  <c r="AG458" i="1"/>
  <c r="X458" i="1" s="1"/>
  <c r="AG459" i="1"/>
  <c r="X459" i="1" s="1"/>
  <c r="AG460" i="1"/>
  <c r="X460" i="1" s="1"/>
  <c r="AG461" i="1"/>
  <c r="X461" i="1" s="1"/>
  <c r="AG462" i="1"/>
  <c r="X462" i="1" s="1"/>
  <c r="AG463" i="1"/>
  <c r="X463" i="1" s="1"/>
  <c r="Z463" i="1" s="1"/>
  <c r="AG464" i="1"/>
  <c r="X464" i="1" s="1"/>
  <c r="AG465" i="1"/>
  <c r="X465" i="1" s="1"/>
  <c r="AG466" i="1"/>
  <c r="X466" i="1" s="1"/>
  <c r="AG467" i="1"/>
  <c r="X467" i="1" s="1"/>
  <c r="Z467" i="1" s="1"/>
  <c r="AG468" i="1"/>
  <c r="X468" i="1" s="1"/>
  <c r="AG469" i="1"/>
  <c r="X469" i="1" s="1"/>
  <c r="Z469" i="1" s="1"/>
  <c r="AG470" i="1"/>
  <c r="X470" i="1" s="1"/>
  <c r="AG471" i="1"/>
  <c r="X471" i="1" s="1"/>
  <c r="Z471" i="1" s="1"/>
  <c r="AG472" i="1"/>
  <c r="X472" i="1" s="1"/>
  <c r="AG473" i="1"/>
  <c r="X473" i="1" s="1"/>
  <c r="Z473" i="1" s="1"/>
  <c r="AG474" i="1"/>
  <c r="X474" i="1" s="1"/>
  <c r="AG475" i="1"/>
  <c r="X475" i="1" s="1"/>
  <c r="AG476" i="1"/>
  <c r="AG477" i="1"/>
  <c r="X477" i="1" s="1"/>
  <c r="AG478" i="1"/>
  <c r="X478" i="1" s="1"/>
  <c r="Z478" i="1" s="1"/>
  <c r="AG479" i="1"/>
  <c r="X479" i="1" s="1"/>
  <c r="AG480" i="1"/>
  <c r="AG481" i="1"/>
  <c r="X481" i="1" s="1"/>
  <c r="AG482" i="1"/>
  <c r="X482" i="1" s="1"/>
  <c r="AG483" i="1"/>
  <c r="X483" i="1" s="1"/>
  <c r="Z483" i="1" s="1"/>
  <c r="AG484" i="1"/>
  <c r="X484" i="1" s="1"/>
  <c r="AG485" i="1"/>
  <c r="X485" i="1" s="1"/>
  <c r="AG486" i="1"/>
  <c r="X486" i="1" s="1"/>
  <c r="Z486" i="1" s="1"/>
  <c r="AG487" i="1"/>
  <c r="X487" i="1" s="1"/>
  <c r="AG488" i="1"/>
  <c r="X488" i="1" s="1"/>
  <c r="AG489" i="1"/>
  <c r="X489" i="1" s="1"/>
  <c r="Z489" i="1" s="1"/>
  <c r="AG490" i="1"/>
  <c r="X490" i="1" s="1"/>
  <c r="AG491" i="1"/>
  <c r="X491" i="1" s="1"/>
  <c r="AG492" i="1"/>
  <c r="AG493" i="1"/>
  <c r="X493" i="1" s="1"/>
  <c r="AG494" i="1"/>
  <c r="X494" i="1" s="1"/>
  <c r="AG495" i="1"/>
  <c r="X495" i="1" s="1"/>
  <c r="AG496" i="1"/>
  <c r="X496" i="1" s="1"/>
  <c r="AG497" i="1"/>
  <c r="X497" i="1" s="1"/>
  <c r="AG498" i="1"/>
  <c r="AG499" i="1"/>
  <c r="X499" i="1" s="1"/>
  <c r="AG500" i="1"/>
  <c r="AG501" i="1"/>
  <c r="X501" i="1" s="1"/>
  <c r="Z501" i="1" s="1"/>
  <c r="AG502" i="1"/>
  <c r="X502" i="1" s="1"/>
  <c r="AG503" i="1"/>
  <c r="X503" i="1" s="1"/>
  <c r="AG504" i="1"/>
  <c r="X504" i="1" s="1"/>
  <c r="AG505" i="1"/>
  <c r="X505" i="1" s="1"/>
  <c r="Z505" i="1" s="1"/>
  <c r="AG506" i="1"/>
  <c r="X506" i="1" s="1"/>
  <c r="AG507" i="1"/>
  <c r="X507" i="1" s="1"/>
  <c r="AG508" i="1"/>
  <c r="X508" i="1" s="1"/>
  <c r="AG509" i="1"/>
  <c r="X509" i="1" s="1"/>
  <c r="AG510" i="1"/>
  <c r="X510" i="1" s="1"/>
  <c r="AG511" i="1"/>
  <c r="X511" i="1" s="1"/>
  <c r="AG512" i="1"/>
  <c r="X512" i="1" s="1"/>
  <c r="AG513" i="1"/>
  <c r="X513" i="1" s="1"/>
  <c r="AG514" i="1"/>
  <c r="X514" i="1" s="1"/>
  <c r="AG515" i="1"/>
  <c r="X515" i="1" s="1"/>
  <c r="AG516" i="1"/>
  <c r="X516" i="1" s="1"/>
  <c r="Z516" i="1" s="1"/>
  <c r="AG517" i="1"/>
  <c r="AG518" i="1"/>
  <c r="AG519" i="1"/>
  <c r="AG520" i="1"/>
  <c r="AG521" i="1"/>
  <c r="AG522" i="1"/>
  <c r="AG523" i="1"/>
  <c r="AG524" i="1"/>
  <c r="AG525" i="1"/>
  <c r="AG526" i="1"/>
  <c r="AG527" i="1"/>
  <c r="X527" i="1" s="1"/>
  <c r="AG528" i="1"/>
  <c r="X528" i="1" s="1"/>
  <c r="AG529" i="1"/>
  <c r="X529" i="1" s="1"/>
  <c r="AG530" i="1"/>
  <c r="X530" i="1" s="1"/>
  <c r="AG531" i="1"/>
  <c r="X531" i="1" s="1"/>
  <c r="Z531" i="1" s="1"/>
  <c r="AG532" i="1"/>
  <c r="AG533" i="1"/>
  <c r="X533" i="1" s="1"/>
  <c r="Z533" i="1" s="1"/>
  <c r="AG534" i="1"/>
  <c r="X534" i="1" s="1"/>
  <c r="AG535" i="1"/>
  <c r="X535" i="1" s="1"/>
  <c r="AG536" i="1"/>
  <c r="X536" i="1" s="1"/>
  <c r="AG537" i="1"/>
  <c r="X537" i="1" s="1"/>
  <c r="Z537" i="1" s="1"/>
  <c r="AG538" i="1"/>
  <c r="AG539" i="1"/>
  <c r="X539" i="1" s="1"/>
  <c r="Z539" i="1" s="1"/>
  <c r="AG540" i="1"/>
  <c r="X540" i="1" s="1"/>
  <c r="AG541" i="1"/>
  <c r="X541" i="1" s="1"/>
  <c r="AG542" i="1"/>
  <c r="X542" i="1" s="1"/>
  <c r="Z542" i="1" s="1"/>
  <c r="AG543" i="1"/>
  <c r="X543" i="1" s="1"/>
  <c r="AG544" i="1"/>
  <c r="X544" i="1" s="1"/>
  <c r="Z544" i="1" s="1"/>
  <c r="AG545" i="1"/>
  <c r="X545" i="1" s="1"/>
  <c r="AG546" i="1"/>
  <c r="AG547" i="1"/>
  <c r="X547" i="1" s="1"/>
  <c r="AG548" i="1"/>
  <c r="X548" i="1" s="1"/>
  <c r="Z548" i="1" s="1"/>
  <c r="AG549" i="1"/>
  <c r="X549" i="1" s="1"/>
  <c r="AG550" i="1"/>
  <c r="X550" i="1" s="1"/>
  <c r="Z550" i="1" s="1"/>
  <c r="AG551" i="1"/>
  <c r="X551" i="1" s="1"/>
  <c r="AG552" i="1"/>
  <c r="X552" i="1" s="1"/>
  <c r="AG553" i="1"/>
  <c r="X553" i="1" s="1"/>
  <c r="AG554" i="1"/>
  <c r="X554" i="1" s="1"/>
  <c r="AG555" i="1"/>
  <c r="X555" i="1" s="1"/>
  <c r="AG556" i="1"/>
  <c r="X556" i="1" s="1"/>
  <c r="AG557" i="1"/>
  <c r="X557" i="1" s="1"/>
  <c r="Z557" i="1" s="1"/>
  <c r="AG558" i="1"/>
  <c r="AG559" i="1"/>
  <c r="AG560" i="1"/>
  <c r="AG561" i="1"/>
  <c r="AG562" i="1"/>
  <c r="AG563" i="1"/>
  <c r="AG564" i="1"/>
  <c r="AG565" i="1"/>
  <c r="X565" i="1" s="1"/>
  <c r="Z565" i="1" s="1"/>
  <c r="AG566" i="1"/>
  <c r="AG567" i="1"/>
  <c r="AG568" i="1"/>
  <c r="X568" i="1" s="1"/>
  <c r="Z568" i="1" s="1"/>
  <c r="AG569" i="1"/>
  <c r="AG570" i="1"/>
  <c r="AG571" i="1"/>
  <c r="X571" i="1" s="1"/>
  <c r="Z571" i="1" s="1"/>
  <c r="AG572" i="1"/>
  <c r="X572" i="1" s="1"/>
  <c r="AG573" i="1"/>
  <c r="X573" i="1" s="1"/>
  <c r="AG574" i="1"/>
  <c r="X574" i="1" s="1"/>
  <c r="AG575" i="1"/>
  <c r="AG576" i="1"/>
  <c r="X576" i="1" s="1"/>
  <c r="AG577" i="1"/>
  <c r="X577" i="1" s="1"/>
  <c r="AG578" i="1"/>
  <c r="AG579" i="1"/>
  <c r="X579" i="1" s="1"/>
  <c r="AG580" i="1"/>
  <c r="X580" i="1" s="1"/>
  <c r="Z580" i="1" s="1"/>
  <c r="AG581" i="1"/>
  <c r="X581" i="1" s="1"/>
  <c r="AG582" i="1"/>
  <c r="X582" i="1" s="1"/>
  <c r="AG583" i="1"/>
  <c r="AG584" i="1"/>
  <c r="X584" i="1" s="1"/>
  <c r="AG585" i="1"/>
  <c r="AG586" i="1"/>
  <c r="AG587" i="1"/>
  <c r="AG588" i="1"/>
  <c r="X588" i="1" s="1"/>
  <c r="Z588" i="1" s="1"/>
  <c r="AG589" i="1"/>
  <c r="X589" i="1" s="1"/>
  <c r="AG590" i="1"/>
  <c r="X590" i="1" s="1"/>
  <c r="Z590" i="1" s="1"/>
  <c r="AG591" i="1"/>
  <c r="AG592" i="1"/>
  <c r="X592" i="1" s="1"/>
  <c r="AG593" i="1"/>
  <c r="X593" i="1" s="1"/>
  <c r="Z593" i="1" s="1"/>
  <c r="AG594" i="1"/>
  <c r="AG595" i="1"/>
  <c r="X595" i="1" s="1"/>
  <c r="AG596" i="1"/>
  <c r="X596" i="1" s="1"/>
  <c r="Z596" i="1" s="1"/>
  <c r="AG597" i="1"/>
  <c r="X597" i="1" s="1"/>
  <c r="AG598" i="1"/>
  <c r="X598" i="1" s="1"/>
  <c r="Z598" i="1" s="1"/>
  <c r="AG599" i="1"/>
  <c r="AG600" i="1"/>
  <c r="X600" i="1" s="1"/>
  <c r="AG601" i="1"/>
  <c r="X601" i="1" s="1"/>
  <c r="Z601" i="1" s="1"/>
  <c r="AG602" i="1"/>
  <c r="AG603" i="1"/>
  <c r="X603" i="1" s="1"/>
  <c r="Z603" i="1" s="1"/>
  <c r="AG604" i="1"/>
  <c r="X604" i="1" s="1"/>
  <c r="AG605" i="1"/>
  <c r="X605" i="1" s="1"/>
  <c r="AG606" i="1"/>
  <c r="X606" i="1" s="1"/>
  <c r="Z606" i="1" s="1"/>
  <c r="AG607" i="1"/>
  <c r="AG608" i="1"/>
  <c r="AG609" i="1"/>
  <c r="X609" i="1" s="1"/>
  <c r="Z609" i="1" s="1"/>
  <c r="AG610" i="1"/>
  <c r="AG611" i="1"/>
  <c r="X611" i="1" s="1"/>
  <c r="AG612" i="1"/>
  <c r="AG613" i="1"/>
  <c r="X613" i="1" s="1"/>
  <c r="Z613" i="1" s="1"/>
  <c r="AG614" i="1"/>
  <c r="X614" i="1" s="1"/>
  <c r="Z614" i="1" s="1"/>
  <c r="AG615" i="1"/>
  <c r="AG616" i="1"/>
  <c r="AG617" i="1"/>
  <c r="X617" i="1" s="1"/>
  <c r="Z617" i="1" s="1"/>
  <c r="AG618" i="1"/>
  <c r="AG619" i="1"/>
  <c r="X619" i="1" s="1"/>
  <c r="Z619" i="1" s="1"/>
  <c r="AG620" i="1"/>
  <c r="AG621" i="1"/>
  <c r="X621" i="1" s="1"/>
  <c r="Z621" i="1" s="1"/>
  <c r="AG622" i="1"/>
  <c r="X622" i="1" s="1"/>
  <c r="Z622" i="1" s="1"/>
  <c r="AG623" i="1"/>
  <c r="AG624" i="1"/>
  <c r="X624" i="1" s="1"/>
  <c r="Z624" i="1" s="1"/>
  <c r="AG625" i="1"/>
  <c r="X625" i="1" s="1"/>
  <c r="Z625" i="1" s="1"/>
  <c r="AG626" i="1"/>
  <c r="AG627" i="1"/>
  <c r="X627" i="1" s="1"/>
  <c r="Z627" i="1" s="1"/>
  <c r="AG628" i="1"/>
  <c r="AG629" i="1"/>
  <c r="X629" i="1" s="1"/>
  <c r="Z629" i="1" s="1"/>
  <c r="AG630" i="1"/>
  <c r="X630" i="1" s="1"/>
  <c r="Z630" i="1" s="1"/>
  <c r="AG631" i="1"/>
  <c r="AG632" i="1"/>
  <c r="AG633" i="1"/>
  <c r="X633" i="1" s="1"/>
  <c r="Z633" i="1" s="1"/>
  <c r="AG634" i="1"/>
  <c r="AG635" i="1"/>
  <c r="X635" i="1" s="1"/>
  <c r="Z635" i="1" s="1"/>
  <c r="AG636" i="1"/>
  <c r="X636" i="1" s="1"/>
  <c r="Z636" i="1" s="1"/>
  <c r="AG637" i="1"/>
  <c r="X637" i="1" s="1"/>
  <c r="Z637" i="1" s="1"/>
  <c r="AG638" i="1"/>
  <c r="X638" i="1" s="1"/>
  <c r="Z638" i="1" s="1"/>
  <c r="AG639" i="1"/>
  <c r="AG640" i="1"/>
  <c r="X640" i="1" s="1"/>
  <c r="Z640" i="1" s="1"/>
  <c r="AG641" i="1"/>
  <c r="AG642" i="1"/>
  <c r="AG643" i="1"/>
  <c r="AG644" i="1"/>
  <c r="AG645" i="1"/>
  <c r="AG646" i="1"/>
  <c r="X646" i="1" s="1"/>
  <c r="Z646" i="1" s="1"/>
  <c r="AG647" i="1"/>
  <c r="AG648" i="1"/>
  <c r="AG649" i="1"/>
  <c r="AG650" i="1"/>
  <c r="AG651" i="1"/>
  <c r="AG652" i="1"/>
  <c r="X652" i="1" s="1"/>
  <c r="Z652" i="1" s="1"/>
  <c r="AG653" i="1"/>
  <c r="AG654" i="1"/>
  <c r="X654" i="1" s="1"/>
  <c r="Z654" i="1" s="1"/>
  <c r="AG655" i="1"/>
  <c r="AG656" i="1"/>
  <c r="X656" i="1" s="1"/>
  <c r="Z656" i="1" s="1"/>
  <c r="AG657" i="1"/>
  <c r="AG658" i="1"/>
  <c r="AG659" i="1"/>
  <c r="AG660" i="1"/>
  <c r="AG661" i="1"/>
  <c r="AG662" i="1"/>
  <c r="X662" i="1" s="1"/>
  <c r="Z662" i="1" s="1"/>
  <c r="AG663" i="1"/>
  <c r="AG664" i="1"/>
  <c r="AG665" i="1"/>
  <c r="AG666" i="1"/>
  <c r="X666" i="1" s="1"/>
  <c r="Z666" i="1" s="1"/>
  <c r="AG667" i="1"/>
  <c r="AG668" i="1"/>
  <c r="X668" i="1" s="1"/>
  <c r="Z668" i="1" s="1"/>
  <c r="AG669" i="1"/>
  <c r="AG670" i="1"/>
  <c r="X670" i="1" s="1"/>
  <c r="Z670" i="1" s="1"/>
  <c r="AG671" i="1"/>
  <c r="AG672" i="1"/>
  <c r="AG673" i="1"/>
  <c r="AG674" i="1"/>
  <c r="X674" i="1" s="1"/>
  <c r="Z674" i="1" s="1"/>
  <c r="AG675" i="1"/>
  <c r="AG676" i="1"/>
  <c r="X676" i="1" s="1"/>
  <c r="Z676" i="1" s="1"/>
  <c r="AG677" i="1"/>
  <c r="AG678" i="1"/>
  <c r="X678" i="1" s="1"/>
  <c r="Z678" i="1" s="1"/>
  <c r="AG679" i="1"/>
  <c r="AG680" i="1"/>
  <c r="X680" i="1" s="1"/>
  <c r="Z680" i="1" s="1"/>
  <c r="AG681" i="1"/>
  <c r="AG682" i="1"/>
  <c r="AG683" i="1"/>
  <c r="AG684" i="1"/>
  <c r="X684" i="1" s="1"/>
  <c r="Z684" i="1" s="1"/>
  <c r="AG685" i="1"/>
  <c r="AG686" i="1"/>
  <c r="X686" i="1" s="1"/>
  <c r="Z686" i="1" s="1"/>
  <c r="AG687" i="1"/>
  <c r="AG688" i="1"/>
  <c r="X688" i="1" s="1"/>
  <c r="Z688" i="1" s="1"/>
  <c r="AG689" i="1"/>
  <c r="AG690" i="1"/>
  <c r="AG691" i="1"/>
  <c r="AG692" i="1"/>
  <c r="AG693" i="1"/>
  <c r="AG694" i="1"/>
  <c r="X694" i="1" s="1"/>
  <c r="Z694" i="1" s="1"/>
  <c r="AG695" i="1"/>
  <c r="AG696" i="1"/>
  <c r="AG697" i="1"/>
  <c r="AG698" i="1"/>
  <c r="AG699" i="1"/>
  <c r="AG700" i="1"/>
  <c r="AG701" i="1"/>
  <c r="AG702" i="1"/>
  <c r="X702" i="1" s="1"/>
  <c r="Z702" i="1" s="1"/>
  <c r="AG703" i="1"/>
  <c r="AG704" i="1"/>
  <c r="X704" i="1" s="1"/>
  <c r="Z704" i="1" s="1"/>
  <c r="AG705" i="1"/>
  <c r="AG706" i="1"/>
  <c r="AG707" i="1"/>
  <c r="AG708" i="1"/>
  <c r="X708" i="1" s="1"/>
  <c r="Z708" i="1" s="1"/>
  <c r="AG709" i="1"/>
  <c r="AG710" i="1"/>
  <c r="X710" i="1" s="1"/>
  <c r="Z710" i="1" s="1"/>
  <c r="AG711" i="1"/>
  <c r="AG712" i="1"/>
  <c r="X712" i="1" s="1"/>
  <c r="Z712" i="1" s="1"/>
  <c r="AG713" i="1"/>
  <c r="AG714" i="1"/>
  <c r="AG715" i="1"/>
  <c r="AG716" i="1"/>
  <c r="X716" i="1" s="1"/>
  <c r="Z716" i="1" s="1"/>
  <c r="AG717" i="1"/>
  <c r="AG718" i="1"/>
  <c r="X718" i="1" s="1"/>
  <c r="Z718" i="1" s="1"/>
  <c r="AG719" i="1"/>
  <c r="AG720" i="1"/>
  <c r="X720" i="1" s="1"/>
  <c r="Z720" i="1" s="1"/>
  <c r="AG721" i="1"/>
  <c r="AG722" i="1"/>
  <c r="AG723" i="1"/>
  <c r="AG724" i="1"/>
  <c r="AG725" i="1"/>
  <c r="AG726" i="1"/>
  <c r="X726" i="1" s="1"/>
  <c r="Z726" i="1" s="1"/>
  <c r="AG727" i="1"/>
  <c r="AG728" i="1"/>
  <c r="AG729" i="1"/>
  <c r="AG730" i="1"/>
  <c r="AG731" i="1"/>
  <c r="AG732" i="1"/>
  <c r="AG733" i="1"/>
  <c r="AG734" i="1"/>
  <c r="X734" i="1" s="1"/>
  <c r="Z734" i="1" s="1"/>
  <c r="AG735" i="1"/>
  <c r="AG736" i="1"/>
  <c r="AG737" i="1"/>
  <c r="AG738" i="1"/>
  <c r="AG739" i="1"/>
  <c r="AG740" i="1"/>
  <c r="AG741" i="1"/>
  <c r="AG742" i="1"/>
  <c r="X742" i="1" s="1"/>
  <c r="Z742" i="1" s="1"/>
  <c r="AG743" i="1"/>
  <c r="AG744" i="1"/>
  <c r="X744" i="1" s="1"/>
  <c r="Z744" i="1" s="1"/>
  <c r="AG745" i="1"/>
  <c r="AG746" i="1"/>
  <c r="AG747" i="1"/>
  <c r="AG748" i="1"/>
  <c r="X748" i="1" s="1"/>
  <c r="Z748" i="1" s="1"/>
  <c r="AG749" i="1"/>
  <c r="AG750" i="1"/>
  <c r="X750" i="1" s="1"/>
  <c r="Z750" i="1" s="1"/>
  <c r="AG751" i="1"/>
  <c r="AG752" i="1"/>
  <c r="X752" i="1" s="1"/>
  <c r="Z752" i="1" s="1"/>
  <c r="AG753" i="1"/>
  <c r="AG754" i="1"/>
  <c r="AG755" i="1"/>
  <c r="AG756" i="1"/>
  <c r="X756" i="1" s="1"/>
  <c r="Z756" i="1" s="1"/>
  <c r="AG757" i="1"/>
  <c r="AG758" i="1"/>
  <c r="X758" i="1" s="1"/>
  <c r="Z758" i="1" s="1"/>
  <c r="AG759" i="1"/>
  <c r="AG760" i="1"/>
  <c r="AG761" i="1"/>
  <c r="AG762" i="1"/>
  <c r="AG763" i="1"/>
  <c r="AG764" i="1"/>
  <c r="AG765" i="1"/>
  <c r="AG766" i="1"/>
  <c r="X766" i="1" s="1"/>
  <c r="Z766" i="1" s="1"/>
  <c r="AG767" i="1"/>
  <c r="AG768" i="1"/>
  <c r="AG769" i="1"/>
  <c r="AG770" i="1"/>
  <c r="AG771" i="1"/>
  <c r="AG772" i="1"/>
  <c r="AG773" i="1"/>
  <c r="AG774" i="1"/>
  <c r="X774" i="1" s="1"/>
  <c r="Z774" i="1" s="1"/>
  <c r="AG775" i="1"/>
  <c r="AG776" i="1"/>
  <c r="AG777" i="1"/>
  <c r="AG778" i="1"/>
  <c r="AG779" i="1"/>
  <c r="AG780" i="1"/>
  <c r="AG781" i="1"/>
  <c r="AG782" i="1"/>
  <c r="X782" i="1" s="1"/>
  <c r="Z782" i="1" s="1"/>
  <c r="AG783" i="1"/>
  <c r="AG784" i="1"/>
  <c r="X784" i="1" s="1"/>
  <c r="Z784" i="1" s="1"/>
  <c r="AG785" i="1"/>
  <c r="AG786" i="1"/>
  <c r="AG787" i="1"/>
  <c r="AG788" i="1"/>
  <c r="X788" i="1" s="1"/>
  <c r="Z788" i="1" s="1"/>
  <c r="AG789" i="1"/>
  <c r="AG790" i="1"/>
  <c r="X790" i="1" s="1"/>
  <c r="Z790" i="1" s="1"/>
  <c r="AG791" i="1"/>
  <c r="AG792" i="1"/>
  <c r="X792" i="1" s="1"/>
  <c r="Z792" i="1" s="1"/>
  <c r="AG793" i="1"/>
  <c r="AG794" i="1"/>
  <c r="AG795" i="1"/>
  <c r="AG796" i="1"/>
  <c r="AG797" i="1"/>
  <c r="AG798" i="1"/>
  <c r="X798" i="1" s="1"/>
  <c r="Z798" i="1" s="1"/>
  <c r="AG799" i="1"/>
  <c r="AG800" i="1"/>
  <c r="X800" i="1" s="1"/>
  <c r="Z800" i="1" s="1"/>
  <c r="AG801" i="1"/>
  <c r="AG802" i="1"/>
  <c r="AG803" i="1"/>
  <c r="AG804" i="1"/>
  <c r="AG805" i="1"/>
  <c r="AG806" i="1"/>
  <c r="X806" i="1" s="1"/>
  <c r="Z806" i="1" s="1"/>
  <c r="AG807" i="1"/>
  <c r="AG808" i="1"/>
  <c r="AG809" i="1"/>
  <c r="AG810" i="1"/>
  <c r="AG811" i="1"/>
  <c r="AG812" i="1"/>
  <c r="X812" i="1" s="1"/>
  <c r="Z812" i="1" s="1"/>
  <c r="AG813" i="1"/>
  <c r="AG814" i="1"/>
  <c r="X814" i="1" s="1"/>
  <c r="Z814" i="1" s="1"/>
  <c r="AG815" i="1"/>
  <c r="AG816" i="1"/>
  <c r="X816" i="1" s="1"/>
  <c r="Z816" i="1" s="1"/>
  <c r="AG817" i="1"/>
  <c r="AG818" i="1"/>
  <c r="AG819" i="1"/>
  <c r="AG820" i="1"/>
  <c r="AG821" i="1"/>
  <c r="AG822" i="1"/>
  <c r="X822" i="1" s="1"/>
  <c r="Z822" i="1" s="1"/>
  <c r="AG823" i="1"/>
  <c r="AG824" i="1"/>
  <c r="AG825" i="1"/>
  <c r="AG826" i="1"/>
  <c r="AG827" i="1"/>
  <c r="AG828" i="1"/>
  <c r="X828" i="1" s="1"/>
  <c r="Z828" i="1" s="1"/>
  <c r="AG829" i="1"/>
  <c r="AG830" i="1"/>
  <c r="AG831" i="1"/>
  <c r="AG832" i="1"/>
  <c r="X832" i="1" s="1"/>
  <c r="Z832" i="1" s="1"/>
  <c r="AG833" i="1"/>
  <c r="AG834" i="1"/>
  <c r="AG835" i="1"/>
  <c r="AG836" i="1"/>
  <c r="AG837" i="1"/>
  <c r="AG838" i="1"/>
  <c r="X838" i="1" s="1"/>
  <c r="Z838" i="1" s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X852" i="1" s="1"/>
  <c r="Z852" i="1" s="1"/>
  <c r="AG853" i="1"/>
  <c r="AG854" i="1"/>
  <c r="X854" i="1" s="1"/>
  <c r="Z854" i="1" s="1"/>
  <c r="AG855" i="1"/>
  <c r="AG856" i="1"/>
  <c r="X856" i="1" s="1"/>
  <c r="Z856" i="1" s="1"/>
  <c r="AG857" i="1"/>
  <c r="AG858" i="1"/>
  <c r="AG859" i="1"/>
  <c r="AG860" i="1"/>
  <c r="X860" i="1" s="1"/>
  <c r="Z860" i="1" s="1"/>
  <c r="AG861" i="1"/>
  <c r="AG862" i="1"/>
  <c r="AG863" i="1"/>
  <c r="AG864" i="1"/>
  <c r="X864" i="1" s="1"/>
  <c r="Z864" i="1" s="1"/>
  <c r="AG865" i="1"/>
  <c r="AG866" i="1"/>
  <c r="AG867" i="1"/>
  <c r="AG868" i="1"/>
  <c r="X868" i="1" s="1"/>
  <c r="Z868" i="1" s="1"/>
  <c r="AG869" i="1"/>
  <c r="AG870" i="1"/>
  <c r="X870" i="1" s="1"/>
  <c r="Z870" i="1" s="1"/>
  <c r="AG871" i="1"/>
  <c r="AG872" i="1"/>
  <c r="X872" i="1" s="1"/>
  <c r="Z872" i="1" s="1"/>
  <c r="AG873" i="1"/>
  <c r="AG874" i="1"/>
  <c r="AG875" i="1"/>
  <c r="AG876" i="1"/>
  <c r="X876" i="1" s="1"/>
  <c r="Z876" i="1" s="1"/>
  <c r="AG877" i="1"/>
  <c r="AG878" i="1"/>
  <c r="AG879" i="1"/>
  <c r="AG880" i="1"/>
  <c r="X880" i="1" s="1"/>
  <c r="Z880" i="1" s="1"/>
  <c r="AG881" i="1"/>
  <c r="AG882" i="1"/>
  <c r="AG883" i="1"/>
  <c r="AG884" i="1"/>
  <c r="X884" i="1" s="1"/>
  <c r="Z884" i="1" s="1"/>
  <c r="AG885" i="1"/>
  <c r="AG886" i="1"/>
  <c r="X886" i="1" s="1"/>
  <c r="Z886" i="1" s="1"/>
  <c r="AG887" i="1"/>
  <c r="AG888" i="1"/>
  <c r="X888" i="1" s="1"/>
  <c r="Z888" i="1" s="1"/>
  <c r="AG889" i="1"/>
  <c r="AG890" i="1"/>
  <c r="AG891" i="1"/>
  <c r="AG892" i="1"/>
  <c r="X892" i="1" s="1"/>
  <c r="Z892" i="1" s="1"/>
  <c r="AG893" i="1"/>
  <c r="AG894" i="1"/>
  <c r="AG895" i="1"/>
  <c r="AG896" i="1"/>
  <c r="X896" i="1" s="1"/>
  <c r="Z896" i="1" s="1"/>
  <c r="AG897" i="1"/>
  <c r="AG898" i="1"/>
  <c r="AG899" i="1"/>
  <c r="AG900" i="1"/>
  <c r="X900" i="1" s="1"/>
  <c r="Z900" i="1" s="1"/>
  <c r="AG901" i="1"/>
  <c r="AG902" i="1"/>
  <c r="X902" i="1" s="1"/>
  <c r="Z902" i="1" s="1"/>
  <c r="AG903" i="1"/>
  <c r="AG904" i="1"/>
  <c r="X904" i="1" s="1"/>
  <c r="Z904" i="1" s="1"/>
  <c r="AG905" i="1"/>
  <c r="AG906" i="1"/>
  <c r="AG907" i="1"/>
  <c r="AG908" i="1"/>
  <c r="X908" i="1" s="1"/>
  <c r="Z908" i="1" s="1"/>
  <c r="AG909" i="1"/>
  <c r="AG910" i="1"/>
  <c r="AG911" i="1"/>
  <c r="AG912" i="1"/>
  <c r="AG913" i="1"/>
  <c r="AG914" i="1"/>
  <c r="AG915" i="1"/>
  <c r="AG916" i="1"/>
  <c r="X916" i="1" s="1"/>
  <c r="Z916" i="1" s="1"/>
  <c r="AG917" i="1"/>
  <c r="AG918" i="1"/>
  <c r="X918" i="1" s="1"/>
  <c r="Z918" i="1" s="1"/>
  <c r="AG919" i="1"/>
  <c r="AG920" i="1"/>
  <c r="X920" i="1" s="1"/>
  <c r="Z920" i="1" s="1"/>
  <c r="AF5" i="1"/>
  <c r="AF12" i="1"/>
  <c r="AF17" i="1"/>
  <c r="AF23" i="1"/>
  <c r="AF26" i="1"/>
  <c r="AF28" i="1"/>
  <c r="AF30" i="1"/>
  <c r="AF32" i="1"/>
  <c r="AF34" i="1"/>
  <c r="AF36" i="1"/>
  <c r="AF39" i="1"/>
  <c r="AF41" i="1"/>
  <c r="AF43" i="1"/>
  <c r="AF44" i="1"/>
  <c r="AF45" i="1"/>
  <c r="AF47" i="1"/>
  <c r="AF49" i="1"/>
  <c r="AF51" i="1"/>
  <c r="AF53" i="1"/>
  <c r="AF55" i="1"/>
  <c r="AF57" i="1"/>
  <c r="AF60" i="1"/>
  <c r="AF62" i="1"/>
  <c r="AF64" i="1"/>
  <c r="AF66" i="1"/>
  <c r="AF68" i="1"/>
  <c r="AF70" i="1"/>
  <c r="AF72" i="1"/>
  <c r="AF73" i="1"/>
  <c r="AF74" i="1"/>
  <c r="AF76" i="1"/>
  <c r="AF78" i="1"/>
  <c r="AF80" i="1"/>
  <c r="AF82" i="1"/>
  <c r="AF83" i="1"/>
  <c r="AF84" i="1"/>
  <c r="AF86" i="1"/>
  <c r="AF88" i="1"/>
  <c r="AF90" i="1"/>
  <c r="AF92" i="1"/>
  <c r="AF94" i="1"/>
  <c r="AF96" i="1"/>
  <c r="AF98" i="1"/>
  <c r="AF101" i="1"/>
  <c r="AF103" i="1"/>
  <c r="AF105" i="1"/>
  <c r="AF107" i="1"/>
  <c r="AF108" i="1"/>
  <c r="AF109" i="1"/>
  <c r="AF111" i="1"/>
  <c r="AF113" i="1"/>
  <c r="AF115" i="1"/>
  <c r="AF117" i="1"/>
  <c r="AF119" i="1"/>
  <c r="AF121" i="1"/>
  <c r="AF125" i="1"/>
  <c r="AF132" i="1"/>
  <c r="AF138" i="1"/>
  <c r="AF145" i="1"/>
  <c r="AF150" i="1"/>
  <c r="AF152" i="1"/>
  <c r="AF154" i="1"/>
  <c r="AF156" i="1"/>
  <c r="AF158" i="1"/>
  <c r="AF160" i="1"/>
  <c r="AF162" i="1"/>
  <c r="AF163" i="1"/>
  <c r="AF164" i="1"/>
  <c r="AF166" i="1"/>
  <c r="AF168" i="1"/>
  <c r="AF170" i="1"/>
  <c r="AF172" i="1"/>
  <c r="AF174" i="1"/>
  <c r="AF176" i="1"/>
  <c r="AF178" i="1"/>
  <c r="AF180" i="1"/>
  <c r="AF182" i="1"/>
  <c r="AF184" i="1"/>
  <c r="AF186" i="1"/>
  <c r="AF187" i="1"/>
  <c r="AF188" i="1"/>
  <c r="AF190" i="1"/>
  <c r="AF192" i="1"/>
  <c r="AF193" i="1"/>
  <c r="AF194" i="1"/>
  <c r="AF196" i="1"/>
  <c r="AF198" i="1"/>
  <c r="AF200" i="1"/>
  <c r="AF201" i="1"/>
  <c r="AF202" i="1"/>
  <c r="AF204" i="1"/>
  <c r="AF206" i="1"/>
  <c r="AF208" i="1"/>
  <c r="AF210" i="1"/>
  <c r="AF211" i="1"/>
  <c r="AF212" i="1"/>
  <c r="AF214" i="1"/>
  <c r="AF216" i="1"/>
  <c r="AF218" i="1"/>
  <c r="AF219" i="1"/>
  <c r="AF220" i="1"/>
  <c r="AF222" i="1"/>
  <c r="AF224" i="1"/>
  <c r="AF226" i="1"/>
  <c r="AF227" i="1"/>
  <c r="AF228" i="1"/>
  <c r="AF230" i="1"/>
  <c r="AF231" i="1"/>
  <c r="AF232" i="1"/>
  <c r="AF234" i="1"/>
  <c r="AF236" i="1"/>
  <c r="AF238" i="1"/>
  <c r="AF240" i="1"/>
  <c r="AF242" i="1"/>
  <c r="AF243" i="1"/>
  <c r="AF244" i="1"/>
  <c r="AF246" i="1"/>
  <c r="AF248" i="1"/>
  <c r="AF250" i="1"/>
  <c r="AF252" i="1"/>
  <c r="AF254" i="1"/>
  <c r="AF256" i="1"/>
  <c r="AF258" i="1"/>
  <c r="AF260" i="1"/>
  <c r="AF261" i="1"/>
  <c r="AF262" i="1"/>
  <c r="AF264" i="1"/>
  <c r="AF266" i="1"/>
  <c r="AF268" i="1"/>
  <c r="AF270" i="1"/>
  <c r="AF272" i="1"/>
  <c r="AF273" i="1"/>
  <c r="AF274" i="1"/>
  <c r="AF276" i="1"/>
  <c r="AF278" i="1"/>
  <c r="AF280" i="1"/>
  <c r="AF282" i="1"/>
  <c r="AF284" i="1"/>
  <c r="AF286" i="1"/>
  <c r="AF288" i="1"/>
  <c r="AF290" i="1"/>
  <c r="AF292" i="1"/>
  <c r="AF294" i="1"/>
  <c r="AF296" i="1"/>
  <c r="AF297" i="1"/>
  <c r="AF298" i="1"/>
  <c r="AF299" i="1"/>
  <c r="AF300" i="1"/>
  <c r="AF302" i="1"/>
  <c r="AF304" i="1"/>
  <c r="AF306" i="1"/>
  <c r="AF308" i="1"/>
  <c r="AF310" i="1"/>
  <c r="AF312" i="1"/>
  <c r="AF314" i="1"/>
  <c r="AF316" i="1"/>
  <c r="AF318" i="1"/>
  <c r="AF320" i="1"/>
  <c r="AF322" i="1"/>
  <c r="AF324" i="1"/>
  <c r="AF326" i="1"/>
  <c r="AF328" i="1"/>
  <c r="AF330" i="1"/>
  <c r="AF331" i="1"/>
  <c r="AF332" i="1"/>
  <c r="AF334" i="1"/>
  <c r="AF336" i="1"/>
  <c r="AF338" i="1"/>
  <c r="AF339" i="1"/>
  <c r="AF340" i="1"/>
  <c r="AF342" i="1"/>
  <c r="AF343" i="1"/>
  <c r="AF344" i="1"/>
  <c r="AF346" i="1"/>
  <c r="AF348" i="1"/>
  <c r="AF350" i="1"/>
  <c r="AF352" i="1"/>
  <c r="AF354" i="1"/>
  <c r="AF356" i="1"/>
  <c r="AF358" i="1"/>
  <c r="AF360" i="1"/>
  <c r="AF362" i="1"/>
  <c r="AF364" i="1"/>
  <c r="AF366" i="1"/>
  <c r="AF368" i="1"/>
  <c r="AF370" i="1"/>
  <c r="AF371" i="1"/>
  <c r="AF372" i="1"/>
  <c r="AF374" i="1"/>
  <c r="AF376" i="1"/>
  <c r="AF378" i="1"/>
  <c r="AF380" i="1"/>
  <c r="AF382" i="1"/>
  <c r="AF384" i="1"/>
  <c r="AF386" i="1"/>
  <c r="AF387" i="1"/>
  <c r="AF388" i="1"/>
  <c r="AF390" i="1"/>
  <c r="AF392" i="1"/>
  <c r="AF393" i="1"/>
  <c r="AF394" i="1"/>
  <c r="AF395" i="1"/>
  <c r="AF396" i="1"/>
  <c r="AF397" i="1"/>
  <c r="AF398" i="1"/>
  <c r="AF399" i="1"/>
  <c r="AF400" i="1"/>
  <c r="AF402" i="1"/>
  <c r="AF404" i="1"/>
  <c r="AF406" i="1"/>
  <c r="AF408" i="1"/>
  <c r="AF410" i="1"/>
  <c r="AF412" i="1"/>
  <c r="AF414" i="1"/>
  <c r="AF416" i="1"/>
  <c r="AF417" i="1"/>
  <c r="AF418" i="1"/>
  <c r="AF420" i="1"/>
  <c r="AF421" i="1"/>
  <c r="AF422" i="1"/>
  <c r="AF424" i="1"/>
  <c r="AF426" i="1"/>
  <c r="AF428" i="1"/>
  <c r="AF429" i="1"/>
  <c r="AF430" i="1"/>
  <c r="AF433" i="1"/>
  <c r="AF435" i="1"/>
  <c r="AF437" i="1"/>
  <c r="AF439" i="1"/>
  <c r="AF440" i="1"/>
  <c r="AF441" i="1"/>
  <c r="AF443" i="1"/>
  <c r="AF445" i="1"/>
  <c r="AF447" i="1"/>
  <c r="AF449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B429" i="1"/>
  <c r="AB486" i="1"/>
  <c r="AA550" i="1"/>
  <c r="AA598" i="1"/>
  <c r="AB614" i="1"/>
  <c r="AB630" i="1"/>
  <c r="AB654" i="1"/>
  <c r="AB686" i="1"/>
  <c r="AB702" i="1"/>
  <c r="AB718" i="1"/>
  <c r="Y734" i="1"/>
  <c r="AB750" i="1"/>
  <c r="Y766" i="1"/>
  <c r="AB782" i="1"/>
  <c r="AB798" i="1"/>
  <c r="AB814" i="1"/>
  <c r="Y838" i="1"/>
  <c r="AB870" i="1"/>
  <c r="AB90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P31" i="1" s="1"/>
  <c r="AQ31" i="1" s="1"/>
  <c r="AM32" i="1"/>
  <c r="AM33" i="1"/>
  <c r="AM34" i="1"/>
  <c r="AM35" i="1"/>
  <c r="AM36" i="1"/>
  <c r="AM37" i="1"/>
  <c r="AM38" i="1"/>
  <c r="AM39" i="1"/>
  <c r="AM40" i="1"/>
  <c r="AM41" i="1"/>
  <c r="AM42" i="1"/>
  <c r="AP42" i="1" s="1"/>
  <c r="AQ42" i="1" s="1"/>
  <c r="AM43" i="1"/>
  <c r="AM44" i="1"/>
  <c r="AM45" i="1"/>
  <c r="AP45" i="1" s="1"/>
  <c r="AQ45" i="1" s="1"/>
  <c r="AM46" i="1"/>
  <c r="AM47" i="1"/>
  <c r="AM48" i="1"/>
  <c r="AM49" i="1"/>
  <c r="AM50" i="1"/>
  <c r="AM51" i="1"/>
  <c r="AM52" i="1"/>
  <c r="AM53" i="1"/>
  <c r="AM54" i="1"/>
  <c r="AM55" i="1"/>
  <c r="AM56" i="1"/>
  <c r="AP56" i="1" s="1"/>
  <c r="AQ56" i="1" s="1"/>
  <c r="AM57" i="1"/>
  <c r="AM58" i="1"/>
  <c r="AM60" i="1"/>
  <c r="AM61" i="1"/>
  <c r="AM62" i="1"/>
  <c r="AM63" i="1"/>
  <c r="AM64" i="1"/>
  <c r="AM65" i="1"/>
  <c r="AP65" i="1" s="1"/>
  <c r="AQ65" i="1" s="1"/>
  <c r="AM66" i="1"/>
  <c r="AM67" i="1"/>
  <c r="AM68" i="1"/>
  <c r="AM69" i="1"/>
  <c r="AM70" i="1"/>
  <c r="AM71" i="1"/>
  <c r="AM72" i="1"/>
  <c r="AM73" i="1"/>
  <c r="AM74" i="1"/>
  <c r="AP74" i="1" s="1"/>
  <c r="AQ74" i="1" s="1"/>
  <c r="AM75" i="1"/>
  <c r="AM76" i="1"/>
  <c r="AM77" i="1"/>
  <c r="AM78" i="1"/>
  <c r="AM79" i="1"/>
  <c r="AM80" i="1"/>
  <c r="AM81" i="1"/>
  <c r="AM82" i="1"/>
  <c r="AM83" i="1"/>
  <c r="AM84" i="1"/>
  <c r="AP84" i="1" s="1"/>
  <c r="AQ84" i="1" s="1"/>
  <c r="AM85" i="1"/>
  <c r="AM86" i="1"/>
  <c r="AM87" i="1"/>
  <c r="AM88" i="1"/>
  <c r="AM89" i="1"/>
  <c r="AM90" i="1"/>
  <c r="AM91" i="1"/>
  <c r="AM92" i="1"/>
  <c r="AM93" i="1"/>
  <c r="AM94" i="1"/>
  <c r="AM95" i="1"/>
  <c r="AP95" i="1" s="1"/>
  <c r="AQ95" i="1" s="1"/>
  <c r="AM96" i="1"/>
  <c r="AM97" i="1"/>
  <c r="AM98" i="1"/>
  <c r="AM100" i="1"/>
  <c r="AM101" i="1"/>
  <c r="AM102" i="1"/>
  <c r="AM103" i="1"/>
  <c r="AM104" i="1"/>
  <c r="AM105" i="1"/>
  <c r="AM106" i="1"/>
  <c r="AP106" i="1" s="1"/>
  <c r="AQ106" i="1" s="1"/>
  <c r="AM107" i="1"/>
  <c r="AM108" i="1"/>
  <c r="AM109" i="1"/>
  <c r="AP109" i="1" s="1"/>
  <c r="AQ109" i="1" s="1"/>
  <c r="AM110" i="1"/>
  <c r="AM111" i="1"/>
  <c r="AM112" i="1"/>
  <c r="AM113" i="1"/>
  <c r="AM114" i="1"/>
  <c r="AP114" i="1" s="1"/>
  <c r="AQ114" i="1" s="1"/>
  <c r="AM115" i="1"/>
  <c r="AM116" i="1"/>
  <c r="AM117" i="1"/>
  <c r="AM118" i="1"/>
  <c r="AM119" i="1"/>
  <c r="AM120" i="1"/>
  <c r="AM121" i="1"/>
  <c r="AM124" i="1"/>
  <c r="AM125" i="1"/>
  <c r="AM126" i="1"/>
  <c r="AP126" i="1" s="1"/>
  <c r="AQ126" i="1" s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P139" i="1" s="1"/>
  <c r="AQ139" i="1" s="1"/>
  <c r="AM140" i="1"/>
  <c r="AM141" i="1"/>
  <c r="AM142" i="1"/>
  <c r="AM143" i="1"/>
  <c r="AM145" i="1"/>
  <c r="AM146" i="1"/>
  <c r="AM147" i="1"/>
  <c r="AM148" i="1"/>
  <c r="AM149" i="1"/>
  <c r="AM150" i="1"/>
  <c r="AM151" i="1"/>
  <c r="AP151" i="1" s="1"/>
  <c r="AQ151" i="1" s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P164" i="1" s="1"/>
  <c r="AQ164" i="1" s="1"/>
  <c r="AM165" i="1"/>
  <c r="AM166" i="1"/>
  <c r="AM167" i="1"/>
  <c r="AM168" i="1"/>
  <c r="AM169" i="1"/>
  <c r="AM170" i="1"/>
  <c r="AM171" i="1"/>
  <c r="AM172" i="1"/>
  <c r="AM173" i="1"/>
  <c r="AP173" i="1" s="1"/>
  <c r="AQ173" i="1" s="1"/>
  <c r="AM174" i="1"/>
  <c r="AM175" i="1"/>
  <c r="AP175" i="1" s="1"/>
  <c r="AQ175" i="1" s="1"/>
  <c r="AM176" i="1"/>
  <c r="AM177" i="1"/>
  <c r="AP177" i="1" s="1"/>
  <c r="AQ177" i="1" s="1"/>
  <c r="AM178" i="1"/>
  <c r="AM179" i="1"/>
  <c r="AP179" i="1" s="1"/>
  <c r="AQ179" i="1" s="1"/>
  <c r="AM180" i="1"/>
  <c r="AM181" i="1"/>
  <c r="AM182" i="1"/>
  <c r="AM183" i="1"/>
  <c r="AP183" i="1" s="1"/>
  <c r="AQ183" i="1" s="1"/>
  <c r="AM184" i="1"/>
  <c r="AM185" i="1"/>
  <c r="AP185" i="1" s="1"/>
  <c r="AQ185" i="1" s="1"/>
  <c r="AM186" i="1"/>
  <c r="AM187" i="1"/>
  <c r="AM188" i="1"/>
  <c r="AP188" i="1" s="1"/>
  <c r="AQ188" i="1" s="1"/>
  <c r="AM189" i="1"/>
  <c r="AM190" i="1"/>
  <c r="AM191" i="1"/>
  <c r="AP191" i="1" s="1"/>
  <c r="AQ191" i="1" s="1"/>
  <c r="AM192" i="1"/>
  <c r="AM193" i="1"/>
  <c r="AM194" i="1"/>
  <c r="AP194" i="1" s="1"/>
  <c r="AQ194" i="1" s="1"/>
  <c r="AM195" i="1"/>
  <c r="AM196" i="1"/>
  <c r="AM197" i="1"/>
  <c r="AM198" i="1"/>
  <c r="AM199" i="1"/>
  <c r="AM200" i="1"/>
  <c r="AM201" i="1"/>
  <c r="AM202" i="1"/>
  <c r="AP202" i="1" s="1"/>
  <c r="AQ202" i="1" s="1"/>
  <c r="AM203" i="1"/>
  <c r="AM204" i="1"/>
  <c r="AM205" i="1"/>
  <c r="AP205" i="1" s="1"/>
  <c r="AQ205" i="1" s="1"/>
  <c r="AM206" i="1"/>
  <c r="AM207" i="1"/>
  <c r="AP207" i="1" s="1"/>
  <c r="AQ207" i="1" s="1"/>
  <c r="AM208" i="1"/>
  <c r="AM209" i="1"/>
  <c r="AM210" i="1"/>
  <c r="AM211" i="1"/>
  <c r="AM212" i="1"/>
  <c r="AP212" i="1" s="1"/>
  <c r="AQ212" i="1" s="1"/>
  <c r="AM213" i="1"/>
  <c r="AM214" i="1"/>
  <c r="AM215" i="1"/>
  <c r="AM216" i="1"/>
  <c r="AM217" i="1"/>
  <c r="AP217" i="1" s="1"/>
  <c r="AQ217" i="1" s="1"/>
  <c r="AM218" i="1"/>
  <c r="AM219" i="1"/>
  <c r="AM220" i="1"/>
  <c r="AP220" i="1" s="1"/>
  <c r="AQ220" i="1" s="1"/>
  <c r="AM221" i="1"/>
  <c r="AM222" i="1"/>
  <c r="AM223" i="1"/>
  <c r="AM224" i="1"/>
  <c r="AM225" i="1"/>
  <c r="AM226" i="1"/>
  <c r="AM227" i="1"/>
  <c r="AM228" i="1"/>
  <c r="AP228" i="1" s="1"/>
  <c r="AQ228" i="1" s="1"/>
  <c r="AM229" i="1"/>
  <c r="AM230" i="1"/>
  <c r="AM231" i="1"/>
  <c r="AM232" i="1"/>
  <c r="AP232" i="1" s="1"/>
  <c r="AQ232" i="1" s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P244" i="1" s="1"/>
  <c r="AQ244" i="1" s="1"/>
  <c r="AM245" i="1"/>
  <c r="AM246" i="1"/>
  <c r="AM247" i="1"/>
  <c r="AP247" i="1" s="1"/>
  <c r="AQ247" i="1" s="1"/>
  <c r="AM248" i="1"/>
  <c r="AM249" i="1"/>
  <c r="AM250" i="1"/>
  <c r="AM251" i="1"/>
  <c r="AM252" i="1"/>
  <c r="AM253" i="1"/>
  <c r="AP253" i="1" s="1"/>
  <c r="AQ253" i="1" s="1"/>
  <c r="AM254" i="1"/>
  <c r="AM255" i="1"/>
  <c r="AM256" i="1"/>
  <c r="AM257" i="1"/>
  <c r="AP257" i="1" s="1"/>
  <c r="AQ257" i="1" s="1"/>
  <c r="AM258" i="1"/>
  <c r="AM259" i="1"/>
  <c r="AM260" i="1"/>
  <c r="AM261" i="1"/>
  <c r="AM262" i="1"/>
  <c r="AP262" i="1" s="1"/>
  <c r="AQ262" i="1" s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P274" i="1" s="1"/>
  <c r="AQ274" i="1" s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P287" i="1" s="1"/>
  <c r="AQ287" i="1" s="1"/>
  <c r="AM288" i="1"/>
  <c r="AM289" i="1"/>
  <c r="AP289" i="1" s="1"/>
  <c r="AQ289" i="1" s="1"/>
  <c r="AM290" i="1"/>
  <c r="AM291" i="1"/>
  <c r="AM292" i="1"/>
  <c r="AM293" i="1"/>
  <c r="AM294" i="1"/>
  <c r="AM295" i="1"/>
  <c r="AM296" i="1"/>
  <c r="AM297" i="1"/>
  <c r="AM298" i="1"/>
  <c r="AP298" i="1" s="1"/>
  <c r="AQ298" i="1" s="1"/>
  <c r="AM299" i="1"/>
  <c r="AM300" i="1"/>
  <c r="AP300" i="1" s="1"/>
  <c r="AQ300" i="1" s="1"/>
  <c r="AM301" i="1"/>
  <c r="AM302" i="1"/>
  <c r="AM303" i="1"/>
  <c r="AP303" i="1" s="1"/>
  <c r="AQ303" i="1" s="1"/>
  <c r="AM304" i="1"/>
  <c r="AM305" i="1"/>
  <c r="AP305" i="1" s="1"/>
  <c r="AQ305" i="1" s="1"/>
  <c r="AM306" i="1"/>
  <c r="AO306" i="1" s="1"/>
  <c r="AM307" i="1"/>
  <c r="AM308" i="1"/>
  <c r="AO308" i="1" s="1"/>
  <c r="AM309" i="1"/>
  <c r="AM310" i="1"/>
  <c r="AO310" i="1" s="1"/>
  <c r="AM311" i="1"/>
  <c r="AM312" i="1"/>
  <c r="AO312" i="1" s="1"/>
  <c r="AM313" i="1"/>
  <c r="AP313" i="1" s="1"/>
  <c r="AQ313" i="1" s="1"/>
  <c r="AM314" i="1"/>
  <c r="AO314" i="1" s="1"/>
  <c r="AM315" i="1"/>
  <c r="AM316" i="1"/>
  <c r="AO316" i="1" s="1"/>
  <c r="AM317" i="1"/>
  <c r="AM318" i="1"/>
  <c r="AO318" i="1" s="1"/>
  <c r="AM319" i="1"/>
  <c r="AM320" i="1"/>
  <c r="AO320" i="1" s="1"/>
  <c r="AM321" i="1"/>
  <c r="AM322" i="1"/>
  <c r="AO322" i="1" s="1"/>
  <c r="AM323" i="1"/>
  <c r="AP323" i="1" s="1"/>
  <c r="AQ323" i="1" s="1"/>
  <c r="AM324" i="1"/>
  <c r="AM325" i="1"/>
  <c r="AM326" i="1"/>
  <c r="AM327" i="1"/>
  <c r="AM328" i="1"/>
  <c r="AM329" i="1"/>
  <c r="AM330" i="1"/>
  <c r="AM331" i="1"/>
  <c r="AO331" i="1" s="1"/>
  <c r="AM332" i="1"/>
  <c r="AM333" i="1"/>
  <c r="AM334" i="1"/>
  <c r="AO334" i="1" s="1"/>
  <c r="AM335" i="1"/>
  <c r="AM336" i="1"/>
  <c r="AM337" i="1"/>
  <c r="AM338" i="1"/>
  <c r="AM339" i="1"/>
  <c r="AO339" i="1" s="1"/>
  <c r="AM340" i="1"/>
  <c r="AM341" i="1"/>
  <c r="AM342" i="1"/>
  <c r="AM343" i="1"/>
  <c r="AO343" i="1" s="1"/>
  <c r="AM344" i="1"/>
  <c r="AO344" i="1" s="1"/>
  <c r="AM345" i="1"/>
  <c r="AM346" i="1"/>
  <c r="AO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O358" i="1" s="1"/>
  <c r="AM359" i="1"/>
  <c r="AM360" i="1"/>
  <c r="AO360" i="1" s="1"/>
  <c r="AM361" i="1"/>
  <c r="AM362" i="1"/>
  <c r="AO362" i="1" s="1"/>
  <c r="AM363" i="1"/>
  <c r="AM364" i="1"/>
  <c r="AO364" i="1" s="1"/>
  <c r="AM365" i="1"/>
  <c r="AM366" i="1"/>
  <c r="AO366" i="1" s="1"/>
  <c r="AM367" i="1"/>
  <c r="AM368" i="1"/>
  <c r="AO368" i="1" s="1"/>
  <c r="AM369" i="1"/>
  <c r="AM370" i="1"/>
  <c r="AO370" i="1" s="1"/>
  <c r="AM371" i="1"/>
  <c r="AO371" i="1" s="1"/>
  <c r="AM372" i="1"/>
  <c r="AO372" i="1" s="1"/>
  <c r="AM373" i="1"/>
  <c r="AM374" i="1"/>
  <c r="AO374" i="1" s="1"/>
  <c r="AM375" i="1"/>
  <c r="AM376" i="1"/>
  <c r="AO376" i="1" s="1"/>
  <c r="AM377" i="1"/>
  <c r="AM378" i="1"/>
  <c r="AO378" i="1" s="1"/>
  <c r="AM379" i="1"/>
  <c r="AM380" i="1"/>
  <c r="AO380" i="1" s="1"/>
  <c r="AM381" i="1"/>
  <c r="AM382" i="1"/>
  <c r="AO382" i="1" s="1"/>
  <c r="AM383" i="1"/>
  <c r="AM384" i="1"/>
  <c r="AO384" i="1" s="1"/>
  <c r="AM385" i="1"/>
  <c r="AM386" i="1"/>
  <c r="AO386" i="1" s="1"/>
  <c r="AM387" i="1"/>
  <c r="AO387" i="1" s="1"/>
  <c r="AM388" i="1"/>
  <c r="AO388" i="1" s="1"/>
  <c r="AM389" i="1"/>
  <c r="AM390" i="1"/>
  <c r="AO390" i="1" s="1"/>
  <c r="AM391" i="1"/>
  <c r="AM392" i="1"/>
  <c r="AO392" i="1" s="1"/>
  <c r="AM393" i="1"/>
  <c r="AO393" i="1" s="1"/>
  <c r="AM394" i="1"/>
  <c r="AO394" i="1" s="1"/>
  <c r="AM395" i="1"/>
  <c r="AO395" i="1" s="1"/>
  <c r="AM396" i="1"/>
  <c r="AO396" i="1" s="1"/>
  <c r="AM397" i="1"/>
  <c r="AO397" i="1" s="1"/>
  <c r="AM398" i="1"/>
  <c r="AO398" i="1" s="1"/>
  <c r="AM399" i="1"/>
  <c r="AO399" i="1" s="1"/>
  <c r="AM400" i="1"/>
  <c r="AO400" i="1" s="1"/>
  <c r="AM401" i="1"/>
  <c r="AM402" i="1"/>
  <c r="AO402" i="1" s="1"/>
  <c r="AM403" i="1"/>
  <c r="AM404" i="1"/>
  <c r="AO404" i="1" s="1"/>
  <c r="AM405" i="1"/>
  <c r="AM406" i="1"/>
  <c r="AO406" i="1" s="1"/>
  <c r="AM407" i="1"/>
  <c r="AM408" i="1"/>
  <c r="AO408" i="1" s="1"/>
  <c r="AM409" i="1"/>
  <c r="AM410" i="1"/>
  <c r="AO410" i="1" s="1"/>
  <c r="AM411" i="1"/>
  <c r="AM412" i="1"/>
  <c r="AO412" i="1" s="1"/>
  <c r="AM413" i="1"/>
  <c r="AM414" i="1"/>
  <c r="AO414" i="1" s="1"/>
  <c r="AM415" i="1"/>
  <c r="AM416" i="1"/>
  <c r="AO416" i="1" s="1"/>
  <c r="AM417" i="1"/>
  <c r="AO417" i="1" s="1"/>
  <c r="AM418" i="1"/>
  <c r="AO418" i="1" s="1"/>
  <c r="AM419" i="1"/>
  <c r="AM420" i="1"/>
  <c r="AO420" i="1" s="1"/>
  <c r="AM421" i="1"/>
  <c r="AO421" i="1" s="1"/>
  <c r="AM422" i="1"/>
  <c r="AO422" i="1" s="1"/>
  <c r="AM423" i="1"/>
  <c r="AM424" i="1"/>
  <c r="AO424" i="1" s="1"/>
  <c r="AM425" i="1"/>
  <c r="AM426" i="1"/>
  <c r="AO426" i="1" s="1"/>
  <c r="AM427" i="1"/>
  <c r="AM428" i="1"/>
  <c r="AO428" i="1" s="1"/>
  <c r="AM429" i="1"/>
  <c r="AO429" i="1" s="1"/>
  <c r="AM430" i="1"/>
  <c r="AO430" i="1" s="1"/>
  <c r="AM431" i="1"/>
  <c r="AM433" i="1"/>
  <c r="AO433" i="1" s="1"/>
  <c r="AM434" i="1"/>
  <c r="AM435" i="1"/>
  <c r="AO435" i="1" s="1"/>
  <c r="AM436" i="1"/>
  <c r="AM437" i="1"/>
  <c r="AO437" i="1" s="1"/>
  <c r="AM438" i="1"/>
  <c r="AM439" i="1"/>
  <c r="AO439" i="1" s="1"/>
  <c r="AM440" i="1"/>
  <c r="AO440" i="1" s="1"/>
  <c r="AM441" i="1"/>
  <c r="AO441" i="1" s="1"/>
  <c r="AM442" i="1"/>
  <c r="AM443" i="1"/>
  <c r="AO443" i="1" s="1"/>
  <c r="AM444" i="1"/>
  <c r="AM445" i="1"/>
  <c r="AO445" i="1" s="1"/>
  <c r="AM446" i="1"/>
  <c r="AM447" i="1"/>
  <c r="AO447" i="1" s="1"/>
  <c r="AM448" i="1"/>
  <c r="AM449" i="1"/>
  <c r="AO449" i="1" s="1"/>
  <c r="AM450" i="1"/>
  <c r="AM451" i="1"/>
  <c r="AO451" i="1" s="1"/>
  <c r="AM452" i="1"/>
  <c r="AO452" i="1" s="1"/>
  <c r="AM453" i="1"/>
  <c r="AM454" i="1"/>
  <c r="AM455" i="1"/>
  <c r="AM456" i="1"/>
  <c r="AM457" i="1"/>
  <c r="AM458" i="1"/>
  <c r="AM459" i="1"/>
  <c r="AO459" i="1" s="1"/>
  <c r="AM460" i="1"/>
  <c r="AM461" i="1"/>
  <c r="AO461" i="1" s="1"/>
  <c r="AM462" i="1"/>
  <c r="AM463" i="1"/>
  <c r="AO463" i="1" s="1"/>
  <c r="AM464" i="1"/>
  <c r="AM465" i="1"/>
  <c r="AO465" i="1" s="1"/>
  <c r="AM466" i="1"/>
  <c r="AM467" i="1"/>
  <c r="AO467" i="1" s="1"/>
  <c r="AM468" i="1"/>
  <c r="AM469" i="1"/>
  <c r="AO469" i="1" s="1"/>
  <c r="AM470" i="1"/>
  <c r="AM471" i="1"/>
  <c r="AO471" i="1" s="1"/>
  <c r="AM472" i="1"/>
  <c r="AM473" i="1"/>
  <c r="AO473" i="1" s="1"/>
  <c r="AM474" i="1"/>
  <c r="AM475" i="1"/>
  <c r="AO475" i="1" s="1"/>
  <c r="AM476" i="1"/>
  <c r="AO476" i="1" s="1"/>
  <c r="AM477" i="1"/>
  <c r="AO477" i="1" s="1"/>
  <c r="AM478" i="1"/>
  <c r="AO478" i="1" s="1"/>
  <c r="AM479" i="1"/>
  <c r="AO479" i="1" s="1"/>
  <c r="AM480" i="1"/>
  <c r="AO480" i="1" s="1"/>
  <c r="AM481" i="1"/>
  <c r="AO481" i="1" s="1"/>
  <c r="AM482" i="1"/>
  <c r="AM483" i="1"/>
  <c r="AO483" i="1" s="1"/>
  <c r="AM484" i="1"/>
  <c r="AM485" i="1"/>
  <c r="AO485" i="1" s="1"/>
  <c r="AM486" i="1"/>
  <c r="AO486" i="1" s="1"/>
  <c r="AM487" i="1"/>
  <c r="AO487" i="1" s="1"/>
  <c r="AM488" i="1"/>
  <c r="AM489" i="1"/>
  <c r="AO489" i="1" s="1"/>
  <c r="AM490" i="1"/>
  <c r="AM491" i="1"/>
  <c r="AO491" i="1" s="1"/>
  <c r="AM492" i="1"/>
  <c r="AO492" i="1" s="1"/>
  <c r="AM493" i="1"/>
  <c r="AO493" i="1" s="1"/>
  <c r="AM494" i="1"/>
  <c r="AM495" i="1"/>
  <c r="AO495" i="1" s="1"/>
  <c r="AM496" i="1"/>
  <c r="AM497" i="1"/>
  <c r="AO497" i="1" s="1"/>
  <c r="AM498" i="1"/>
  <c r="AO498" i="1" s="1"/>
  <c r="AM499" i="1"/>
  <c r="AO499" i="1" s="1"/>
  <c r="AM500" i="1"/>
  <c r="AM501" i="1"/>
  <c r="AO501" i="1" s="1"/>
  <c r="AM502" i="1"/>
  <c r="AM503" i="1"/>
  <c r="AO503" i="1" s="1"/>
  <c r="AM504" i="1"/>
  <c r="AM505" i="1"/>
  <c r="AO505" i="1" s="1"/>
  <c r="AM506" i="1"/>
  <c r="AM507" i="1"/>
  <c r="AM508" i="1"/>
  <c r="AM509" i="1"/>
  <c r="AM510" i="1"/>
  <c r="AM511" i="1"/>
  <c r="AM512" i="1"/>
  <c r="AM513" i="1"/>
  <c r="AM514" i="1"/>
  <c r="AM515" i="1"/>
  <c r="AM516" i="1"/>
  <c r="AO516" i="1" s="1"/>
  <c r="AM517" i="1"/>
  <c r="AM518" i="1"/>
  <c r="AM519" i="1"/>
  <c r="AO519" i="1" s="1"/>
  <c r="AM520" i="1"/>
  <c r="AM521" i="1"/>
  <c r="AO521" i="1" s="1"/>
  <c r="AM522" i="1"/>
  <c r="AO522" i="1" s="1"/>
  <c r="AM523" i="1"/>
  <c r="AM524" i="1"/>
  <c r="AM525" i="1"/>
  <c r="AM526" i="1"/>
  <c r="AM527" i="1"/>
  <c r="AM528" i="1"/>
  <c r="AM529" i="1"/>
  <c r="AM530" i="1"/>
  <c r="AM531" i="1"/>
  <c r="AO531" i="1" s="1"/>
  <c r="AM532" i="1"/>
  <c r="AM533" i="1"/>
  <c r="AO533" i="1" s="1"/>
  <c r="AM534" i="1"/>
  <c r="AM535" i="1"/>
  <c r="AM536" i="1"/>
  <c r="AM537" i="1"/>
  <c r="AO537" i="1" s="1"/>
  <c r="AM538" i="1"/>
  <c r="AM539" i="1"/>
  <c r="AO539" i="1" s="1"/>
  <c r="AM540" i="1"/>
  <c r="AM541" i="1"/>
  <c r="AO541" i="1" s="1"/>
  <c r="AM542" i="1"/>
  <c r="AO542" i="1" s="1"/>
  <c r="AM543" i="1"/>
  <c r="AM544" i="1"/>
  <c r="AO544" i="1" s="1"/>
  <c r="AM545" i="1"/>
  <c r="AM546" i="1"/>
  <c r="AO546" i="1" s="1"/>
  <c r="AM547" i="1"/>
  <c r="AM548" i="1"/>
  <c r="AO548" i="1" s="1"/>
  <c r="AM549" i="1"/>
  <c r="AM550" i="1"/>
  <c r="AO550" i="1" s="1"/>
  <c r="AM551" i="1"/>
  <c r="AM552" i="1"/>
  <c r="AM553" i="1"/>
  <c r="AM554" i="1"/>
  <c r="AM555" i="1"/>
  <c r="AM556" i="1"/>
  <c r="AM557" i="1"/>
  <c r="AO557" i="1" s="1"/>
  <c r="AM558" i="1"/>
  <c r="AM559" i="1"/>
  <c r="AM560" i="1"/>
  <c r="AM561" i="1"/>
  <c r="AO561" i="1" s="1"/>
  <c r="AM562" i="1"/>
  <c r="AM563" i="1"/>
  <c r="AM564" i="1"/>
  <c r="AM565" i="1"/>
  <c r="AO565" i="1" s="1"/>
  <c r="AM566" i="1"/>
  <c r="AM567" i="1"/>
  <c r="AO567" i="1" s="1"/>
  <c r="AM568" i="1"/>
  <c r="AO568" i="1" s="1"/>
  <c r="AM569" i="1"/>
  <c r="AM570" i="1"/>
  <c r="AM571" i="1"/>
  <c r="AO571" i="1" s="1"/>
  <c r="AM572" i="1"/>
  <c r="AM573" i="1"/>
  <c r="AO573" i="1" s="1"/>
  <c r="AM574" i="1"/>
  <c r="AM575" i="1"/>
  <c r="AO575" i="1" s="1"/>
  <c r="AM576" i="1"/>
  <c r="AM577" i="1"/>
  <c r="AO577" i="1" s="1"/>
  <c r="AM578" i="1"/>
  <c r="AM579" i="1"/>
  <c r="AO579" i="1" s="1"/>
  <c r="AM580" i="1"/>
  <c r="AO580" i="1" s="1"/>
  <c r="AM581" i="1"/>
  <c r="AO581" i="1" s="1"/>
  <c r="AM582" i="1"/>
  <c r="AM583" i="1"/>
  <c r="AO583" i="1" s="1"/>
  <c r="AM584" i="1"/>
  <c r="AM585" i="1"/>
  <c r="AM586" i="1"/>
  <c r="AM587" i="1"/>
  <c r="AM588" i="1"/>
  <c r="AO588" i="1" s="1"/>
  <c r="AM589" i="1"/>
  <c r="AM590" i="1"/>
  <c r="AO590" i="1" s="1"/>
  <c r="AM591" i="1"/>
  <c r="AM592" i="1"/>
  <c r="AM593" i="1"/>
  <c r="AO593" i="1" s="1"/>
  <c r="AM594" i="1"/>
  <c r="AM595" i="1"/>
  <c r="AM596" i="1"/>
  <c r="AO596" i="1" s="1"/>
  <c r="AM597" i="1"/>
  <c r="AM598" i="1"/>
  <c r="AO598" i="1" s="1"/>
  <c r="AM599" i="1"/>
  <c r="AM600" i="1"/>
  <c r="AM601" i="1"/>
  <c r="AO601" i="1" s="1"/>
  <c r="AM602" i="1"/>
  <c r="AM603" i="1"/>
  <c r="AO603" i="1" s="1"/>
  <c r="AM604" i="1"/>
  <c r="AM605" i="1"/>
  <c r="AM606" i="1"/>
  <c r="AO606" i="1" s="1"/>
  <c r="AM607" i="1"/>
  <c r="AO607" i="1" s="1"/>
  <c r="AM608" i="1"/>
  <c r="AM609" i="1"/>
  <c r="AO609" i="1" s="1"/>
  <c r="AM610" i="1"/>
  <c r="AM611" i="1"/>
  <c r="AM612" i="1"/>
  <c r="AM613" i="1"/>
  <c r="AO613" i="1" s="1"/>
  <c r="AM614" i="1"/>
  <c r="AO614" i="1" s="1"/>
  <c r="AM615" i="1"/>
  <c r="AO615" i="1" s="1"/>
  <c r="AM616" i="1"/>
  <c r="AO616" i="1" s="1"/>
  <c r="AM617" i="1"/>
  <c r="AO617" i="1" s="1"/>
  <c r="AM618" i="1"/>
  <c r="AO618" i="1" s="1"/>
  <c r="AM619" i="1"/>
  <c r="AO619" i="1" s="1"/>
  <c r="AM620" i="1"/>
  <c r="AO620" i="1" s="1"/>
  <c r="AM621" i="1"/>
  <c r="AO621" i="1" s="1"/>
  <c r="AM622" i="1"/>
  <c r="AO622" i="1" s="1"/>
  <c r="AM623" i="1"/>
  <c r="AO623" i="1" s="1"/>
  <c r="AM624" i="1"/>
  <c r="AO624" i="1" s="1"/>
  <c r="AM625" i="1"/>
  <c r="AO625" i="1" s="1"/>
  <c r="AM626" i="1"/>
  <c r="AO626" i="1" s="1"/>
  <c r="AM627" i="1"/>
  <c r="AO627" i="1" s="1"/>
  <c r="AM628" i="1"/>
  <c r="AO628" i="1" s="1"/>
  <c r="AM629" i="1"/>
  <c r="AO629" i="1" s="1"/>
  <c r="AM630" i="1"/>
  <c r="AO630" i="1" s="1"/>
  <c r="AM631" i="1"/>
  <c r="AO631" i="1" s="1"/>
  <c r="AM632" i="1"/>
  <c r="AO632" i="1" s="1"/>
  <c r="AM633" i="1"/>
  <c r="AO633" i="1" s="1"/>
  <c r="AM634" i="1"/>
  <c r="AO634" i="1" s="1"/>
  <c r="AM635" i="1"/>
  <c r="AO635" i="1" s="1"/>
  <c r="AM636" i="1"/>
  <c r="AO636" i="1" s="1"/>
  <c r="AM637" i="1"/>
  <c r="AO637" i="1" s="1"/>
  <c r="AM638" i="1"/>
  <c r="AO638" i="1" s="1"/>
  <c r="AM639" i="1"/>
  <c r="AO639" i="1" s="1"/>
  <c r="AM640" i="1"/>
  <c r="AO640" i="1" s="1"/>
  <c r="AM641" i="1"/>
  <c r="AO641" i="1" s="1"/>
  <c r="AM642" i="1"/>
  <c r="AO642" i="1" s="1"/>
  <c r="AM643" i="1"/>
  <c r="AO643" i="1" s="1"/>
  <c r="AM644" i="1"/>
  <c r="AO644" i="1" s="1"/>
  <c r="AM645" i="1"/>
  <c r="AO645" i="1" s="1"/>
  <c r="AM646" i="1"/>
  <c r="AO646" i="1" s="1"/>
  <c r="AM647" i="1"/>
  <c r="AO647" i="1" s="1"/>
  <c r="AM648" i="1"/>
  <c r="AO648" i="1" s="1"/>
  <c r="AM649" i="1"/>
  <c r="AO649" i="1" s="1"/>
  <c r="AM650" i="1"/>
  <c r="AO650" i="1" s="1"/>
  <c r="AM651" i="1"/>
  <c r="AO651" i="1" s="1"/>
  <c r="AM652" i="1"/>
  <c r="AO652" i="1" s="1"/>
  <c r="AM653" i="1"/>
  <c r="AO653" i="1" s="1"/>
  <c r="AM654" i="1"/>
  <c r="AO654" i="1" s="1"/>
  <c r="AM655" i="1"/>
  <c r="AO655" i="1" s="1"/>
  <c r="AM656" i="1"/>
  <c r="AO656" i="1" s="1"/>
  <c r="AM657" i="1"/>
  <c r="AO657" i="1" s="1"/>
  <c r="AM658" i="1"/>
  <c r="AO658" i="1" s="1"/>
  <c r="AM659" i="1"/>
  <c r="AO659" i="1" s="1"/>
  <c r="AM660" i="1"/>
  <c r="AO660" i="1" s="1"/>
  <c r="AM661" i="1"/>
  <c r="AO661" i="1" s="1"/>
  <c r="AM662" i="1"/>
  <c r="AO662" i="1" s="1"/>
  <c r="AM663" i="1"/>
  <c r="AO663" i="1" s="1"/>
  <c r="AM664" i="1"/>
  <c r="AO664" i="1" s="1"/>
  <c r="AM665" i="1"/>
  <c r="AO665" i="1" s="1"/>
  <c r="AM666" i="1"/>
  <c r="AO666" i="1" s="1"/>
  <c r="AM667" i="1"/>
  <c r="AO667" i="1" s="1"/>
  <c r="AM668" i="1"/>
  <c r="AO668" i="1" s="1"/>
  <c r="AM669" i="1"/>
  <c r="AO669" i="1" s="1"/>
  <c r="AM670" i="1"/>
  <c r="AO670" i="1" s="1"/>
  <c r="AM671" i="1"/>
  <c r="AO671" i="1" s="1"/>
  <c r="AM672" i="1"/>
  <c r="AO672" i="1" s="1"/>
  <c r="AM673" i="1"/>
  <c r="AO673" i="1" s="1"/>
  <c r="AM674" i="1"/>
  <c r="AO674" i="1" s="1"/>
  <c r="AM675" i="1"/>
  <c r="AO675" i="1" s="1"/>
  <c r="AM676" i="1"/>
  <c r="AO676" i="1" s="1"/>
  <c r="AM677" i="1"/>
  <c r="AO677" i="1" s="1"/>
  <c r="AM678" i="1"/>
  <c r="AO678" i="1" s="1"/>
  <c r="AM679" i="1"/>
  <c r="AO679" i="1" s="1"/>
  <c r="AM680" i="1"/>
  <c r="AO680" i="1" s="1"/>
  <c r="AM681" i="1"/>
  <c r="AO681" i="1" s="1"/>
  <c r="AM682" i="1"/>
  <c r="AO682" i="1" s="1"/>
  <c r="AM683" i="1"/>
  <c r="AO683" i="1" s="1"/>
  <c r="AM684" i="1"/>
  <c r="AO684" i="1" s="1"/>
  <c r="AM685" i="1"/>
  <c r="AO685" i="1" s="1"/>
  <c r="AM686" i="1"/>
  <c r="AO686" i="1" s="1"/>
  <c r="AM687" i="1"/>
  <c r="AO687" i="1" s="1"/>
  <c r="AM688" i="1"/>
  <c r="AO688" i="1" s="1"/>
  <c r="AM689" i="1"/>
  <c r="AO689" i="1" s="1"/>
  <c r="AM690" i="1"/>
  <c r="AO690" i="1" s="1"/>
  <c r="AM691" i="1"/>
  <c r="AO691" i="1" s="1"/>
  <c r="AM692" i="1"/>
  <c r="AO692" i="1" s="1"/>
  <c r="AM693" i="1"/>
  <c r="AO693" i="1" s="1"/>
  <c r="AM694" i="1"/>
  <c r="AO694" i="1" s="1"/>
  <c r="AM695" i="1"/>
  <c r="AO695" i="1" s="1"/>
  <c r="AM696" i="1"/>
  <c r="AO696" i="1" s="1"/>
  <c r="AM697" i="1"/>
  <c r="AO697" i="1" s="1"/>
  <c r="AM698" i="1"/>
  <c r="AO698" i="1" s="1"/>
  <c r="AM699" i="1"/>
  <c r="AO699" i="1" s="1"/>
  <c r="AM700" i="1"/>
  <c r="AO700" i="1" s="1"/>
  <c r="AM701" i="1"/>
  <c r="AO701" i="1" s="1"/>
  <c r="AM702" i="1"/>
  <c r="AO702" i="1" s="1"/>
  <c r="AM703" i="1"/>
  <c r="AO703" i="1" s="1"/>
  <c r="AM704" i="1"/>
  <c r="AO704" i="1" s="1"/>
  <c r="AM705" i="1"/>
  <c r="AO705" i="1" s="1"/>
  <c r="AM706" i="1"/>
  <c r="AO706" i="1" s="1"/>
  <c r="AM707" i="1"/>
  <c r="AO707" i="1" s="1"/>
  <c r="AM708" i="1"/>
  <c r="AO708" i="1" s="1"/>
  <c r="AM709" i="1"/>
  <c r="AO709" i="1" s="1"/>
  <c r="AM710" i="1"/>
  <c r="AO710" i="1" s="1"/>
  <c r="AM711" i="1"/>
  <c r="AO711" i="1" s="1"/>
  <c r="AM712" i="1"/>
  <c r="AO712" i="1" s="1"/>
  <c r="AM713" i="1"/>
  <c r="AO713" i="1" s="1"/>
  <c r="AM714" i="1"/>
  <c r="AO714" i="1" s="1"/>
  <c r="AM715" i="1"/>
  <c r="AO715" i="1" s="1"/>
  <c r="AM716" i="1"/>
  <c r="AO716" i="1" s="1"/>
  <c r="AM717" i="1"/>
  <c r="AO717" i="1" s="1"/>
  <c r="AM718" i="1"/>
  <c r="AO718" i="1" s="1"/>
  <c r="AM719" i="1"/>
  <c r="AO719" i="1" s="1"/>
  <c r="AM720" i="1"/>
  <c r="AO720" i="1" s="1"/>
  <c r="AM721" i="1"/>
  <c r="AO721" i="1" s="1"/>
  <c r="AM722" i="1"/>
  <c r="AO722" i="1" s="1"/>
  <c r="AM723" i="1"/>
  <c r="AO723" i="1" s="1"/>
  <c r="AM724" i="1"/>
  <c r="AO724" i="1" s="1"/>
  <c r="AM725" i="1"/>
  <c r="AO725" i="1" s="1"/>
  <c r="AM726" i="1"/>
  <c r="AO726" i="1" s="1"/>
  <c r="AM727" i="1"/>
  <c r="AO727" i="1" s="1"/>
  <c r="AM728" i="1"/>
  <c r="AO728" i="1" s="1"/>
  <c r="AM729" i="1"/>
  <c r="AO729" i="1" s="1"/>
  <c r="AM730" i="1"/>
  <c r="AO730" i="1" s="1"/>
  <c r="AM731" i="1"/>
  <c r="AO731" i="1" s="1"/>
  <c r="AM732" i="1"/>
  <c r="AO732" i="1" s="1"/>
  <c r="AM733" i="1"/>
  <c r="AO733" i="1" s="1"/>
  <c r="AM734" i="1"/>
  <c r="AO734" i="1" s="1"/>
  <c r="AM735" i="1"/>
  <c r="AO735" i="1" s="1"/>
  <c r="AM736" i="1"/>
  <c r="AO736" i="1" s="1"/>
  <c r="AM737" i="1"/>
  <c r="AO737" i="1" s="1"/>
  <c r="AM738" i="1"/>
  <c r="AO738" i="1" s="1"/>
  <c r="AM739" i="1"/>
  <c r="AO739" i="1" s="1"/>
  <c r="AM740" i="1"/>
  <c r="AO740" i="1" s="1"/>
  <c r="AM741" i="1"/>
  <c r="AO741" i="1" s="1"/>
  <c r="AM742" i="1"/>
  <c r="AO742" i="1" s="1"/>
  <c r="AM743" i="1"/>
  <c r="AO743" i="1" s="1"/>
  <c r="AM744" i="1"/>
  <c r="AO744" i="1" s="1"/>
  <c r="AM745" i="1"/>
  <c r="AO745" i="1" s="1"/>
  <c r="AM746" i="1"/>
  <c r="AO746" i="1" s="1"/>
  <c r="AM747" i="1"/>
  <c r="AO747" i="1" s="1"/>
  <c r="AM748" i="1"/>
  <c r="AO748" i="1" s="1"/>
  <c r="AM749" i="1"/>
  <c r="AO749" i="1" s="1"/>
  <c r="AM750" i="1"/>
  <c r="AO750" i="1" s="1"/>
  <c r="AM751" i="1"/>
  <c r="AO751" i="1" s="1"/>
  <c r="AM752" i="1"/>
  <c r="AO752" i="1" s="1"/>
  <c r="AM753" i="1"/>
  <c r="AO753" i="1" s="1"/>
  <c r="AM754" i="1"/>
  <c r="AO754" i="1" s="1"/>
  <c r="AM755" i="1"/>
  <c r="AO755" i="1" s="1"/>
  <c r="AM756" i="1"/>
  <c r="AO756" i="1" s="1"/>
  <c r="AM757" i="1"/>
  <c r="AO757" i="1" s="1"/>
  <c r="AM758" i="1"/>
  <c r="AO758" i="1" s="1"/>
  <c r="AM759" i="1"/>
  <c r="AO759" i="1" s="1"/>
  <c r="AM760" i="1"/>
  <c r="AO760" i="1" s="1"/>
  <c r="AM761" i="1"/>
  <c r="AO761" i="1" s="1"/>
  <c r="AM762" i="1"/>
  <c r="AO762" i="1" s="1"/>
  <c r="AM763" i="1"/>
  <c r="AO763" i="1" s="1"/>
  <c r="AM764" i="1"/>
  <c r="AO764" i="1" s="1"/>
  <c r="AM765" i="1"/>
  <c r="AO765" i="1" s="1"/>
  <c r="AM766" i="1"/>
  <c r="AO766" i="1" s="1"/>
  <c r="AM767" i="1"/>
  <c r="AO767" i="1" s="1"/>
  <c r="AM768" i="1"/>
  <c r="AO768" i="1" s="1"/>
  <c r="AM769" i="1"/>
  <c r="AO769" i="1" s="1"/>
  <c r="AM770" i="1"/>
  <c r="AO770" i="1" s="1"/>
  <c r="AM771" i="1"/>
  <c r="AO771" i="1" s="1"/>
  <c r="AM772" i="1"/>
  <c r="AO772" i="1" s="1"/>
  <c r="AM773" i="1"/>
  <c r="AO773" i="1" s="1"/>
  <c r="AM774" i="1"/>
  <c r="AO774" i="1" s="1"/>
  <c r="AM775" i="1"/>
  <c r="AO775" i="1" s="1"/>
  <c r="AM776" i="1"/>
  <c r="AO776" i="1" s="1"/>
  <c r="AM777" i="1"/>
  <c r="AO777" i="1" s="1"/>
  <c r="AM778" i="1"/>
  <c r="AO778" i="1" s="1"/>
  <c r="AM779" i="1"/>
  <c r="AO779" i="1" s="1"/>
  <c r="AM780" i="1"/>
  <c r="AO780" i="1" s="1"/>
  <c r="AM781" i="1"/>
  <c r="AO781" i="1" s="1"/>
  <c r="AM782" i="1"/>
  <c r="AO782" i="1" s="1"/>
  <c r="AM783" i="1"/>
  <c r="AO783" i="1" s="1"/>
  <c r="AM784" i="1"/>
  <c r="AO784" i="1" s="1"/>
  <c r="AM785" i="1"/>
  <c r="AO785" i="1" s="1"/>
  <c r="AM786" i="1"/>
  <c r="AO786" i="1" s="1"/>
  <c r="AM787" i="1"/>
  <c r="AO787" i="1" s="1"/>
  <c r="AM788" i="1"/>
  <c r="AO788" i="1" s="1"/>
  <c r="AM789" i="1"/>
  <c r="AO789" i="1" s="1"/>
  <c r="AM790" i="1"/>
  <c r="AO790" i="1" s="1"/>
  <c r="AM791" i="1"/>
  <c r="AO791" i="1" s="1"/>
  <c r="AM792" i="1"/>
  <c r="AO792" i="1" s="1"/>
  <c r="AM793" i="1"/>
  <c r="AO793" i="1" s="1"/>
  <c r="AM794" i="1"/>
  <c r="AO794" i="1" s="1"/>
  <c r="AM795" i="1"/>
  <c r="AO795" i="1" s="1"/>
  <c r="AM796" i="1"/>
  <c r="AO796" i="1" s="1"/>
  <c r="AM797" i="1"/>
  <c r="AO797" i="1" s="1"/>
  <c r="AM798" i="1"/>
  <c r="AO798" i="1" s="1"/>
  <c r="AM799" i="1"/>
  <c r="AO799" i="1" s="1"/>
  <c r="AM800" i="1"/>
  <c r="AO800" i="1" s="1"/>
  <c r="AM801" i="1"/>
  <c r="AO801" i="1" s="1"/>
  <c r="AM802" i="1"/>
  <c r="AO802" i="1" s="1"/>
  <c r="AM803" i="1"/>
  <c r="AO803" i="1" s="1"/>
  <c r="AM804" i="1"/>
  <c r="AO804" i="1" s="1"/>
  <c r="AM805" i="1"/>
  <c r="AO805" i="1" s="1"/>
  <c r="AM806" i="1"/>
  <c r="AO806" i="1" s="1"/>
  <c r="AM807" i="1"/>
  <c r="AO807" i="1" s="1"/>
  <c r="AM808" i="1"/>
  <c r="AO808" i="1" s="1"/>
  <c r="AM809" i="1"/>
  <c r="AO809" i="1" s="1"/>
  <c r="AM810" i="1"/>
  <c r="AO810" i="1" s="1"/>
  <c r="AM811" i="1"/>
  <c r="AO811" i="1" s="1"/>
  <c r="AM812" i="1"/>
  <c r="AO812" i="1" s="1"/>
  <c r="AM813" i="1"/>
  <c r="AO813" i="1" s="1"/>
  <c r="AM814" i="1"/>
  <c r="AO814" i="1" s="1"/>
  <c r="AM815" i="1"/>
  <c r="AO815" i="1" s="1"/>
  <c r="AM816" i="1"/>
  <c r="AO816" i="1" s="1"/>
  <c r="AM817" i="1"/>
  <c r="AO817" i="1" s="1"/>
  <c r="AM818" i="1"/>
  <c r="AO818" i="1" s="1"/>
  <c r="AM819" i="1"/>
  <c r="AO819" i="1" s="1"/>
  <c r="AM820" i="1"/>
  <c r="AO820" i="1" s="1"/>
  <c r="AM821" i="1"/>
  <c r="AO821" i="1" s="1"/>
  <c r="AM822" i="1"/>
  <c r="AO822" i="1" s="1"/>
  <c r="AM823" i="1"/>
  <c r="AO823" i="1" s="1"/>
  <c r="AM824" i="1"/>
  <c r="AO824" i="1" s="1"/>
  <c r="AM825" i="1"/>
  <c r="AO825" i="1" s="1"/>
  <c r="AM826" i="1"/>
  <c r="AO826" i="1" s="1"/>
  <c r="AM827" i="1"/>
  <c r="AO827" i="1" s="1"/>
  <c r="AM828" i="1"/>
  <c r="AO828" i="1" s="1"/>
  <c r="AM829" i="1"/>
  <c r="AO829" i="1" s="1"/>
  <c r="AM830" i="1"/>
  <c r="AO830" i="1" s="1"/>
  <c r="AM831" i="1"/>
  <c r="AO831" i="1" s="1"/>
  <c r="AM832" i="1"/>
  <c r="AO832" i="1" s="1"/>
  <c r="AM833" i="1"/>
  <c r="AO833" i="1" s="1"/>
  <c r="AM834" i="1"/>
  <c r="AO834" i="1" s="1"/>
  <c r="AM835" i="1"/>
  <c r="AO835" i="1" s="1"/>
  <c r="AM836" i="1"/>
  <c r="AO836" i="1" s="1"/>
  <c r="AM837" i="1"/>
  <c r="AO837" i="1" s="1"/>
  <c r="AM838" i="1"/>
  <c r="AO838" i="1" s="1"/>
  <c r="AM839" i="1"/>
  <c r="AO839" i="1" s="1"/>
  <c r="AM840" i="1"/>
  <c r="AO840" i="1" s="1"/>
  <c r="AM841" i="1"/>
  <c r="AO841" i="1" s="1"/>
  <c r="AM842" i="1"/>
  <c r="AO842" i="1" s="1"/>
  <c r="AM843" i="1"/>
  <c r="AO843" i="1" s="1"/>
  <c r="AM844" i="1"/>
  <c r="AO844" i="1" s="1"/>
  <c r="AM845" i="1"/>
  <c r="AO845" i="1" s="1"/>
  <c r="AM846" i="1"/>
  <c r="AO846" i="1" s="1"/>
  <c r="AM847" i="1"/>
  <c r="AO847" i="1" s="1"/>
  <c r="AM848" i="1"/>
  <c r="AO848" i="1" s="1"/>
  <c r="AM849" i="1"/>
  <c r="AO849" i="1" s="1"/>
  <c r="AM850" i="1"/>
  <c r="AO850" i="1" s="1"/>
  <c r="AM851" i="1"/>
  <c r="AO851" i="1" s="1"/>
  <c r="AM852" i="1"/>
  <c r="AO852" i="1" s="1"/>
  <c r="AM853" i="1"/>
  <c r="AO853" i="1" s="1"/>
  <c r="AM854" i="1"/>
  <c r="AO854" i="1" s="1"/>
  <c r="AM855" i="1"/>
  <c r="AO855" i="1" s="1"/>
  <c r="AM856" i="1"/>
  <c r="AO856" i="1" s="1"/>
  <c r="AM857" i="1"/>
  <c r="AO857" i="1" s="1"/>
  <c r="AM858" i="1"/>
  <c r="AO858" i="1" s="1"/>
  <c r="AM859" i="1"/>
  <c r="AO859" i="1" s="1"/>
  <c r="AM860" i="1"/>
  <c r="AO860" i="1" s="1"/>
  <c r="AM861" i="1"/>
  <c r="AO861" i="1" s="1"/>
  <c r="AM862" i="1"/>
  <c r="AO862" i="1" s="1"/>
  <c r="AM863" i="1"/>
  <c r="AO863" i="1" s="1"/>
  <c r="AM864" i="1"/>
  <c r="AO864" i="1" s="1"/>
  <c r="AM865" i="1"/>
  <c r="AO865" i="1" s="1"/>
  <c r="AM866" i="1"/>
  <c r="AO866" i="1" s="1"/>
  <c r="AM867" i="1"/>
  <c r="AO867" i="1" s="1"/>
  <c r="AM868" i="1"/>
  <c r="AO868" i="1" s="1"/>
  <c r="AM869" i="1"/>
  <c r="AO869" i="1" s="1"/>
  <c r="AM870" i="1"/>
  <c r="AO870" i="1" s="1"/>
  <c r="AM871" i="1"/>
  <c r="AO871" i="1" s="1"/>
  <c r="AM872" i="1"/>
  <c r="AO872" i="1" s="1"/>
  <c r="AM873" i="1"/>
  <c r="AO873" i="1" s="1"/>
  <c r="AM874" i="1"/>
  <c r="AO874" i="1" s="1"/>
  <c r="AM875" i="1"/>
  <c r="AO875" i="1" s="1"/>
  <c r="AM876" i="1"/>
  <c r="AO876" i="1" s="1"/>
  <c r="AM877" i="1"/>
  <c r="AO877" i="1" s="1"/>
  <c r="AM878" i="1"/>
  <c r="AO878" i="1" s="1"/>
  <c r="AM879" i="1"/>
  <c r="AO879" i="1" s="1"/>
  <c r="AM880" i="1"/>
  <c r="AO880" i="1" s="1"/>
  <c r="AM881" i="1"/>
  <c r="AO881" i="1" s="1"/>
  <c r="AM882" i="1"/>
  <c r="AO882" i="1" s="1"/>
  <c r="AM883" i="1"/>
  <c r="AO883" i="1" s="1"/>
  <c r="AM884" i="1"/>
  <c r="AO884" i="1" s="1"/>
  <c r="AM885" i="1"/>
  <c r="AO885" i="1" s="1"/>
  <c r="AM886" i="1"/>
  <c r="AO886" i="1" s="1"/>
  <c r="AM887" i="1"/>
  <c r="AO887" i="1" s="1"/>
  <c r="AM888" i="1"/>
  <c r="AO888" i="1" s="1"/>
  <c r="AM889" i="1"/>
  <c r="AO889" i="1" s="1"/>
  <c r="AM890" i="1"/>
  <c r="AO890" i="1" s="1"/>
  <c r="AM891" i="1"/>
  <c r="AO891" i="1" s="1"/>
  <c r="AM892" i="1"/>
  <c r="AO892" i="1" s="1"/>
  <c r="AM893" i="1"/>
  <c r="AO893" i="1" s="1"/>
  <c r="AM894" i="1"/>
  <c r="AO894" i="1" s="1"/>
  <c r="AM895" i="1"/>
  <c r="AO895" i="1" s="1"/>
  <c r="AM896" i="1"/>
  <c r="AO896" i="1" s="1"/>
  <c r="AM897" i="1"/>
  <c r="AO897" i="1" s="1"/>
  <c r="AM898" i="1"/>
  <c r="AO898" i="1" s="1"/>
  <c r="AM899" i="1"/>
  <c r="AO899" i="1" s="1"/>
  <c r="AM900" i="1"/>
  <c r="AO900" i="1" s="1"/>
  <c r="AM901" i="1"/>
  <c r="AO901" i="1" s="1"/>
  <c r="AM902" i="1"/>
  <c r="AO902" i="1" s="1"/>
  <c r="AM903" i="1"/>
  <c r="AO903" i="1" s="1"/>
  <c r="AM904" i="1"/>
  <c r="AO904" i="1" s="1"/>
  <c r="AM905" i="1"/>
  <c r="AO905" i="1" s="1"/>
  <c r="AM906" i="1"/>
  <c r="AO906" i="1" s="1"/>
  <c r="AM907" i="1"/>
  <c r="AO907" i="1" s="1"/>
  <c r="AM908" i="1"/>
  <c r="AO908" i="1" s="1"/>
  <c r="AM909" i="1"/>
  <c r="AO909" i="1" s="1"/>
  <c r="AM910" i="1"/>
  <c r="AO910" i="1" s="1"/>
  <c r="AM911" i="1"/>
  <c r="AO911" i="1" s="1"/>
  <c r="AM912" i="1"/>
  <c r="AO912" i="1" s="1"/>
  <c r="AM913" i="1"/>
  <c r="AO913" i="1" s="1"/>
  <c r="AM914" i="1"/>
  <c r="AO914" i="1" s="1"/>
  <c r="AM915" i="1"/>
  <c r="AO915" i="1" s="1"/>
  <c r="AM916" i="1"/>
  <c r="AO916" i="1" s="1"/>
  <c r="AM917" i="1"/>
  <c r="AO917" i="1" s="1"/>
  <c r="AM918" i="1"/>
  <c r="AO918" i="1" s="1"/>
  <c r="AM919" i="1"/>
  <c r="AO919" i="1" s="1"/>
  <c r="AM920" i="1"/>
  <c r="AO920" i="1" s="1"/>
  <c r="D5" i="1"/>
  <c r="D12" i="1"/>
  <c r="D17" i="1"/>
  <c r="D23" i="1"/>
  <c r="D26" i="1"/>
  <c r="D28" i="1"/>
  <c r="D30" i="1"/>
  <c r="D41" i="1"/>
  <c r="D44" i="1"/>
  <c r="D55" i="1"/>
  <c r="D64" i="1"/>
  <c r="D73" i="1"/>
  <c r="D83" i="1"/>
  <c r="D94" i="1"/>
  <c r="D105" i="1"/>
  <c r="D108" i="1"/>
  <c r="D113" i="1"/>
  <c r="D125" i="1"/>
  <c r="D138" i="1"/>
  <c r="D150" i="1"/>
  <c r="D163" i="1"/>
  <c r="D172" i="1"/>
  <c r="D174" i="1"/>
  <c r="D176" i="1"/>
  <c r="D178" i="1"/>
  <c r="D182" i="1"/>
  <c r="D184" i="1"/>
  <c r="D187" i="1"/>
  <c r="D190" i="1"/>
  <c r="D193" i="1"/>
  <c r="D201" i="1"/>
  <c r="D204" i="1"/>
  <c r="D206" i="1"/>
  <c r="D211" i="1"/>
  <c r="D216" i="1"/>
  <c r="D219" i="1"/>
  <c r="D227" i="1"/>
  <c r="D231" i="1"/>
  <c r="D243" i="1"/>
  <c r="D246" i="1"/>
  <c r="D252" i="1"/>
  <c r="D256" i="1"/>
  <c r="D261" i="1"/>
  <c r="D273" i="1"/>
  <c r="D286" i="1"/>
  <c r="D288" i="1"/>
  <c r="D297" i="1"/>
  <c r="D299" i="1"/>
  <c r="D302" i="1"/>
  <c r="D304" i="1"/>
  <c r="D312" i="1"/>
  <c r="D322" i="1"/>
  <c r="D331" i="1"/>
  <c r="D339" i="1"/>
  <c r="D343" i="1"/>
  <c r="D346" i="1"/>
  <c r="D358" i="1"/>
  <c r="D371" i="1"/>
  <c r="D382" i="1"/>
  <c r="D384" i="1"/>
  <c r="D387" i="1"/>
  <c r="D390" i="1"/>
  <c r="D393" i="1"/>
  <c r="D395" i="1"/>
  <c r="D397" i="1"/>
  <c r="D399" i="1"/>
  <c r="D408" i="1"/>
  <c r="D410" i="1"/>
  <c r="D412" i="1"/>
  <c r="D417" i="1"/>
  <c r="D421" i="1"/>
  <c r="D429" i="1"/>
  <c r="D437" i="1"/>
  <c r="D440" i="1"/>
  <c r="D452" i="1"/>
  <c r="D463" i="1"/>
  <c r="D467" i="1"/>
  <c r="D469" i="1"/>
  <c r="D471" i="1"/>
  <c r="D473" i="1"/>
  <c r="D476" i="1"/>
  <c r="D478" i="1"/>
  <c r="D480" i="1"/>
  <c r="D483" i="1"/>
  <c r="D486" i="1"/>
  <c r="D489" i="1"/>
  <c r="D492" i="1"/>
  <c r="D498" i="1"/>
  <c r="D501" i="1"/>
  <c r="D505" i="1"/>
  <c r="D516" i="1"/>
  <c r="D522" i="1"/>
  <c r="D531" i="1"/>
  <c r="D533" i="1"/>
  <c r="D537" i="1"/>
  <c r="D539" i="1"/>
  <c r="D542" i="1"/>
  <c r="D544" i="1"/>
  <c r="D546" i="1"/>
  <c r="D548" i="1"/>
  <c r="D550" i="1"/>
  <c r="D557" i="1"/>
  <c r="D565" i="1"/>
  <c r="D568" i="1"/>
  <c r="D571" i="1"/>
  <c r="D580" i="1"/>
  <c r="D583" i="1"/>
  <c r="D588" i="1"/>
  <c r="D590" i="1"/>
  <c r="D593" i="1"/>
  <c r="D596" i="1"/>
  <c r="D598" i="1"/>
  <c r="D601" i="1"/>
  <c r="D603" i="1"/>
  <c r="D606" i="1"/>
  <c r="D609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AI5" i="1"/>
  <c r="AI12" i="1"/>
  <c r="AI17" i="1"/>
  <c r="AI23" i="1"/>
  <c r="AI26" i="1"/>
  <c r="AI28" i="1"/>
  <c r="AI30" i="1"/>
  <c r="AI41" i="1"/>
  <c r="AI44" i="1"/>
  <c r="AI55" i="1"/>
  <c r="AI64" i="1"/>
  <c r="AI73" i="1"/>
  <c r="AI83" i="1"/>
  <c r="AI94" i="1"/>
  <c r="AI105" i="1"/>
  <c r="AI108" i="1"/>
  <c r="AI113" i="1"/>
  <c r="AI125" i="1"/>
  <c r="AI138" i="1"/>
  <c r="AI150" i="1"/>
  <c r="AI163" i="1"/>
  <c r="AI172" i="1"/>
  <c r="AI174" i="1"/>
  <c r="AI176" i="1"/>
  <c r="AI178" i="1"/>
  <c r="AI182" i="1"/>
  <c r="AI184" i="1"/>
  <c r="AI187" i="1"/>
  <c r="AI190" i="1"/>
  <c r="AI193" i="1"/>
  <c r="AI201" i="1"/>
  <c r="AI204" i="1"/>
  <c r="AI206" i="1"/>
  <c r="AI211" i="1"/>
  <c r="AI216" i="1"/>
  <c r="AI219" i="1"/>
  <c r="AI227" i="1"/>
  <c r="AI231" i="1"/>
  <c r="AI243" i="1"/>
  <c r="AI246" i="1"/>
  <c r="AI252" i="1"/>
  <c r="AI256" i="1"/>
  <c r="AI261" i="1"/>
  <c r="AI273" i="1"/>
  <c r="AI286" i="1"/>
  <c r="AI288" i="1"/>
  <c r="AI297" i="1"/>
  <c r="AI299" i="1"/>
  <c r="AI302" i="1"/>
  <c r="AI304" i="1"/>
  <c r="AI312" i="1"/>
  <c r="AI322" i="1"/>
  <c r="AI331" i="1"/>
  <c r="AI339" i="1"/>
  <c r="AI343" i="1"/>
  <c r="AI346" i="1"/>
  <c r="AI358" i="1"/>
  <c r="AI371" i="1"/>
  <c r="AI382" i="1"/>
  <c r="AI384" i="1"/>
  <c r="AI387" i="1"/>
  <c r="AI390" i="1"/>
  <c r="AI393" i="1"/>
  <c r="AI395" i="1"/>
  <c r="AI397" i="1"/>
  <c r="AI399" i="1"/>
  <c r="AI408" i="1"/>
  <c r="AI410" i="1"/>
  <c r="AI412" i="1"/>
  <c r="AI417" i="1"/>
  <c r="AI421" i="1"/>
  <c r="AI429" i="1"/>
  <c r="AI437" i="1"/>
  <c r="AI440" i="1"/>
  <c r="AI452" i="1"/>
  <c r="AI463" i="1"/>
  <c r="AI467" i="1"/>
  <c r="AI469" i="1"/>
  <c r="AI471" i="1"/>
  <c r="AI473" i="1"/>
  <c r="AI476" i="1"/>
  <c r="AI478" i="1"/>
  <c r="AI480" i="1"/>
  <c r="AI483" i="1"/>
  <c r="AI486" i="1"/>
  <c r="AI489" i="1"/>
  <c r="AI492" i="1"/>
  <c r="AI498" i="1"/>
  <c r="AI501" i="1"/>
  <c r="AI505" i="1"/>
  <c r="AI516" i="1"/>
  <c r="AI522" i="1"/>
  <c r="AI531" i="1"/>
  <c r="AI533" i="1"/>
  <c r="AI537" i="1"/>
  <c r="AI539" i="1"/>
  <c r="AI542" i="1"/>
  <c r="AI544" i="1"/>
  <c r="AI546" i="1"/>
  <c r="AI548" i="1"/>
  <c r="AI550" i="1"/>
  <c r="AI557" i="1"/>
  <c r="AI565" i="1"/>
  <c r="AI568" i="1"/>
  <c r="AI571" i="1"/>
  <c r="AI580" i="1"/>
  <c r="AI583" i="1"/>
  <c r="AI588" i="1"/>
  <c r="AI590" i="1"/>
  <c r="AI593" i="1"/>
  <c r="AI596" i="1"/>
  <c r="AI598" i="1"/>
  <c r="AI601" i="1"/>
  <c r="AI603" i="1"/>
  <c r="AI606" i="1"/>
  <c r="AI609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L3" i="1"/>
  <c r="AL6" i="1"/>
  <c r="AL13" i="1"/>
  <c r="AL18" i="1"/>
  <c r="AL24" i="1"/>
  <c r="AO612" i="1" l="1"/>
  <c r="AO610" i="1"/>
  <c r="AO608" i="1"/>
  <c r="AO604" i="1"/>
  <c r="AO594" i="1"/>
  <c r="AO592" i="1"/>
  <c r="AO582" i="1"/>
  <c r="AO570" i="1"/>
  <c r="AO566" i="1"/>
  <c r="AO554" i="1"/>
  <c r="AO530" i="1"/>
  <c r="AO528" i="1"/>
  <c r="AO526" i="1"/>
  <c r="AO524" i="1"/>
  <c r="AO514" i="1"/>
  <c r="AO512" i="1"/>
  <c r="AO510" i="1"/>
  <c r="AO508" i="1"/>
  <c r="AO506" i="1"/>
  <c r="AO504" i="1"/>
  <c r="AO502" i="1"/>
  <c r="AO500" i="1"/>
  <c r="AO496" i="1"/>
  <c r="AO494" i="1"/>
  <c r="AO490" i="1"/>
  <c r="AO488" i="1"/>
  <c r="AO484" i="1"/>
  <c r="AO482" i="1"/>
  <c r="AO474" i="1"/>
  <c r="AO472" i="1"/>
  <c r="AO470" i="1"/>
  <c r="AO468" i="1"/>
  <c r="AO466" i="1"/>
  <c r="AO464" i="1"/>
  <c r="AO456" i="1"/>
  <c r="AO454" i="1"/>
  <c r="AO438" i="1"/>
  <c r="AO436" i="1"/>
  <c r="AO434" i="1"/>
  <c r="AO431" i="1"/>
  <c r="AO351" i="1"/>
  <c r="AB918" i="1"/>
  <c r="AB886" i="1"/>
  <c r="AB854" i="1"/>
  <c r="Y822" i="1"/>
  <c r="Y806" i="1"/>
  <c r="AB790" i="1"/>
  <c r="Y774" i="1"/>
  <c r="AB758" i="1"/>
  <c r="AB742" i="1"/>
  <c r="Y726" i="1"/>
  <c r="AB710" i="1"/>
  <c r="Y694" i="1"/>
  <c r="AB678" i="1"/>
  <c r="AB638" i="1"/>
  <c r="AB622" i="1"/>
  <c r="AA606" i="1"/>
  <c r="AA590" i="1"/>
  <c r="AA542" i="1"/>
  <c r="AB478" i="1"/>
  <c r="AB417" i="1"/>
  <c r="AF427" i="1"/>
  <c r="AO427" i="1" s="1"/>
  <c r="AF425" i="1"/>
  <c r="AO425" i="1" s="1"/>
  <c r="AF423" i="1"/>
  <c r="AO423" i="1" s="1"/>
  <c r="AF419" i="1"/>
  <c r="AO419" i="1" s="1"/>
  <c r="AF415" i="1"/>
  <c r="AO415" i="1" s="1"/>
  <c r="AF413" i="1"/>
  <c r="AO413" i="1" s="1"/>
  <c r="AF411" i="1"/>
  <c r="AO411" i="1" s="1"/>
  <c r="AF409" i="1"/>
  <c r="AO409" i="1" s="1"/>
  <c r="AF407" i="1"/>
  <c r="AO407" i="1" s="1"/>
  <c r="AF405" i="1"/>
  <c r="AO405" i="1" s="1"/>
  <c r="AF403" i="1"/>
  <c r="AO403" i="1" s="1"/>
  <c r="AF401" i="1"/>
  <c r="AO401" i="1" s="1"/>
  <c r="AF391" i="1"/>
  <c r="AO391" i="1" s="1"/>
  <c r="AF389" i="1"/>
  <c r="AO389" i="1" s="1"/>
  <c r="AF385" i="1"/>
  <c r="AO385" i="1" s="1"/>
  <c r="AF383" i="1"/>
  <c r="AO383" i="1" s="1"/>
  <c r="AF381" i="1"/>
  <c r="AO381" i="1" s="1"/>
  <c r="AF379" i="1"/>
  <c r="AO379" i="1" s="1"/>
  <c r="AF377" i="1"/>
  <c r="AO377" i="1" s="1"/>
  <c r="AF375" i="1"/>
  <c r="AO375" i="1" s="1"/>
  <c r="AF373" i="1"/>
  <c r="AO373" i="1" s="1"/>
  <c r="AF369" i="1"/>
  <c r="AF367" i="1"/>
  <c r="AN367" i="1" s="1"/>
  <c r="AF365" i="1"/>
  <c r="AF363" i="1"/>
  <c r="AN363" i="1" s="1"/>
  <c r="AF361" i="1"/>
  <c r="AF359" i="1"/>
  <c r="AN359" i="1" s="1"/>
  <c r="AF357" i="1"/>
  <c r="AF355" i="1"/>
  <c r="AN355" i="1" s="1"/>
  <c r="AF353" i="1"/>
  <c r="AO353" i="1" s="1"/>
  <c r="AF349" i="1"/>
  <c r="AO349" i="1" s="1"/>
  <c r="AF347" i="1"/>
  <c r="AO347" i="1" s="1"/>
  <c r="AF345" i="1"/>
  <c r="AF341" i="1"/>
  <c r="AF329" i="1"/>
  <c r="AO329" i="1" s="1"/>
  <c r="AF327" i="1"/>
  <c r="AO327" i="1" s="1"/>
  <c r="AF325" i="1"/>
  <c r="AO325" i="1" s="1"/>
  <c r="AF323" i="1"/>
  <c r="AF321" i="1"/>
  <c r="AN321" i="1" s="1"/>
  <c r="AF319" i="1"/>
  <c r="AF317" i="1"/>
  <c r="AN317" i="1" s="1"/>
  <c r="AF315" i="1"/>
  <c r="AF313" i="1"/>
  <c r="AN313" i="1" s="1"/>
  <c r="AF311" i="1"/>
  <c r="AF309" i="1"/>
  <c r="AN309" i="1" s="1"/>
  <c r="AF307" i="1"/>
  <c r="AF305" i="1"/>
  <c r="AN305" i="1" s="1"/>
  <c r="AF303" i="1"/>
  <c r="AF301" i="1"/>
  <c r="AN301" i="1" s="1"/>
  <c r="AF295" i="1"/>
  <c r="AF293" i="1"/>
  <c r="AN293" i="1" s="1"/>
  <c r="AF291" i="1"/>
  <c r="AF289" i="1"/>
  <c r="AN289" i="1" s="1"/>
  <c r="AF287" i="1"/>
  <c r="AF285" i="1"/>
  <c r="AN285" i="1" s="1"/>
  <c r="AF283" i="1"/>
  <c r="AF281" i="1"/>
  <c r="AN281" i="1" s="1"/>
  <c r="AF279" i="1"/>
  <c r="AF277" i="1"/>
  <c r="AN277" i="1" s="1"/>
  <c r="AF275" i="1"/>
  <c r="AF271" i="1"/>
  <c r="AN271" i="1" s="1"/>
  <c r="AF269" i="1"/>
  <c r="AF267" i="1"/>
  <c r="AN267" i="1" s="1"/>
  <c r="AF265" i="1"/>
  <c r="AF263" i="1"/>
  <c r="AN263" i="1" s="1"/>
  <c r="AF259" i="1"/>
  <c r="AF257" i="1"/>
  <c r="AN257" i="1" s="1"/>
  <c r="AF251" i="1"/>
  <c r="AF249" i="1"/>
  <c r="AN249" i="1" s="1"/>
  <c r="AF247" i="1"/>
  <c r="AF245" i="1"/>
  <c r="AN245" i="1" s="1"/>
  <c r="AF217" i="1"/>
  <c r="AF215" i="1"/>
  <c r="AN215" i="1" s="1"/>
  <c r="AF213" i="1"/>
  <c r="AF209" i="1"/>
  <c r="AN209" i="1" s="1"/>
  <c r="AF207" i="1"/>
  <c r="AF205" i="1"/>
  <c r="AN205" i="1" s="1"/>
  <c r="AF203" i="1"/>
  <c r="AF199" i="1"/>
  <c r="AN199" i="1" s="1"/>
  <c r="AF197" i="1"/>
  <c r="AF195" i="1"/>
  <c r="AN195" i="1" s="1"/>
  <c r="AF191" i="1"/>
  <c r="AF189" i="1"/>
  <c r="AN189" i="1" s="1"/>
  <c r="AF185" i="1"/>
  <c r="AF183" i="1"/>
  <c r="AN183" i="1" s="1"/>
  <c r="AF181" i="1"/>
  <c r="AF179" i="1"/>
  <c r="AN179" i="1" s="1"/>
  <c r="AF177" i="1"/>
  <c r="AF175" i="1"/>
  <c r="AN175" i="1" s="1"/>
  <c r="AF173" i="1"/>
  <c r="AF171" i="1"/>
  <c r="AN171" i="1" s="1"/>
  <c r="AF169" i="1"/>
  <c r="AF167" i="1"/>
  <c r="AN167" i="1" s="1"/>
  <c r="AF165" i="1"/>
  <c r="AF161" i="1"/>
  <c r="AN161" i="1" s="1"/>
  <c r="AF159" i="1"/>
  <c r="AF157" i="1"/>
  <c r="AN157" i="1" s="1"/>
  <c r="AF155" i="1"/>
  <c r="AF153" i="1"/>
  <c r="AN153" i="1" s="1"/>
  <c r="AF151" i="1"/>
  <c r="AF149" i="1"/>
  <c r="AN149" i="1" s="1"/>
  <c r="AF140" i="1"/>
  <c r="AF136" i="1"/>
  <c r="AO136" i="1" s="1"/>
  <c r="AF128" i="1"/>
  <c r="AP610" i="1"/>
  <c r="AQ610" i="1" s="1"/>
  <c r="AO611" i="1"/>
  <c r="X919" i="1"/>
  <c r="AA919" i="1" s="1"/>
  <c r="X917" i="1"/>
  <c r="X915" i="1"/>
  <c r="AA915" i="1" s="1"/>
  <c r="X913" i="1"/>
  <c r="X911" i="1"/>
  <c r="AA911" i="1" s="1"/>
  <c r="X909" i="1"/>
  <c r="X907" i="1"/>
  <c r="AA907" i="1" s="1"/>
  <c r="X905" i="1"/>
  <c r="X903" i="1"/>
  <c r="AA903" i="1" s="1"/>
  <c r="X901" i="1"/>
  <c r="X899" i="1"/>
  <c r="AA899" i="1" s="1"/>
  <c r="X897" i="1"/>
  <c r="X895" i="1"/>
  <c r="AA895" i="1" s="1"/>
  <c r="X893" i="1"/>
  <c r="X891" i="1"/>
  <c r="AA891" i="1" s="1"/>
  <c r="X889" i="1"/>
  <c r="X887" i="1"/>
  <c r="AA887" i="1" s="1"/>
  <c r="X885" i="1"/>
  <c r="X883" i="1"/>
  <c r="AA883" i="1" s="1"/>
  <c r="X881" i="1"/>
  <c r="X879" i="1"/>
  <c r="AA879" i="1" s="1"/>
  <c r="X877" i="1"/>
  <c r="X875" i="1"/>
  <c r="AA875" i="1" s="1"/>
  <c r="X873" i="1"/>
  <c r="X871" i="1"/>
  <c r="AA871" i="1" s="1"/>
  <c r="X869" i="1"/>
  <c r="X867" i="1"/>
  <c r="AA867" i="1" s="1"/>
  <c r="X865" i="1"/>
  <c r="X863" i="1"/>
  <c r="AA863" i="1" s="1"/>
  <c r="X861" i="1"/>
  <c r="X859" i="1"/>
  <c r="AA859" i="1" s="1"/>
  <c r="X857" i="1"/>
  <c r="X855" i="1"/>
  <c r="AA855" i="1" s="1"/>
  <c r="X853" i="1"/>
  <c r="X851" i="1"/>
  <c r="AA851" i="1" s="1"/>
  <c r="X849" i="1"/>
  <c r="X847" i="1"/>
  <c r="AA847" i="1" s="1"/>
  <c r="X845" i="1"/>
  <c r="X843" i="1"/>
  <c r="AA843" i="1" s="1"/>
  <c r="X841" i="1"/>
  <c r="X839" i="1"/>
  <c r="AA839" i="1" s="1"/>
  <c r="X837" i="1"/>
  <c r="X835" i="1"/>
  <c r="AA835" i="1" s="1"/>
  <c r="X833" i="1"/>
  <c r="X831" i="1"/>
  <c r="AA831" i="1" s="1"/>
  <c r="X829" i="1"/>
  <c r="X827" i="1"/>
  <c r="AA827" i="1" s="1"/>
  <c r="X825" i="1"/>
  <c r="X823" i="1"/>
  <c r="AA823" i="1" s="1"/>
  <c r="X821" i="1"/>
  <c r="X819" i="1"/>
  <c r="AA819" i="1" s="1"/>
  <c r="X817" i="1"/>
  <c r="X815" i="1"/>
  <c r="AA815" i="1" s="1"/>
  <c r="X813" i="1"/>
  <c r="X811" i="1"/>
  <c r="AA811" i="1" s="1"/>
  <c r="X809" i="1"/>
  <c r="X807" i="1"/>
  <c r="AA807" i="1" s="1"/>
  <c r="X805" i="1"/>
  <c r="X803" i="1"/>
  <c r="AA803" i="1" s="1"/>
  <c r="X801" i="1"/>
  <c r="X799" i="1"/>
  <c r="AA799" i="1" s="1"/>
  <c r="X797" i="1"/>
  <c r="X795" i="1"/>
  <c r="AA795" i="1" s="1"/>
  <c r="X793" i="1"/>
  <c r="X791" i="1"/>
  <c r="AA791" i="1" s="1"/>
  <c r="X789" i="1"/>
  <c r="X787" i="1"/>
  <c r="AA787" i="1" s="1"/>
  <c r="X785" i="1"/>
  <c r="X783" i="1"/>
  <c r="AA783" i="1" s="1"/>
  <c r="X781" i="1"/>
  <c r="X779" i="1"/>
  <c r="AA779" i="1" s="1"/>
  <c r="X777" i="1"/>
  <c r="X775" i="1"/>
  <c r="AA775" i="1" s="1"/>
  <c r="X773" i="1"/>
  <c r="X771" i="1"/>
  <c r="AA771" i="1" s="1"/>
  <c r="X769" i="1"/>
  <c r="X767" i="1"/>
  <c r="AA767" i="1" s="1"/>
  <c r="X765" i="1"/>
  <c r="X763" i="1"/>
  <c r="AA763" i="1" s="1"/>
  <c r="X761" i="1"/>
  <c r="X759" i="1"/>
  <c r="AA759" i="1" s="1"/>
  <c r="X757" i="1"/>
  <c r="X755" i="1"/>
  <c r="AA755" i="1" s="1"/>
  <c r="X753" i="1"/>
  <c r="X751" i="1"/>
  <c r="AA751" i="1" s="1"/>
  <c r="X749" i="1"/>
  <c r="Z749" i="1" s="1"/>
  <c r="X747" i="1"/>
  <c r="Z747" i="1" s="1"/>
  <c r="X745" i="1"/>
  <c r="Z745" i="1" s="1"/>
  <c r="X743" i="1"/>
  <c r="Z743" i="1" s="1"/>
  <c r="X741" i="1"/>
  <c r="Z741" i="1" s="1"/>
  <c r="X739" i="1"/>
  <c r="Z739" i="1" s="1"/>
  <c r="X737" i="1"/>
  <c r="Z737" i="1" s="1"/>
  <c r="X735" i="1"/>
  <c r="Z735" i="1" s="1"/>
  <c r="X733" i="1"/>
  <c r="Z733" i="1" s="1"/>
  <c r="X731" i="1"/>
  <c r="Z731" i="1" s="1"/>
  <c r="X729" i="1"/>
  <c r="Z729" i="1" s="1"/>
  <c r="X727" i="1"/>
  <c r="Z727" i="1" s="1"/>
  <c r="X725" i="1"/>
  <c r="Z725" i="1" s="1"/>
  <c r="X723" i="1"/>
  <c r="Z723" i="1" s="1"/>
  <c r="X721" i="1"/>
  <c r="Z721" i="1" s="1"/>
  <c r="X719" i="1"/>
  <c r="Z719" i="1" s="1"/>
  <c r="X717" i="1"/>
  <c r="Z717" i="1" s="1"/>
  <c r="X715" i="1"/>
  <c r="Z715" i="1" s="1"/>
  <c r="X713" i="1"/>
  <c r="Z713" i="1" s="1"/>
  <c r="X711" i="1"/>
  <c r="Z711" i="1" s="1"/>
  <c r="X709" i="1"/>
  <c r="Z709" i="1" s="1"/>
  <c r="X707" i="1"/>
  <c r="Z707" i="1" s="1"/>
  <c r="X705" i="1"/>
  <c r="Z705" i="1" s="1"/>
  <c r="X703" i="1"/>
  <c r="Z703" i="1" s="1"/>
  <c r="X701" i="1"/>
  <c r="Z701" i="1" s="1"/>
  <c r="X699" i="1"/>
  <c r="Z699" i="1" s="1"/>
  <c r="X697" i="1"/>
  <c r="Z697" i="1" s="1"/>
  <c r="X695" i="1"/>
  <c r="Z695" i="1" s="1"/>
  <c r="X693" i="1"/>
  <c r="Z693" i="1" s="1"/>
  <c r="X691" i="1"/>
  <c r="Z691" i="1" s="1"/>
  <c r="X689" i="1"/>
  <c r="Z689" i="1" s="1"/>
  <c r="X687" i="1"/>
  <c r="Z687" i="1" s="1"/>
  <c r="X685" i="1"/>
  <c r="Z685" i="1" s="1"/>
  <c r="X683" i="1"/>
  <c r="Z683" i="1" s="1"/>
  <c r="X681" i="1"/>
  <c r="Z681" i="1" s="1"/>
  <c r="X679" i="1"/>
  <c r="AA679" i="1" s="1"/>
  <c r="X677" i="1"/>
  <c r="X675" i="1"/>
  <c r="AA675" i="1" s="1"/>
  <c r="X673" i="1"/>
  <c r="X671" i="1"/>
  <c r="AA671" i="1" s="1"/>
  <c r="X669" i="1"/>
  <c r="X667" i="1"/>
  <c r="AA667" i="1" s="1"/>
  <c r="X665" i="1"/>
  <c r="X663" i="1"/>
  <c r="AA663" i="1" s="1"/>
  <c r="X661" i="1"/>
  <c r="X659" i="1"/>
  <c r="AA659" i="1" s="1"/>
  <c r="X657" i="1"/>
  <c r="X655" i="1"/>
  <c r="AA655" i="1" s="1"/>
  <c r="X653" i="1"/>
  <c r="X651" i="1"/>
  <c r="AA651" i="1" s="1"/>
  <c r="X649" i="1"/>
  <c r="X647" i="1"/>
  <c r="AA647" i="1" s="1"/>
  <c r="X645" i="1"/>
  <c r="X643" i="1"/>
  <c r="AA643" i="1" s="1"/>
  <c r="X641" i="1"/>
  <c r="X639" i="1"/>
  <c r="AC639" i="1" s="1"/>
  <c r="X631" i="1"/>
  <c r="X623" i="1"/>
  <c r="AB623" i="1" s="1"/>
  <c r="X615" i="1"/>
  <c r="X583" i="1"/>
  <c r="AB583" i="1" s="1"/>
  <c r="X113" i="1"/>
  <c r="X105" i="1"/>
  <c r="AA105" i="1" s="1"/>
  <c r="X64" i="1"/>
  <c r="X30" i="1"/>
  <c r="AC30" i="1" s="1"/>
  <c r="X12" i="1"/>
  <c r="X914" i="1"/>
  <c r="AA914" i="1" s="1"/>
  <c r="X912" i="1"/>
  <c r="X910" i="1"/>
  <c r="AA910" i="1" s="1"/>
  <c r="X906" i="1"/>
  <c r="X898" i="1"/>
  <c r="AC898" i="1" s="1"/>
  <c r="X894" i="1"/>
  <c r="X890" i="1"/>
  <c r="AB890" i="1" s="1"/>
  <c r="X882" i="1"/>
  <c r="X878" i="1"/>
  <c r="AA878" i="1" s="1"/>
  <c r="X874" i="1"/>
  <c r="X866" i="1"/>
  <c r="AB866" i="1" s="1"/>
  <c r="X862" i="1"/>
  <c r="X858" i="1"/>
  <c r="AB858" i="1" s="1"/>
  <c r="X850" i="1"/>
  <c r="X848" i="1"/>
  <c r="AC848" i="1" s="1"/>
  <c r="X846" i="1"/>
  <c r="X844" i="1"/>
  <c r="AC844" i="1" s="1"/>
  <c r="X842" i="1"/>
  <c r="X840" i="1"/>
  <c r="AC840" i="1" s="1"/>
  <c r="X836" i="1"/>
  <c r="X834" i="1"/>
  <c r="AC834" i="1" s="1"/>
  <c r="X830" i="1"/>
  <c r="X826" i="1"/>
  <c r="AB826" i="1" s="1"/>
  <c r="X824" i="1"/>
  <c r="X820" i="1"/>
  <c r="AC820" i="1" s="1"/>
  <c r="X818" i="1"/>
  <c r="X810" i="1"/>
  <c r="AB810" i="1" s="1"/>
  <c r="X808" i="1"/>
  <c r="X804" i="1"/>
  <c r="AC804" i="1" s="1"/>
  <c r="X802" i="1"/>
  <c r="X796" i="1"/>
  <c r="AA796" i="1" s="1"/>
  <c r="X794" i="1"/>
  <c r="X786" i="1"/>
  <c r="AB786" i="1" s="1"/>
  <c r="X780" i="1"/>
  <c r="X778" i="1"/>
  <c r="AB778" i="1" s="1"/>
  <c r="X776" i="1"/>
  <c r="X772" i="1"/>
  <c r="AA772" i="1" s="1"/>
  <c r="X770" i="1"/>
  <c r="X768" i="1"/>
  <c r="AA768" i="1" s="1"/>
  <c r="X764" i="1"/>
  <c r="X762" i="1"/>
  <c r="AB762" i="1" s="1"/>
  <c r="X760" i="1"/>
  <c r="X754" i="1"/>
  <c r="AC754" i="1" s="1"/>
  <c r="X746" i="1"/>
  <c r="X740" i="1"/>
  <c r="AA740" i="1" s="1"/>
  <c r="X738" i="1"/>
  <c r="X736" i="1"/>
  <c r="AA736" i="1" s="1"/>
  <c r="X732" i="1"/>
  <c r="X730" i="1"/>
  <c r="AB730" i="1" s="1"/>
  <c r="X728" i="1"/>
  <c r="X724" i="1"/>
  <c r="AA724" i="1" s="1"/>
  <c r="X722" i="1"/>
  <c r="X714" i="1"/>
  <c r="AB714" i="1" s="1"/>
  <c r="X706" i="1"/>
  <c r="X700" i="1"/>
  <c r="AA700" i="1" s="1"/>
  <c r="X698" i="1"/>
  <c r="X696" i="1"/>
  <c r="AC696" i="1" s="1"/>
  <c r="X692" i="1"/>
  <c r="X690" i="1"/>
  <c r="AA690" i="1" s="1"/>
  <c r="X682" i="1"/>
  <c r="X672" i="1"/>
  <c r="AC672" i="1" s="1"/>
  <c r="X664" i="1"/>
  <c r="X660" i="1"/>
  <c r="AC660" i="1" s="1"/>
  <c r="X658" i="1"/>
  <c r="X650" i="1"/>
  <c r="AA650" i="1" s="1"/>
  <c r="X648" i="1"/>
  <c r="X644" i="1"/>
  <c r="AA644" i="1" s="1"/>
  <c r="X642" i="1"/>
  <c r="X634" i="1"/>
  <c r="AC634" i="1" s="1"/>
  <c r="X632" i="1"/>
  <c r="X628" i="1"/>
  <c r="AA628" i="1" s="1"/>
  <c r="X626" i="1"/>
  <c r="X620" i="1"/>
  <c r="AA620" i="1" s="1"/>
  <c r="X618" i="1"/>
  <c r="X616" i="1"/>
  <c r="AC616" i="1" s="1"/>
  <c r="X612" i="1"/>
  <c r="X610" i="1"/>
  <c r="X546" i="1"/>
  <c r="X538" i="1"/>
  <c r="Y538" i="1" s="1"/>
  <c r="Z538" i="1" s="1"/>
  <c r="X522" i="1"/>
  <c r="X500" i="1"/>
  <c r="Y500" i="1" s="1"/>
  <c r="X498" i="1"/>
  <c r="X492" i="1"/>
  <c r="AA492" i="1" s="1"/>
  <c r="X480" i="1"/>
  <c r="X476" i="1"/>
  <c r="AA476" i="1" s="1"/>
  <c r="X452" i="1"/>
  <c r="AF446" i="1"/>
  <c r="AO446" i="1" s="1"/>
  <c r="X446" i="1"/>
  <c r="X440" i="1"/>
  <c r="AA440" i="1" s="1"/>
  <c r="X421" i="1"/>
  <c r="X399" i="1"/>
  <c r="Y399" i="1" s="1"/>
  <c r="X397" i="1"/>
  <c r="X395" i="1"/>
  <c r="AA395" i="1" s="1"/>
  <c r="X393" i="1"/>
  <c r="X387" i="1"/>
  <c r="Y387" i="1" s="1"/>
  <c r="X371" i="1"/>
  <c r="Z371" i="1" s="1"/>
  <c r="X351" i="1"/>
  <c r="Z351" i="1" s="1"/>
  <c r="X343" i="1"/>
  <c r="Z343" i="1" s="1"/>
  <c r="X339" i="1"/>
  <c r="Z339" i="1" s="1"/>
  <c r="X331" i="1"/>
  <c r="Z331" i="1" s="1"/>
  <c r="X299" i="1"/>
  <c r="Z299" i="1" s="1"/>
  <c r="X297" i="1"/>
  <c r="Z297" i="1" s="1"/>
  <c r="X243" i="1"/>
  <c r="Z243" i="1" s="1"/>
  <c r="X231" i="1"/>
  <c r="Z231" i="1" s="1"/>
  <c r="X227" i="1"/>
  <c r="Z227" i="1" s="1"/>
  <c r="X219" i="1"/>
  <c r="Z219" i="1" s="1"/>
  <c r="X211" i="1"/>
  <c r="Z211" i="1" s="1"/>
  <c r="X187" i="1"/>
  <c r="Z187" i="1" s="1"/>
  <c r="X163" i="1"/>
  <c r="Z163" i="1" s="1"/>
  <c r="X138" i="1"/>
  <c r="Z138" i="1" s="1"/>
  <c r="X608" i="1"/>
  <c r="Y608" i="1" s="1"/>
  <c r="AP607" i="1"/>
  <c r="AQ607" i="1" s="1"/>
  <c r="X607" i="1"/>
  <c r="AP604" i="1"/>
  <c r="AQ604" i="1" s="1"/>
  <c r="AO605" i="1"/>
  <c r="X602" i="1"/>
  <c r="AO602" i="1"/>
  <c r="AO600" i="1"/>
  <c r="AP602" i="1"/>
  <c r="AQ602" i="1" s="1"/>
  <c r="X599" i="1"/>
  <c r="AO599" i="1"/>
  <c r="AP599" i="1"/>
  <c r="AQ599" i="1" s="1"/>
  <c r="AO597" i="1"/>
  <c r="AP597" i="1"/>
  <c r="AQ597" i="1" s="1"/>
  <c r="AP594" i="1"/>
  <c r="AQ594" i="1" s="1"/>
  <c r="AO595" i="1"/>
  <c r="X594" i="1"/>
  <c r="Y594" i="1" s="1"/>
  <c r="X591" i="1"/>
  <c r="AO591" i="1"/>
  <c r="AP591" i="1"/>
  <c r="AQ591" i="1" s="1"/>
  <c r="AO589" i="1"/>
  <c r="AP589" i="1"/>
  <c r="AQ589" i="1" s="1"/>
  <c r="AO587" i="1"/>
  <c r="AO585" i="1"/>
  <c r="AO586" i="1"/>
  <c r="AO584" i="1"/>
  <c r="AP584" i="1"/>
  <c r="AQ584" i="1" s="1"/>
  <c r="AP581" i="1"/>
  <c r="AQ581" i="1" s="1"/>
  <c r="X578" i="1"/>
  <c r="AO578" i="1"/>
  <c r="AO576" i="1"/>
  <c r="AO574" i="1"/>
  <c r="AO572" i="1"/>
  <c r="X575" i="1"/>
  <c r="AP572" i="1"/>
  <c r="AQ572" i="1" s="1"/>
  <c r="AO569" i="1"/>
  <c r="AP569" i="1"/>
  <c r="AQ569" i="1" s="1"/>
  <c r="AP566" i="1"/>
  <c r="AQ566" i="1" s="1"/>
  <c r="AB59" i="1"/>
  <c r="AC59" i="1" s="1"/>
  <c r="AO564" i="1"/>
  <c r="AO563" i="1"/>
  <c r="AO562" i="1"/>
  <c r="AO560" i="1"/>
  <c r="AO559" i="1"/>
  <c r="AO558" i="1"/>
  <c r="AP558" i="1"/>
  <c r="AQ558" i="1" s="1"/>
  <c r="AO556" i="1"/>
  <c r="AO555" i="1"/>
  <c r="AO553" i="1"/>
  <c r="AO552" i="1"/>
  <c r="AO551" i="1"/>
  <c r="AP551" i="1"/>
  <c r="AQ551" i="1" s="1"/>
  <c r="AO549" i="1"/>
  <c r="AP549" i="1"/>
  <c r="AQ549" i="1" s="1"/>
  <c r="AO547" i="1"/>
  <c r="AP547" i="1"/>
  <c r="AQ547" i="1" s="1"/>
  <c r="AO545" i="1"/>
  <c r="AP545" i="1"/>
  <c r="AQ545" i="1" s="1"/>
  <c r="AO543" i="1"/>
  <c r="AP543" i="1"/>
  <c r="AQ543" i="1" s="1"/>
  <c r="AO540" i="1"/>
  <c r="AP540" i="1"/>
  <c r="AQ540" i="1" s="1"/>
  <c r="AO538" i="1"/>
  <c r="AP538" i="1"/>
  <c r="AQ538" i="1" s="1"/>
  <c r="AO536" i="1"/>
  <c r="AO535" i="1"/>
  <c r="AO534" i="1"/>
  <c r="AP534" i="1"/>
  <c r="AQ534" i="1" s="1"/>
  <c r="AO532" i="1"/>
  <c r="AP532" i="1"/>
  <c r="AQ532" i="1" s="1"/>
  <c r="AO529" i="1"/>
  <c r="AO527" i="1"/>
  <c r="AO525" i="1"/>
  <c r="AO523" i="1"/>
  <c r="AP523" i="1"/>
  <c r="AQ523" i="1" s="1"/>
  <c r="AO520" i="1"/>
  <c r="AO518" i="1"/>
  <c r="AO517" i="1"/>
  <c r="AP517" i="1"/>
  <c r="AQ517" i="1" s="1"/>
  <c r="AP499" i="1"/>
  <c r="AQ499" i="1" s="1"/>
  <c r="AP474" i="1"/>
  <c r="AQ474" i="1" s="1"/>
  <c r="AP472" i="1"/>
  <c r="AQ472" i="1" s="1"/>
  <c r="AP470" i="1"/>
  <c r="AQ470" i="1" s="1"/>
  <c r="AP468" i="1"/>
  <c r="AQ468" i="1" s="1"/>
  <c r="AP479" i="1"/>
  <c r="AQ479" i="1" s="1"/>
  <c r="AP477" i="1"/>
  <c r="AQ477" i="1" s="1"/>
  <c r="AP506" i="1"/>
  <c r="AQ506" i="1" s="1"/>
  <c r="AO515" i="1"/>
  <c r="AO513" i="1"/>
  <c r="AO511" i="1"/>
  <c r="AO509" i="1"/>
  <c r="AO507" i="1"/>
  <c r="AP502" i="1"/>
  <c r="AQ502" i="1" s="1"/>
  <c r="AP493" i="1"/>
  <c r="AQ493" i="1" s="1"/>
  <c r="AP490" i="1"/>
  <c r="AQ490" i="1" s="1"/>
  <c r="AP487" i="1"/>
  <c r="AQ487" i="1" s="1"/>
  <c r="AP484" i="1"/>
  <c r="AQ484" i="1" s="1"/>
  <c r="AP481" i="1"/>
  <c r="AQ481" i="1" s="1"/>
  <c r="AP464" i="1"/>
  <c r="AQ464" i="1" s="1"/>
  <c r="AO462" i="1"/>
  <c r="AO460" i="1"/>
  <c r="AO458" i="1"/>
  <c r="AO457" i="1"/>
  <c r="AO455" i="1"/>
  <c r="AO453" i="1"/>
  <c r="AP453" i="1"/>
  <c r="AQ453" i="1" s="1"/>
  <c r="AP441" i="1"/>
  <c r="AQ441" i="1" s="1"/>
  <c r="AF450" i="1"/>
  <c r="AN450" i="1" s="1"/>
  <c r="AF448" i="1"/>
  <c r="AO448" i="1" s="1"/>
  <c r="AF444" i="1"/>
  <c r="AO444" i="1" s="1"/>
  <c r="AF442" i="1"/>
  <c r="AN442" i="1" s="1"/>
  <c r="AP438" i="1"/>
  <c r="AQ438" i="1" s="1"/>
  <c r="AP433" i="1"/>
  <c r="AQ433" i="1" s="1"/>
  <c r="AP430" i="1"/>
  <c r="AQ430" i="1" s="1"/>
  <c r="AP422" i="1"/>
  <c r="AQ422" i="1" s="1"/>
  <c r="AP409" i="1"/>
  <c r="AQ409" i="1" s="1"/>
  <c r="AP398" i="1"/>
  <c r="AQ398" i="1" s="1"/>
  <c r="AP396" i="1"/>
  <c r="AQ396" i="1" s="1"/>
  <c r="AP394" i="1"/>
  <c r="AQ394" i="1" s="1"/>
  <c r="AP385" i="1"/>
  <c r="AQ385" i="1" s="1"/>
  <c r="AP383" i="1"/>
  <c r="AQ383" i="1" s="1"/>
  <c r="AF147" i="1"/>
  <c r="AF142" i="1"/>
  <c r="AO142" i="1" s="1"/>
  <c r="AF134" i="1"/>
  <c r="AF130" i="1"/>
  <c r="AO130" i="1" s="1"/>
  <c r="AF126" i="1"/>
  <c r="AF124" i="1"/>
  <c r="AO124" i="1" s="1"/>
  <c r="AF120" i="1"/>
  <c r="AF118" i="1"/>
  <c r="AO118" i="1" s="1"/>
  <c r="AF116" i="1"/>
  <c r="AF114" i="1"/>
  <c r="AO114" i="1" s="1"/>
  <c r="AF112" i="1"/>
  <c r="AF110" i="1"/>
  <c r="AO110" i="1" s="1"/>
  <c r="AF106" i="1"/>
  <c r="AF104" i="1"/>
  <c r="AO104" i="1" s="1"/>
  <c r="AF102" i="1"/>
  <c r="AF100" i="1"/>
  <c r="AO100" i="1" s="1"/>
  <c r="AF97" i="1"/>
  <c r="AF95" i="1"/>
  <c r="AO95" i="1" s="1"/>
  <c r="AF93" i="1"/>
  <c r="AF91" i="1"/>
  <c r="AO91" i="1" s="1"/>
  <c r="AF89" i="1"/>
  <c r="AF87" i="1"/>
  <c r="AO87" i="1" s="1"/>
  <c r="AF85" i="1"/>
  <c r="AF81" i="1"/>
  <c r="AO81" i="1" s="1"/>
  <c r="AF79" i="1"/>
  <c r="AF77" i="1"/>
  <c r="AO77" i="1" s="1"/>
  <c r="AF75" i="1"/>
  <c r="AF71" i="1"/>
  <c r="AO71" i="1" s="1"/>
  <c r="AF69" i="1"/>
  <c r="AF67" i="1"/>
  <c r="AO67" i="1" s="1"/>
  <c r="AF65" i="1"/>
  <c r="AF63" i="1"/>
  <c r="AO63" i="1" s="1"/>
  <c r="AF61" i="1"/>
  <c r="AF58" i="1"/>
  <c r="AO58" i="1" s="1"/>
  <c r="AF56" i="1"/>
  <c r="AF54" i="1"/>
  <c r="AO54" i="1" s="1"/>
  <c r="AF52" i="1"/>
  <c r="AF50" i="1"/>
  <c r="AO50" i="1" s="1"/>
  <c r="AF48" i="1"/>
  <c r="AF46" i="1"/>
  <c r="AO46" i="1" s="1"/>
  <c r="AF42" i="1"/>
  <c r="AF40" i="1"/>
  <c r="AO40" i="1" s="1"/>
  <c r="AF37" i="1"/>
  <c r="AF35" i="1"/>
  <c r="AF33" i="1"/>
  <c r="AF31" i="1"/>
  <c r="AO31" i="1" s="1"/>
  <c r="AF29" i="1"/>
  <c r="AP391" i="1"/>
  <c r="AQ391" i="1" s="1"/>
  <c r="AP418" i="1"/>
  <c r="AQ418" i="1" s="1"/>
  <c r="AP413" i="1"/>
  <c r="AQ413" i="1" s="1"/>
  <c r="AP411" i="1"/>
  <c r="AQ411" i="1" s="1"/>
  <c r="AP400" i="1"/>
  <c r="AQ400" i="1" s="1"/>
  <c r="AP388" i="1"/>
  <c r="AQ388" i="1" s="1"/>
  <c r="AP372" i="1"/>
  <c r="AQ372" i="1" s="1"/>
  <c r="AO369" i="1"/>
  <c r="AO367" i="1"/>
  <c r="AO365" i="1"/>
  <c r="AO363" i="1"/>
  <c r="AO361" i="1"/>
  <c r="AO359" i="1"/>
  <c r="AP359" i="1"/>
  <c r="AQ359" i="1" s="1"/>
  <c r="AO357" i="1"/>
  <c r="AP347" i="1"/>
  <c r="AQ347" i="1" s="1"/>
  <c r="AO356" i="1"/>
  <c r="AO354" i="1"/>
  <c r="AO352" i="1"/>
  <c r="AO350" i="1"/>
  <c r="AO348" i="1"/>
  <c r="AP344" i="1"/>
  <c r="AQ344" i="1" s="1"/>
  <c r="AO345" i="1"/>
  <c r="AO341" i="1"/>
  <c r="AO342" i="1"/>
  <c r="AO340" i="1"/>
  <c r="AP340" i="1"/>
  <c r="AQ340" i="1" s="1"/>
  <c r="AO338" i="1"/>
  <c r="AO332" i="1"/>
  <c r="AO336" i="1"/>
  <c r="AP332" i="1"/>
  <c r="AQ332" i="1" s="1"/>
  <c r="AO337" i="1"/>
  <c r="AO335" i="1"/>
  <c r="AO333" i="1"/>
  <c r="AO330" i="1"/>
  <c r="AO328" i="1"/>
  <c r="AO326" i="1"/>
  <c r="AO324" i="1"/>
  <c r="AF148" i="1"/>
  <c r="AN148" i="1" s="1"/>
  <c r="AF146" i="1"/>
  <c r="AF143" i="1"/>
  <c r="AN143" i="1" s="1"/>
  <c r="AF141" i="1"/>
  <c r="AF139" i="1"/>
  <c r="AN139" i="1" s="1"/>
  <c r="AF137" i="1"/>
  <c r="AF135" i="1"/>
  <c r="AN135" i="1" s="1"/>
  <c r="AF133" i="1"/>
  <c r="AF131" i="1"/>
  <c r="AN131" i="1" s="1"/>
  <c r="AF129" i="1"/>
  <c r="AO129" i="1" s="1"/>
  <c r="AF127" i="1"/>
  <c r="AO127" i="1" s="1"/>
  <c r="AF24" i="1"/>
  <c r="Y920" i="1"/>
  <c r="AB920" i="1"/>
  <c r="Y916" i="1"/>
  <c r="AB916" i="1"/>
  <c r="Y908" i="1"/>
  <c r="AB908" i="1"/>
  <c r="Y904" i="1"/>
  <c r="AB904" i="1"/>
  <c r="Y900" i="1"/>
  <c r="AB900" i="1"/>
  <c r="Y896" i="1"/>
  <c r="AB896" i="1"/>
  <c r="Y892" i="1"/>
  <c r="AB892" i="1"/>
  <c r="Y888" i="1"/>
  <c r="AB888" i="1"/>
  <c r="Y884" i="1"/>
  <c r="AB884" i="1"/>
  <c r="Y880" i="1"/>
  <c r="AB880" i="1"/>
  <c r="Y876" i="1"/>
  <c r="AB876" i="1"/>
  <c r="Y872" i="1"/>
  <c r="AB872" i="1"/>
  <c r="Y868" i="1"/>
  <c r="AB868" i="1"/>
  <c r="Y864" i="1"/>
  <c r="AB864" i="1"/>
  <c r="Y860" i="1"/>
  <c r="AB860" i="1"/>
  <c r="Y856" i="1"/>
  <c r="AB856" i="1"/>
  <c r="Y852" i="1"/>
  <c r="AB852" i="1"/>
  <c r="Y832" i="1"/>
  <c r="AB832" i="1"/>
  <c r="Y828" i="1"/>
  <c r="AB828" i="1"/>
  <c r="Y816" i="1"/>
  <c r="AB816" i="1"/>
  <c r="Y812" i="1"/>
  <c r="AB812" i="1"/>
  <c r="Y800" i="1"/>
  <c r="AB800" i="1"/>
  <c r="Y792" i="1"/>
  <c r="AB792" i="1"/>
  <c r="Y788" i="1"/>
  <c r="AB788" i="1"/>
  <c r="Y784" i="1"/>
  <c r="AB784" i="1"/>
  <c r="Y756" i="1"/>
  <c r="AB756" i="1"/>
  <c r="Y752" i="1"/>
  <c r="AB752" i="1"/>
  <c r="Y748" i="1"/>
  <c r="AB748" i="1"/>
  <c r="Y744" i="1"/>
  <c r="AB744" i="1"/>
  <c r="Y720" i="1"/>
  <c r="AB720" i="1"/>
  <c r="Y716" i="1"/>
  <c r="AB716" i="1"/>
  <c r="Y712" i="1"/>
  <c r="AB712" i="1"/>
  <c r="Y708" i="1"/>
  <c r="AB708" i="1"/>
  <c r="Y704" i="1"/>
  <c r="AB704" i="1"/>
  <c r="Y688" i="1"/>
  <c r="AB688" i="1"/>
  <c r="Y684" i="1"/>
  <c r="AB684" i="1"/>
  <c r="Y680" i="1"/>
  <c r="AB680" i="1"/>
  <c r="Y676" i="1"/>
  <c r="AB676" i="1"/>
  <c r="Y668" i="1"/>
  <c r="AB668" i="1"/>
  <c r="Y656" i="1"/>
  <c r="AB656" i="1"/>
  <c r="Y652" i="1"/>
  <c r="AB652" i="1"/>
  <c r="Y640" i="1"/>
  <c r="AB640" i="1"/>
  <c r="Y636" i="1"/>
  <c r="AB636" i="1"/>
  <c r="Y624" i="1"/>
  <c r="AB624" i="1"/>
  <c r="Y604" i="1"/>
  <c r="Y600" i="1"/>
  <c r="Y596" i="1"/>
  <c r="AB596" i="1"/>
  <c r="Y592" i="1"/>
  <c r="Y588" i="1"/>
  <c r="AB588" i="1"/>
  <c r="Y584" i="1"/>
  <c r="Z584" i="1" s="1"/>
  <c r="AA584" i="1" s="1"/>
  <c r="AB584" i="1" s="1"/>
  <c r="AC584" i="1" s="1"/>
  <c r="Y580" i="1"/>
  <c r="AB580" i="1"/>
  <c r="Y576" i="1"/>
  <c r="Z576" i="1" s="1"/>
  <c r="Y572" i="1"/>
  <c r="Z572" i="1" s="1"/>
  <c r="AA572" i="1" s="1"/>
  <c r="Y568" i="1"/>
  <c r="AB568" i="1"/>
  <c r="Y564" i="1"/>
  <c r="Z564" i="1" s="1"/>
  <c r="Y560" i="1"/>
  <c r="Z560" i="1" s="1"/>
  <c r="Y556" i="1"/>
  <c r="Z556" i="1" s="1"/>
  <c r="Y552" i="1"/>
  <c r="Z552" i="1" s="1"/>
  <c r="Y548" i="1"/>
  <c r="AB548" i="1"/>
  <c r="Y544" i="1"/>
  <c r="AB544" i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AB516" i="1"/>
  <c r="Y512" i="1"/>
  <c r="Z512" i="1" s="1"/>
  <c r="AB55" i="1"/>
  <c r="AA55" i="1"/>
  <c r="AB26" i="1"/>
  <c r="AA26" i="1"/>
  <c r="AB637" i="1"/>
  <c r="AA637" i="1"/>
  <c r="AB635" i="1"/>
  <c r="AA635" i="1"/>
  <c r="AB633" i="1"/>
  <c r="AA633" i="1"/>
  <c r="AB629" i="1"/>
  <c r="AA629" i="1"/>
  <c r="AB627" i="1"/>
  <c r="AA627" i="1"/>
  <c r="AB625" i="1"/>
  <c r="AA625" i="1"/>
  <c r="AB621" i="1"/>
  <c r="AA621" i="1"/>
  <c r="AB619" i="1"/>
  <c r="AA619" i="1"/>
  <c r="AB617" i="1"/>
  <c r="AA617" i="1"/>
  <c r="AB613" i="1"/>
  <c r="AA613" i="1"/>
  <c r="AB609" i="1"/>
  <c r="AA609" i="1"/>
  <c r="AB603" i="1"/>
  <c r="AA603" i="1"/>
  <c r="AB601" i="1"/>
  <c r="AA601" i="1"/>
  <c r="AB593" i="1"/>
  <c r="AA593" i="1"/>
  <c r="AB571" i="1"/>
  <c r="AA571" i="1"/>
  <c r="AB565" i="1"/>
  <c r="AA565" i="1"/>
  <c r="AB557" i="1"/>
  <c r="AA557" i="1"/>
  <c r="AB539" i="1"/>
  <c r="AA539" i="1"/>
  <c r="AB537" i="1"/>
  <c r="AA537" i="1"/>
  <c r="AB533" i="1"/>
  <c r="AA533" i="1"/>
  <c r="AB531" i="1"/>
  <c r="AA531" i="1"/>
  <c r="AB505" i="1"/>
  <c r="AA505" i="1"/>
  <c r="AB501" i="1"/>
  <c r="AA501" i="1"/>
  <c r="AB489" i="1"/>
  <c r="AA489" i="1"/>
  <c r="AB483" i="1"/>
  <c r="AA483" i="1"/>
  <c r="AB473" i="1"/>
  <c r="AA473" i="1"/>
  <c r="AB471" i="1"/>
  <c r="AA471" i="1"/>
  <c r="AB469" i="1"/>
  <c r="AA469" i="1"/>
  <c r="AB467" i="1"/>
  <c r="AA467" i="1"/>
  <c r="AB463" i="1"/>
  <c r="AA463" i="1"/>
  <c r="AB437" i="1"/>
  <c r="AA437" i="1"/>
  <c r="AB412" i="1"/>
  <c r="AA412" i="1"/>
  <c r="AB410" i="1"/>
  <c r="AA410" i="1"/>
  <c r="AB408" i="1"/>
  <c r="AA408" i="1"/>
  <c r="AB390" i="1"/>
  <c r="AA390" i="1"/>
  <c r="AB384" i="1"/>
  <c r="AA384" i="1"/>
  <c r="AB382" i="1"/>
  <c r="AA382" i="1"/>
  <c r="AB358" i="1"/>
  <c r="AA358" i="1"/>
  <c r="AB346" i="1"/>
  <c r="AA346" i="1"/>
  <c r="AB322" i="1"/>
  <c r="AA322" i="1"/>
  <c r="AB312" i="1"/>
  <c r="AA312" i="1"/>
  <c r="AB304" i="1"/>
  <c r="AA304" i="1"/>
  <c r="AB302" i="1"/>
  <c r="AA302" i="1"/>
  <c r="AB292" i="1"/>
  <c r="AA292" i="1"/>
  <c r="AB288" i="1"/>
  <c r="AA288" i="1"/>
  <c r="AB286" i="1"/>
  <c r="AA286" i="1"/>
  <c r="AB256" i="1"/>
  <c r="AA256" i="1"/>
  <c r="AB252" i="1"/>
  <c r="AA252" i="1"/>
  <c r="AB246" i="1"/>
  <c r="AA246" i="1"/>
  <c r="AB216" i="1"/>
  <c r="AA216" i="1"/>
  <c r="AB206" i="1"/>
  <c r="AA206" i="1"/>
  <c r="AB204" i="1"/>
  <c r="AA204" i="1"/>
  <c r="AB190" i="1"/>
  <c r="AA190" i="1"/>
  <c r="AB184" i="1"/>
  <c r="AA184" i="1"/>
  <c r="AB182" i="1"/>
  <c r="AA182" i="1"/>
  <c r="AB178" i="1"/>
  <c r="AA178" i="1"/>
  <c r="AA176" i="1"/>
  <c r="AB176" i="1"/>
  <c r="AB174" i="1"/>
  <c r="AA174" i="1"/>
  <c r="AB172" i="1"/>
  <c r="AA172" i="1"/>
  <c r="AB150" i="1"/>
  <c r="AA150" i="1"/>
  <c r="AB125" i="1"/>
  <c r="AA125" i="1"/>
  <c r="AB108" i="1"/>
  <c r="AA108" i="1"/>
  <c r="AB83" i="1"/>
  <c r="AA83" i="1"/>
  <c r="AB73" i="1"/>
  <c r="AA73" i="1"/>
  <c r="AB44" i="1"/>
  <c r="AA44" i="1"/>
  <c r="AB23" i="1"/>
  <c r="AA23" i="1"/>
  <c r="AB17" i="1"/>
  <c r="AA17" i="1"/>
  <c r="AB5" i="1"/>
  <c r="AA5" i="1"/>
  <c r="AA917" i="1"/>
  <c r="AA913" i="1"/>
  <c r="AA909" i="1"/>
  <c r="AA905" i="1"/>
  <c r="AA901" i="1"/>
  <c r="AA897" i="1"/>
  <c r="AA893" i="1"/>
  <c r="AA889" i="1"/>
  <c r="AA885" i="1"/>
  <c r="AA881" i="1"/>
  <c r="AA877" i="1"/>
  <c r="AA873" i="1"/>
  <c r="AA869" i="1"/>
  <c r="AA865" i="1"/>
  <c r="AA861" i="1"/>
  <c r="AA857" i="1"/>
  <c r="AA853" i="1"/>
  <c r="AA849" i="1"/>
  <c r="AA845" i="1"/>
  <c r="AA841" i="1"/>
  <c r="AA837" i="1"/>
  <c r="AA833" i="1"/>
  <c r="AA829" i="1"/>
  <c r="AA825" i="1"/>
  <c r="AA821" i="1"/>
  <c r="AA817" i="1"/>
  <c r="AA813" i="1"/>
  <c r="AA809" i="1"/>
  <c r="AA805" i="1"/>
  <c r="AA801" i="1"/>
  <c r="AA797" i="1"/>
  <c r="AA793" i="1"/>
  <c r="AA789" i="1"/>
  <c r="AA785" i="1"/>
  <c r="AA781" i="1"/>
  <c r="AA777" i="1"/>
  <c r="AA773" i="1"/>
  <c r="AA769" i="1"/>
  <c r="AA765" i="1"/>
  <c r="AA761" i="1"/>
  <c r="AA757" i="1"/>
  <c r="AA753" i="1"/>
  <c r="AA749" i="1"/>
  <c r="AA745" i="1"/>
  <c r="AA741" i="1"/>
  <c r="AA737" i="1"/>
  <c r="AA733" i="1"/>
  <c r="AA729" i="1"/>
  <c r="AA725" i="1"/>
  <c r="AA721" i="1"/>
  <c r="AA717" i="1"/>
  <c r="AA713" i="1"/>
  <c r="AA709" i="1"/>
  <c r="AA705" i="1"/>
  <c r="AA701" i="1"/>
  <c r="AA697" i="1"/>
  <c r="AA693" i="1"/>
  <c r="AA689" i="1"/>
  <c r="AA685" i="1"/>
  <c r="AA681" i="1"/>
  <c r="AA677" i="1"/>
  <c r="AA673" i="1"/>
  <c r="AA669" i="1"/>
  <c r="AA665" i="1"/>
  <c r="AA661" i="1"/>
  <c r="AA657" i="1"/>
  <c r="AA653" i="1"/>
  <c r="AA649" i="1"/>
  <c r="AA645" i="1"/>
  <c r="AA641" i="1"/>
  <c r="AA638" i="1"/>
  <c r="AA634" i="1"/>
  <c r="AA630" i="1"/>
  <c r="AA626" i="1"/>
  <c r="AA622" i="1"/>
  <c r="AA618" i="1"/>
  <c r="AA614" i="1"/>
  <c r="AA522" i="1"/>
  <c r="AA498" i="1"/>
  <c r="AA486" i="1"/>
  <c r="AA478" i="1"/>
  <c r="AA429" i="1"/>
  <c r="AA421" i="1"/>
  <c r="AA417" i="1"/>
  <c r="AA397" i="1"/>
  <c r="AA393" i="1"/>
  <c r="AA231" i="1"/>
  <c r="AA30" i="1"/>
  <c r="AA12" i="1"/>
  <c r="AB914" i="1"/>
  <c r="AB906" i="1"/>
  <c r="AB898" i="1"/>
  <c r="AB882" i="1"/>
  <c r="AB874" i="1"/>
  <c r="AB850" i="1"/>
  <c r="AB842" i="1"/>
  <c r="AB818" i="1"/>
  <c r="AB802" i="1"/>
  <c r="AB794" i="1"/>
  <c r="AB770" i="1"/>
  <c r="AB746" i="1"/>
  <c r="AB738" i="1"/>
  <c r="AB722" i="1"/>
  <c r="AB706" i="1"/>
  <c r="AB698" i="1"/>
  <c r="AB522" i="1"/>
  <c r="AB297" i="1"/>
  <c r="Y674" i="1"/>
  <c r="AB674" i="1"/>
  <c r="Y670" i="1"/>
  <c r="AB670" i="1"/>
  <c r="Y666" i="1"/>
  <c r="AB666" i="1"/>
  <c r="Y662" i="1"/>
  <c r="AB662" i="1"/>
  <c r="Y646" i="1"/>
  <c r="AB646" i="1"/>
  <c r="Y606" i="1"/>
  <c r="AB606" i="1"/>
  <c r="Y598" i="1"/>
  <c r="AB598" i="1"/>
  <c r="Y590" i="1"/>
  <c r="AB590" i="1"/>
  <c r="Y586" i="1"/>
  <c r="Z586" i="1" s="1"/>
  <c r="Y582" i="1"/>
  <c r="Y574" i="1"/>
  <c r="Y570" i="1"/>
  <c r="Z570" i="1" s="1"/>
  <c r="Y566" i="1"/>
  <c r="Y562" i="1"/>
  <c r="Z562" i="1" s="1"/>
  <c r="Y558" i="1"/>
  <c r="Z558" i="1" s="1"/>
  <c r="Y554" i="1"/>
  <c r="Z554" i="1" s="1"/>
  <c r="Y550" i="1"/>
  <c r="AB550" i="1"/>
  <c r="Y546" i="1"/>
  <c r="AB546" i="1"/>
  <c r="Y542" i="1"/>
  <c r="AB542" i="1"/>
  <c r="Y534" i="1"/>
  <c r="Z534" i="1" s="1"/>
  <c r="Y530" i="1"/>
  <c r="Z530" i="1" s="1"/>
  <c r="Y526" i="1"/>
  <c r="Z526" i="1" s="1"/>
  <c r="AB273" i="1"/>
  <c r="AA273" i="1"/>
  <c r="AB261" i="1"/>
  <c r="AA261" i="1"/>
  <c r="AB201" i="1"/>
  <c r="AA201" i="1"/>
  <c r="AB193" i="1"/>
  <c r="AA193" i="1"/>
  <c r="AB94" i="1"/>
  <c r="AA94" i="1"/>
  <c r="AB41" i="1"/>
  <c r="AA41" i="1"/>
  <c r="AB28" i="1"/>
  <c r="AA28" i="1"/>
  <c r="AA920" i="1"/>
  <c r="AA918" i="1"/>
  <c r="AA916" i="1"/>
  <c r="AA912" i="1"/>
  <c r="AA908" i="1"/>
  <c r="AA904" i="1"/>
  <c r="AA902" i="1"/>
  <c r="AA900" i="1"/>
  <c r="AA896" i="1"/>
  <c r="AA894" i="1"/>
  <c r="AA892" i="1"/>
  <c r="AA888" i="1"/>
  <c r="AA886" i="1"/>
  <c r="AA884" i="1"/>
  <c r="AA880" i="1"/>
  <c r="AA876" i="1"/>
  <c r="AA872" i="1"/>
  <c r="AA870" i="1"/>
  <c r="AA868" i="1"/>
  <c r="AA864" i="1"/>
  <c r="AA862" i="1"/>
  <c r="AA860" i="1"/>
  <c r="AA856" i="1"/>
  <c r="AA854" i="1"/>
  <c r="AA852" i="1"/>
  <c r="AA848" i="1"/>
  <c r="AA846" i="1"/>
  <c r="AA844" i="1"/>
  <c r="AA842" i="1"/>
  <c r="AA840" i="1"/>
  <c r="AA838" i="1"/>
  <c r="AA836" i="1"/>
  <c r="AA832" i="1"/>
  <c r="AA830" i="1"/>
  <c r="AA828" i="1"/>
  <c r="AA824" i="1"/>
  <c r="AA822" i="1"/>
  <c r="AA820" i="1"/>
  <c r="AA816" i="1"/>
  <c r="AA814" i="1"/>
  <c r="AA812" i="1"/>
  <c r="AA808" i="1"/>
  <c r="AA806" i="1"/>
  <c r="AA804" i="1"/>
  <c r="AA800" i="1"/>
  <c r="AA798" i="1"/>
  <c r="AA792" i="1"/>
  <c r="AA790" i="1"/>
  <c r="AA788" i="1"/>
  <c r="AA784" i="1"/>
  <c r="AA782" i="1"/>
  <c r="AA780" i="1"/>
  <c r="AA776" i="1"/>
  <c r="AA774" i="1"/>
  <c r="AA770" i="1"/>
  <c r="AA766" i="1"/>
  <c r="AA764" i="1"/>
  <c r="AA760" i="1"/>
  <c r="AA758" i="1"/>
  <c r="AA756" i="1"/>
  <c r="AA752" i="1"/>
  <c r="AA750" i="1"/>
  <c r="AA748" i="1"/>
  <c r="AA744" i="1"/>
  <c r="AA742" i="1"/>
  <c r="AA738" i="1"/>
  <c r="AA734" i="1"/>
  <c r="AA732" i="1"/>
  <c r="AA728" i="1"/>
  <c r="AA726" i="1"/>
  <c r="AA720" i="1"/>
  <c r="AA718" i="1"/>
  <c r="AA716" i="1"/>
  <c r="AA712" i="1"/>
  <c r="AA710" i="1"/>
  <c r="AA708" i="1"/>
  <c r="AA704" i="1"/>
  <c r="AA702" i="1"/>
  <c r="AA698" i="1"/>
  <c r="AA694" i="1"/>
  <c r="AA692" i="1"/>
  <c r="AA688" i="1"/>
  <c r="AA686" i="1"/>
  <c r="AA684" i="1"/>
  <c r="AA682" i="1"/>
  <c r="AA680" i="1"/>
  <c r="AA678" i="1"/>
  <c r="AA676" i="1"/>
  <c r="AA674" i="1"/>
  <c r="AA670" i="1"/>
  <c r="AA668" i="1"/>
  <c r="AA666" i="1"/>
  <c r="AA664" i="1"/>
  <c r="AA662" i="1"/>
  <c r="AA658" i="1"/>
  <c r="AA656" i="1"/>
  <c r="AA654" i="1"/>
  <c r="AA652" i="1"/>
  <c r="AA648" i="1"/>
  <c r="AA646" i="1"/>
  <c r="AA642" i="1"/>
  <c r="AA640" i="1"/>
  <c r="AA636" i="1"/>
  <c r="AA632" i="1"/>
  <c r="AA624" i="1"/>
  <c r="AA596" i="1"/>
  <c r="AA588" i="1"/>
  <c r="AA580" i="1"/>
  <c r="AA568" i="1"/>
  <c r="AA548" i="1"/>
  <c r="AA544" i="1"/>
  <c r="AA516" i="1"/>
  <c r="AA480" i="1"/>
  <c r="AA452" i="1"/>
  <c r="AA387" i="1"/>
  <c r="AA371" i="1"/>
  <c r="AA351" i="1"/>
  <c r="AA343" i="1"/>
  <c r="AA339" i="1"/>
  <c r="AA331" i="1"/>
  <c r="AA299" i="1"/>
  <c r="AA219" i="1"/>
  <c r="AA187" i="1"/>
  <c r="AA138" i="1"/>
  <c r="AA113" i="1"/>
  <c r="AA64" i="1"/>
  <c r="AB846" i="1"/>
  <c r="AB838" i="1"/>
  <c r="AB822" i="1"/>
  <c r="AB806" i="1"/>
  <c r="AB774" i="1"/>
  <c r="AB766" i="1"/>
  <c r="AB734" i="1"/>
  <c r="AB726" i="1"/>
  <c r="AB694" i="1"/>
  <c r="AB631" i="1"/>
  <c r="AB615" i="1"/>
  <c r="AF27" i="1"/>
  <c r="AO27" i="1" s="1"/>
  <c r="AF25" i="1"/>
  <c r="AN25" i="1" s="1"/>
  <c r="AO323" i="1"/>
  <c r="AN323" i="1"/>
  <c r="AO319" i="1"/>
  <c r="AN319" i="1"/>
  <c r="AO317" i="1"/>
  <c r="AO315" i="1"/>
  <c r="AN315" i="1"/>
  <c r="AO311" i="1"/>
  <c r="AN311" i="1"/>
  <c r="AO309" i="1"/>
  <c r="AO307" i="1"/>
  <c r="AN307" i="1"/>
  <c r="AO303" i="1"/>
  <c r="AN303" i="1"/>
  <c r="AO301" i="1"/>
  <c r="AO299" i="1"/>
  <c r="AN299" i="1"/>
  <c r="AO297" i="1"/>
  <c r="AN297" i="1"/>
  <c r="AO295" i="1"/>
  <c r="AN295" i="1"/>
  <c r="AO291" i="1"/>
  <c r="AN291" i="1"/>
  <c r="AO289" i="1"/>
  <c r="AO287" i="1"/>
  <c r="AN287" i="1"/>
  <c r="AO283" i="1"/>
  <c r="AN283" i="1"/>
  <c r="AO281" i="1"/>
  <c r="AO279" i="1"/>
  <c r="AN279" i="1"/>
  <c r="AO275" i="1"/>
  <c r="AN275" i="1"/>
  <c r="AO273" i="1"/>
  <c r="AN273" i="1"/>
  <c r="AO271" i="1"/>
  <c r="AO269" i="1"/>
  <c r="AN269" i="1"/>
  <c r="AO265" i="1"/>
  <c r="AN265" i="1"/>
  <c r="AO263" i="1"/>
  <c r="AO261" i="1"/>
  <c r="AN261" i="1"/>
  <c r="AO259" i="1"/>
  <c r="AN259" i="1"/>
  <c r="AO255" i="1"/>
  <c r="AN255" i="1"/>
  <c r="AO253" i="1"/>
  <c r="AN253" i="1"/>
  <c r="AO251" i="1"/>
  <c r="AN251" i="1"/>
  <c r="AO249" i="1"/>
  <c r="AO247" i="1"/>
  <c r="AN247" i="1"/>
  <c r="AO243" i="1"/>
  <c r="AN243" i="1"/>
  <c r="AO241" i="1"/>
  <c r="AN241" i="1"/>
  <c r="AO239" i="1"/>
  <c r="AN239" i="1"/>
  <c r="AO237" i="1"/>
  <c r="AN237" i="1"/>
  <c r="AO235" i="1"/>
  <c r="AN235" i="1"/>
  <c r="AO233" i="1"/>
  <c r="AN233" i="1"/>
  <c r="AO231" i="1"/>
  <c r="AN231" i="1"/>
  <c r="AO229" i="1"/>
  <c r="AN229" i="1"/>
  <c r="AO227" i="1"/>
  <c r="AN227" i="1"/>
  <c r="AO225" i="1"/>
  <c r="AN225" i="1"/>
  <c r="AO223" i="1"/>
  <c r="AN223" i="1"/>
  <c r="AO221" i="1"/>
  <c r="AN221" i="1"/>
  <c r="AO219" i="1"/>
  <c r="AN219" i="1"/>
  <c r="AO217" i="1"/>
  <c r="AN217" i="1"/>
  <c r="AO215" i="1"/>
  <c r="AO213" i="1"/>
  <c r="AN213" i="1"/>
  <c r="AO211" i="1"/>
  <c r="AN211" i="1"/>
  <c r="AO207" i="1"/>
  <c r="AN207" i="1"/>
  <c r="AO205" i="1"/>
  <c r="AO203" i="1"/>
  <c r="AN203" i="1"/>
  <c r="AO201" i="1"/>
  <c r="AN201" i="1"/>
  <c r="AO197" i="1"/>
  <c r="AN197" i="1"/>
  <c r="AO195" i="1"/>
  <c r="AO193" i="1"/>
  <c r="AN193" i="1"/>
  <c r="AO191" i="1"/>
  <c r="AN191" i="1"/>
  <c r="AO187" i="1"/>
  <c r="AN187" i="1"/>
  <c r="AO185" i="1"/>
  <c r="AN185" i="1"/>
  <c r="AO183" i="1"/>
  <c r="AO181" i="1"/>
  <c r="AN181" i="1"/>
  <c r="AO177" i="1"/>
  <c r="AN177" i="1"/>
  <c r="AO175" i="1"/>
  <c r="AO173" i="1"/>
  <c r="AN173" i="1"/>
  <c r="AO169" i="1"/>
  <c r="AN169" i="1"/>
  <c r="AO167" i="1"/>
  <c r="AO165" i="1"/>
  <c r="AN165" i="1"/>
  <c r="AO163" i="1"/>
  <c r="AN163" i="1"/>
  <c r="AO159" i="1"/>
  <c r="AN159" i="1"/>
  <c r="AO157" i="1"/>
  <c r="AO155" i="1"/>
  <c r="AN155" i="1"/>
  <c r="AO151" i="1"/>
  <c r="AN151" i="1"/>
  <c r="AO149" i="1"/>
  <c r="AO147" i="1"/>
  <c r="AN147" i="1"/>
  <c r="AO145" i="1"/>
  <c r="AN145" i="1"/>
  <c r="AO140" i="1"/>
  <c r="AN140" i="1"/>
  <c r="AO138" i="1"/>
  <c r="AN138" i="1"/>
  <c r="AN136" i="1"/>
  <c r="AO134" i="1"/>
  <c r="AN134" i="1"/>
  <c r="AO132" i="1"/>
  <c r="AN132" i="1"/>
  <c r="AO128" i="1"/>
  <c r="AN128" i="1"/>
  <c r="AO126" i="1"/>
  <c r="AN126" i="1"/>
  <c r="AO121" i="1"/>
  <c r="AN121" i="1"/>
  <c r="AO119" i="1"/>
  <c r="AN119" i="1"/>
  <c r="AO117" i="1"/>
  <c r="AN117" i="1"/>
  <c r="AO115" i="1"/>
  <c r="AN115" i="1"/>
  <c r="AO113" i="1"/>
  <c r="AN113" i="1"/>
  <c r="AO111" i="1"/>
  <c r="AN111" i="1"/>
  <c r="AO109" i="1"/>
  <c r="AN109" i="1"/>
  <c r="AO107" i="1"/>
  <c r="AN107" i="1"/>
  <c r="AO105" i="1"/>
  <c r="AN105" i="1"/>
  <c r="AO103" i="1"/>
  <c r="AN103" i="1"/>
  <c r="AO101" i="1"/>
  <c r="AN101" i="1"/>
  <c r="AO98" i="1"/>
  <c r="AN98" i="1"/>
  <c r="AO96" i="1"/>
  <c r="AN96" i="1"/>
  <c r="AO94" i="1"/>
  <c r="AN94" i="1"/>
  <c r="AO92" i="1"/>
  <c r="AN92" i="1"/>
  <c r="AO90" i="1"/>
  <c r="AN90" i="1"/>
  <c r="AO88" i="1"/>
  <c r="AN88" i="1"/>
  <c r="AO86" i="1"/>
  <c r="AN86" i="1"/>
  <c r="AO84" i="1"/>
  <c r="AN84" i="1"/>
  <c r="AO82" i="1"/>
  <c r="AN82" i="1"/>
  <c r="AO80" i="1"/>
  <c r="AN80" i="1"/>
  <c r="AO78" i="1"/>
  <c r="AN78" i="1"/>
  <c r="AO76" i="1"/>
  <c r="AN76" i="1"/>
  <c r="AO74" i="1"/>
  <c r="AN74" i="1"/>
  <c r="AO72" i="1"/>
  <c r="AN72" i="1"/>
  <c r="AO70" i="1"/>
  <c r="AN70" i="1"/>
  <c r="AO68" i="1"/>
  <c r="AN68" i="1"/>
  <c r="AO66" i="1"/>
  <c r="AN66" i="1"/>
  <c r="AO64" i="1"/>
  <c r="AN64" i="1"/>
  <c r="AO62" i="1"/>
  <c r="AN62" i="1"/>
  <c r="AO60" i="1"/>
  <c r="AN60" i="1"/>
  <c r="AO57" i="1"/>
  <c r="AN57" i="1"/>
  <c r="AO55" i="1"/>
  <c r="AN55" i="1"/>
  <c r="AO53" i="1"/>
  <c r="AN53" i="1"/>
  <c r="AO51" i="1"/>
  <c r="AN51" i="1"/>
  <c r="AO49" i="1"/>
  <c r="AN49" i="1"/>
  <c r="AO47" i="1"/>
  <c r="AN47" i="1"/>
  <c r="AO45" i="1"/>
  <c r="AN45" i="1"/>
  <c r="AO43" i="1"/>
  <c r="AN43" i="1"/>
  <c r="AO41" i="1"/>
  <c r="AN41" i="1"/>
  <c r="AO39" i="1"/>
  <c r="AN39" i="1"/>
  <c r="AO37" i="1"/>
  <c r="AN37" i="1"/>
  <c r="AO33" i="1"/>
  <c r="AN33" i="1"/>
  <c r="AO29" i="1"/>
  <c r="AN29" i="1"/>
  <c r="AP27" i="1"/>
  <c r="AQ27" i="1" s="1"/>
  <c r="AO23" i="1"/>
  <c r="AN23" i="1"/>
  <c r="AO21" i="1"/>
  <c r="AN21" i="1"/>
  <c r="AO19" i="1"/>
  <c r="AN19" i="1"/>
  <c r="AO17" i="1"/>
  <c r="AN17" i="1"/>
  <c r="AO15" i="1"/>
  <c r="AN15" i="1"/>
  <c r="AP13" i="1"/>
  <c r="AQ13" i="1" s="1"/>
  <c r="AO13" i="1"/>
  <c r="AN13" i="1"/>
  <c r="AO11" i="1"/>
  <c r="AN11" i="1"/>
  <c r="AO9" i="1"/>
  <c r="AN9" i="1"/>
  <c r="AO7" i="1"/>
  <c r="AN7" i="1"/>
  <c r="AO5" i="1"/>
  <c r="AN5" i="1"/>
  <c r="AP3" i="1"/>
  <c r="AQ3" i="1" s="1"/>
  <c r="AO3" i="1"/>
  <c r="AN3" i="1"/>
  <c r="AN920" i="1"/>
  <c r="AN918" i="1"/>
  <c r="AN916" i="1"/>
  <c r="AN914" i="1"/>
  <c r="AN912" i="1"/>
  <c r="AN910" i="1"/>
  <c r="AN908" i="1"/>
  <c r="AN906" i="1"/>
  <c r="AN904" i="1"/>
  <c r="AN902" i="1"/>
  <c r="AN900" i="1"/>
  <c r="AN898" i="1"/>
  <c r="AN896" i="1"/>
  <c r="AN894" i="1"/>
  <c r="AN892" i="1"/>
  <c r="AN890" i="1"/>
  <c r="AN888" i="1"/>
  <c r="AN886" i="1"/>
  <c r="AN884" i="1"/>
  <c r="AN882" i="1"/>
  <c r="AN880" i="1"/>
  <c r="AN878" i="1"/>
  <c r="AN876" i="1"/>
  <c r="AN874" i="1"/>
  <c r="AN872" i="1"/>
  <c r="AN870" i="1"/>
  <c r="AN868" i="1"/>
  <c r="AN866" i="1"/>
  <c r="AN864" i="1"/>
  <c r="AN862" i="1"/>
  <c r="AN860" i="1"/>
  <c r="AN858" i="1"/>
  <c r="AN856" i="1"/>
  <c r="AN854" i="1"/>
  <c r="AN852" i="1"/>
  <c r="AN850" i="1"/>
  <c r="AN848" i="1"/>
  <c r="AN846" i="1"/>
  <c r="AN844" i="1"/>
  <c r="AN842" i="1"/>
  <c r="AN840" i="1"/>
  <c r="AN838" i="1"/>
  <c r="AN836" i="1"/>
  <c r="AN834" i="1"/>
  <c r="AN832" i="1"/>
  <c r="AN830" i="1"/>
  <c r="AN828" i="1"/>
  <c r="AN826" i="1"/>
  <c r="AN824" i="1"/>
  <c r="AN822" i="1"/>
  <c r="AN820" i="1"/>
  <c r="AN818" i="1"/>
  <c r="AN816" i="1"/>
  <c r="AN814" i="1"/>
  <c r="AN812" i="1"/>
  <c r="AN810" i="1"/>
  <c r="AN808" i="1"/>
  <c r="AN806" i="1"/>
  <c r="AN804" i="1"/>
  <c r="AN802" i="1"/>
  <c r="AN800" i="1"/>
  <c r="AN798" i="1"/>
  <c r="AN796" i="1"/>
  <c r="AN794" i="1"/>
  <c r="AN792" i="1"/>
  <c r="AN790" i="1"/>
  <c r="AN788" i="1"/>
  <c r="AN786" i="1"/>
  <c r="AN784" i="1"/>
  <c r="AN782" i="1"/>
  <c r="AN780" i="1"/>
  <c r="AN778" i="1"/>
  <c r="AN776" i="1"/>
  <c r="AN774" i="1"/>
  <c r="AN772" i="1"/>
  <c r="AN770" i="1"/>
  <c r="AN768" i="1"/>
  <c r="AN766" i="1"/>
  <c r="AN764" i="1"/>
  <c r="AN762" i="1"/>
  <c r="AN760" i="1"/>
  <c r="AN758" i="1"/>
  <c r="AN756" i="1"/>
  <c r="AN754" i="1"/>
  <c r="AN752" i="1"/>
  <c r="AN750" i="1"/>
  <c r="AN748" i="1"/>
  <c r="AN746" i="1"/>
  <c r="AN744" i="1"/>
  <c r="AN742" i="1"/>
  <c r="AN740" i="1"/>
  <c r="AN738" i="1"/>
  <c r="AN736" i="1"/>
  <c r="AN734" i="1"/>
  <c r="AN732" i="1"/>
  <c r="AN730" i="1"/>
  <c r="AN728" i="1"/>
  <c r="AN726" i="1"/>
  <c r="AN724" i="1"/>
  <c r="AN722" i="1"/>
  <c r="AN720" i="1"/>
  <c r="AN718" i="1"/>
  <c r="AN716" i="1"/>
  <c r="AN714" i="1"/>
  <c r="AN712" i="1"/>
  <c r="AN710" i="1"/>
  <c r="AN708" i="1"/>
  <c r="AN706" i="1"/>
  <c r="AN704" i="1"/>
  <c r="AN702" i="1"/>
  <c r="AN700" i="1"/>
  <c r="AN698" i="1"/>
  <c r="AN696" i="1"/>
  <c r="AN694" i="1"/>
  <c r="AN692" i="1"/>
  <c r="AN690" i="1"/>
  <c r="AN688" i="1"/>
  <c r="AN686" i="1"/>
  <c r="AN684" i="1"/>
  <c r="AN682" i="1"/>
  <c r="AN680" i="1"/>
  <c r="AN678" i="1"/>
  <c r="AN676" i="1"/>
  <c r="AN674" i="1"/>
  <c r="AN672" i="1"/>
  <c r="AN670" i="1"/>
  <c r="AN668" i="1"/>
  <c r="AN666" i="1"/>
  <c r="AN664" i="1"/>
  <c r="AN662" i="1"/>
  <c r="AN660" i="1"/>
  <c r="AN658" i="1"/>
  <c r="AN656" i="1"/>
  <c r="AN654" i="1"/>
  <c r="AN652" i="1"/>
  <c r="AN650" i="1"/>
  <c r="AN648" i="1"/>
  <c r="AN646" i="1"/>
  <c r="AN644" i="1"/>
  <c r="AN642" i="1"/>
  <c r="AN640" i="1"/>
  <c r="AN638" i="1"/>
  <c r="AN636" i="1"/>
  <c r="AN634" i="1"/>
  <c r="AN632" i="1"/>
  <c r="AN630" i="1"/>
  <c r="AN628" i="1"/>
  <c r="AN626" i="1"/>
  <c r="AN624" i="1"/>
  <c r="AN622" i="1"/>
  <c r="AN620" i="1"/>
  <c r="AN618" i="1"/>
  <c r="AN616" i="1"/>
  <c r="AN614" i="1"/>
  <c r="AN612" i="1"/>
  <c r="AN610" i="1"/>
  <c r="AN608" i="1"/>
  <c r="AN606" i="1"/>
  <c r="AN604" i="1"/>
  <c r="AN602" i="1"/>
  <c r="AN600" i="1"/>
  <c r="AN598" i="1"/>
  <c r="AN596" i="1"/>
  <c r="AN594" i="1"/>
  <c r="AN592" i="1"/>
  <c r="AN590" i="1"/>
  <c r="AN588" i="1"/>
  <c r="AN586" i="1"/>
  <c r="AN584" i="1"/>
  <c r="AN582" i="1"/>
  <c r="AN580" i="1"/>
  <c r="AN578" i="1"/>
  <c r="AN576" i="1"/>
  <c r="AN574" i="1"/>
  <c r="AN572" i="1"/>
  <c r="AN570" i="1"/>
  <c r="AN568" i="1"/>
  <c r="AN566" i="1"/>
  <c r="AN564" i="1"/>
  <c r="AN562" i="1"/>
  <c r="AN560" i="1"/>
  <c r="AN558" i="1"/>
  <c r="AN556" i="1"/>
  <c r="AN554" i="1"/>
  <c r="AN552" i="1"/>
  <c r="AN550" i="1"/>
  <c r="AN548" i="1"/>
  <c r="AN546" i="1"/>
  <c r="AN544" i="1"/>
  <c r="AN542" i="1"/>
  <c r="AN540" i="1"/>
  <c r="AN538" i="1"/>
  <c r="AN536" i="1"/>
  <c r="AN534" i="1"/>
  <c r="AN532" i="1"/>
  <c r="AN530" i="1"/>
  <c r="AN528" i="1"/>
  <c r="AN526" i="1"/>
  <c r="AN524" i="1"/>
  <c r="AN522" i="1"/>
  <c r="AN520" i="1"/>
  <c r="AN518" i="1"/>
  <c r="AN516" i="1"/>
  <c r="AN514" i="1"/>
  <c r="AN512" i="1"/>
  <c r="AN510" i="1"/>
  <c r="AN508" i="1"/>
  <c r="AN506" i="1"/>
  <c r="AN504" i="1"/>
  <c r="AN502" i="1"/>
  <c r="AN500" i="1"/>
  <c r="AN498" i="1"/>
  <c r="AN496" i="1"/>
  <c r="AN494" i="1"/>
  <c r="AN492" i="1"/>
  <c r="AN490" i="1"/>
  <c r="AN488" i="1"/>
  <c r="AN486" i="1"/>
  <c r="AN484" i="1"/>
  <c r="AN482" i="1"/>
  <c r="AN480" i="1"/>
  <c r="AN478" i="1"/>
  <c r="AN476" i="1"/>
  <c r="AN474" i="1"/>
  <c r="AN472" i="1"/>
  <c r="AN470" i="1"/>
  <c r="AN468" i="1"/>
  <c r="AN466" i="1"/>
  <c r="AN464" i="1"/>
  <c r="AN462" i="1"/>
  <c r="AN460" i="1"/>
  <c r="AN458" i="1"/>
  <c r="AN456" i="1"/>
  <c r="AN454" i="1"/>
  <c r="AN452" i="1"/>
  <c r="AN444" i="1"/>
  <c r="AN440" i="1"/>
  <c r="AN438" i="1"/>
  <c r="AN436" i="1"/>
  <c r="AN434" i="1"/>
  <c r="AN431" i="1"/>
  <c r="AN429" i="1"/>
  <c r="AN425" i="1"/>
  <c r="AN421" i="1"/>
  <c r="AN419" i="1"/>
  <c r="AN417" i="1"/>
  <c r="AN413" i="1"/>
  <c r="AN409" i="1"/>
  <c r="AN405" i="1"/>
  <c r="AN401" i="1"/>
  <c r="AN399" i="1"/>
  <c r="AN397" i="1"/>
  <c r="AN395" i="1"/>
  <c r="AN393" i="1"/>
  <c r="AN389" i="1"/>
  <c r="AN387" i="1"/>
  <c r="AN385" i="1"/>
  <c r="AN383" i="1"/>
  <c r="AN381" i="1"/>
  <c r="AN379" i="1"/>
  <c r="AN377" i="1"/>
  <c r="AN375" i="1"/>
  <c r="AN373" i="1"/>
  <c r="AN371" i="1"/>
  <c r="AN369" i="1"/>
  <c r="AN365" i="1"/>
  <c r="AN361" i="1"/>
  <c r="AN357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27" i="1"/>
  <c r="AN325" i="1"/>
  <c r="AN322" i="1"/>
  <c r="AN318" i="1"/>
  <c r="AN314" i="1"/>
  <c r="AN310" i="1"/>
  <c r="AN306" i="1"/>
  <c r="AO304" i="1"/>
  <c r="AN304" i="1"/>
  <c r="AO302" i="1"/>
  <c r="AN302" i="1"/>
  <c r="AO300" i="1"/>
  <c r="AN300" i="1"/>
  <c r="AO298" i="1"/>
  <c r="AN298" i="1"/>
  <c r="AO296" i="1"/>
  <c r="AN296" i="1"/>
  <c r="AO294" i="1"/>
  <c r="AN294" i="1"/>
  <c r="AO292" i="1"/>
  <c r="AN292" i="1"/>
  <c r="AO290" i="1"/>
  <c r="AN290" i="1"/>
  <c r="AO288" i="1"/>
  <c r="AN288" i="1"/>
  <c r="AO286" i="1"/>
  <c r="AN286" i="1"/>
  <c r="AO284" i="1"/>
  <c r="AN284" i="1"/>
  <c r="AO282" i="1"/>
  <c r="AN282" i="1"/>
  <c r="AO280" i="1"/>
  <c r="AN280" i="1"/>
  <c r="AO278" i="1"/>
  <c r="AN278" i="1"/>
  <c r="AO276" i="1"/>
  <c r="AN276" i="1"/>
  <c r="AO274" i="1"/>
  <c r="AN274" i="1"/>
  <c r="AO272" i="1"/>
  <c r="AN272" i="1"/>
  <c r="AO270" i="1"/>
  <c r="AN270" i="1"/>
  <c r="AO268" i="1"/>
  <c r="AN268" i="1"/>
  <c r="AO266" i="1"/>
  <c r="AN266" i="1"/>
  <c r="AO264" i="1"/>
  <c r="AN264" i="1"/>
  <c r="AO262" i="1"/>
  <c r="AN262" i="1"/>
  <c r="AO260" i="1"/>
  <c r="AN260" i="1"/>
  <c r="AO258" i="1"/>
  <c r="AN258" i="1"/>
  <c r="AO256" i="1"/>
  <c r="AN256" i="1"/>
  <c r="AO254" i="1"/>
  <c r="AN254" i="1"/>
  <c r="AO252" i="1"/>
  <c r="AN252" i="1"/>
  <c r="AO250" i="1"/>
  <c r="AN250" i="1"/>
  <c r="AO248" i="1"/>
  <c r="AN248" i="1"/>
  <c r="AO246" i="1"/>
  <c r="AN246" i="1"/>
  <c r="AO244" i="1"/>
  <c r="AN244" i="1"/>
  <c r="AO242" i="1"/>
  <c r="AN242" i="1"/>
  <c r="AO240" i="1"/>
  <c r="AN240" i="1"/>
  <c r="AO238" i="1"/>
  <c r="AN238" i="1"/>
  <c r="AO236" i="1"/>
  <c r="AN236" i="1"/>
  <c r="AO234" i="1"/>
  <c r="AN234" i="1"/>
  <c r="AO232" i="1"/>
  <c r="AN232" i="1"/>
  <c r="AO230" i="1"/>
  <c r="AN230" i="1"/>
  <c r="AO228" i="1"/>
  <c r="AN228" i="1"/>
  <c r="AO226" i="1"/>
  <c r="AN226" i="1"/>
  <c r="AO224" i="1"/>
  <c r="AN224" i="1"/>
  <c r="AO222" i="1"/>
  <c r="AN222" i="1"/>
  <c r="AO220" i="1"/>
  <c r="AN220" i="1"/>
  <c r="AO218" i="1"/>
  <c r="AN218" i="1"/>
  <c r="AO216" i="1"/>
  <c r="AN216" i="1"/>
  <c r="AO214" i="1"/>
  <c r="AN214" i="1"/>
  <c r="AO212" i="1"/>
  <c r="AN212" i="1"/>
  <c r="AO210" i="1"/>
  <c r="AN210" i="1"/>
  <c r="AO208" i="1"/>
  <c r="AN208" i="1"/>
  <c r="AO206" i="1"/>
  <c r="AN206" i="1"/>
  <c r="AO204" i="1"/>
  <c r="AN204" i="1"/>
  <c r="AO202" i="1"/>
  <c r="AN202" i="1"/>
  <c r="AO200" i="1"/>
  <c r="AN200" i="1"/>
  <c r="AO198" i="1"/>
  <c r="AN198" i="1"/>
  <c r="AO196" i="1"/>
  <c r="AN196" i="1"/>
  <c r="AO194" i="1"/>
  <c r="AN194" i="1"/>
  <c r="AO192" i="1"/>
  <c r="AN192" i="1"/>
  <c r="AO190" i="1"/>
  <c r="AN190" i="1"/>
  <c r="AO188" i="1"/>
  <c r="AN188" i="1"/>
  <c r="AO186" i="1"/>
  <c r="AN186" i="1"/>
  <c r="AO184" i="1"/>
  <c r="AN184" i="1"/>
  <c r="AO182" i="1"/>
  <c r="AN182" i="1"/>
  <c r="AO180" i="1"/>
  <c r="AN180" i="1"/>
  <c r="AO178" i="1"/>
  <c r="AN178" i="1"/>
  <c r="AO176" i="1"/>
  <c r="AN176" i="1"/>
  <c r="AO174" i="1"/>
  <c r="AN174" i="1"/>
  <c r="AO172" i="1"/>
  <c r="AN172" i="1"/>
  <c r="AO170" i="1"/>
  <c r="AN170" i="1"/>
  <c r="AO168" i="1"/>
  <c r="AN168" i="1"/>
  <c r="AO166" i="1"/>
  <c r="AN166" i="1"/>
  <c r="AO164" i="1"/>
  <c r="AN164" i="1"/>
  <c r="AO162" i="1"/>
  <c r="AN162" i="1"/>
  <c r="AO160" i="1"/>
  <c r="AN160" i="1"/>
  <c r="AO158" i="1"/>
  <c r="AN158" i="1"/>
  <c r="AO156" i="1"/>
  <c r="AN156" i="1"/>
  <c r="AO154" i="1"/>
  <c r="AN154" i="1"/>
  <c r="AO152" i="1"/>
  <c r="AN152" i="1"/>
  <c r="AO150" i="1"/>
  <c r="AN150" i="1"/>
  <c r="AO146" i="1"/>
  <c r="AN146" i="1"/>
  <c r="AO141" i="1"/>
  <c r="AN141" i="1"/>
  <c r="AO137" i="1"/>
  <c r="AN137" i="1"/>
  <c r="AO133" i="1"/>
  <c r="AN133" i="1"/>
  <c r="AO131" i="1"/>
  <c r="AN129" i="1"/>
  <c r="AN127" i="1"/>
  <c r="AO125" i="1"/>
  <c r="AN125" i="1"/>
  <c r="AO120" i="1"/>
  <c r="AN120" i="1"/>
  <c r="AO116" i="1"/>
  <c r="AN116" i="1"/>
  <c r="AO112" i="1"/>
  <c r="AN112" i="1"/>
  <c r="AO108" i="1"/>
  <c r="AN108" i="1"/>
  <c r="AO106" i="1"/>
  <c r="AN106" i="1"/>
  <c r="AN104" i="1"/>
  <c r="AO102" i="1"/>
  <c r="AN102" i="1"/>
  <c r="AO97" i="1"/>
  <c r="AN97" i="1"/>
  <c r="AO93" i="1"/>
  <c r="AN93" i="1"/>
  <c r="AO89" i="1"/>
  <c r="AN89" i="1"/>
  <c r="AN87" i="1"/>
  <c r="AO85" i="1"/>
  <c r="AN85" i="1"/>
  <c r="AO83" i="1"/>
  <c r="AN83" i="1"/>
  <c r="AO79" i="1"/>
  <c r="AN79" i="1"/>
  <c r="AO75" i="1"/>
  <c r="AN75" i="1"/>
  <c r="AO73" i="1"/>
  <c r="AN73" i="1"/>
  <c r="AO69" i="1"/>
  <c r="AN69" i="1"/>
  <c r="AN67" i="1"/>
  <c r="AO65" i="1"/>
  <c r="AN65" i="1"/>
  <c r="AO61" i="1"/>
  <c r="AN61" i="1"/>
  <c r="AO56" i="1"/>
  <c r="AN56" i="1"/>
  <c r="AO52" i="1"/>
  <c r="AN52" i="1"/>
  <c r="AN50" i="1"/>
  <c r="AO48" i="1"/>
  <c r="AN48" i="1"/>
  <c r="AO44" i="1"/>
  <c r="AN44" i="1"/>
  <c r="AO42" i="1"/>
  <c r="AN42" i="1"/>
  <c r="AO36" i="1"/>
  <c r="AN36" i="1"/>
  <c r="AO34" i="1"/>
  <c r="AN34" i="1"/>
  <c r="AO32" i="1"/>
  <c r="AN32" i="1"/>
  <c r="AO30" i="1"/>
  <c r="AN30" i="1"/>
  <c r="AO28" i="1"/>
  <c r="AN28" i="1"/>
  <c r="AO26" i="1"/>
  <c r="AN26" i="1"/>
  <c r="AO24" i="1"/>
  <c r="AP24" i="1"/>
  <c r="AQ24" i="1" s="1"/>
  <c r="AN24" i="1"/>
  <c r="AO22" i="1"/>
  <c r="AN22" i="1"/>
  <c r="AO20" i="1"/>
  <c r="AN20" i="1"/>
  <c r="AP18" i="1"/>
  <c r="AQ18" i="1" s="1"/>
  <c r="AO18" i="1"/>
  <c r="AN18" i="1"/>
  <c r="AO16" i="1"/>
  <c r="AN16" i="1"/>
  <c r="AO14" i="1"/>
  <c r="AN14" i="1"/>
  <c r="AO12" i="1"/>
  <c r="AN12" i="1"/>
  <c r="AO10" i="1"/>
  <c r="AN10" i="1"/>
  <c r="AO8" i="1"/>
  <c r="AN8" i="1"/>
  <c r="AP6" i="1"/>
  <c r="AQ6" i="1" s="1"/>
  <c r="AO6" i="1"/>
  <c r="AN6" i="1"/>
  <c r="AO4" i="1"/>
  <c r="AN4" i="1"/>
  <c r="AN919" i="1"/>
  <c r="AN917" i="1"/>
  <c r="AN915" i="1"/>
  <c r="AN913" i="1"/>
  <c r="AN911" i="1"/>
  <c r="AN909" i="1"/>
  <c r="AN907" i="1"/>
  <c r="AN905" i="1"/>
  <c r="AN903" i="1"/>
  <c r="AN901" i="1"/>
  <c r="AN899" i="1"/>
  <c r="AN897" i="1"/>
  <c r="AN895" i="1"/>
  <c r="AN893" i="1"/>
  <c r="AN891" i="1"/>
  <c r="AN889" i="1"/>
  <c r="AN887" i="1"/>
  <c r="AN885" i="1"/>
  <c r="AN883" i="1"/>
  <c r="AN881" i="1"/>
  <c r="AN879" i="1"/>
  <c r="AN877" i="1"/>
  <c r="AN875" i="1"/>
  <c r="AN873" i="1"/>
  <c r="AN871" i="1"/>
  <c r="AN869" i="1"/>
  <c r="AN867" i="1"/>
  <c r="AN865" i="1"/>
  <c r="AN863" i="1"/>
  <c r="AN861" i="1"/>
  <c r="AN859" i="1"/>
  <c r="AN857" i="1"/>
  <c r="AN855" i="1"/>
  <c r="AN853" i="1"/>
  <c r="AN851" i="1"/>
  <c r="AN849" i="1"/>
  <c r="AN847" i="1"/>
  <c r="AN845" i="1"/>
  <c r="AN843" i="1"/>
  <c r="AN841" i="1"/>
  <c r="AN839" i="1"/>
  <c r="AN837" i="1"/>
  <c r="AN835" i="1"/>
  <c r="AN833" i="1"/>
  <c r="AN831" i="1"/>
  <c r="AN829" i="1"/>
  <c r="AN827" i="1"/>
  <c r="AN825" i="1"/>
  <c r="AN823" i="1"/>
  <c r="AN821" i="1"/>
  <c r="AN819" i="1"/>
  <c r="AN817" i="1"/>
  <c r="AN815" i="1"/>
  <c r="AN813" i="1"/>
  <c r="AN811" i="1"/>
  <c r="AN809" i="1"/>
  <c r="AN807" i="1"/>
  <c r="AN805" i="1"/>
  <c r="AN803" i="1"/>
  <c r="AN801" i="1"/>
  <c r="AN799" i="1"/>
  <c r="AN797" i="1"/>
  <c r="AN795" i="1"/>
  <c r="AN793" i="1"/>
  <c r="AN791" i="1"/>
  <c r="AN789" i="1"/>
  <c r="AN787" i="1"/>
  <c r="AN785" i="1"/>
  <c r="AN783" i="1"/>
  <c r="AN781" i="1"/>
  <c r="AN779" i="1"/>
  <c r="AN777" i="1"/>
  <c r="AN775" i="1"/>
  <c r="AN773" i="1"/>
  <c r="AN771" i="1"/>
  <c r="AN769" i="1"/>
  <c r="AN767" i="1"/>
  <c r="AN765" i="1"/>
  <c r="AN763" i="1"/>
  <c r="AN761" i="1"/>
  <c r="AN759" i="1"/>
  <c r="AN757" i="1"/>
  <c r="AN755" i="1"/>
  <c r="AN753" i="1"/>
  <c r="AN751" i="1"/>
  <c r="AN749" i="1"/>
  <c r="AN747" i="1"/>
  <c r="AN745" i="1"/>
  <c r="AN743" i="1"/>
  <c r="AN741" i="1"/>
  <c r="AN739" i="1"/>
  <c r="AN737" i="1"/>
  <c r="AN735" i="1"/>
  <c r="AN733" i="1"/>
  <c r="AN731" i="1"/>
  <c r="AN729" i="1"/>
  <c r="AN727" i="1"/>
  <c r="AN725" i="1"/>
  <c r="AN723" i="1"/>
  <c r="AN721" i="1"/>
  <c r="AN719" i="1"/>
  <c r="AN717" i="1"/>
  <c r="AN715" i="1"/>
  <c r="AN713" i="1"/>
  <c r="AN711" i="1"/>
  <c r="AN709" i="1"/>
  <c r="AN707" i="1"/>
  <c r="AN705" i="1"/>
  <c r="AN703" i="1"/>
  <c r="AN701" i="1"/>
  <c r="AN699" i="1"/>
  <c r="AN697" i="1"/>
  <c r="AN695" i="1"/>
  <c r="AN693" i="1"/>
  <c r="AN691" i="1"/>
  <c r="AN689" i="1"/>
  <c r="AN687" i="1"/>
  <c r="AN685" i="1"/>
  <c r="AN683" i="1"/>
  <c r="AN681" i="1"/>
  <c r="AN679" i="1"/>
  <c r="AN677" i="1"/>
  <c r="AN675" i="1"/>
  <c r="AN673" i="1"/>
  <c r="AN671" i="1"/>
  <c r="AN669" i="1"/>
  <c r="AN667" i="1"/>
  <c r="AN665" i="1"/>
  <c r="AN663" i="1"/>
  <c r="AN661" i="1"/>
  <c r="AN659" i="1"/>
  <c r="AN657" i="1"/>
  <c r="AN655" i="1"/>
  <c r="AN653" i="1"/>
  <c r="AN651" i="1"/>
  <c r="AN649" i="1"/>
  <c r="AN647" i="1"/>
  <c r="AN645" i="1"/>
  <c r="AN643" i="1"/>
  <c r="AN641" i="1"/>
  <c r="AN639" i="1"/>
  <c r="AN637" i="1"/>
  <c r="AN635" i="1"/>
  <c r="AN633" i="1"/>
  <c r="AN631" i="1"/>
  <c r="AN629" i="1"/>
  <c r="AN627" i="1"/>
  <c r="AN625" i="1"/>
  <c r="AN623" i="1"/>
  <c r="AN621" i="1"/>
  <c r="AN619" i="1"/>
  <c r="AN617" i="1"/>
  <c r="AN615" i="1"/>
  <c r="AN613" i="1"/>
  <c r="AN611" i="1"/>
  <c r="AN609" i="1"/>
  <c r="AN607" i="1"/>
  <c r="AN605" i="1"/>
  <c r="AN603" i="1"/>
  <c r="AN601" i="1"/>
  <c r="AN599" i="1"/>
  <c r="AN597" i="1"/>
  <c r="AN595" i="1"/>
  <c r="AN593" i="1"/>
  <c r="AN591" i="1"/>
  <c r="AN589" i="1"/>
  <c r="AN587" i="1"/>
  <c r="AN585" i="1"/>
  <c r="AN583" i="1"/>
  <c r="AN581" i="1"/>
  <c r="AN579" i="1"/>
  <c r="AN577" i="1"/>
  <c r="AN575" i="1"/>
  <c r="AN573" i="1"/>
  <c r="AN571" i="1"/>
  <c r="AN569" i="1"/>
  <c r="AN567" i="1"/>
  <c r="AN565" i="1"/>
  <c r="AN563" i="1"/>
  <c r="AN561" i="1"/>
  <c r="AN559" i="1"/>
  <c r="AN557" i="1"/>
  <c r="AN555" i="1"/>
  <c r="AN553" i="1"/>
  <c r="AN551" i="1"/>
  <c r="AN549" i="1"/>
  <c r="AN547" i="1"/>
  <c r="AN545" i="1"/>
  <c r="AN543" i="1"/>
  <c r="AN541" i="1"/>
  <c r="AN539" i="1"/>
  <c r="AN537" i="1"/>
  <c r="AN535" i="1"/>
  <c r="AN533" i="1"/>
  <c r="AN531" i="1"/>
  <c r="AN529" i="1"/>
  <c r="AN527" i="1"/>
  <c r="AN525" i="1"/>
  <c r="AN523" i="1"/>
  <c r="AN521" i="1"/>
  <c r="AN519" i="1"/>
  <c r="AN517" i="1"/>
  <c r="AN515" i="1"/>
  <c r="AN513" i="1"/>
  <c r="AN511" i="1"/>
  <c r="AN509" i="1"/>
  <c r="AN507" i="1"/>
  <c r="AN505" i="1"/>
  <c r="AN503" i="1"/>
  <c r="AN501" i="1"/>
  <c r="AN499" i="1"/>
  <c r="AN497" i="1"/>
  <c r="AN495" i="1"/>
  <c r="AN493" i="1"/>
  <c r="AN491" i="1"/>
  <c r="AN489" i="1"/>
  <c r="AN487" i="1"/>
  <c r="AN485" i="1"/>
  <c r="AN483" i="1"/>
  <c r="AN481" i="1"/>
  <c r="AN479" i="1"/>
  <c r="AN477" i="1"/>
  <c r="AN475" i="1"/>
  <c r="AN473" i="1"/>
  <c r="AN471" i="1"/>
  <c r="AN469" i="1"/>
  <c r="AN467" i="1"/>
  <c r="AN465" i="1"/>
  <c r="AN463" i="1"/>
  <c r="AN461" i="1"/>
  <c r="AN459" i="1"/>
  <c r="AN457" i="1"/>
  <c r="AN455" i="1"/>
  <c r="AN453" i="1"/>
  <c r="AN451" i="1"/>
  <c r="AN449" i="1"/>
  <c r="AN447" i="1"/>
  <c r="AN445" i="1"/>
  <c r="AN443" i="1"/>
  <c r="AN441" i="1"/>
  <c r="AN439" i="1"/>
  <c r="AN437" i="1"/>
  <c r="AN435" i="1"/>
  <c r="AN433" i="1"/>
  <c r="AN430" i="1"/>
  <c r="AN428" i="1"/>
  <c r="AN426" i="1"/>
  <c r="AN424" i="1"/>
  <c r="AN422" i="1"/>
  <c r="AN420" i="1"/>
  <c r="AN418" i="1"/>
  <c r="AN416" i="1"/>
  <c r="AN414" i="1"/>
  <c r="AN412" i="1"/>
  <c r="AN410" i="1"/>
  <c r="AN408" i="1"/>
  <c r="AN406" i="1"/>
  <c r="AN404" i="1"/>
  <c r="AN402" i="1"/>
  <c r="AN400" i="1"/>
  <c r="AN398" i="1"/>
  <c r="AN396" i="1"/>
  <c r="AN394" i="1"/>
  <c r="AN392" i="1"/>
  <c r="AN390" i="1"/>
  <c r="AN388" i="1"/>
  <c r="AN386" i="1"/>
  <c r="AN384" i="1"/>
  <c r="AN382" i="1"/>
  <c r="AN380" i="1"/>
  <c r="AN378" i="1"/>
  <c r="AN376" i="1"/>
  <c r="AN374" i="1"/>
  <c r="AN372" i="1"/>
  <c r="AN370" i="1"/>
  <c r="AN368" i="1"/>
  <c r="AN366" i="1"/>
  <c r="AN364" i="1"/>
  <c r="AN362" i="1"/>
  <c r="AN360" i="1"/>
  <c r="AN358" i="1"/>
  <c r="AN356" i="1"/>
  <c r="AN354" i="1"/>
  <c r="AN352" i="1"/>
  <c r="AN350" i="1"/>
  <c r="AN348" i="1"/>
  <c r="AN346" i="1"/>
  <c r="AN344" i="1"/>
  <c r="AN342" i="1"/>
  <c r="AN340" i="1"/>
  <c r="AN338" i="1"/>
  <c r="AN336" i="1"/>
  <c r="AN334" i="1"/>
  <c r="AN332" i="1"/>
  <c r="AN330" i="1"/>
  <c r="AN328" i="1"/>
  <c r="AN326" i="1"/>
  <c r="AN324" i="1"/>
  <c r="AN320" i="1"/>
  <c r="AN316" i="1"/>
  <c r="AN312" i="1"/>
  <c r="AN308" i="1"/>
  <c r="AC918" i="1"/>
  <c r="AC912" i="1"/>
  <c r="AC906" i="1"/>
  <c r="AC902" i="1"/>
  <c r="AC894" i="1"/>
  <c r="AC886" i="1"/>
  <c r="AC882" i="1"/>
  <c r="AC874" i="1"/>
  <c r="AC870" i="1"/>
  <c r="AC866" i="1"/>
  <c r="AC862" i="1"/>
  <c r="AC858" i="1"/>
  <c r="AC854" i="1"/>
  <c r="AC850" i="1"/>
  <c r="AC836" i="1"/>
  <c r="AC830" i="1"/>
  <c r="AC824" i="1"/>
  <c r="AC818" i="1"/>
  <c r="AC814" i="1"/>
  <c r="AC808" i="1"/>
  <c r="AC802" i="1"/>
  <c r="AC798" i="1"/>
  <c r="AC794" i="1"/>
  <c r="AC790" i="1"/>
  <c r="AC786" i="1"/>
  <c r="AC782" i="1"/>
  <c r="AC780" i="1"/>
  <c r="AC776" i="1"/>
  <c r="AC772" i="1"/>
  <c r="AC764" i="1"/>
  <c r="AC760" i="1"/>
  <c r="AC758" i="1"/>
  <c r="AC750" i="1"/>
  <c r="AC746" i="1"/>
  <c r="AC742" i="1"/>
  <c r="AC732" i="1"/>
  <c r="AC728" i="1"/>
  <c r="AC722" i="1"/>
  <c r="AC718" i="1"/>
  <c r="AC714" i="1"/>
  <c r="AC710" i="1"/>
  <c r="AC706" i="1"/>
  <c r="AC702" i="1"/>
  <c r="AC700" i="1"/>
  <c r="AC692" i="1"/>
  <c r="AC686" i="1"/>
  <c r="AC682" i="1"/>
  <c r="AC678" i="1"/>
  <c r="AC664" i="1"/>
  <c r="AC658" i="1"/>
  <c r="AC654" i="1"/>
  <c r="AC650" i="1"/>
  <c r="AC648" i="1"/>
  <c r="AC644" i="1"/>
  <c r="AC642" i="1"/>
  <c r="AC638" i="1"/>
  <c r="AC632" i="1"/>
  <c r="AC630" i="1"/>
  <c r="AC626" i="1"/>
  <c r="AC622" i="1"/>
  <c r="AC618" i="1"/>
  <c r="AC614" i="1"/>
  <c r="AC917" i="1"/>
  <c r="AC913" i="1"/>
  <c r="AC909" i="1"/>
  <c r="AC905" i="1"/>
  <c r="AC901" i="1"/>
  <c r="AC897" i="1"/>
  <c r="AC893" i="1"/>
  <c r="AC889" i="1"/>
  <c r="AC885" i="1"/>
  <c r="AC881" i="1"/>
  <c r="AC877" i="1"/>
  <c r="AC873" i="1"/>
  <c r="AC869" i="1"/>
  <c r="AC865" i="1"/>
  <c r="AC861" i="1"/>
  <c r="AC857" i="1"/>
  <c r="AC853" i="1"/>
  <c r="AC849" i="1"/>
  <c r="AC845" i="1"/>
  <c r="AC841" i="1"/>
  <c r="AC837" i="1"/>
  <c r="AC833" i="1"/>
  <c r="AC829" i="1"/>
  <c r="AC825" i="1"/>
  <c r="AC821" i="1"/>
  <c r="AC817" i="1"/>
  <c r="AC813" i="1"/>
  <c r="AC809" i="1"/>
  <c r="AC805" i="1"/>
  <c r="AC801" i="1"/>
  <c r="AC797" i="1"/>
  <c r="AC793" i="1"/>
  <c r="AC789" i="1"/>
  <c r="AC785" i="1"/>
  <c r="AC781" i="1"/>
  <c r="AC777" i="1"/>
  <c r="AC773" i="1"/>
  <c r="AC769" i="1"/>
  <c r="AC765" i="1"/>
  <c r="AC761" i="1"/>
  <c r="AC757" i="1"/>
  <c r="AC753" i="1"/>
  <c r="AC749" i="1"/>
  <c r="AC745" i="1"/>
  <c r="AC741" i="1"/>
  <c r="AC737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3" i="1"/>
  <c r="AC669" i="1"/>
  <c r="AC665" i="1"/>
  <c r="AC661" i="1"/>
  <c r="AC657" i="1"/>
  <c r="AC653" i="1"/>
  <c r="AC649" i="1"/>
  <c r="AC645" i="1"/>
  <c r="AC641" i="1"/>
  <c r="AC637" i="1"/>
  <c r="AC635" i="1"/>
  <c r="AC633" i="1"/>
  <c r="AC631" i="1"/>
  <c r="AC629" i="1"/>
  <c r="AC627" i="1"/>
  <c r="AC625" i="1"/>
  <c r="AC621" i="1"/>
  <c r="AC619" i="1"/>
  <c r="AC617" i="1"/>
  <c r="AC615" i="1"/>
  <c r="AC613" i="1"/>
  <c r="AC609" i="1"/>
  <c r="AC603" i="1"/>
  <c r="AC601" i="1"/>
  <c r="AC593" i="1"/>
  <c r="AC571" i="1"/>
  <c r="AC565" i="1"/>
  <c r="AC557" i="1"/>
  <c r="AC539" i="1"/>
  <c r="AC537" i="1"/>
  <c r="AC533" i="1"/>
  <c r="AC531" i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AC505" i="1"/>
  <c r="Y505" i="1"/>
  <c r="Y503" i="1"/>
  <c r="Z503" i="1" s="1"/>
  <c r="AC501" i="1"/>
  <c r="Y501" i="1"/>
  <c r="Y499" i="1"/>
  <c r="Z499" i="1" s="1"/>
  <c r="Y497" i="1"/>
  <c r="Z497" i="1" s="1"/>
  <c r="Y495" i="1"/>
  <c r="Z495" i="1" s="1"/>
  <c r="Y493" i="1"/>
  <c r="Z493" i="1" s="1"/>
  <c r="Y491" i="1"/>
  <c r="Z491" i="1" s="1"/>
  <c r="AC489" i="1"/>
  <c r="Y489" i="1"/>
  <c r="Y487" i="1"/>
  <c r="Z487" i="1" s="1"/>
  <c r="Y485" i="1"/>
  <c r="Z485" i="1" s="1"/>
  <c r="AC483" i="1"/>
  <c r="Y483" i="1"/>
  <c r="Y481" i="1"/>
  <c r="Z481" i="1" s="1"/>
  <c r="Y479" i="1"/>
  <c r="Z479" i="1" s="1"/>
  <c r="Y477" i="1"/>
  <c r="Z477" i="1" s="1"/>
  <c r="Y475" i="1"/>
  <c r="Z475" i="1" s="1"/>
  <c r="AC473" i="1"/>
  <c r="Y473" i="1"/>
  <c r="AC471" i="1"/>
  <c r="Y471" i="1"/>
  <c r="AC469" i="1"/>
  <c r="Y469" i="1"/>
  <c r="AC467" i="1"/>
  <c r="Y467" i="1"/>
  <c r="Y465" i="1"/>
  <c r="Z465" i="1" s="1"/>
  <c r="AC463" i="1"/>
  <c r="Y463" i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Y439" i="1"/>
  <c r="Z439" i="1" s="1"/>
  <c r="AC437" i="1"/>
  <c r="Y437" i="1"/>
  <c r="Y435" i="1"/>
  <c r="Z435" i="1" s="1"/>
  <c r="Y433" i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Z418" i="1" s="1"/>
  <c r="Y416" i="1"/>
  <c r="Z416" i="1" s="1"/>
  <c r="Y414" i="1"/>
  <c r="AC412" i="1"/>
  <c r="Y412" i="1"/>
  <c r="AC410" i="1"/>
  <c r="Y410" i="1"/>
  <c r="AC408" i="1"/>
  <c r="Y408" i="1"/>
  <c r="Y406" i="1"/>
  <c r="Z406" i="1" s="1"/>
  <c r="Y404" i="1"/>
  <c r="Z404" i="1" s="1"/>
  <c r="Y402" i="1"/>
  <c r="Z402" i="1" s="1"/>
  <c r="Y400" i="1"/>
  <c r="Z400" i="1" s="1"/>
  <c r="Y398" i="1"/>
  <c r="Y396" i="1"/>
  <c r="Z396" i="1" s="1"/>
  <c r="Y394" i="1"/>
  <c r="Y392" i="1"/>
  <c r="Z392" i="1" s="1"/>
  <c r="AC390" i="1"/>
  <c r="Y390" i="1"/>
  <c r="Y388" i="1"/>
  <c r="Z388" i="1" s="1"/>
  <c r="Y386" i="1"/>
  <c r="Z386" i="1" s="1"/>
  <c r="AC384" i="1"/>
  <c r="Y384" i="1"/>
  <c r="AC382" i="1"/>
  <c r="Y382" i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Z360" i="1" s="1"/>
  <c r="AC358" i="1"/>
  <c r="Y358" i="1"/>
  <c r="Y356" i="1"/>
  <c r="Z356" i="1" s="1"/>
  <c r="Y354" i="1"/>
  <c r="Z354" i="1" s="1"/>
  <c r="Y352" i="1"/>
  <c r="Z352" i="1" s="1"/>
  <c r="Y350" i="1"/>
  <c r="Z350" i="1" s="1"/>
  <c r="Y348" i="1"/>
  <c r="Z348" i="1" s="1"/>
  <c r="AC346" i="1"/>
  <c r="Y346" i="1"/>
  <c r="Y344" i="1"/>
  <c r="Z344" i="1" s="1"/>
  <c r="Y342" i="1"/>
  <c r="Z342" i="1" s="1"/>
  <c r="Y340" i="1"/>
  <c r="Z340" i="1" s="1"/>
  <c r="Y338" i="1"/>
  <c r="Z338" i="1" s="1"/>
  <c r="Y336" i="1"/>
  <c r="Z336" i="1" s="1"/>
  <c r="Y334" i="1"/>
  <c r="Z334" i="1" s="1"/>
  <c r="Y332" i="1"/>
  <c r="Z332" i="1" s="1"/>
  <c r="Y330" i="1"/>
  <c r="Z330" i="1" s="1"/>
  <c r="Y328" i="1"/>
  <c r="Z328" i="1" s="1"/>
  <c r="Y326" i="1"/>
  <c r="Z326" i="1" s="1"/>
  <c r="Y324" i="1"/>
  <c r="Z324" i="1" s="1"/>
  <c r="AC322" i="1"/>
  <c r="Y322" i="1"/>
  <c r="Y320" i="1"/>
  <c r="Z320" i="1" s="1"/>
  <c r="Y318" i="1"/>
  <c r="Z318" i="1" s="1"/>
  <c r="Y316" i="1"/>
  <c r="Z316" i="1" s="1"/>
  <c r="Y314" i="1"/>
  <c r="AC312" i="1"/>
  <c r="Y312" i="1"/>
  <c r="Y310" i="1"/>
  <c r="Y308" i="1"/>
  <c r="Z308" i="1" s="1"/>
  <c r="Y306" i="1"/>
  <c r="AC304" i="1"/>
  <c r="Y304" i="1"/>
  <c r="AC302" i="1"/>
  <c r="Y302" i="1"/>
  <c r="Y300" i="1"/>
  <c r="Z300" i="1" s="1"/>
  <c r="Y298" i="1"/>
  <c r="Z298" i="1" s="1"/>
  <c r="Y296" i="1"/>
  <c r="Z296" i="1" s="1"/>
  <c r="Y294" i="1"/>
  <c r="Z294" i="1" s="1"/>
  <c r="AC292" i="1"/>
  <c r="Y292" i="1"/>
  <c r="Y290" i="1"/>
  <c r="Z290" i="1" s="1"/>
  <c r="AC288" i="1"/>
  <c r="Y288" i="1"/>
  <c r="AC286" i="1"/>
  <c r="Y286" i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Z272" i="1" s="1"/>
  <c r="Y270" i="1"/>
  <c r="Y268" i="1"/>
  <c r="Z268" i="1" s="1"/>
  <c r="Y266" i="1"/>
  <c r="Y264" i="1"/>
  <c r="Z264" i="1" s="1"/>
  <c r="Y262" i="1"/>
  <c r="Y260" i="1"/>
  <c r="Y258" i="1"/>
  <c r="Z258" i="1" s="1"/>
  <c r="AC256" i="1"/>
  <c r="Y256" i="1"/>
  <c r="Y254" i="1"/>
  <c r="AC252" i="1"/>
  <c r="Y252" i="1"/>
  <c r="Y250" i="1"/>
  <c r="Z250" i="1" s="1"/>
  <c r="Y248" i="1"/>
  <c r="Z248" i="1" s="1"/>
  <c r="AC246" i="1"/>
  <c r="Y246" i="1"/>
  <c r="Y244" i="1"/>
  <c r="Z244" i="1" s="1"/>
  <c r="Y242" i="1"/>
  <c r="Z242" i="1" s="1"/>
  <c r="Y240" i="1"/>
  <c r="Z240" i="1" s="1"/>
  <c r="Y238" i="1"/>
  <c r="Z238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2" i="1"/>
  <c r="Z222" i="1" s="1"/>
  <c r="Y220" i="1"/>
  <c r="Z220" i="1" s="1"/>
  <c r="Y218" i="1"/>
  <c r="Z218" i="1" s="1"/>
  <c r="AC216" i="1"/>
  <c r="Y216" i="1"/>
  <c r="Y214" i="1"/>
  <c r="Y212" i="1"/>
  <c r="Z212" i="1" s="1"/>
  <c r="Y210" i="1"/>
  <c r="Z210" i="1" s="1"/>
  <c r="Y208" i="1"/>
  <c r="Z208" i="1" s="1"/>
  <c r="AC206" i="1"/>
  <c r="Y206" i="1"/>
  <c r="AC204" i="1"/>
  <c r="Y204" i="1"/>
  <c r="Y202" i="1"/>
  <c r="Y200" i="1"/>
  <c r="Z200" i="1" s="1"/>
  <c r="Y198" i="1"/>
  <c r="Z198" i="1" s="1"/>
  <c r="Y196" i="1"/>
  <c r="Z196" i="1" s="1"/>
  <c r="Y194" i="1"/>
  <c r="Z194" i="1" s="1"/>
  <c r="Y192" i="1"/>
  <c r="Z192" i="1" s="1"/>
  <c r="AC190" i="1"/>
  <c r="Y190" i="1"/>
  <c r="Y188" i="1"/>
  <c r="Z188" i="1" s="1"/>
  <c r="Y186" i="1"/>
  <c r="Z186" i="1" s="1"/>
  <c r="AC184" i="1"/>
  <c r="Y184" i="1"/>
  <c r="AC182" i="1"/>
  <c r="Y182" i="1"/>
  <c r="Y180" i="1"/>
  <c r="AC178" i="1"/>
  <c r="Y178" i="1"/>
  <c r="AC176" i="1"/>
  <c r="Y176" i="1"/>
  <c r="AC174" i="1"/>
  <c r="Y174" i="1"/>
  <c r="AC172" i="1"/>
  <c r="Y172" i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AC150" i="1"/>
  <c r="Y150" i="1"/>
  <c r="Y148" i="1"/>
  <c r="Z148" i="1" s="1"/>
  <c r="Y146" i="1"/>
  <c r="Z146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AC125" i="1"/>
  <c r="Y125" i="1"/>
  <c r="Y120" i="1"/>
  <c r="Z120" i="1" s="1"/>
  <c r="Y118" i="1"/>
  <c r="Z118" i="1" s="1"/>
  <c r="Y116" i="1"/>
  <c r="Z116" i="1" s="1"/>
  <c r="Y114" i="1"/>
  <c r="Z114" i="1" s="1"/>
  <c r="Y112" i="1"/>
  <c r="Z112" i="1" s="1"/>
  <c r="Y110" i="1"/>
  <c r="Z110" i="1" s="1"/>
  <c r="AC108" i="1"/>
  <c r="Y108" i="1"/>
  <c r="Y106" i="1"/>
  <c r="Z106" i="1" s="1"/>
  <c r="Y104" i="1"/>
  <c r="Z104" i="1" s="1"/>
  <c r="Y102" i="1"/>
  <c r="Z102" i="1" s="1"/>
  <c r="Y100" i="1"/>
  <c r="Z100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AC83" i="1"/>
  <c r="Y83" i="1"/>
  <c r="Y81" i="1"/>
  <c r="Z81" i="1" s="1"/>
  <c r="Y79" i="1"/>
  <c r="Z79" i="1" s="1"/>
  <c r="Y77" i="1"/>
  <c r="Z77" i="1" s="1"/>
  <c r="Y75" i="1"/>
  <c r="Z75" i="1" s="1"/>
  <c r="AC73" i="1"/>
  <c r="Y73" i="1"/>
  <c r="Y71" i="1"/>
  <c r="Z71" i="1" s="1"/>
  <c r="Y69" i="1"/>
  <c r="Z69" i="1" s="1"/>
  <c r="Y67" i="1"/>
  <c r="Z67" i="1" s="1"/>
  <c r="Y65" i="1"/>
  <c r="Z65" i="1" s="1"/>
  <c r="Y63" i="1"/>
  <c r="Z63" i="1" s="1"/>
  <c r="Y61" i="1"/>
  <c r="Z61" i="1" s="1"/>
  <c r="Y58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AC44" i="1"/>
  <c r="Y44" i="1"/>
  <c r="Y42" i="1"/>
  <c r="Z42" i="1" s="1"/>
  <c r="Y40" i="1"/>
  <c r="Z40" i="1" s="1"/>
  <c r="Y36" i="1"/>
  <c r="Z36" i="1" s="1"/>
  <c r="Y34" i="1"/>
  <c r="Z34" i="1" s="1"/>
  <c r="Y32" i="1"/>
  <c r="Z32" i="1" s="1"/>
  <c r="AC28" i="1"/>
  <c r="Y28" i="1"/>
  <c r="AC26" i="1"/>
  <c r="Y26" i="1"/>
  <c r="Y24" i="1"/>
  <c r="Z24" i="1" s="1"/>
  <c r="Y22" i="1"/>
  <c r="Z22" i="1" s="1"/>
  <c r="Y20" i="1"/>
  <c r="Z20" i="1" s="1"/>
  <c r="Y16" i="1"/>
  <c r="Z16" i="1" s="1"/>
  <c r="Y14" i="1"/>
  <c r="Z14" i="1" s="1"/>
  <c r="AC12" i="1"/>
  <c r="Y12" i="1"/>
  <c r="Y10" i="1"/>
  <c r="Z10" i="1" s="1"/>
  <c r="Y8" i="1"/>
  <c r="Z8" i="1" s="1"/>
  <c r="Y6" i="1"/>
  <c r="Z6" i="1" s="1"/>
  <c r="Y4" i="1"/>
  <c r="Z4" i="1" s="1"/>
  <c r="Y918" i="1"/>
  <c r="Y912" i="1"/>
  <c r="Y906" i="1"/>
  <c r="Y902" i="1"/>
  <c r="Y894" i="1"/>
  <c r="Y886" i="1"/>
  <c r="Y882" i="1"/>
  <c r="Y874" i="1"/>
  <c r="Y870" i="1"/>
  <c r="Y866" i="1"/>
  <c r="Y862" i="1"/>
  <c r="Y858" i="1"/>
  <c r="Y854" i="1"/>
  <c r="Y850" i="1"/>
  <c r="Y836" i="1"/>
  <c r="Y830" i="1"/>
  <c r="Y824" i="1"/>
  <c r="Y818" i="1"/>
  <c r="Y814" i="1"/>
  <c r="Y808" i="1"/>
  <c r="Y802" i="1"/>
  <c r="Y798" i="1"/>
  <c r="Y794" i="1"/>
  <c r="Y790" i="1"/>
  <c r="Y786" i="1"/>
  <c r="Y782" i="1"/>
  <c r="Y780" i="1"/>
  <c r="Y776" i="1"/>
  <c r="Y772" i="1"/>
  <c r="Y764" i="1"/>
  <c r="Y760" i="1"/>
  <c r="Y758" i="1"/>
  <c r="Y750" i="1"/>
  <c r="Y746" i="1"/>
  <c r="Y742" i="1"/>
  <c r="Y732" i="1"/>
  <c r="Y728" i="1"/>
  <c r="Y722" i="1"/>
  <c r="Y718" i="1"/>
  <c r="Y714" i="1"/>
  <c r="Y710" i="1"/>
  <c r="Y706" i="1"/>
  <c r="Y702" i="1"/>
  <c r="Y700" i="1"/>
  <c r="Y692" i="1"/>
  <c r="Y686" i="1"/>
  <c r="Y682" i="1"/>
  <c r="Y678" i="1"/>
  <c r="Y664" i="1"/>
  <c r="Y658" i="1"/>
  <c r="Y654" i="1"/>
  <c r="Y650" i="1"/>
  <c r="Y648" i="1"/>
  <c r="Y644" i="1"/>
  <c r="Y642" i="1"/>
  <c r="Y638" i="1"/>
  <c r="Y632" i="1"/>
  <c r="Y630" i="1"/>
  <c r="Y626" i="1"/>
  <c r="Y622" i="1"/>
  <c r="Y618" i="1"/>
  <c r="Y614" i="1"/>
  <c r="Y612" i="1"/>
  <c r="AC920" i="1"/>
  <c r="AC916" i="1"/>
  <c r="AC910" i="1"/>
  <c r="AC908" i="1"/>
  <c r="AC904" i="1"/>
  <c r="AC900" i="1"/>
  <c r="AC896" i="1"/>
  <c r="AC892" i="1"/>
  <c r="AC888" i="1"/>
  <c r="AC884" i="1"/>
  <c r="AC880" i="1"/>
  <c r="AC876" i="1"/>
  <c r="AC872" i="1"/>
  <c r="AC868" i="1"/>
  <c r="AC864" i="1"/>
  <c r="AC860" i="1"/>
  <c r="AC856" i="1"/>
  <c r="AC852" i="1"/>
  <c r="AC846" i="1"/>
  <c r="AC842" i="1"/>
  <c r="AC838" i="1"/>
  <c r="AC832" i="1"/>
  <c r="AC828" i="1"/>
  <c r="AC822" i="1"/>
  <c r="AC816" i="1"/>
  <c r="AC812" i="1"/>
  <c r="AC806" i="1"/>
  <c r="AC800" i="1"/>
  <c r="AC792" i="1"/>
  <c r="AC788" i="1"/>
  <c r="AC784" i="1"/>
  <c r="AC774" i="1"/>
  <c r="AC770" i="1"/>
  <c r="AC766" i="1"/>
  <c r="AC756" i="1"/>
  <c r="AC752" i="1"/>
  <c r="AC748" i="1"/>
  <c r="AC744" i="1"/>
  <c r="AC738" i="1"/>
  <c r="AC734" i="1"/>
  <c r="AC730" i="1"/>
  <c r="AC726" i="1"/>
  <c r="AC720" i="1"/>
  <c r="AC716" i="1"/>
  <c r="AC712" i="1"/>
  <c r="AC708" i="1"/>
  <c r="AC704" i="1"/>
  <c r="AC698" i="1"/>
  <c r="AC694" i="1"/>
  <c r="AC688" i="1"/>
  <c r="AC684" i="1"/>
  <c r="AC680" i="1"/>
  <c r="AC676" i="1"/>
  <c r="AC674" i="1"/>
  <c r="AC670" i="1"/>
  <c r="AC668" i="1"/>
  <c r="AC666" i="1"/>
  <c r="AC662" i="1"/>
  <c r="AC656" i="1"/>
  <c r="AC652" i="1"/>
  <c r="AC646" i="1"/>
  <c r="AC640" i="1"/>
  <c r="AC636" i="1"/>
  <c r="AC624" i="1"/>
  <c r="AC606" i="1"/>
  <c r="AC598" i="1"/>
  <c r="AC596" i="1"/>
  <c r="AC590" i="1"/>
  <c r="AC588" i="1"/>
  <c r="AC580" i="1"/>
  <c r="AC568" i="1"/>
  <c r="AA560" i="1"/>
  <c r="AB560" i="1" s="1"/>
  <c r="AC560" i="1" s="1"/>
  <c r="AC550" i="1"/>
  <c r="AC548" i="1"/>
  <c r="AC546" i="1"/>
  <c r="AC544" i="1"/>
  <c r="AC542" i="1"/>
  <c r="AA536" i="1"/>
  <c r="AB536" i="1" s="1"/>
  <c r="AC536" i="1" s="1"/>
  <c r="AC522" i="1"/>
  <c r="AA520" i="1"/>
  <c r="AC516" i="1"/>
  <c r="Y508" i="1"/>
  <c r="Z508" i="1" s="1"/>
  <c r="Y506" i="1"/>
  <c r="Z506" i="1" s="1"/>
  <c r="Y504" i="1"/>
  <c r="Z504" i="1" s="1"/>
  <c r="Y502" i="1"/>
  <c r="Z502" i="1" s="1"/>
  <c r="AC498" i="1"/>
  <c r="Y498" i="1"/>
  <c r="Y496" i="1"/>
  <c r="Z496" i="1" s="1"/>
  <c r="Y494" i="1"/>
  <c r="Z494" i="1" s="1"/>
  <c r="AC492" i="1"/>
  <c r="Y490" i="1"/>
  <c r="Z490" i="1" s="1"/>
  <c r="Y488" i="1"/>
  <c r="Z488" i="1" s="1"/>
  <c r="AC486" i="1"/>
  <c r="Y486" i="1"/>
  <c r="Y484" i="1"/>
  <c r="Z484" i="1" s="1"/>
  <c r="Y482" i="1"/>
  <c r="Z482" i="1" s="1"/>
  <c r="AC480" i="1"/>
  <c r="Y480" i="1"/>
  <c r="AC478" i="1"/>
  <c r="Y478" i="1"/>
  <c r="Y474" i="1"/>
  <c r="Z474" i="1" s="1"/>
  <c r="Y472" i="1"/>
  <c r="Z472" i="1" s="1"/>
  <c r="Y470" i="1"/>
  <c r="Z470" i="1" s="1"/>
  <c r="Y468" i="1"/>
  <c r="Z468" i="1" s="1"/>
  <c r="Y466" i="1"/>
  <c r="Y464" i="1"/>
  <c r="Z464" i="1" s="1"/>
  <c r="Y462" i="1"/>
  <c r="Z462" i="1" s="1"/>
  <c r="Y460" i="1"/>
  <c r="Z460" i="1" s="1"/>
  <c r="Y458" i="1"/>
  <c r="Z458" i="1" s="1"/>
  <c r="Y456" i="1"/>
  <c r="Z456" i="1" s="1"/>
  <c r="Y454" i="1"/>
  <c r="Z454" i="1" s="1"/>
  <c r="AC452" i="1"/>
  <c r="Y452" i="1"/>
  <c r="Y450" i="1"/>
  <c r="Z450" i="1" s="1"/>
  <c r="Y448" i="1"/>
  <c r="Z448" i="1" s="1"/>
  <c r="Y446" i="1"/>
  <c r="Z446" i="1" s="1"/>
  <c r="Y444" i="1"/>
  <c r="Z444" i="1" s="1"/>
  <c r="Y442" i="1"/>
  <c r="Z442" i="1" s="1"/>
  <c r="AC440" i="1"/>
  <c r="Y438" i="1"/>
  <c r="Z438" i="1" s="1"/>
  <c r="Y436" i="1"/>
  <c r="Y434" i="1"/>
  <c r="Z434" i="1" s="1"/>
  <c r="Y431" i="1"/>
  <c r="Z431" i="1" s="1"/>
  <c r="AC429" i="1"/>
  <c r="Y429" i="1"/>
  <c r="Y427" i="1"/>
  <c r="Y425" i="1"/>
  <c r="Z425" i="1" s="1"/>
  <c r="Y423" i="1"/>
  <c r="Z423" i="1" s="1"/>
  <c r="AC421" i="1"/>
  <c r="Y421" i="1"/>
  <c r="Y419" i="1"/>
  <c r="Z419" i="1" s="1"/>
  <c r="AC417" i="1"/>
  <c r="Y417" i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3" i="1"/>
  <c r="Z403" i="1" s="1"/>
  <c r="Y401" i="1"/>
  <c r="Z401" i="1" s="1"/>
  <c r="AC397" i="1"/>
  <c r="Y397" i="1"/>
  <c r="AC395" i="1"/>
  <c r="AC393" i="1"/>
  <c r="Y393" i="1"/>
  <c r="Y391" i="1"/>
  <c r="Z391" i="1" s="1"/>
  <c r="Y389" i="1"/>
  <c r="Y385" i="1"/>
  <c r="Y383" i="1"/>
  <c r="Y381" i="1"/>
  <c r="Z381" i="1" s="1"/>
  <c r="Y379" i="1"/>
  <c r="Z379" i="1" s="1"/>
  <c r="Y377" i="1"/>
  <c r="Z377" i="1" s="1"/>
  <c r="Y375" i="1"/>
  <c r="Z375" i="1" s="1"/>
  <c r="Y373" i="1"/>
  <c r="Z373" i="1" s="1"/>
  <c r="AC371" i="1"/>
  <c r="Y371" i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Y357" i="1"/>
  <c r="Z357" i="1" s="1"/>
  <c r="Y355" i="1"/>
  <c r="Z355" i="1" s="1"/>
  <c r="Y353" i="1"/>
  <c r="Z353" i="1" s="1"/>
  <c r="AC351" i="1"/>
  <c r="Y349" i="1"/>
  <c r="Z349" i="1" s="1"/>
  <c r="Y347" i="1"/>
  <c r="Z347" i="1" s="1"/>
  <c r="Y345" i="1"/>
  <c r="Z345" i="1" s="1"/>
  <c r="AC343" i="1"/>
  <c r="Y343" i="1"/>
  <c r="Y341" i="1"/>
  <c r="Z341" i="1" s="1"/>
  <c r="Y337" i="1"/>
  <c r="Z337" i="1" s="1"/>
  <c r="Y335" i="1"/>
  <c r="Y333" i="1"/>
  <c r="Z333" i="1" s="1"/>
  <c r="AC331" i="1"/>
  <c r="Y331" i="1"/>
  <c r="Y329" i="1"/>
  <c r="Z329" i="1" s="1"/>
  <c r="Y327" i="1"/>
  <c r="Z327" i="1" s="1"/>
  <c r="Y325" i="1"/>
  <c r="Z325" i="1" s="1"/>
  <c r="Y323" i="1"/>
  <c r="Z323" i="1" s="1"/>
  <c r="Y321" i="1"/>
  <c r="Z321" i="1" s="1"/>
  <c r="Y319" i="1"/>
  <c r="Y317" i="1"/>
  <c r="Z317" i="1" s="1"/>
  <c r="Y315" i="1"/>
  <c r="Z315" i="1" s="1"/>
  <c r="Y313" i="1"/>
  <c r="Z313" i="1" s="1"/>
  <c r="Y311" i="1"/>
  <c r="Z311" i="1" s="1"/>
  <c r="Y309" i="1"/>
  <c r="Z309" i="1" s="1"/>
  <c r="Y307" i="1"/>
  <c r="Z307" i="1" s="1"/>
  <c r="Y305" i="1"/>
  <c r="Z305" i="1" s="1"/>
  <c r="Y303" i="1"/>
  <c r="Z303" i="1" s="1"/>
  <c r="Y301" i="1"/>
  <c r="Z301" i="1" s="1"/>
  <c r="AC299" i="1"/>
  <c r="AC297" i="1"/>
  <c r="Y297" i="1"/>
  <c r="Y295" i="1"/>
  <c r="Z295" i="1" s="1"/>
  <c r="Y293" i="1"/>
  <c r="Z293" i="1" s="1"/>
  <c r="Y291" i="1"/>
  <c r="Z291" i="1" s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AC273" i="1"/>
  <c r="Y273" i="1"/>
  <c r="Y271" i="1"/>
  <c r="Y269" i="1"/>
  <c r="Z269" i="1" s="1"/>
  <c r="Y267" i="1"/>
  <c r="Z267" i="1" s="1"/>
  <c r="Y265" i="1"/>
  <c r="Z265" i="1" s="1"/>
  <c r="Y263" i="1"/>
  <c r="Z263" i="1" s="1"/>
  <c r="AC261" i="1"/>
  <c r="Y261" i="1"/>
  <c r="Y259" i="1"/>
  <c r="Y257" i="1"/>
  <c r="Z257" i="1" s="1"/>
  <c r="Y255" i="1"/>
  <c r="Z255" i="1" s="1"/>
  <c r="Y253" i="1"/>
  <c r="Z253" i="1" s="1"/>
  <c r="Y251" i="1"/>
  <c r="Y249" i="1"/>
  <c r="Z249" i="1" s="1"/>
  <c r="Y247" i="1"/>
  <c r="Z247" i="1" s="1"/>
  <c r="Y245" i="1"/>
  <c r="Z245" i="1" s="1"/>
  <c r="Y241" i="1"/>
  <c r="Z241" i="1" s="1"/>
  <c r="Y239" i="1"/>
  <c r="Z239" i="1" s="1"/>
  <c r="Y237" i="1"/>
  <c r="Z237" i="1" s="1"/>
  <c r="Y235" i="1"/>
  <c r="Z235" i="1" s="1"/>
  <c r="Y233" i="1"/>
  <c r="Z233" i="1" s="1"/>
  <c r="AC231" i="1"/>
  <c r="Y231" i="1"/>
  <c r="Y229" i="1"/>
  <c r="Z229" i="1" s="1"/>
  <c r="AC227" i="1"/>
  <c r="Y225" i="1"/>
  <c r="Z225" i="1" s="1"/>
  <c r="Y223" i="1"/>
  <c r="Z223" i="1" s="1"/>
  <c r="Y221" i="1"/>
  <c r="Z221" i="1" s="1"/>
  <c r="AC219" i="1"/>
  <c r="Y219" i="1"/>
  <c r="Y217" i="1"/>
  <c r="Z217" i="1" s="1"/>
  <c r="Y215" i="1"/>
  <c r="Z215" i="1" s="1"/>
  <c r="Y213" i="1"/>
  <c r="Z213" i="1" s="1"/>
  <c r="Y209" i="1"/>
  <c r="Z209" i="1" s="1"/>
  <c r="Y207" i="1"/>
  <c r="Z207" i="1" s="1"/>
  <c r="Y205" i="1"/>
  <c r="Z205" i="1" s="1"/>
  <c r="Y203" i="1"/>
  <c r="Z203" i="1" s="1"/>
  <c r="AC201" i="1"/>
  <c r="Y201" i="1"/>
  <c r="Y199" i="1"/>
  <c r="Z199" i="1" s="1"/>
  <c r="Y197" i="1"/>
  <c r="Z197" i="1" s="1"/>
  <c r="Y195" i="1"/>
  <c r="Z195" i="1" s="1"/>
  <c r="AC193" i="1"/>
  <c r="Y193" i="1"/>
  <c r="Y191" i="1"/>
  <c r="Z191" i="1" s="1"/>
  <c r="Y189" i="1"/>
  <c r="Z189" i="1" s="1"/>
  <c r="AC187" i="1"/>
  <c r="Y187" i="1"/>
  <c r="Y185" i="1"/>
  <c r="Z185" i="1" s="1"/>
  <c r="Y183" i="1"/>
  <c r="Z183" i="1" s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AC163" i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5" i="1"/>
  <c r="Z145" i="1" s="1"/>
  <c r="Y142" i="1"/>
  <c r="Z142" i="1" s="1"/>
  <c r="Y140" i="1"/>
  <c r="Z140" i="1" s="1"/>
  <c r="AC138" i="1"/>
  <c r="Y138" i="1"/>
  <c r="Y136" i="1"/>
  <c r="Z136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1" i="1"/>
  <c r="Z121" i="1" s="1"/>
  <c r="Y119" i="1"/>
  <c r="Z119" i="1" s="1"/>
  <c r="Y117" i="1"/>
  <c r="Z117" i="1" s="1"/>
  <c r="Y115" i="1"/>
  <c r="Z115" i="1" s="1"/>
  <c r="AC113" i="1"/>
  <c r="Y113" i="1"/>
  <c r="Y111" i="1"/>
  <c r="Z111" i="1" s="1"/>
  <c r="Y109" i="1"/>
  <c r="Z109" i="1" s="1"/>
  <c r="Y107" i="1"/>
  <c r="Z107" i="1" s="1"/>
  <c r="Y105" i="1"/>
  <c r="Y103" i="1"/>
  <c r="Z103" i="1" s="1"/>
  <c r="Y101" i="1"/>
  <c r="Z101" i="1" s="1"/>
  <c r="Y98" i="1"/>
  <c r="Z98" i="1" s="1"/>
  <c r="Y96" i="1"/>
  <c r="Z96" i="1" s="1"/>
  <c r="AC94" i="1"/>
  <c r="Y94" i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AC64" i="1"/>
  <c r="Y64" i="1"/>
  <c r="Y62" i="1"/>
  <c r="Z62" i="1" s="1"/>
  <c r="Y60" i="1"/>
  <c r="Z60" i="1" s="1"/>
  <c r="Y57" i="1"/>
  <c r="Z57" i="1" s="1"/>
  <c r="AC55" i="1"/>
  <c r="Y55" i="1"/>
  <c r="Y53" i="1"/>
  <c r="Z53" i="1" s="1"/>
  <c r="Y51" i="1"/>
  <c r="Y49" i="1"/>
  <c r="Z49" i="1" s="1"/>
  <c r="Y47" i="1"/>
  <c r="Z47" i="1" s="1"/>
  <c r="Y45" i="1"/>
  <c r="Z45" i="1" s="1"/>
  <c r="Y43" i="1"/>
  <c r="Z43" i="1" s="1"/>
  <c r="AC41" i="1"/>
  <c r="Y41" i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AC23" i="1"/>
  <c r="Y23" i="1"/>
  <c r="Y21" i="1"/>
  <c r="Z21" i="1" s="1"/>
  <c r="Y19" i="1"/>
  <c r="Z19" i="1" s="1"/>
  <c r="AC17" i="1"/>
  <c r="Y17" i="1"/>
  <c r="Y15" i="1"/>
  <c r="Z15" i="1" s="1"/>
  <c r="Y13" i="1"/>
  <c r="Z13" i="1" s="1"/>
  <c r="Y11" i="1"/>
  <c r="Z11" i="1" s="1"/>
  <c r="Y9" i="1"/>
  <c r="Z9" i="1" s="1"/>
  <c r="Y7" i="1"/>
  <c r="Z7" i="1" s="1"/>
  <c r="AC5" i="1"/>
  <c r="Y5" i="1"/>
  <c r="Y3" i="1"/>
  <c r="Z3" i="1" s="1"/>
  <c r="Y919" i="1"/>
  <c r="Y917" i="1"/>
  <c r="Y915" i="1"/>
  <c r="Y913" i="1"/>
  <c r="Y911" i="1"/>
  <c r="Y909" i="1"/>
  <c r="Y907" i="1"/>
  <c r="Y905" i="1"/>
  <c r="Y903" i="1"/>
  <c r="Y901" i="1"/>
  <c r="Y899" i="1"/>
  <c r="Y897" i="1"/>
  <c r="Y895" i="1"/>
  <c r="Y893" i="1"/>
  <c r="Y891" i="1"/>
  <c r="Y889" i="1"/>
  <c r="Y887" i="1"/>
  <c r="Y885" i="1"/>
  <c r="Y883" i="1"/>
  <c r="Y881" i="1"/>
  <c r="Y879" i="1"/>
  <c r="Y877" i="1"/>
  <c r="Y875" i="1"/>
  <c r="Y873" i="1"/>
  <c r="Y871" i="1"/>
  <c r="Y869" i="1"/>
  <c r="Y867" i="1"/>
  <c r="Y865" i="1"/>
  <c r="Y863" i="1"/>
  <c r="Y861" i="1"/>
  <c r="Y859" i="1"/>
  <c r="Y857" i="1"/>
  <c r="Y855" i="1"/>
  <c r="Y853" i="1"/>
  <c r="Y851" i="1"/>
  <c r="Y849" i="1"/>
  <c r="Y847" i="1"/>
  <c r="Y845" i="1"/>
  <c r="Y843" i="1"/>
  <c r="Y841" i="1"/>
  <c r="Y839" i="1"/>
  <c r="Y837" i="1"/>
  <c r="Y835" i="1"/>
  <c r="Y833" i="1"/>
  <c r="Y831" i="1"/>
  <c r="Y829" i="1"/>
  <c r="Y827" i="1"/>
  <c r="Y825" i="1"/>
  <c r="Y823" i="1"/>
  <c r="Y821" i="1"/>
  <c r="Y819" i="1"/>
  <c r="Y817" i="1"/>
  <c r="Y815" i="1"/>
  <c r="Y813" i="1"/>
  <c r="Y811" i="1"/>
  <c r="Y809" i="1"/>
  <c r="Y807" i="1"/>
  <c r="Y805" i="1"/>
  <c r="Y803" i="1"/>
  <c r="Y801" i="1"/>
  <c r="Y799" i="1"/>
  <c r="Y797" i="1"/>
  <c r="Y795" i="1"/>
  <c r="Y793" i="1"/>
  <c r="Y791" i="1"/>
  <c r="Y789" i="1"/>
  <c r="Y787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3" i="1"/>
  <c r="Y661" i="1"/>
  <c r="Y659" i="1"/>
  <c r="Y657" i="1"/>
  <c r="Y655" i="1"/>
  <c r="Y653" i="1"/>
  <c r="Y651" i="1"/>
  <c r="Y649" i="1"/>
  <c r="Y647" i="1"/>
  <c r="Y645" i="1"/>
  <c r="Y643" i="1"/>
  <c r="Y641" i="1"/>
  <c r="Y639" i="1"/>
  <c r="Y637" i="1"/>
  <c r="Y635" i="1"/>
  <c r="Y633" i="1"/>
  <c r="Y631" i="1"/>
  <c r="Y629" i="1"/>
  <c r="Y627" i="1"/>
  <c r="Y625" i="1"/>
  <c r="Y623" i="1"/>
  <c r="Y621" i="1"/>
  <c r="Y619" i="1"/>
  <c r="Y617" i="1"/>
  <c r="Y615" i="1"/>
  <c r="Y613" i="1"/>
  <c r="Y611" i="1"/>
  <c r="Y609" i="1"/>
  <c r="Y607" i="1"/>
  <c r="Y605" i="1"/>
  <c r="Z605" i="1" s="1"/>
  <c r="Y603" i="1"/>
  <c r="Y601" i="1"/>
  <c r="Y599" i="1"/>
  <c r="Y597" i="1"/>
  <c r="Z597" i="1" s="1"/>
  <c r="Y595" i="1"/>
  <c r="Z595" i="1" s="1"/>
  <c r="Y593" i="1"/>
  <c r="Y589" i="1"/>
  <c r="Z589" i="1" s="1"/>
  <c r="Y587" i="1"/>
  <c r="Z587" i="1" s="1"/>
  <c r="Y585" i="1"/>
  <c r="Z585" i="1" s="1"/>
  <c r="Y581" i="1"/>
  <c r="Z581" i="1" s="1"/>
  <c r="AA581" i="1" s="1"/>
  <c r="Y579" i="1"/>
  <c r="Z579" i="1" s="1"/>
  <c r="AA579" i="1" s="1"/>
  <c r="Y577" i="1"/>
  <c r="Y573" i="1"/>
  <c r="Z573" i="1" s="1"/>
  <c r="Y571" i="1"/>
  <c r="Y569" i="1"/>
  <c r="Z569" i="1" s="1"/>
  <c r="Y567" i="1"/>
  <c r="Z567" i="1" s="1"/>
  <c r="Y565" i="1"/>
  <c r="Y563" i="1"/>
  <c r="Y561" i="1"/>
  <c r="Z561" i="1" s="1"/>
  <c r="Y559" i="1"/>
  <c r="Z559" i="1" s="1"/>
  <c r="Y557" i="1"/>
  <c r="Y555" i="1"/>
  <c r="Z555" i="1" s="1"/>
  <c r="Y553" i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Z541" i="1" s="1"/>
  <c r="Y539" i="1"/>
  <c r="Y537" i="1"/>
  <c r="Y535" i="1"/>
  <c r="Z535" i="1" s="1"/>
  <c r="Y533" i="1"/>
  <c r="Y531" i="1"/>
  <c r="Y529" i="1"/>
  <c r="Z529" i="1" s="1"/>
  <c r="Y527" i="1"/>
  <c r="Z527" i="1" s="1"/>
  <c r="Y525" i="1"/>
  <c r="Z525" i="1" s="1"/>
  <c r="Y523" i="1"/>
  <c r="Z523" i="1" s="1"/>
  <c r="Y521" i="1"/>
  <c r="Y518" i="1"/>
  <c r="Z518" i="1" s="1"/>
  <c r="Y514" i="1"/>
  <c r="Z514" i="1" s="1"/>
  <c r="Y510" i="1"/>
  <c r="Z510" i="1" s="1"/>
  <c r="Y18" i="1"/>
  <c r="Z18" i="1" s="1"/>
  <c r="A3" i="1"/>
  <c r="AC211" i="1" l="1"/>
  <c r="AC243" i="1"/>
  <c r="AC339" i="1"/>
  <c r="AC387" i="1"/>
  <c r="AC399" i="1"/>
  <c r="AC476" i="1"/>
  <c r="AC500" i="1"/>
  <c r="AA532" i="1"/>
  <c r="AB532" i="1" s="1"/>
  <c r="AC532" i="1" s="1"/>
  <c r="AA538" i="1"/>
  <c r="AB538" i="1" s="1"/>
  <c r="AC538" i="1" s="1"/>
  <c r="Y628" i="1"/>
  <c r="Y736" i="1"/>
  <c r="Y804" i="1"/>
  <c r="Y810" i="1"/>
  <c r="Y844" i="1"/>
  <c r="Y890" i="1"/>
  <c r="Y898" i="1"/>
  <c r="Y30" i="1"/>
  <c r="AC628" i="1"/>
  <c r="AC736" i="1"/>
  <c r="AC810" i="1"/>
  <c r="AC890" i="1"/>
  <c r="AN40" i="1"/>
  <c r="AN58" i="1"/>
  <c r="AN77" i="1"/>
  <c r="AN95" i="1"/>
  <c r="AN114" i="1"/>
  <c r="AO25" i="1"/>
  <c r="AN124" i="1"/>
  <c r="AN142" i="1"/>
  <c r="AO153" i="1"/>
  <c r="AO161" i="1"/>
  <c r="AO171" i="1"/>
  <c r="AO179" i="1"/>
  <c r="AO189" i="1"/>
  <c r="AO199" i="1"/>
  <c r="AO209" i="1"/>
  <c r="AO245" i="1"/>
  <c r="AO257" i="1"/>
  <c r="AO267" i="1"/>
  <c r="AO277" i="1"/>
  <c r="AO285" i="1"/>
  <c r="AO293" i="1"/>
  <c r="AO305" i="1"/>
  <c r="AO313" i="1"/>
  <c r="AO321" i="1"/>
  <c r="AA500" i="1"/>
  <c r="AA616" i="1"/>
  <c r="AA696" i="1"/>
  <c r="AB639" i="1"/>
  <c r="AB754" i="1"/>
  <c r="AB834" i="1"/>
  <c r="AA163" i="1"/>
  <c r="AA211" i="1"/>
  <c r="AA227" i="1"/>
  <c r="AA399" i="1"/>
  <c r="AA660" i="1"/>
  <c r="AA672" i="1"/>
  <c r="AA730" i="1"/>
  <c r="AA762" i="1"/>
  <c r="AA778" i="1"/>
  <c r="AO355" i="1"/>
  <c r="Y583" i="1"/>
  <c r="AC105" i="1"/>
  <c r="Y163" i="1"/>
  <c r="Y211" i="1"/>
  <c r="Y227" i="1"/>
  <c r="Y243" i="1"/>
  <c r="Y299" i="1"/>
  <c r="Y339" i="1"/>
  <c r="Y351" i="1"/>
  <c r="Y395" i="1"/>
  <c r="Y440" i="1"/>
  <c r="Y476" i="1"/>
  <c r="Y492" i="1"/>
  <c r="AA564" i="1"/>
  <c r="AC762" i="1"/>
  <c r="AC778" i="1"/>
  <c r="AC914" i="1"/>
  <c r="Y616" i="1"/>
  <c r="Y620" i="1"/>
  <c r="Y634" i="1"/>
  <c r="Y660" i="1"/>
  <c r="Y672" i="1"/>
  <c r="Y690" i="1"/>
  <c r="Y696" i="1"/>
  <c r="Y724" i="1"/>
  <c r="Y740" i="1"/>
  <c r="Y754" i="1"/>
  <c r="Y768" i="1"/>
  <c r="Y796" i="1"/>
  <c r="Y820" i="1"/>
  <c r="Y826" i="1"/>
  <c r="Y834" i="1"/>
  <c r="Y840" i="1"/>
  <c r="Y848" i="1"/>
  <c r="Y878" i="1"/>
  <c r="AC583" i="1"/>
  <c r="AC623" i="1"/>
  <c r="AC643" i="1"/>
  <c r="AC647" i="1"/>
  <c r="AC651" i="1"/>
  <c r="AC655" i="1"/>
  <c r="AC659" i="1"/>
  <c r="AC663" i="1"/>
  <c r="AC667" i="1"/>
  <c r="AC671" i="1"/>
  <c r="AC675" i="1"/>
  <c r="AC679" i="1"/>
  <c r="AC683" i="1"/>
  <c r="AC687" i="1"/>
  <c r="AC691" i="1"/>
  <c r="AC695" i="1"/>
  <c r="AC699" i="1"/>
  <c r="AC703" i="1"/>
  <c r="AC707" i="1"/>
  <c r="AC711" i="1"/>
  <c r="AC715" i="1"/>
  <c r="AC719" i="1"/>
  <c r="AC723" i="1"/>
  <c r="AC727" i="1"/>
  <c r="AC731" i="1"/>
  <c r="AC735" i="1"/>
  <c r="AC739" i="1"/>
  <c r="AC743" i="1"/>
  <c r="AC747" i="1"/>
  <c r="AC751" i="1"/>
  <c r="AC755" i="1"/>
  <c r="AC759" i="1"/>
  <c r="AC763" i="1"/>
  <c r="AC767" i="1"/>
  <c r="AC771" i="1"/>
  <c r="AC775" i="1"/>
  <c r="AC779" i="1"/>
  <c r="AC783" i="1"/>
  <c r="AC787" i="1"/>
  <c r="AC791" i="1"/>
  <c r="AC795" i="1"/>
  <c r="AC799" i="1"/>
  <c r="AC803" i="1"/>
  <c r="AC807" i="1"/>
  <c r="AC811" i="1"/>
  <c r="AC815" i="1"/>
  <c r="AC819" i="1"/>
  <c r="AC823" i="1"/>
  <c r="AC827" i="1"/>
  <c r="AC831" i="1"/>
  <c r="AC835" i="1"/>
  <c r="AC839" i="1"/>
  <c r="AC843" i="1"/>
  <c r="AC847" i="1"/>
  <c r="AC851" i="1"/>
  <c r="AC855" i="1"/>
  <c r="AC859" i="1"/>
  <c r="AC863" i="1"/>
  <c r="AC867" i="1"/>
  <c r="AC871" i="1"/>
  <c r="AC875" i="1"/>
  <c r="AC879" i="1"/>
  <c r="AC883" i="1"/>
  <c r="AC887" i="1"/>
  <c r="AC891" i="1"/>
  <c r="AC895" i="1"/>
  <c r="AC899" i="1"/>
  <c r="AC903" i="1"/>
  <c r="AC907" i="1"/>
  <c r="AC911" i="1"/>
  <c r="AC915" i="1"/>
  <c r="AC919" i="1"/>
  <c r="AC620" i="1"/>
  <c r="AC690" i="1"/>
  <c r="AC724" i="1"/>
  <c r="AC740" i="1"/>
  <c r="AC768" i="1"/>
  <c r="AC796" i="1"/>
  <c r="AC826" i="1"/>
  <c r="AC878" i="1"/>
  <c r="AN46" i="1"/>
  <c r="AN54" i="1"/>
  <c r="AN63" i="1"/>
  <c r="AN71" i="1"/>
  <c r="AN81" i="1"/>
  <c r="AN91" i="1"/>
  <c r="AN100" i="1"/>
  <c r="AN110" i="1"/>
  <c r="AN118" i="1"/>
  <c r="AN391" i="1"/>
  <c r="AN403" i="1"/>
  <c r="AN407" i="1"/>
  <c r="AN411" i="1"/>
  <c r="AN415" i="1"/>
  <c r="AN423" i="1"/>
  <c r="AN427" i="1"/>
  <c r="AN448" i="1"/>
  <c r="AN31" i="1"/>
  <c r="AN130" i="1"/>
  <c r="AB910" i="1"/>
  <c r="AA243" i="1"/>
  <c r="AA683" i="1"/>
  <c r="AA687" i="1"/>
  <c r="AA691" i="1"/>
  <c r="AA695" i="1"/>
  <c r="AA699" i="1"/>
  <c r="AA703" i="1"/>
  <c r="AA707" i="1"/>
  <c r="AA711" i="1"/>
  <c r="AA715" i="1"/>
  <c r="AA719" i="1"/>
  <c r="AA723" i="1"/>
  <c r="AA727" i="1"/>
  <c r="AA731" i="1"/>
  <c r="AA735" i="1"/>
  <c r="AA739" i="1"/>
  <c r="AA743" i="1"/>
  <c r="AA747" i="1"/>
  <c r="AA307" i="1"/>
  <c r="AB307" i="1" s="1"/>
  <c r="AC307" i="1" s="1"/>
  <c r="AB138" i="1"/>
  <c r="AB163" i="1"/>
  <c r="AB187" i="1"/>
  <c r="AB211" i="1"/>
  <c r="AB219" i="1"/>
  <c r="AB227" i="1"/>
  <c r="AB231" i="1"/>
  <c r="AB243" i="1"/>
  <c r="AA297" i="1"/>
  <c r="AB299" i="1"/>
  <c r="AB331" i="1"/>
  <c r="AB339" i="1"/>
  <c r="AB343" i="1"/>
  <c r="AB351" i="1"/>
  <c r="AB371" i="1"/>
  <c r="Z393" i="1"/>
  <c r="AB393" i="1"/>
  <c r="Z397" i="1"/>
  <c r="AB397" i="1"/>
  <c r="Z421" i="1"/>
  <c r="AB421" i="1"/>
  <c r="Z452" i="1"/>
  <c r="AB452" i="1"/>
  <c r="Z480" i="1"/>
  <c r="AB480" i="1"/>
  <c r="Z498" i="1"/>
  <c r="AB498" i="1"/>
  <c r="Z522" i="1"/>
  <c r="Y522" i="1"/>
  <c r="Z546" i="1"/>
  <c r="AA546" i="1"/>
  <c r="Z618" i="1"/>
  <c r="AB618" i="1"/>
  <c r="Z626" i="1"/>
  <c r="AB626" i="1"/>
  <c r="Z632" i="1"/>
  <c r="AB632" i="1"/>
  <c r="Z642" i="1"/>
  <c r="AB642" i="1"/>
  <c r="Z648" i="1"/>
  <c r="AB648" i="1"/>
  <c r="Z658" i="1"/>
  <c r="AB658" i="1"/>
  <c r="Z664" i="1"/>
  <c r="AB664" i="1"/>
  <c r="Z682" i="1"/>
  <c r="AB682" i="1"/>
  <c r="Z692" i="1"/>
  <c r="AB692" i="1"/>
  <c r="Z698" i="1"/>
  <c r="Y698" i="1"/>
  <c r="Z706" i="1"/>
  <c r="AA706" i="1"/>
  <c r="Z722" i="1"/>
  <c r="AA722" i="1"/>
  <c r="Z728" i="1"/>
  <c r="AB728" i="1"/>
  <c r="Z732" i="1"/>
  <c r="AB732" i="1"/>
  <c r="Z738" i="1"/>
  <c r="Y738" i="1"/>
  <c r="Z746" i="1"/>
  <c r="AA746" i="1"/>
  <c r="Z760" i="1"/>
  <c r="AB760" i="1"/>
  <c r="Z764" i="1"/>
  <c r="AB764" i="1"/>
  <c r="Z770" i="1"/>
  <c r="Y770" i="1"/>
  <c r="Z776" i="1"/>
  <c r="AB776" i="1"/>
  <c r="Z780" i="1"/>
  <c r="AB780" i="1"/>
  <c r="Z794" i="1"/>
  <c r="AA794" i="1"/>
  <c r="Z802" i="1"/>
  <c r="AA802" i="1"/>
  <c r="Z808" i="1"/>
  <c r="AB808" i="1"/>
  <c r="Z818" i="1"/>
  <c r="AA818" i="1"/>
  <c r="Z824" i="1"/>
  <c r="AB824" i="1"/>
  <c r="Z830" i="1"/>
  <c r="AB830" i="1"/>
  <c r="Z836" i="1"/>
  <c r="AB836" i="1"/>
  <c r="Z842" i="1"/>
  <c r="Y842" i="1"/>
  <c r="Z846" i="1"/>
  <c r="Y846" i="1"/>
  <c r="Z850" i="1"/>
  <c r="AA850" i="1"/>
  <c r="Z862" i="1"/>
  <c r="AB862" i="1"/>
  <c r="Z874" i="1"/>
  <c r="AA874" i="1"/>
  <c r="Z882" i="1"/>
  <c r="AA882" i="1"/>
  <c r="Z894" i="1"/>
  <c r="AB894" i="1"/>
  <c r="Z906" i="1"/>
  <c r="AA906" i="1"/>
  <c r="Z912" i="1"/>
  <c r="AB912" i="1"/>
  <c r="Z12" i="1"/>
  <c r="AB12" i="1"/>
  <c r="Z64" i="1"/>
  <c r="AB64" i="1"/>
  <c r="Z113" i="1"/>
  <c r="AB113" i="1"/>
  <c r="Z615" i="1"/>
  <c r="AA615" i="1"/>
  <c r="Z631" i="1"/>
  <c r="AA631" i="1"/>
  <c r="Z641" i="1"/>
  <c r="AB641" i="1"/>
  <c r="Z645" i="1"/>
  <c r="AB645" i="1"/>
  <c r="Z649" i="1"/>
  <c r="AB649" i="1"/>
  <c r="Z653" i="1"/>
  <c r="AB653" i="1"/>
  <c r="Z657" i="1"/>
  <c r="AB657" i="1"/>
  <c r="Z661" i="1"/>
  <c r="AB661" i="1"/>
  <c r="Z665" i="1"/>
  <c r="AB665" i="1"/>
  <c r="Z669" i="1"/>
  <c r="AB669" i="1"/>
  <c r="Z673" i="1"/>
  <c r="AB673" i="1"/>
  <c r="Z677" i="1"/>
  <c r="AB677" i="1"/>
  <c r="Z611" i="1"/>
  <c r="AA611" i="1" s="1"/>
  <c r="AB611" i="1" s="1"/>
  <c r="AC611" i="1" s="1"/>
  <c r="Z387" i="1"/>
  <c r="AB387" i="1"/>
  <c r="Z395" i="1"/>
  <c r="AB395" i="1"/>
  <c r="Z399" i="1"/>
  <c r="AB399" i="1"/>
  <c r="Z440" i="1"/>
  <c r="AB440" i="1"/>
  <c r="Z476" i="1"/>
  <c r="AB476" i="1"/>
  <c r="Z492" i="1"/>
  <c r="AB492" i="1"/>
  <c r="Z500" i="1"/>
  <c r="AB500" i="1"/>
  <c r="Z616" i="1"/>
  <c r="AB616" i="1"/>
  <c r="Z620" i="1"/>
  <c r="AB620" i="1"/>
  <c r="Z628" i="1"/>
  <c r="AB628" i="1"/>
  <c r="Z634" i="1"/>
  <c r="AB634" i="1"/>
  <c r="Z644" i="1"/>
  <c r="AB644" i="1"/>
  <c r="Z650" i="1"/>
  <c r="AB650" i="1"/>
  <c r="Z660" i="1"/>
  <c r="AB660" i="1"/>
  <c r="Z672" i="1"/>
  <c r="AB672" i="1"/>
  <c r="Z690" i="1"/>
  <c r="AB690" i="1"/>
  <c r="Z696" i="1"/>
  <c r="AB696" i="1"/>
  <c r="Z700" i="1"/>
  <c r="AB700" i="1"/>
  <c r="Z714" i="1"/>
  <c r="AA714" i="1"/>
  <c r="Z724" i="1"/>
  <c r="AB724" i="1"/>
  <c r="Z730" i="1"/>
  <c r="Y730" i="1"/>
  <c r="Z736" i="1"/>
  <c r="AB736" i="1"/>
  <c r="Z740" i="1"/>
  <c r="AB740" i="1"/>
  <c r="Z754" i="1"/>
  <c r="AA754" i="1"/>
  <c r="Z762" i="1"/>
  <c r="Y762" i="1"/>
  <c r="Z768" i="1"/>
  <c r="AB768" i="1"/>
  <c r="Z772" i="1"/>
  <c r="AB772" i="1"/>
  <c r="Z778" i="1"/>
  <c r="Y778" i="1"/>
  <c r="Z786" i="1"/>
  <c r="AA786" i="1"/>
  <c r="Z796" i="1"/>
  <c r="AB796" i="1"/>
  <c r="Z804" i="1"/>
  <c r="AB804" i="1"/>
  <c r="Z810" i="1"/>
  <c r="AA810" i="1"/>
  <c r="Z820" i="1"/>
  <c r="AB820" i="1"/>
  <c r="Z826" i="1"/>
  <c r="AA826" i="1"/>
  <c r="Z834" i="1"/>
  <c r="AA834" i="1"/>
  <c r="Z840" i="1"/>
  <c r="AB840" i="1"/>
  <c r="Z844" i="1"/>
  <c r="AB844" i="1"/>
  <c r="Z848" i="1"/>
  <c r="AB848" i="1"/>
  <c r="Z858" i="1"/>
  <c r="AA858" i="1"/>
  <c r="Z866" i="1"/>
  <c r="AA866" i="1"/>
  <c r="Z878" i="1"/>
  <c r="AB878" i="1"/>
  <c r="Z890" i="1"/>
  <c r="AA890" i="1"/>
  <c r="Z898" i="1"/>
  <c r="AA898" i="1"/>
  <c r="Z910" i="1"/>
  <c r="Y910" i="1"/>
  <c r="Z914" i="1"/>
  <c r="Y914" i="1"/>
  <c r="Z30" i="1"/>
  <c r="AB30" i="1"/>
  <c r="Z105" i="1"/>
  <c r="AB105" i="1"/>
  <c r="Z583" i="1"/>
  <c r="AA583" i="1"/>
  <c r="Z623" i="1"/>
  <c r="AA623" i="1"/>
  <c r="Z639" i="1"/>
  <c r="AA639" i="1"/>
  <c r="Z643" i="1"/>
  <c r="AB643" i="1"/>
  <c r="Z647" i="1"/>
  <c r="AB647" i="1"/>
  <c r="Z651" i="1"/>
  <c r="AB651" i="1"/>
  <c r="Z655" i="1"/>
  <c r="AB655" i="1"/>
  <c r="Z659" i="1"/>
  <c r="AB659" i="1"/>
  <c r="Z663" i="1"/>
  <c r="AB663" i="1"/>
  <c r="Z667" i="1"/>
  <c r="AB667" i="1"/>
  <c r="Z671" i="1"/>
  <c r="AB671" i="1"/>
  <c r="Z675" i="1"/>
  <c r="AB675" i="1"/>
  <c r="Z679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Z753" i="1"/>
  <c r="AB753" i="1"/>
  <c r="Z757" i="1"/>
  <c r="AB757" i="1"/>
  <c r="Z761" i="1"/>
  <c r="AB761" i="1"/>
  <c r="Z765" i="1"/>
  <c r="AB765" i="1"/>
  <c r="Z769" i="1"/>
  <c r="AB769" i="1"/>
  <c r="Z773" i="1"/>
  <c r="AB773" i="1"/>
  <c r="Z777" i="1"/>
  <c r="AB777" i="1"/>
  <c r="Z781" i="1"/>
  <c r="AB781" i="1"/>
  <c r="Z785" i="1"/>
  <c r="AB785" i="1"/>
  <c r="Z789" i="1"/>
  <c r="AB789" i="1"/>
  <c r="Z793" i="1"/>
  <c r="AB793" i="1"/>
  <c r="Z797" i="1"/>
  <c r="AB797" i="1"/>
  <c r="Z801" i="1"/>
  <c r="AB801" i="1"/>
  <c r="Z805" i="1"/>
  <c r="AB805" i="1"/>
  <c r="Z809" i="1"/>
  <c r="AB809" i="1"/>
  <c r="Z813" i="1"/>
  <c r="AB813" i="1"/>
  <c r="Z817" i="1"/>
  <c r="AB817" i="1"/>
  <c r="Z821" i="1"/>
  <c r="AB821" i="1"/>
  <c r="Z825" i="1"/>
  <c r="AB825" i="1"/>
  <c r="Z829" i="1"/>
  <c r="AB829" i="1"/>
  <c r="Z833" i="1"/>
  <c r="AB833" i="1"/>
  <c r="Z837" i="1"/>
  <c r="AB837" i="1"/>
  <c r="Z841" i="1"/>
  <c r="AB841" i="1"/>
  <c r="Z845" i="1"/>
  <c r="AB845" i="1"/>
  <c r="Z849" i="1"/>
  <c r="AB849" i="1"/>
  <c r="Z853" i="1"/>
  <c r="AB853" i="1"/>
  <c r="Z857" i="1"/>
  <c r="AB857" i="1"/>
  <c r="Z861" i="1"/>
  <c r="AB861" i="1"/>
  <c r="Z865" i="1"/>
  <c r="AB865" i="1"/>
  <c r="Z869" i="1"/>
  <c r="AB869" i="1"/>
  <c r="Z873" i="1"/>
  <c r="AB873" i="1"/>
  <c r="Z877" i="1"/>
  <c r="AB877" i="1"/>
  <c r="Z881" i="1"/>
  <c r="AB881" i="1"/>
  <c r="Z885" i="1"/>
  <c r="AB885" i="1"/>
  <c r="Z889" i="1"/>
  <c r="AB889" i="1"/>
  <c r="Z893" i="1"/>
  <c r="AB893" i="1"/>
  <c r="Z897" i="1"/>
  <c r="AB897" i="1"/>
  <c r="Z901" i="1"/>
  <c r="AB901" i="1"/>
  <c r="Z905" i="1"/>
  <c r="AB905" i="1"/>
  <c r="Z909" i="1"/>
  <c r="AB909" i="1"/>
  <c r="Z913" i="1"/>
  <c r="AB913" i="1"/>
  <c r="Z917" i="1"/>
  <c r="AB917" i="1"/>
  <c r="Z751" i="1"/>
  <c r="AB751" i="1"/>
  <c r="Z755" i="1"/>
  <c r="AB755" i="1"/>
  <c r="Z759" i="1"/>
  <c r="AB759" i="1"/>
  <c r="Z763" i="1"/>
  <c r="AB763" i="1"/>
  <c r="Z767" i="1"/>
  <c r="AB767" i="1"/>
  <c r="Z771" i="1"/>
  <c r="AB771" i="1"/>
  <c r="Z775" i="1"/>
  <c r="AB775" i="1"/>
  <c r="Z779" i="1"/>
  <c r="AB779" i="1"/>
  <c r="Z783" i="1"/>
  <c r="AB783" i="1"/>
  <c r="Z787" i="1"/>
  <c r="AB787" i="1"/>
  <c r="Z791" i="1"/>
  <c r="AB791" i="1"/>
  <c r="Z795" i="1"/>
  <c r="AB795" i="1"/>
  <c r="Z799" i="1"/>
  <c r="AB799" i="1"/>
  <c r="Z803" i="1"/>
  <c r="AB803" i="1"/>
  <c r="Z807" i="1"/>
  <c r="AB807" i="1"/>
  <c r="Z811" i="1"/>
  <c r="AB811" i="1"/>
  <c r="Z815" i="1"/>
  <c r="AB815" i="1"/>
  <c r="Z819" i="1"/>
  <c r="AB819" i="1"/>
  <c r="Z823" i="1"/>
  <c r="AB823" i="1"/>
  <c r="Z827" i="1"/>
  <c r="AB827" i="1"/>
  <c r="Z831" i="1"/>
  <c r="AB831" i="1"/>
  <c r="Z835" i="1"/>
  <c r="AB835" i="1"/>
  <c r="Z839" i="1"/>
  <c r="AB839" i="1"/>
  <c r="Z843" i="1"/>
  <c r="AB843" i="1"/>
  <c r="Z847" i="1"/>
  <c r="AB847" i="1"/>
  <c r="Z851" i="1"/>
  <c r="AB851" i="1"/>
  <c r="Z855" i="1"/>
  <c r="AB855" i="1"/>
  <c r="Z859" i="1"/>
  <c r="AB859" i="1"/>
  <c r="Z863" i="1"/>
  <c r="AB863" i="1"/>
  <c r="Z867" i="1"/>
  <c r="AB867" i="1"/>
  <c r="Z871" i="1"/>
  <c r="AB871" i="1"/>
  <c r="Z875" i="1"/>
  <c r="AB875" i="1"/>
  <c r="Z879" i="1"/>
  <c r="AB879" i="1"/>
  <c r="Z883" i="1"/>
  <c r="AB883" i="1"/>
  <c r="Z887" i="1"/>
  <c r="AB887" i="1"/>
  <c r="Z891" i="1"/>
  <c r="AB891" i="1"/>
  <c r="Z895" i="1"/>
  <c r="AB895" i="1"/>
  <c r="Z899" i="1"/>
  <c r="AB899" i="1"/>
  <c r="Z903" i="1"/>
  <c r="AB903" i="1"/>
  <c r="Z907" i="1"/>
  <c r="AB907" i="1"/>
  <c r="Z911" i="1"/>
  <c r="AB911" i="1"/>
  <c r="Z915" i="1"/>
  <c r="AB915" i="1"/>
  <c r="Z919" i="1"/>
  <c r="AB919" i="1"/>
  <c r="Z612" i="1"/>
  <c r="AA612" i="1" s="1"/>
  <c r="AB612" i="1" s="1"/>
  <c r="AC612" i="1" s="1"/>
  <c r="Y610" i="1"/>
  <c r="AO442" i="1"/>
  <c r="Z574" i="1"/>
  <c r="AA574" i="1" s="1"/>
  <c r="AB574" i="1" s="1"/>
  <c r="AC574" i="1" s="1"/>
  <c r="Z592" i="1"/>
  <c r="AA592" i="1" s="1"/>
  <c r="AB592" i="1" s="1"/>
  <c r="AC592" i="1" s="1"/>
  <c r="AA255" i="1"/>
  <c r="AA540" i="1"/>
  <c r="AB540" i="1" s="1"/>
  <c r="AC540" i="1" s="1"/>
  <c r="AA556" i="1"/>
  <c r="AB556" i="1" s="1"/>
  <c r="AC556" i="1" s="1"/>
  <c r="AA562" i="1"/>
  <c r="AB562" i="1" s="1"/>
  <c r="AC562" i="1" s="1"/>
  <c r="AA318" i="1"/>
  <c r="AO135" i="1"/>
  <c r="AN446" i="1"/>
  <c r="Z608" i="1"/>
  <c r="AA608" i="1" s="1"/>
  <c r="AB608" i="1" s="1"/>
  <c r="AC608" i="1" s="1"/>
  <c r="Z607" i="1"/>
  <c r="AA607" i="1" s="1"/>
  <c r="Z604" i="1"/>
  <c r="AA604" i="1" s="1"/>
  <c r="AA605" i="1"/>
  <c r="AB605" i="1" s="1"/>
  <c r="AC605" i="1" s="1"/>
  <c r="Y602" i="1"/>
  <c r="Z600" i="1"/>
  <c r="AA600" i="1" s="1"/>
  <c r="Z599" i="1"/>
  <c r="AA597" i="1"/>
  <c r="AB597" i="1" s="1"/>
  <c r="AC597" i="1" s="1"/>
  <c r="AA595" i="1"/>
  <c r="AB595" i="1" s="1"/>
  <c r="AC595" i="1" s="1"/>
  <c r="Z594" i="1"/>
  <c r="AA594" i="1" s="1"/>
  <c r="AB594" i="1" s="1"/>
  <c r="AC594" i="1" s="1"/>
  <c r="Y591" i="1"/>
  <c r="Z591" i="1" s="1"/>
  <c r="AA591" i="1" s="1"/>
  <c r="AA589" i="1"/>
  <c r="AB589" i="1" s="1"/>
  <c r="AC589" i="1" s="1"/>
  <c r="AA585" i="1"/>
  <c r="AB585" i="1" s="1"/>
  <c r="AC585" i="1" s="1"/>
  <c r="AA587" i="1"/>
  <c r="AB587" i="1" s="1"/>
  <c r="AC587" i="1" s="1"/>
  <c r="AA586" i="1"/>
  <c r="AB586" i="1" s="1"/>
  <c r="AC586" i="1" s="1"/>
  <c r="Z582" i="1"/>
  <c r="AA582" i="1" s="1"/>
  <c r="AB581" i="1"/>
  <c r="AC581" i="1" s="1"/>
  <c r="AA573" i="1"/>
  <c r="AB573" i="1" s="1"/>
  <c r="AC573" i="1" s="1"/>
  <c r="Z577" i="1"/>
  <c r="Y575" i="1"/>
  <c r="Z575" i="1" s="1"/>
  <c r="AA575" i="1" s="1"/>
  <c r="AA576" i="1"/>
  <c r="AB576" i="1" s="1"/>
  <c r="AC576" i="1" s="1"/>
  <c r="Y578" i="1"/>
  <c r="Z578" i="1" s="1"/>
  <c r="AA578" i="1" s="1"/>
  <c r="AB579" i="1"/>
  <c r="AC579" i="1" s="1"/>
  <c r="AB572" i="1"/>
  <c r="AC572" i="1" s="1"/>
  <c r="AA570" i="1"/>
  <c r="AB570" i="1" s="1"/>
  <c r="AC570" i="1" s="1"/>
  <c r="AA569" i="1"/>
  <c r="AB569" i="1" s="1"/>
  <c r="AC569" i="1" s="1"/>
  <c r="Z566" i="1"/>
  <c r="AA566" i="1" s="1"/>
  <c r="AB566" i="1" s="1"/>
  <c r="AC566" i="1" s="1"/>
  <c r="AA567" i="1"/>
  <c r="AB567" i="1" s="1"/>
  <c r="AC567" i="1" s="1"/>
  <c r="Z563" i="1"/>
  <c r="AA563" i="1" s="1"/>
  <c r="AB563" i="1" s="1"/>
  <c r="AC563" i="1" s="1"/>
  <c r="Z319" i="1"/>
  <c r="AA319" i="1" s="1"/>
  <c r="AB319" i="1" s="1"/>
  <c r="AC319" i="1" s="1"/>
  <c r="Z385" i="1"/>
  <c r="AA385" i="1" s="1"/>
  <c r="AB385" i="1" s="1"/>
  <c r="AC385" i="1" s="1"/>
  <c r="Z427" i="1"/>
  <c r="AA427" i="1" s="1"/>
  <c r="AB427" i="1" s="1"/>
  <c r="AC427" i="1" s="1"/>
  <c r="Z466" i="1"/>
  <c r="AA466" i="1" s="1"/>
  <c r="AB466" i="1" s="1"/>
  <c r="AC466" i="1" s="1"/>
  <c r="Z58" i="1"/>
  <c r="AA58" i="1" s="1"/>
  <c r="AB58" i="1" s="1"/>
  <c r="AC58" i="1" s="1"/>
  <c r="Z127" i="1"/>
  <c r="AA127" i="1" s="1"/>
  <c r="AB127" i="1" s="1"/>
  <c r="AC127" i="1" s="1"/>
  <c r="Z254" i="1"/>
  <c r="AA254" i="1" s="1"/>
  <c r="AB254" i="1" s="1"/>
  <c r="AC254" i="1" s="1"/>
  <c r="Z260" i="1"/>
  <c r="AA260" i="1" s="1"/>
  <c r="AB260" i="1" s="1"/>
  <c r="AC260" i="1" s="1"/>
  <c r="Z306" i="1"/>
  <c r="AA306" i="1" s="1"/>
  <c r="AB306" i="1" s="1"/>
  <c r="AC306" i="1" s="1"/>
  <c r="Z310" i="1"/>
  <c r="AA310" i="1" s="1"/>
  <c r="AB310" i="1" s="1"/>
  <c r="AC310" i="1" s="1"/>
  <c r="Z394" i="1"/>
  <c r="AA394" i="1" s="1"/>
  <c r="AB394" i="1" s="1"/>
  <c r="AC394" i="1" s="1"/>
  <c r="Z398" i="1"/>
  <c r="AA398" i="1" s="1"/>
  <c r="AB398" i="1" s="1"/>
  <c r="AC398" i="1" s="1"/>
  <c r="Z433" i="1"/>
  <c r="AA433" i="1" s="1"/>
  <c r="AB433" i="1" s="1"/>
  <c r="AC433" i="1" s="1"/>
  <c r="Z259" i="1"/>
  <c r="AA259" i="1" s="1"/>
  <c r="AB259" i="1" s="1"/>
  <c r="AC259" i="1" s="1"/>
  <c r="Z359" i="1"/>
  <c r="AA359" i="1" s="1"/>
  <c r="AB359" i="1" s="1"/>
  <c r="AC359" i="1" s="1"/>
  <c r="Z521" i="1"/>
  <c r="AA521" i="1" s="1"/>
  <c r="AB521" i="1" s="1"/>
  <c r="AC521" i="1" s="1"/>
  <c r="Z553" i="1"/>
  <c r="AA553" i="1" s="1"/>
  <c r="AB553" i="1" s="1"/>
  <c r="AC553" i="1" s="1"/>
  <c r="Z51" i="1"/>
  <c r="AA51" i="1" s="1"/>
  <c r="AB51" i="1" s="1"/>
  <c r="AC51" i="1" s="1"/>
  <c r="AA175" i="1"/>
  <c r="AB175" i="1" s="1"/>
  <c r="AC175" i="1" s="1"/>
  <c r="Z251" i="1"/>
  <c r="AA251" i="1" s="1"/>
  <c r="AB251" i="1" s="1"/>
  <c r="AC251" i="1" s="1"/>
  <c r="Z271" i="1"/>
  <c r="AA271" i="1" s="1"/>
  <c r="AB271" i="1" s="1"/>
  <c r="AC271" i="1" s="1"/>
  <c r="AA287" i="1"/>
  <c r="AB287" i="1" s="1"/>
  <c r="AC287" i="1" s="1"/>
  <c r="Z335" i="1"/>
  <c r="AA335" i="1" s="1"/>
  <c r="AB335" i="1" s="1"/>
  <c r="AC335" i="1" s="1"/>
  <c r="Z383" i="1"/>
  <c r="AA383" i="1" s="1"/>
  <c r="AB383" i="1" s="1"/>
  <c r="AC383" i="1" s="1"/>
  <c r="Z389" i="1"/>
  <c r="AA389" i="1" s="1"/>
  <c r="AB389" i="1" s="1"/>
  <c r="AC389" i="1" s="1"/>
  <c r="Z436" i="1"/>
  <c r="AA436" i="1" s="1"/>
  <c r="AB436" i="1" s="1"/>
  <c r="AC436" i="1" s="1"/>
  <c r="Z180" i="1"/>
  <c r="AA180" i="1" s="1"/>
  <c r="AB180" i="1" s="1"/>
  <c r="AC180" i="1" s="1"/>
  <c r="Z202" i="1"/>
  <c r="AA202" i="1" s="1"/>
  <c r="AB202" i="1" s="1"/>
  <c r="AC202" i="1" s="1"/>
  <c r="Z214" i="1"/>
  <c r="AA214" i="1" s="1"/>
  <c r="AB214" i="1" s="1"/>
  <c r="AC214" i="1" s="1"/>
  <c r="Z262" i="1"/>
  <c r="AA262" i="1" s="1"/>
  <c r="AB262" i="1" s="1"/>
  <c r="AC262" i="1" s="1"/>
  <c r="Z266" i="1"/>
  <c r="AA266" i="1" s="1"/>
  <c r="AB266" i="1" s="1"/>
  <c r="AC266" i="1" s="1"/>
  <c r="Z270" i="1"/>
  <c r="AA270" i="1" s="1"/>
  <c r="AB270" i="1" s="1"/>
  <c r="AC270" i="1" s="1"/>
  <c r="Z314" i="1"/>
  <c r="AA314" i="1" s="1"/>
  <c r="AB314" i="1" s="1"/>
  <c r="AC314" i="1" s="1"/>
  <c r="Z414" i="1"/>
  <c r="AA414" i="1" s="1"/>
  <c r="AB414" i="1" s="1"/>
  <c r="AC414" i="1" s="1"/>
  <c r="AA481" i="1"/>
  <c r="AB481" i="1" s="1"/>
  <c r="AC481" i="1" s="1"/>
  <c r="AB564" i="1"/>
  <c r="AC564" i="1" s="1"/>
  <c r="AA559" i="1"/>
  <c r="AA558" i="1"/>
  <c r="AB558" i="1" s="1"/>
  <c r="AC558" i="1" s="1"/>
  <c r="AA554" i="1"/>
  <c r="AB554" i="1" s="1"/>
  <c r="AC554" i="1" s="1"/>
  <c r="AA551" i="1"/>
  <c r="AA549" i="1"/>
  <c r="AB549" i="1" s="1"/>
  <c r="AC549" i="1" s="1"/>
  <c r="AA545" i="1"/>
  <c r="AB545" i="1" s="1"/>
  <c r="AC545" i="1" s="1"/>
  <c r="AA534" i="1"/>
  <c r="AB534" i="1" s="1"/>
  <c r="AC534" i="1" s="1"/>
  <c r="AA530" i="1"/>
  <c r="AB530" i="1" s="1"/>
  <c r="AC530" i="1" s="1"/>
  <c r="AA529" i="1"/>
  <c r="AA528" i="1"/>
  <c r="AB528" i="1" s="1"/>
  <c r="AC528" i="1" s="1"/>
  <c r="AA526" i="1"/>
  <c r="AB526" i="1" s="1"/>
  <c r="AC526" i="1" s="1"/>
  <c r="AA525" i="1"/>
  <c r="AA524" i="1"/>
  <c r="AB520" i="1"/>
  <c r="AC520" i="1" s="1"/>
  <c r="AA519" i="1"/>
  <c r="AB519" i="1" s="1"/>
  <c r="AC519" i="1" s="1"/>
  <c r="AA470" i="1"/>
  <c r="AB470" i="1" s="1"/>
  <c r="AC470" i="1" s="1"/>
  <c r="AA504" i="1"/>
  <c r="AB504" i="1" s="1"/>
  <c r="AC504" i="1" s="1"/>
  <c r="AA439" i="1"/>
  <c r="AB439" i="1" s="1"/>
  <c r="AC439" i="1" s="1"/>
  <c r="AA441" i="1"/>
  <c r="AB441" i="1" s="1"/>
  <c r="AC441" i="1" s="1"/>
  <c r="AA449" i="1"/>
  <c r="AB449" i="1" s="1"/>
  <c r="AC449" i="1" s="1"/>
  <c r="AA465" i="1"/>
  <c r="AA485" i="1"/>
  <c r="AA499" i="1"/>
  <c r="AB499" i="1" s="1"/>
  <c r="AC499" i="1" s="1"/>
  <c r="AA510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AA502" i="1"/>
  <c r="AA497" i="1"/>
  <c r="AA496" i="1"/>
  <c r="AB496" i="1" s="1"/>
  <c r="AC496" i="1" s="1"/>
  <c r="AA493" i="1"/>
  <c r="AB493" i="1" s="1"/>
  <c r="AC493" i="1" s="1"/>
  <c r="AA494" i="1"/>
  <c r="AA490" i="1"/>
  <c r="AB490" i="1" s="1"/>
  <c r="AC490" i="1" s="1"/>
  <c r="AA488" i="1"/>
  <c r="AB488" i="1" s="1"/>
  <c r="AC488" i="1" s="1"/>
  <c r="AA482" i="1"/>
  <c r="AA479" i="1"/>
  <c r="AA477" i="1"/>
  <c r="AB477" i="1" s="1"/>
  <c r="AC477" i="1" s="1"/>
  <c r="AA474" i="1"/>
  <c r="AA472" i="1"/>
  <c r="AB472" i="1" s="1"/>
  <c r="AC472" i="1" s="1"/>
  <c r="AA464" i="1"/>
  <c r="AA460" i="1"/>
  <c r="AB460" i="1" s="1"/>
  <c r="AA458" i="1"/>
  <c r="AB458" i="1" s="1"/>
  <c r="AA459" i="1"/>
  <c r="AB459" i="1" s="1"/>
  <c r="AA462" i="1"/>
  <c r="AB462" i="1" s="1"/>
  <c r="AA456" i="1"/>
  <c r="AB456" i="1" s="1"/>
  <c r="AA455" i="1"/>
  <c r="AB455" i="1" s="1"/>
  <c r="AA454" i="1"/>
  <c r="AB454" i="1" s="1"/>
  <c r="AA448" i="1"/>
  <c r="AB448" i="1" s="1"/>
  <c r="AC448" i="1" s="1"/>
  <c r="AA446" i="1"/>
  <c r="AO450" i="1"/>
  <c r="AA443" i="1"/>
  <c r="AB443" i="1" s="1"/>
  <c r="AC443" i="1" s="1"/>
  <c r="AA447" i="1"/>
  <c r="AA451" i="1"/>
  <c r="AB451" i="1" s="1"/>
  <c r="AC451" i="1" s="1"/>
  <c r="AA444" i="1"/>
  <c r="AB444" i="1" s="1"/>
  <c r="AC444" i="1" s="1"/>
  <c r="AB446" i="1"/>
  <c r="AC446" i="1" s="1"/>
  <c r="AA438" i="1"/>
  <c r="AB438" i="1" s="1"/>
  <c r="AC438" i="1" s="1"/>
  <c r="AA434" i="1"/>
  <c r="AA435" i="1"/>
  <c r="AB435" i="1" s="1"/>
  <c r="AC435" i="1" s="1"/>
  <c r="AA199" i="1"/>
  <c r="AA181" i="1"/>
  <c r="AA205" i="1"/>
  <c r="AB205" i="1" s="1"/>
  <c r="AC205" i="1" s="1"/>
  <c r="AA293" i="1"/>
  <c r="AA311" i="1"/>
  <c r="AA375" i="1"/>
  <c r="AA185" i="1"/>
  <c r="AB185" i="1" s="1"/>
  <c r="AC185" i="1" s="1"/>
  <c r="AA245" i="1"/>
  <c r="AB245" i="1" s="1"/>
  <c r="AC245" i="1" s="1"/>
  <c r="AA267" i="1"/>
  <c r="AA289" i="1"/>
  <c r="AA323" i="1"/>
  <c r="AB323" i="1" s="1"/>
  <c r="AC323" i="1" s="1"/>
  <c r="AA367" i="1"/>
  <c r="AB367" i="1" s="1"/>
  <c r="AC367" i="1" s="1"/>
  <c r="AA407" i="1"/>
  <c r="AB407" i="1" s="1"/>
  <c r="AC407" i="1" s="1"/>
  <c r="AA170" i="1"/>
  <c r="AB170" i="1" s="1"/>
  <c r="AC170" i="1" s="1"/>
  <c r="AA186" i="1"/>
  <c r="AB186" i="1" s="1"/>
  <c r="AC186" i="1" s="1"/>
  <c r="AA200" i="1"/>
  <c r="AA218" i="1"/>
  <c r="AB218" i="1" s="1"/>
  <c r="AC218" i="1" s="1"/>
  <c r="AA238" i="1"/>
  <c r="AA296" i="1"/>
  <c r="AB296" i="1" s="1"/>
  <c r="AC296" i="1" s="1"/>
  <c r="AA330" i="1"/>
  <c r="AB330" i="1" s="1"/>
  <c r="AC330" i="1" s="1"/>
  <c r="AA338" i="1"/>
  <c r="AB338" i="1" s="1"/>
  <c r="AC338" i="1" s="1"/>
  <c r="AA350" i="1"/>
  <c r="AA364" i="1"/>
  <c r="AB364" i="1" s="1"/>
  <c r="AC364" i="1" s="1"/>
  <c r="AA378" i="1"/>
  <c r="AA388" i="1"/>
  <c r="AB388" i="1" s="1"/>
  <c r="AC388" i="1" s="1"/>
  <c r="AA400" i="1"/>
  <c r="AB400" i="1" s="1"/>
  <c r="AC400" i="1" s="1"/>
  <c r="AA426" i="1"/>
  <c r="AB426" i="1" s="1"/>
  <c r="AC426" i="1" s="1"/>
  <c r="AA415" i="1"/>
  <c r="AB415" i="1" s="1"/>
  <c r="AC415" i="1" s="1"/>
  <c r="AA166" i="1"/>
  <c r="AB166" i="1" s="1"/>
  <c r="AC166" i="1" s="1"/>
  <c r="AA196" i="1"/>
  <c r="AB196" i="1" s="1"/>
  <c r="AC196" i="1" s="1"/>
  <c r="AA210" i="1"/>
  <c r="AB210" i="1" s="1"/>
  <c r="AC210" i="1" s="1"/>
  <c r="AA212" i="1"/>
  <c r="AB212" i="1" s="1"/>
  <c r="AC212" i="1" s="1"/>
  <c r="AA234" i="1"/>
  <c r="AB234" i="1" s="1"/>
  <c r="AC234" i="1" s="1"/>
  <c r="AA242" i="1"/>
  <c r="AB242" i="1" s="1"/>
  <c r="AC242" i="1" s="1"/>
  <c r="AA248" i="1"/>
  <c r="AB248" i="1" s="1"/>
  <c r="AC248" i="1" s="1"/>
  <c r="AA326" i="1"/>
  <c r="AB326" i="1" s="1"/>
  <c r="AC326" i="1" s="1"/>
  <c r="AA334" i="1"/>
  <c r="AA354" i="1"/>
  <c r="AB354" i="1" s="1"/>
  <c r="AC354" i="1" s="1"/>
  <c r="AA360" i="1"/>
  <c r="AB360" i="1" s="1"/>
  <c r="AC360" i="1" s="1"/>
  <c r="AA368" i="1"/>
  <c r="AB368" i="1" s="1"/>
  <c r="AC368" i="1" s="1"/>
  <c r="AA374" i="1"/>
  <c r="AB374" i="1" s="1"/>
  <c r="AC374" i="1" s="1"/>
  <c r="AB378" i="1"/>
  <c r="AC378" i="1" s="1"/>
  <c r="AA404" i="1"/>
  <c r="AB404" i="1" s="1"/>
  <c r="AC404" i="1" s="1"/>
  <c r="AA420" i="1"/>
  <c r="AB420" i="1" s="1"/>
  <c r="AC420" i="1" s="1"/>
  <c r="AA422" i="1"/>
  <c r="AB422" i="1" s="1"/>
  <c r="AC422" i="1" s="1"/>
  <c r="AA430" i="1"/>
  <c r="AA424" i="1"/>
  <c r="AA428" i="1"/>
  <c r="AA423" i="1"/>
  <c r="AB423" i="1" s="1"/>
  <c r="AC423" i="1" s="1"/>
  <c r="AA419" i="1"/>
  <c r="AB419" i="1" s="1"/>
  <c r="AC419" i="1" s="1"/>
  <c r="AA418" i="1"/>
  <c r="AA416" i="1"/>
  <c r="AB416" i="1" s="1"/>
  <c r="AC416" i="1" s="1"/>
  <c r="AA413" i="1"/>
  <c r="AA409" i="1"/>
  <c r="AB409" i="1" s="1"/>
  <c r="AC409" i="1" s="1"/>
  <c r="AA403" i="1"/>
  <c r="AB403" i="1" s="1"/>
  <c r="AC403" i="1" s="1"/>
  <c r="AA406" i="1"/>
  <c r="AA401" i="1"/>
  <c r="AA392" i="1"/>
  <c r="AA386" i="1"/>
  <c r="AA373" i="1"/>
  <c r="AA381" i="1"/>
  <c r="AB381" i="1" s="1"/>
  <c r="AC381" i="1" s="1"/>
  <c r="AA379" i="1"/>
  <c r="AB379" i="1" s="1"/>
  <c r="AC379" i="1" s="1"/>
  <c r="AA377" i="1"/>
  <c r="AA376" i="1"/>
  <c r="AA363" i="1"/>
  <c r="AB363" i="1" s="1"/>
  <c r="AC363" i="1" s="1"/>
  <c r="AA362" i="1"/>
  <c r="AA370" i="1"/>
  <c r="AA361" i="1"/>
  <c r="AA347" i="1"/>
  <c r="AA348" i="1"/>
  <c r="AB348" i="1" s="1"/>
  <c r="AC348" i="1" s="1"/>
  <c r="AA352" i="1"/>
  <c r="AB352" i="1" s="1"/>
  <c r="AC352" i="1" s="1"/>
  <c r="AA356" i="1"/>
  <c r="AB356" i="1" s="1"/>
  <c r="AC356" i="1" s="1"/>
  <c r="AA349" i="1"/>
  <c r="AB349" i="1" s="1"/>
  <c r="AC349" i="1" s="1"/>
  <c r="AA357" i="1"/>
  <c r="AB357" i="1" s="1"/>
  <c r="AC357" i="1" s="1"/>
  <c r="AB350" i="1"/>
  <c r="AC350" i="1" s="1"/>
  <c r="AA355" i="1"/>
  <c r="AA353" i="1"/>
  <c r="AB353" i="1" s="1"/>
  <c r="AC353" i="1" s="1"/>
  <c r="AA344" i="1"/>
  <c r="AA345" i="1"/>
  <c r="AB345" i="1" s="1"/>
  <c r="AC345" i="1" s="1"/>
  <c r="AA340" i="1"/>
  <c r="AB340" i="1" s="1"/>
  <c r="AC340" i="1" s="1"/>
  <c r="AA342" i="1"/>
  <c r="AA341" i="1"/>
  <c r="AB341" i="1" s="1"/>
  <c r="AC341" i="1" s="1"/>
  <c r="AB334" i="1"/>
  <c r="AC334" i="1" s="1"/>
  <c r="AA333" i="1"/>
  <c r="AB333" i="1" s="1"/>
  <c r="AC333" i="1" s="1"/>
  <c r="AA336" i="1"/>
  <c r="AA332" i="1"/>
  <c r="AB332" i="1" s="1"/>
  <c r="AC332" i="1" s="1"/>
  <c r="AA327" i="1"/>
  <c r="AB327" i="1" s="1"/>
  <c r="AC327" i="1" s="1"/>
  <c r="AA324" i="1"/>
  <c r="AA328" i="1"/>
  <c r="AA329" i="1"/>
  <c r="AB318" i="1"/>
  <c r="AC318" i="1" s="1"/>
  <c r="AA315" i="1"/>
  <c r="AB315" i="1" s="1"/>
  <c r="AC315" i="1" s="1"/>
  <c r="AA320" i="1"/>
  <c r="AB320" i="1" s="1"/>
  <c r="AC320" i="1" s="1"/>
  <c r="AA313" i="1"/>
  <c r="AA317" i="1"/>
  <c r="AA316" i="1"/>
  <c r="AA308" i="1"/>
  <c r="AA173" i="1"/>
  <c r="AB173" i="1" s="1"/>
  <c r="AC173" i="1" s="1"/>
  <c r="AA300" i="1"/>
  <c r="AB300" i="1" s="1"/>
  <c r="AC300" i="1" s="1"/>
  <c r="AA301" i="1"/>
  <c r="AB301" i="1" s="1"/>
  <c r="AC301" i="1" s="1"/>
  <c r="AA298" i="1"/>
  <c r="AA291" i="1"/>
  <c r="AB291" i="1" s="1"/>
  <c r="AC291" i="1" s="1"/>
  <c r="AA290" i="1"/>
  <c r="AB290" i="1" s="1"/>
  <c r="AC290" i="1" s="1"/>
  <c r="AA294" i="1"/>
  <c r="AB289" i="1"/>
  <c r="AC289" i="1" s="1"/>
  <c r="AA279" i="1"/>
  <c r="AB279" i="1" s="1"/>
  <c r="AC279" i="1" s="1"/>
  <c r="AA283" i="1"/>
  <c r="AA284" i="1"/>
  <c r="AA275" i="1"/>
  <c r="AA277" i="1"/>
  <c r="AB277" i="1" s="1"/>
  <c r="AC277" i="1" s="1"/>
  <c r="AA281" i="1"/>
  <c r="AB281" i="1" s="1"/>
  <c r="AC281" i="1" s="1"/>
  <c r="AA285" i="1"/>
  <c r="AB285" i="1" s="1"/>
  <c r="AC285" i="1" s="1"/>
  <c r="AA274" i="1"/>
  <c r="AB274" i="1" s="1"/>
  <c r="AC274" i="1" s="1"/>
  <c r="AA276" i="1"/>
  <c r="AA278" i="1"/>
  <c r="AB278" i="1" s="1"/>
  <c r="AC278" i="1" s="1"/>
  <c r="AA282" i="1"/>
  <c r="AB282" i="1" s="1"/>
  <c r="AC282" i="1" s="1"/>
  <c r="AB267" i="1"/>
  <c r="AC267" i="1" s="1"/>
  <c r="AA265" i="1"/>
  <c r="AA272" i="1"/>
  <c r="AA263" i="1"/>
  <c r="AB263" i="1" s="1"/>
  <c r="AC263" i="1" s="1"/>
  <c r="AB255" i="1"/>
  <c r="AC255" i="1" s="1"/>
  <c r="AA253" i="1"/>
  <c r="AA247" i="1"/>
  <c r="AB247" i="1" s="1"/>
  <c r="AC247" i="1" s="1"/>
  <c r="AA249" i="1"/>
  <c r="AA250" i="1"/>
  <c r="AA244" i="1"/>
  <c r="AB244" i="1" s="1"/>
  <c r="AC244" i="1" s="1"/>
  <c r="AA235" i="1"/>
  <c r="AB235" i="1" s="1"/>
  <c r="AC235" i="1" s="1"/>
  <c r="AA239" i="1"/>
  <c r="AA232" i="1"/>
  <c r="AB232" i="1" s="1"/>
  <c r="AC232" i="1" s="1"/>
  <c r="AA240" i="1"/>
  <c r="AB240" i="1" s="1"/>
  <c r="AC240" i="1" s="1"/>
  <c r="AA233" i="1"/>
  <c r="AB233" i="1" s="1"/>
  <c r="AC233" i="1" s="1"/>
  <c r="AA237" i="1"/>
  <c r="AB237" i="1" s="1"/>
  <c r="AC237" i="1" s="1"/>
  <c r="AA241" i="1"/>
  <c r="AB241" i="1" s="1"/>
  <c r="AC241" i="1" s="1"/>
  <c r="AB238" i="1"/>
  <c r="AC238" i="1" s="1"/>
  <c r="AA230" i="1"/>
  <c r="AB230" i="1" s="1"/>
  <c r="AC230" i="1" s="1"/>
  <c r="AA228" i="1"/>
  <c r="AA229" i="1"/>
  <c r="AA220" i="1"/>
  <c r="AA224" i="1"/>
  <c r="AA221" i="1"/>
  <c r="AA225" i="1"/>
  <c r="AA223" i="1"/>
  <c r="AB223" i="1" s="1"/>
  <c r="AC223" i="1" s="1"/>
  <c r="AA222" i="1"/>
  <c r="AB222" i="1" s="1"/>
  <c r="AC222" i="1" s="1"/>
  <c r="AA226" i="1"/>
  <c r="AB226" i="1" s="1"/>
  <c r="AC226" i="1" s="1"/>
  <c r="AA217" i="1"/>
  <c r="AA213" i="1"/>
  <c r="AA215" i="1"/>
  <c r="AB215" i="1" s="1"/>
  <c r="AC215" i="1" s="1"/>
  <c r="AA208" i="1"/>
  <c r="AB208" i="1" s="1"/>
  <c r="AC208" i="1" s="1"/>
  <c r="AA209" i="1"/>
  <c r="AB200" i="1"/>
  <c r="AC200" i="1" s="1"/>
  <c r="AA195" i="1"/>
  <c r="AB195" i="1" s="1"/>
  <c r="AC195" i="1" s="1"/>
  <c r="AA194" i="1"/>
  <c r="AA192" i="1"/>
  <c r="AB192" i="1" s="1"/>
  <c r="AC192" i="1" s="1"/>
  <c r="AA189" i="1"/>
  <c r="AA177" i="1"/>
  <c r="AB177" i="1" s="1"/>
  <c r="AC177" i="1" s="1"/>
  <c r="AA164" i="1"/>
  <c r="AA168" i="1"/>
  <c r="AB168" i="1" s="1"/>
  <c r="AC168" i="1" s="1"/>
  <c r="AA165" i="1"/>
  <c r="AA169" i="1"/>
  <c r="AA167" i="1"/>
  <c r="AB167" i="1" s="1"/>
  <c r="AC167" i="1" s="1"/>
  <c r="AA171" i="1"/>
  <c r="AB171" i="1" s="1"/>
  <c r="AC171" i="1" s="1"/>
  <c r="AA155" i="1"/>
  <c r="AB155" i="1" s="1"/>
  <c r="AC155" i="1" s="1"/>
  <c r="AA159" i="1"/>
  <c r="AB159" i="1" s="1"/>
  <c r="AC159" i="1" s="1"/>
  <c r="AA152" i="1"/>
  <c r="AB152" i="1" s="1"/>
  <c r="AC152" i="1" s="1"/>
  <c r="AA156" i="1"/>
  <c r="AB156" i="1" s="1"/>
  <c r="AC156" i="1" s="1"/>
  <c r="AA160" i="1"/>
  <c r="AB160" i="1" s="1"/>
  <c r="AC160" i="1" s="1"/>
  <c r="AA157" i="1"/>
  <c r="AA161" i="1"/>
  <c r="AA151" i="1"/>
  <c r="AB151" i="1" s="1"/>
  <c r="AC151" i="1" s="1"/>
  <c r="AO143" i="1"/>
  <c r="AA128" i="1"/>
  <c r="AA139" i="1"/>
  <c r="AA143" i="1"/>
  <c r="AB143" i="1" s="1"/>
  <c r="AC143" i="1" s="1"/>
  <c r="AA148" i="1"/>
  <c r="AO139" i="1"/>
  <c r="AO148" i="1"/>
  <c r="AA142" i="1"/>
  <c r="AB142" i="1" s="1"/>
  <c r="AC142" i="1" s="1"/>
  <c r="AA140" i="1"/>
  <c r="AA145" i="1"/>
  <c r="AA149" i="1"/>
  <c r="AA146" i="1"/>
  <c r="AA147" i="1"/>
  <c r="AB147" i="1" s="1"/>
  <c r="AC147" i="1" s="1"/>
  <c r="AA130" i="1"/>
  <c r="AB130" i="1" s="1"/>
  <c r="AC130" i="1" s="1"/>
  <c r="AA131" i="1"/>
  <c r="AB131" i="1" s="1"/>
  <c r="AC131" i="1" s="1"/>
  <c r="AA135" i="1"/>
  <c r="AB135" i="1" s="1"/>
  <c r="AC135" i="1" s="1"/>
  <c r="AA136" i="1"/>
  <c r="AA133" i="1"/>
  <c r="AA137" i="1"/>
  <c r="AA134" i="1"/>
  <c r="AB134" i="1" s="1"/>
  <c r="AC134" i="1" s="1"/>
  <c r="AA129" i="1"/>
  <c r="AB129" i="1" s="1"/>
  <c r="AC129" i="1" s="1"/>
  <c r="AA117" i="1"/>
  <c r="AB117" i="1" s="1"/>
  <c r="AC117" i="1" s="1"/>
  <c r="AA114" i="1"/>
  <c r="AB114" i="1" s="1"/>
  <c r="AC114" i="1" s="1"/>
  <c r="AA118" i="1"/>
  <c r="AB118" i="1" s="1"/>
  <c r="AC118" i="1" s="1"/>
  <c r="AA115" i="1"/>
  <c r="AA119" i="1"/>
  <c r="AB119" i="1" s="1"/>
  <c r="AC119" i="1" s="1"/>
  <c r="AA124" i="1"/>
  <c r="AA116" i="1"/>
  <c r="AB116" i="1" s="1"/>
  <c r="AC116" i="1" s="1"/>
  <c r="AA120" i="1"/>
  <c r="AA121" i="1"/>
  <c r="AB121" i="1" s="1"/>
  <c r="AC121" i="1" s="1"/>
  <c r="AA111" i="1"/>
  <c r="AB111" i="1" s="1"/>
  <c r="AC111" i="1" s="1"/>
  <c r="AA110" i="1"/>
  <c r="AB110" i="1" s="1"/>
  <c r="AC110" i="1" s="1"/>
  <c r="AA112" i="1"/>
  <c r="AA109" i="1"/>
  <c r="AA107" i="1"/>
  <c r="AA96" i="1"/>
  <c r="AB96" i="1" s="1"/>
  <c r="AC96" i="1" s="1"/>
  <c r="AA98" i="1"/>
  <c r="AB98" i="1" s="1"/>
  <c r="AC98" i="1" s="1"/>
  <c r="AA103" i="1"/>
  <c r="AB103" i="1" s="1"/>
  <c r="AC103" i="1" s="1"/>
  <c r="AA95" i="1"/>
  <c r="AB95" i="1" s="1"/>
  <c r="AC95" i="1" s="1"/>
  <c r="AA97" i="1"/>
  <c r="AA104" i="1"/>
  <c r="AB104" i="1" s="1"/>
  <c r="AC104" i="1" s="1"/>
  <c r="AA101" i="1"/>
  <c r="AA86" i="1"/>
  <c r="AB86" i="1" s="1"/>
  <c r="AC86" i="1" s="1"/>
  <c r="AA90" i="1"/>
  <c r="AB90" i="1" s="1"/>
  <c r="AC90" i="1" s="1"/>
  <c r="AA88" i="1"/>
  <c r="AB88" i="1" s="1"/>
  <c r="AC88" i="1" s="1"/>
  <c r="AA85" i="1"/>
  <c r="AA89" i="1"/>
  <c r="AA91" i="1"/>
  <c r="AA93" i="1"/>
  <c r="AA92" i="1"/>
  <c r="AA76" i="1"/>
  <c r="AB76" i="1" s="1"/>
  <c r="AC76" i="1" s="1"/>
  <c r="AA77" i="1"/>
  <c r="AB77" i="1" s="1"/>
  <c r="AC77" i="1" s="1"/>
  <c r="AA79" i="1"/>
  <c r="AA81" i="1"/>
  <c r="AB81" i="1" s="1"/>
  <c r="AC81" i="1" s="1"/>
  <c r="AA80" i="1"/>
  <c r="AA78" i="1"/>
  <c r="AB78" i="1" s="1"/>
  <c r="AC78" i="1" s="1"/>
  <c r="AA82" i="1"/>
  <c r="AB82" i="1" s="1"/>
  <c r="AC82" i="1" s="1"/>
  <c r="AA75" i="1"/>
  <c r="AB75" i="1" s="1"/>
  <c r="AC75" i="1" s="1"/>
  <c r="AA74" i="1"/>
  <c r="AA71" i="1"/>
  <c r="AB71" i="1" s="1"/>
  <c r="AC71" i="1" s="1"/>
  <c r="AA69" i="1"/>
  <c r="AA68" i="1"/>
  <c r="AB68" i="1" s="1"/>
  <c r="AC68" i="1" s="1"/>
  <c r="AA67" i="1"/>
  <c r="AB67" i="1" s="1"/>
  <c r="AC67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3" i="1"/>
  <c r="AB63" i="1" s="1"/>
  <c r="AC63" i="1" s="1"/>
  <c r="AA61" i="1"/>
  <c r="AB61" i="1" s="1"/>
  <c r="AC61" i="1" s="1"/>
  <c r="AA60" i="1"/>
  <c r="AB60" i="1" s="1"/>
  <c r="AC60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N27" i="1"/>
  <c r="A4" i="1"/>
  <c r="AC454" i="1" l="1"/>
  <c r="AC456" i="1"/>
  <c r="AC459" i="1"/>
  <c r="AC460" i="1"/>
  <c r="AC455" i="1"/>
  <c r="AC462" i="1"/>
  <c r="AC458" i="1"/>
  <c r="AA599" i="1"/>
  <c r="AB599" i="1" s="1"/>
  <c r="AC599" i="1" s="1"/>
  <c r="Z610" i="1"/>
  <c r="AA610" i="1" s="1"/>
  <c r="AB607" i="1"/>
  <c r="AC607" i="1" s="1"/>
  <c r="AB604" i="1"/>
  <c r="AC604" i="1" s="1"/>
  <c r="Z602" i="1"/>
  <c r="AA602" i="1" s="1"/>
  <c r="AB600" i="1"/>
  <c r="AC600" i="1" s="1"/>
  <c r="AB591" i="1"/>
  <c r="AC591" i="1" s="1"/>
  <c r="AB582" i="1"/>
  <c r="AC582" i="1" s="1"/>
  <c r="AB578" i="1"/>
  <c r="AC578" i="1" s="1"/>
  <c r="AB575" i="1"/>
  <c r="AC575" i="1" s="1"/>
  <c r="AA577" i="1"/>
  <c r="AB577" i="1" s="1"/>
  <c r="AC577" i="1" s="1"/>
  <c r="AA561" i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A517" i="1"/>
  <c r="AB517" i="1" s="1"/>
  <c r="AC517" i="1" s="1"/>
  <c r="AA442" i="1"/>
  <c r="AB442" i="1" s="1"/>
  <c r="AC442" i="1" s="1"/>
  <c r="AA475" i="1"/>
  <c r="AB475" i="1" s="1"/>
  <c r="AC475" i="1" s="1"/>
  <c r="AB509" i="1"/>
  <c r="AC509" i="1" s="1"/>
  <c r="AB465" i="1"/>
  <c r="AC465" i="1" s="1"/>
  <c r="AA445" i="1"/>
  <c r="AB445" i="1" s="1"/>
  <c r="AC445" i="1" s="1"/>
  <c r="AB128" i="1"/>
  <c r="AC128" i="1" s="1"/>
  <c r="AB293" i="1"/>
  <c r="AC293" i="1" s="1"/>
  <c r="AA468" i="1"/>
  <c r="AB468" i="1" s="1"/>
  <c r="AC468" i="1" s="1"/>
  <c r="AB474" i="1"/>
  <c r="AC474" i="1" s="1"/>
  <c r="AB479" i="1"/>
  <c r="AC479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4" i="1"/>
  <c r="AC464" i="1" s="1"/>
  <c r="AA461" i="1"/>
  <c r="AB461" i="1" s="1"/>
  <c r="AA457" i="1"/>
  <c r="AB457" i="1" s="1"/>
  <c r="AA453" i="1"/>
  <c r="AB453" i="1" s="1"/>
  <c r="AA450" i="1"/>
  <c r="AB450" i="1" s="1"/>
  <c r="AC450" i="1" s="1"/>
  <c r="AB447" i="1"/>
  <c r="AC447" i="1" s="1"/>
  <c r="AB434" i="1"/>
  <c r="AC434" i="1" s="1"/>
  <c r="AA158" i="1"/>
  <c r="AB158" i="1" s="1"/>
  <c r="AC158" i="1" s="1"/>
  <c r="AB169" i="1"/>
  <c r="AC169" i="1" s="1"/>
  <c r="AB194" i="1"/>
  <c r="AC194" i="1" s="1"/>
  <c r="AB221" i="1"/>
  <c r="AC221" i="1" s="1"/>
  <c r="AB283" i="1"/>
  <c r="AC283" i="1" s="1"/>
  <c r="AB275" i="1"/>
  <c r="AC275" i="1" s="1"/>
  <c r="AA321" i="1"/>
  <c r="AB321" i="1" s="1"/>
  <c r="AC321" i="1" s="1"/>
  <c r="AB342" i="1"/>
  <c r="AC342" i="1" s="1"/>
  <c r="AB355" i="1"/>
  <c r="AC355" i="1" s="1"/>
  <c r="AA365" i="1"/>
  <c r="AB365" i="1" s="1"/>
  <c r="AC365" i="1" s="1"/>
  <c r="AB377" i="1"/>
  <c r="AC377" i="1" s="1"/>
  <c r="AA153" i="1"/>
  <c r="AB153" i="1" s="1"/>
  <c r="AC153" i="1" s="1"/>
  <c r="AB165" i="1"/>
  <c r="AC165" i="1" s="1"/>
  <c r="AB209" i="1"/>
  <c r="AC209" i="1" s="1"/>
  <c r="AB224" i="1"/>
  <c r="AC224" i="1" s="1"/>
  <c r="AB225" i="1"/>
  <c r="AC225" i="1" s="1"/>
  <c r="AA280" i="1"/>
  <c r="AB280" i="1" s="1"/>
  <c r="AC280" i="1" s="1"/>
  <c r="AB284" i="1"/>
  <c r="AC284" i="1" s="1"/>
  <c r="AB276" i="1"/>
  <c r="AC276" i="1" s="1"/>
  <c r="AB298" i="1"/>
  <c r="AC298" i="1" s="1"/>
  <c r="AA309" i="1"/>
  <c r="AB309" i="1" s="1"/>
  <c r="AC309" i="1" s="1"/>
  <c r="AB329" i="1"/>
  <c r="AC329" i="1" s="1"/>
  <c r="AB347" i="1"/>
  <c r="AC347" i="1" s="1"/>
  <c r="AB361" i="1"/>
  <c r="AC361" i="1" s="1"/>
  <c r="AB376" i="1"/>
  <c r="AC376" i="1" s="1"/>
  <c r="AB373" i="1"/>
  <c r="AC373" i="1" s="1"/>
  <c r="AB392" i="1"/>
  <c r="AC392" i="1" s="1"/>
  <c r="AA396" i="1"/>
  <c r="AB396" i="1" s="1"/>
  <c r="AC396" i="1" s="1"/>
  <c r="AB401" i="1"/>
  <c r="AC401" i="1" s="1"/>
  <c r="AB413" i="1"/>
  <c r="AC413" i="1" s="1"/>
  <c r="AB375" i="1"/>
  <c r="AC375" i="1" s="1"/>
  <c r="AB311" i="1"/>
  <c r="AC311" i="1" s="1"/>
  <c r="AB181" i="1"/>
  <c r="AC181" i="1" s="1"/>
  <c r="AA303" i="1"/>
  <c r="AB303" i="1" s="1"/>
  <c r="AC303" i="1" s="1"/>
  <c r="AA207" i="1"/>
  <c r="AB207" i="1" s="1"/>
  <c r="AC207" i="1" s="1"/>
  <c r="AB199" i="1"/>
  <c r="AC199" i="1" s="1"/>
  <c r="AA431" i="1"/>
  <c r="AB431" i="1" s="1"/>
  <c r="AC431" i="1" s="1"/>
  <c r="AB430" i="1"/>
  <c r="AC430" i="1" s="1"/>
  <c r="AB428" i="1"/>
  <c r="AC428" i="1" s="1"/>
  <c r="AA425" i="1"/>
  <c r="AB425" i="1" s="1"/>
  <c r="AC425" i="1" s="1"/>
  <c r="AB424" i="1"/>
  <c r="AC424" i="1" s="1"/>
  <c r="AB418" i="1"/>
  <c r="AC418" i="1" s="1"/>
  <c r="AA411" i="1"/>
  <c r="AB411" i="1" s="1"/>
  <c r="AC411" i="1" s="1"/>
  <c r="AA402" i="1"/>
  <c r="AB402" i="1" s="1"/>
  <c r="AC402" i="1" s="1"/>
  <c r="AB406" i="1"/>
  <c r="AC406" i="1" s="1"/>
  <c r="AA405" i="1"/>
  <c r="AB405" i="1" s="1"/>
  <c r="AC405" i="1" s="1"/>
  <c r="AA391" i="1"/>
  <c r="AB391" i="1" s="1"/>
  <c r="AC391" i="1" s="1"/>
  <c r="AB386" i="1"/>
  <c r="AC386" i="1" s="1"/>
  <c r="AA380" i="1"/>
  <c r="AB380" i="1" s="1"/>
  <c r="AC380" i="1" s="1"/>
  <c r="AA372" i="1"/>
  <c r="AB372" i="1" s="1"/>
  <c r="AC372" i="1" s="1"/>
  <c r="AA369" i="1"/>
  <c r="AB369" i="1" s="1"/>
  <c r="AC369" i="1" s="1"/>
  <c r="AB370" i="1"/>
  <c r="AC370" i="1" s="1"/>
  <c r="AB362" i="1"/>
  <c r="AC362" i="1" s="1"/>
  <c r="AA366" i="1"/>
  <c r="AB366" i="1" s="1"/>
  <c r="AC366" i="1" s="1"/>
  <c r="AB344" i="1"/>
  <c r="AC344" i="1" s="1"/>
  <c r="AB336" i="1"/>
  <c r="AC336" i="1" s="1"/>
  <c r="AA337" i="1"/>
  <c r="AB337" i="1" s="1"/>
  <c r="AC337" i="1" s="1"/>
  <c r="AB324" i="1"/>
  <c r="AC324" i="1" s="1"/>
  <c r="AB328" i="1"/>
  <c r="AC328" i="1" s="1"/>
  <c r="AA325" i="1"/>
  <c r="AB325" i="1" s="1"/>
  <c r="AC325" i="1" s="1"/>
  <c r="AB316" i="1"/>
  <c r="AC316" i="1" s="1"/>
  <c r="AB317" i="1"/>
  <c r="AC317" i="1" s="1"/>
  <c r="AB313" i="1"/>
  <c r="AC313" i="1" s="1"/>
  <c r="AB308" i="1"/>
  <c r="AC308" i="1" s="1"/>
  <c r="AA305" i="1"/>
  <c r="AB305" i="1" s="1"/>
  <c r="AC305" i="1" s="1"/>
  <c r="AB294" i="1"/>
  <c r="AC294" i="1" s="1"/>
  <c r="AA295" i="1"/>
  <c r="AB295" i="1" s="1"/>
  <c r="AC295" i="1" s="1"/>
  <c r="AB272" i="1"/>
  <c r="AC272" i="1" s="1"/>
  <c r="AB265" i="1"/>
  <c r="AC265" i="1" s="1"/>
  <c r="AA264" i="1"/>
  <c r="AB264" i="1" s="1"/>
  <c r="AC264" i="1" s="1"/>
  <c r="AA268" i="1"/>
  <c r="AB268" i="1" s="1"/>
  <c r="AC268" i="1" s="1"/>
  <c r="AA269" i="1"/>
  <c r="AB269" i="1" s="1"/>
  <c r="AC269" i="1" s="1"/>
  <c r="AA257" i="1"/>
  <c r="AB257" i="1" s="1"/>
  <c r="AC257" i="1" s="1"/>
  <c r="AA258" i="1"/>
  <c r="AB258" i="1" s="1"/>
  <c r="AC258" i="1" s="1"/>
  <c r="AB253" i="1"/>
  <c r="AC253" i="1" s="1"/>
  <c r="AB250" i="1"/>
  <c r="AC250" i="1" s="1"/>
  <c r="AB249" i="1"/>
  <c r="AC249" i="1" s="1"/>
  <c r="AB229" i="1"/>
  <c r="AC229" i="1" s="1"/>
  <c r="AA236" i="1"/>
  <c r="AB236" i="1" s="1"/>
  <c r="AC236" i="1" s="1"/>
  <c r="AB239" i="1"/>
  <c r="AC239" i="1" s="1"/>
  <c r="AB228" i="1"/>
  <c r="AC228" i="1" s="1"/>
  <c r="AB220" i="1"/>
  <c r="AC220" i="1" s="1"/>
  <c r="AB217" i="1"/>
  <c r="AC217" i="1" s="1"/>
  <c r="AB213" i="1"/>
  <c r="AC213" i="1" s="1"/>
  <c r="AA203" i="1"/>
  <c r="AB203" i="1" s="1"/>
  <c r="AC203" i="1" s="1"/>
  <c r="AA198" i="1"/>
  <c r="AB198" i="1" s="1"/>
  <c r="AC198" i="1" s="1"/>
  <c r="AA197" i="1"/>
  <c r="AB197" i="1" s="1"/>
  <c r="AC197" i="1" s="1"/>
  <c r="AA191" i="1"/>
  <c r="AB191" i="1" s="1"/>
  <c r="AC191" i="1" s="1"/>
  <c r="AB189" i="1"/>
  <c r="AC189" i="1" s="1"/>
  <c r="AA188" i="1"/>
  <c r="AB188" i="1" s="1"/>
  <c r="AC188" i="1" s="1"/>
  <c r="AA183" i="1"/>
  <c r="AB183" i="1" s="1"/>
  <c r="AC183" i="1" s="1"/>
  <c r="AA179" i="1"/>
  <c r="AB179" i="1" s="1"/>
  <c r="AC179" i="1" s="1"/>
  <c r="AB164" i="1"/>
  <c r="AC164" i="1" s="1"/>
  <c r="AA162" i="1"/>
  <c r="AB162" i="1" s="1"/>
  <c r="AC162" i="1" s="1"/>
  <c r="AA154" i="1"/>
  <c r="AB154" i="1" s="1"/>
  <c r="AC154" i="1" s="1"/>
  <c r="AB157" i="1"/>
  <c r="AC157" i="1" s="1"/>
  <c r="AB161" i="1"/>
  <c r="AC161" i="1" s="1"/>
  <c r="AB146" i="1"/>
  <c r="AC146" i="1" s="1"/>
  <c r="AB139" i="1"/>
  <c r="AC139" i="1" s="1"/>
  <c r="AB148" i="1"/>
  <c r="AC148" i="1" s="1"/>
  <c r="AA141" i="1"/>
  <c r="AB141" i="1" s="1"/>
  <c r="AC141" i="1" s="1"/>
  <c r="AB149" i="1"/>
  <c r="AC149" i="1" s="1"/>
  <c r="AB140" i="1"/>
  <c r="AC140" i="1" s="1"/>
  <c r="AB145" i="1"/>
  <c r="AC145" i="1" s="1"/>
  <c r="AA132" i="1"/>
  <c r="AB132" i="1" s="1"/>
  <c r="AC132" i="1" s="1"/>
  <c r="AB133" i="1"/>
  <c r="AC133" i="1" s="1"/>
  <c r="AB137" i="1"/>
  <c r="AC137" i="1" s="1"/>
  <c r="AB136" i="1"/>
  <c r="AC136" i="1" s="1"/>
  <c r="AA126" i="1"/>
  <c r="AB126" i="1" s="1"/>
  <c r="AC126" i="1" s="1"/>
  <c r="AB120" i="1"/>
  <c r="AC120" i="1" s="1"/>
  <c r="AB124" i="1"/>
  <c r="AC124" i="1" s="1"/>
  <c r="AB115" i="1"/>
  <c r="AC115" i="1" s="1"/>
  <c r="AB109" i="1"/>
  <c r="AC109" i="1" s="1"/>
  <c r="AB112" i="1"/>
  <c r="AC112" i="1" s="1"/>
  <c r="AA106" i="1"/>
  <c r="AB106" i="1" s="1"/>
  <c r="AC106" i="1" s="1"/>
  <c r="AB107" i="1"/>
  <c r="AC107" i="1" s="1"/>
  <c r="AB101" i="1"/>
  <c r="AC101" i="1" s="1"/>
  <c r="AA100" i="1"/>
  <c r="AB100" i="1" s="1"/>
  <c r="AC100" i="1" s="1"/>
  <c r="AB97" i="1"/>
  <c r="AC97" i="1" s="1"/>
  <c r="AA102" i="1"/>
  <c r="AB102" i="1" s="1"/>
  <c r="AC102" i="1" s="1"/>
  <c r="AB92" i="1"/>
  <c r="AC92" i="1" s="1"/>
  <c r="AB93" i="1"/>
  <c r="AC93" i="1" s="1"/>
  <c r="AB89" i="1"/>
  <c r="AC89" i="1" s="1"/>
  <c r="AB85" i="1"/>
  <c r="AC85" i="1" s="1"/>
  <c r="AA87" i="1"/>
  <c r="AB87" i="1" s="1"/>
  <c r="AC87" i="1" s="1"/>
  <c r="AB91" i="1"/>
  <c r="AC91" i="1" s="1"/>
  <c r="AA84" i="1"/>
  <c r="AB84" i="1" s="1"/>
  <c r="AC84" i="1" s="1"/>
  <c r="AB80" i="1"/>
  <c r="AC80" i="1" s="1"/>
  <c r="AB79" i="1"/>
  <c r="AC79" i="1" s="1"/>
  <c r="AB74" i="1"/>
  <c r="AC74" i="1" s="1"/>
  <c r="AA72" i="1"/>
  <c r="AB72" i="1" s="1"/>
  <c r="AC72" i="1" s="1"/>
  <c r="AA70" i="1"/>
  <c r="AB70" i="1" s="1"/>
  <c r="AC70" i="1" s="1"/>
  <c r="AB69" i="1"/>
  <c r="AC69" i="1" s="1"/>
  <c r="AA66" i="1"/>
  <c r="AB66" i="1" s="1"/>
  <c r="AC66" i="1" s="1"/>
  <c r="AA65" i="1"/>
  <c r="AB65" i="1" s="1"/>
  <c r="AC65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2" i="1"/>
  <c r="AB62" i="1" s="1"/>
  <c r="AC62" i="1" s="1"/>
  <c r="AA57" i="1"/>
  <c r="AB57" i="1" s="1"/>
  <c r="AC57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C461" i="1" l="1"/>
  <c r="AC457" i="1"/>
  <c r="AC453" i="1"/>
  <c r="AB610" i="1"/>
  <c r="AC610" i="1" s="1"/>
  <c r="AB602" i="1"/>
  <c r="AC602" i="1" s="1"/>
  <c r="B23" i="1"/>
  <c r="C23" i="1" s="1"/>
  <c r="AL23" i="1"/>
  <c r="AR23" i="1"/>
  <c r="AS23" i="1"/>
  <c r="AT22" i="1"/>
  <c r="B22" i="1"/>
  <c r="A6" i="1"/>
  <c r="AH23" i="1" l="1"/>
  <c r="AJ23" i="1"/>
  <c r="AE23" i="1"/>
  <c r="AD23" i="1"/>
  <c r="AT23" i="1"/>
  <c r="AV23" i="1"/>
  <c r="B107" i="1"/>
  <c r="C107" i="1" s="1"/>
  <c r="AS107" i="1"/>
  <c r="B110" i="1"/>
  <c r="C110" i="1" s="1"/>
  <c r="A7" i="1"/>
  <c r="A8" i="1" s="1"/>
  <c r="AU23" i="1" l="1"/>
  <c r="AW23" i="1" s="1"/>
  <c r="A9" i="1"/>
  <c r="AS110" i="1" l="1"/>
  <c r="B112" i="1"/>
  <c r="C112" i="1" s="1"/>
  <c r="A10" i="1"/>
  <c r="A11" i="1"/>
  <c r="A12" i="1" s="1"/>
  <c r="AS112" i="1" l="1"/>
  <c r="AL114" i="1"/>
  <c r="AS114" i="1"/>
  <c r="A13" i="1"/>
  <c r="B115" i="1" l="1"/>
  <c r="C115" i="1" s="1"/>
  <c r="A14" i="1"/>
  <c r="AS115" i="1" l="1"/>
  <c r="A15" i="1"/>
  <c r="B117" i="1" l="1"/>
  <c r="C117" i="1" s="1"/>
  <c r="A16" i="1"/>
  <c r="AS117" i="1" l="1"/>
  <c r="A17" i="1"/>
  <c r="B118" i="1" l="1"/>
  <c r="C118" i="1" s="1"/>
  <c r="AS118" i="1"/>
  <c r="A18" i="1"/>
  <c r="A19" i="1"/>
  <c r="A20" i="1" s="1"/>
  <c r="B119" i="1" l="1"/>
  <c r="C119" i="1" s="1"/>
  <c r="A21" i="1"/>
  <c r="AS119" i="1" l="1"/>
  <c r="A22" i="1"/>
  <c r="B120" i="1" l="1"/>
  <c r="C120" i="1" s="1"/>
  <c r="AS120" i="1"/>
  <c r="A23" i="1"/>
  <c r="A24" i="1"/>
  <c r="B121" i="1" l="1"/>
  <c r="C121" i="1" s="1"/>
  <c r="A25" i="1"/>
  <c r="A26" i="1" s="1"/>
  <c r="AS121" i="1" l="1"/>
  <c r="A27" i="1"/>
  <c r="AI27" i="1"/>
  <c r="D27" i="1"/>
  <c r="A28" i="1"/>
  <c r="A29" i="1"/>
  <c r="D29" i="1"/>
  <c r="AI29" i="1"/>
  <c r="B17" i="1" l="1"/>
  <c r="C17" i="1" s="1"/>
  <c r="AL17" i="1"/>
  <c r="AR17" i="1"/>
  <c r="AS17" i="1"/>
  <c r="B12" i="1"/>
  <c r="C12" i="1" s="1"/>
  <c r="AL12" i="1"/>
  <c r="AS12" i="1"/>
  <c r="B5" i="1"/>
  <c r="C5" i="1" s="1"/>
  <c r="AL5" i="1"/>
  <c r="AS5" i="1"/>
  <c r="A30" i="1"/>
  <c r="A31" i="1"/>
  <c r="A32" i="1"/>
  <c r="A33" i="1" s="1"/>
  <c r="AI32" i="1"/>
  <c r="D32" i="1"/>
  <c r="D31" i="1"/>
  <c r="AI31" i="1"/>
  <c r="AH17" i="1" l="1"/>
  <c r="AJ17" i="1"/>
  <c r="AH5" i="1"/>
  <c r="AJ5" i="1"/>
  <c r="AH12" i="1"/>
  <c r="AJ12" i="1"/>
  <c r="AE17" i="1"/>
  <c r="AD17" i="1"/>
  <c r="AE5" i="1"/>
  <c r="AD5" i="1"/>
  <c r="AE12" i="1"/>
  <c r="AD12" i="1"/>
  <c r="AR12" i="1"/>
  <c r="AR5" i="1"/>
  <c r="AT5" i="1"/>
  <c r="AV12" i="1"/>
  <c r="AT17" i="1"/>
  <c r="AT12" i="1"/>
  <c r="AV17" i="1"/>
  <c r="AV5" i="1"/>
  <c r="B515" i="1"/>
  <c r="B516" i="1"/>
  <c r="C516" i="1" s="1"/>
  <c r="B518" i="1"/>
  <c r="B519" i="1"/>
  <c r="C519" i="1" s="1"/>
  <c r="B520" i="1"/>
  <c r="B521" i="1"/>
  <c r="C521" i="1" s="1"/>
  <c r="B525" i="1"/>
  <c r="B527" i="1"/>
  <c r="C527" i="1" s="1"/>
  <c r="B528" i="1"/>
  <c r="B530" i="1"/>
  <c r="C530" i="1" s="1"/>
  <c r="B531" i="1"/>
  <c r="B533" i="1"/>
  <c r="C533" i="1" s="1"/>
  <c r="B535" i="1"/>
  <c r="B537" i="1"/>
  <c r="C537" i="1" s="1"/>
  <c r="B539" i="1"/>
  <c r="B542" i="1"/>
  <c r="C542" i="1" s="1"/>
  <c r="B544" i="1"/>
  <c r="C544" i="1" s="1"/>
  <c r="B546" i="1"/>
  <c r="C546" i="1" s="1"/>
  <c r="B550" i="1"/>
  <c r="C550" i="1" s="1"/>
  <c r="B552" i="1"/>
  <c r="C552" i="1" s="1"/>
  <c r="B553" i="1"/>
  <c r="B554" i="1"/>
  <c r="C554" i="1" s="1"/>
  <c r="B555" i="1"/>
  <c r="B557" i="1"/>
  <c r="C557" i="1" s="1"/>
  <c r="B559" i="1"/>
  <c r="B561" i="1"/>
  <c r="C561" i="1" s="1"/>
  <c r="B562" i="1"/>
  <c r="B563" i="1"/>
  <c r="C563" i="1" s="1"/>
  <c r="B564" i="1"/>
  <c r="B565" i="1"/>
  <c r="C565" i="1" s="1"/>
  <c r="B568" i="1"/>
  <c r="B570" i="1"/>
  <c r="B571" i="1"/>
  <c r="C571" i="1" s="1"/>
  <c r="B573" i="1"/>
  <c r="C573" i="1" s="1"/>
  <c r="B574" i="1"/>
  <c r="B575" i="1"/>
  <c r="C575" i="1" s="1"/>
  <c r="B576" i="1"/>
  <c r="B578" i="1"/>
  <c r="C578" i="1" s="1"/>
  <c r="B579" i="1"/>
  <c r="B580" i="1"/>
  <c r="C580" i="1" s="1"/>
  <c r="B583" i="1"/>
  <c r="C583" i="1" s="1"/>
  <c r="B585" i="1"/>
  <c r="C585" i="1" s="1"/>
  <c r="B586" i="1"/>
  <c r="B587" i="1"/>
  <c r="C587" i="1" s="1"/>
  <c r="B588" i="1"/>
  <c r="B590" i="1"/>
  <c r="B592" i="1"/>
  <c r="B593" i="1"/>
  <c r="C593" i="1" s="1"/>
  <c r="B595" i="1"/>
  <c r="C595" i="1" s="1"/>
  <c r="B596" i="1"/>
  <c r="B598" i="1"/>
  <c r="B600" i="1"/>
  <c r="B601" i="1"/>
  <c r="C601" i="1" s="1"/>
  <c r="B603" i="1"/>
  <c r="C603" i="1" s="1"/>
  <c r="B605" i="1"/>
  <c r="C605" i="1" s="1"/>
  <c r="B606" i="1"/>
  <c r="C606" i="1" s="1"/>
  <c r="B608" i="1"/>
  <c r="B609" i="1"/>
  <c r="C609" i="1" s="1"/>
  <c r="B611" i="1"/>
  <c r="C611" i="1" s="1"/>
  <c r="B612" i="1"/>
  <c r="C612" i="1" s="1"/>
  <c r="B613" i="1"/>
  <c r="C613" i="1" s="1"/>
  <c r="B614" i="1"/>
  <c r="B615" i="1"/>
  <c r="C615" i="1" s="1"/>
  <c r="B616" i="1"/>
  <c r="C616" i="1" s="1"/>
  <c r="B617" i="1"/>
  <c r="C617" i="1" s="1"/>
  <c r="B618" i="1"/>
  <c r="B619" i="1"/>
  <c r="C619" i="1" s="1"/>
  <c r="B620" i="1"/>
  <c r="C620" i="1" s="1"/>
  <c r="B621" i="1"/>
  <c r="C621" i="1" s="1"/>
  <c r="B622" i="1"/>
  <c r="B623" i="1"/>
  <c r="C623" i="1" s="1"/>
  <c r="B624" i="1"/>
  <c r="C624" i="1" s="1"/>
  <c r="B625" i="1"/>
  <c r="C625" i="1" s="1"/>
  <c r="B626" i="1"/>
  <c r="B627" i="1"/>
  <c r="C627" i="1" s="1"/>
  <c r="B628" i="1"/>
  <c r="C628" i="1" s="1"/>
  <c r="B629" i="1"/>
  <c r="C629" i="1" s="1"/>
  <c r="B630" i="1"/>
  <c r="B631" i="1"/>
  <c r="C631" i="1" s="1"/>
  <c r="B632" i="1"/>
  <c r="C632" i="1" s="1"/>
  <c r="B633" i="1"/>
  <c r="C633" i="1" s="1"/>
  <c r="B634" i="1"/>
  <c r="B635" i="1"/>
  <c r="C635" i="1" s="1"/>
  <c r="B636" i="1"/>
  <c r="C636" i="1" s="1"/>
  <c r="B637" i="1"/>
  <c r="C637" i="1" s="1"/>
  <c r="B638" i="1"/>
  <c r="B639" i="1"/>
  <c r="C639" i="1" s="1"/>
  <c r="B640" i="1"/>
  <c r="C640" i="1" s="1"/>
  <c r="B641" i="1"/>
  <c r="C641" i="1" s="1"/>
  <c r="B642" i="1"/>
  <c r="B643" i="1"/>
  <c r="C643" i="1" s="1"/>
  <c r="B644" i="1"/>
  <c r="C644" i="1" s="1"/>
  <c r="B645" i="1"/>
  <c r="C645" i="1" s="1"/>
  <c r="B646" i="1"/>
  <c r="B647" i="1"/>
  <c r="C647" i="1" s="1"/>
  <c r="B648" i="1"/>
  <c r="C648" i="1" s="1"/>
  <c r="B649" i="1"/>
  <c r="C649" i="1" s="1"/>
  <c r="B650" i="1"/>
  <c r="B651" i="1"/>
  <c r="C651" i="1" s="1"/>
  <c r="B652" i="1"/>
  <c r="C652" i="1" s="1"/>
  <c r="B653" i="1"/>
  <c r="C653" i="1" s="1"/>
  <c r="B654" i="1"/>
  <c r="B655" i="1"/>
  <c r="C655" i="1" s="1"/>
  <c r="B656" i="1"/>
  <c r="C656" i="1" s="1"/>
  <c r="B657" i="1"/>
  <c r="C657" i="1" s="1"/>
  <c r="B658" i="1"/>
  <c r="B659" i="1"/>
  <c r="C659" i="1" s="1"/>
  <c r="B660" i="1"/>
  <c r="C660" i="1" s="1"/>
  <c r="B661" i="1"/>
  <c r="C661" i="1" s="1"/>
  <c r="B662" i="1"/>
  <c r="B663" i="1"/>
  <c r="C663" i="1" s="1"/>
  <c r="B664" i="1"/>
  <c r="C664" i="1" s="1"/>
  <c r="B665" i="1"/>
  <c r="C665" i="1" s="1"/>
  <c r="B666" i="1"/>
  <c r="B667" i="1"/>
  <c r="C667" i="1" s="1"/>
  <c r="B668" i="1"/>
  <c r="C668" i="1" s="1"/>
  <c r="B669" i="1"/>
  <c r="C669" i="1" s="1"/>
  <c r="B670" i="1"/>
  <c r="B671" i="1"/>
  <c r="C671" i="1" s="1"/>
  <c r="B672" i="1"/>
  <c r="C672" i="1" s="1"/>
  <c r="B673" i="1"/>
  <c r="C673" i="1" s="1"/>
  <c r="B674" i="1"/>
  <c r="B675" i="1"/>
  <c r="C675" i="1" s="1"/>
  <c r="B676" i="1"/>
  <c r="C676" i="1" s="1"/>
  <c r="B677" i="1"/>
  <c r="C677" i="1" s="1"/>
  <c r="B678" i="1"/>
  <c r="B679" i="1"/>
  <c r="C679" i="1" s="1"/>
  <c r="B680" i="1"/>
  <c r="C680" i="1" s="1"/>
  <c r="B681" i="1"/>
  <c r="C681" i="1" s="1"/>
  <c r="B682" i="1"/>
  <c r="B683" i="1"/>
  <c r="C683" i="1" s="1"/>
  <c r="B684" i="1"/>
  <c r="C684" i="1" s="1"/>
  <c r="B685" i="1"/>
  <c r="C685" i="1" s="1"/>
  <c r="B686" i="1"/>
  <c r="B687" i="1"/>
  <c r="C687" i="1" s="1"/>
  <c r="B688" i="1"/>
  <c r="C688" i="1" s="1"/>
  <c r="B689" i="1"/>
  <c r="B690" i="1"/>
  <c r="C690" i="1" s="1"/>
  <c r="B691" i="1"/>
  <c r="B692" i="1"/>
  <c r="C692" i="1" s="1"/>
  <c r="B693" i="1"/>
  <c r="B694" i="1"/>
  <c r="C694" i="1" s="1"/>
  <c r="B695" i="1"/>
  <c r="B696" i="1"/>
  <c r="C696" i="1" s="1"/>
  <c r="B697" i="1"/>
  <c r="B698" i="1"/>
  <c r="C698" i="1" s="1"/>
  <c r="B699" i="1"/>
  <c r="B700" i="1"/>
  <c r="C700" i="1" s="1"/>
  <c r="B701" i="1"/>
  <c r="B702" i="1"/>
  <c r="C702" i="1" s="1"/>
  <c r="B703" i="1"/>
  <c r="B704" i="1"/>
  <c r="C704" i="1" s="1"/>
  <c r="B705" i="1"/>
  <c r="B706" i="1"/>
  <c r="C706" i="1" s="1"/>
  <c r="B707" i="1"/>
  <c r="B708" i="1"/>
  <c r="C708" i="1" s="1"/>
  <c r="B709" i="1"/>
  <c r="B710" i="1"/>
  <c r="C710" i="1" s="1"/>
  <c r="B711" i="1"/>
  <c r="B712" i="1"/>
  <c r="C712" i="1" s="1"/>
  <c r="B713" i="1"/>
  <c r="B714" i="1"/>
  <c r="C714" i="1" s="1"/>
  <c r="B715" i="1"/>
  <c r="B716" i="1"/>
  <c r="C716" i="1" s="1"/>
  <c r="B717" i="1"/>
  <c r="B718" i="1"/>
  <c r="C718" i="1" s="1"/>
  <c r="B719" i="1"/>
  <c r="B720" i="1"/>
  <c r="C720" i="1" s="1"/>
  <c r="B721" i="1"/>
  <c r="B722" i="1"/>
  <c r="C722" i="1" s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2" i="1"/>
  <c r="C732" i="1" s="1"/>
  <c r="B733" i="1"/>
  <c r="B734" i="1"/>
  <c r="C734" i="1" s="1"/>
  <c r="B735" i="1"/>
  <c r="B736" i="1"/>
  <c r="C736" i="1" s="1"/>
  <c r="B737" i="1"/>
  <c r="B738" i="1"/>
  <c r="C738" i="1" s="1"/>
  <c r="B739" i="1"/>
  <c r="B740" i="1"/>
  <c r="C740" i="1" s="1"/>
  <c r="B741" i="1"/>
  <c r="B742" i="1"/>
  <c r="C742" i="1" s="1"/>
  <c r="B743" i="1"/>
  <c r="B744" i="1"/>
  <c r="C744" i="1" s="1"/>
  <c r="B745" i="1"/>
  <c r="B746" i="1"/>
  <c r="C746" i="1" s="1"/>
  <c r="B747" i="1"/>
  <c r="B748" i="1"/>
  <c r="C748" i="1" s="1"/>
  <c r="B749" i="1"/>
  <c r="B750" i="1"/>
  <c r="C750" i="1" s="1"/>
  <c r="B751" i="1"/>
  <c r="B752" i="1"/>
  <c r="C752" i="1" s="1"/>
  <c r="B753" i="1"/>
  <c r="B754" i="1"/>
  <c r="C754" i="1" s="1"/>
  <c r="B755" i="1"/>
  <c r="B756" i="1"/>
  <c r="C756" i="1" s="1"/>
  <c r="B757" i="1"/>
  <c r="B758" i="1"/>
  <c r="C758" i="1" s="1"/>
  <c r="B759" i="1"/>
  <c r="B760" i="1"/>
  <c r="C760" i="1" s="1"/>
  <c r="B761" i="1"/>
  <c r="B762" i="1"/>
  <c r="C762" i="1" s="1"/>
  <c r="B763" i="1"/>
  <c r="B764" i="1"/>
  <c r="C764" i="1" s="1"/>
  <c r="B765" i="1"/>
  <c r="B766" i="1"/>
  <c r="C766" i="1" s="1"/>
  <c r="B767" i="1"/>
  <c r="B768" i="1"/>
  <c r="C768" i="1" s="1"/>
  <c r="B769" i="1"/>
  <c r="B770" i="1"/>
  <c r="C770" i="1" s="1"/>
  <c r="B771" i="1"/>
  <c r="B772" i="1"/>
  <c r="C772" i="1" s="1"/>
  <c r="B773" i="1"/>
  <c r="B774" i="1"/>
  <c r="C774" i="1" s="1"/>
  <c r="B775" i="1"/>
  <c r="B776" i="1"/>
  <c r="C776" i="1" s="1"/>
  <c r="B777" i="1"/>
  <c r="B778" i="1"/>
  <c r="C778" i="1" s="1"/>
  <c r="B779" i="1"/>
  <c r="B780" i="1"/>
  <c r="C780" i="1" s="1"/>
  <c r="B781" i="1"/>
  <c r="B782" i="1"/>
  <c r="C782" i="1" s="1"/>
  <c r="B783" i="1"/>
  <c r="B784" i="1"/>
  <c r="C784" i="1" s="1"/>
  <c r="B785" i="1"/>
  <c r="B786" i="1"/>
  <c r="C786" i="1" s="1"/>
  <c r="B787" i="1"/>
  <c r="B788" i="1"/>
  <c r="C788" i="1" s="1"/>
  <c r="B789" i="1"/>
  <c r="B790" i="1"/>
  <c r="C790" i="1" s="1"/>
  <c r="B791" i="1"/>
  <c r="B792" i="1"/>
  <c r="C792" i="1" s="1"/>
  <c r="B793" i="1"/>
  <c r="B794" i="1"/>
  <c r="C794" i="1" s="1"/>
  <c r="B795" i="1"/>
  <c r="B796" i="1"/>
  <c r="C796" i="1" s="1"/>
  <c r="B797" i="1"/>
  <c r="B798" i="1"/>
  <c r="C798" i="1" s="1"/>
  <c r="B799" i="1"/>
  <c r="B800" i="1"/>
  <c r="C800" i="1" s="1"/>
  <c r="B801" i="1"/>
  <c r="B802" i="1"/>
  <c r="C802" i="1" s="1"/>
  <c r="B803" i="1"/>
  <c r="B804" i="1"/>
  <c r="C804" i="1" s="1"/>
  <c r="B805" i="1"/>
  <c r="B806" i="1"/>
  <c r="C806" i="1" s="1"/>
  <c r="B807" i="1"/>
  <c r="B808" i="1"/>
  <c r="C808" i="1" s="1"/>
  <c r="B809" i="1"/>
  <c r="B810" i="1"/>
  <c r="C810" i="1" s="1"/>
  <c r="B811" i="1"/>
  <c r="B812" i="1"/>
  <c r="C812" i="1" s="1"/>
  <c r="B813" i="1"/>
  <c r="B814" i="1"/>
  <c r="C814" i="1" s="1"/>
  <c r="B815" i="1"/>
  <c r="B816" i="1"/>
  <c r="C816" i="1" s="1"/>
  <c r="B817" i="1"/>
  <c r="B818" i="1"/>
  <c r="C818" i="1" s="1"/>
  <c r="B819" i="1"/>
  <c r="B820" i="1"/>
  <c r="C820" i="1" s="1"/>
  <c r="B821" i="1"/>
  <c r="B822" i="1"/>
  <c r="C822" i="1" s="1"/>
  <c r="B823" i="1"/>
  <c r="B824" i="1"/>
  <c r="C824" i="1" s="1"/>
  <c r="B825" i="1"/>
  <c r="B826" i="1"/>
  <c r="C826" i="1" s="1"/>
  <c r="B827" i="1"/>
  <c r="B828" i="1"/>
  <c r="C828" i="1" s="1"/>
  <c r="B829" i="1"/>
  <c r="B830" i="1"/>
  <c r="C830" i="1" s="1"/>
  <c r="B831" i="1"/>
  <c r="B832" i="1"/>
  <c r="C832" i="1" s="1"/>
  <c r="B833" i="1"/>
  <c r="B834" i="1"/>
  <c r="C834" i="1" s="1"/>
  <c r="B835" i="1"/>
  <c r="B836" i="1"/>
  <c r="C836" i="1" s="1"/>
  <c r="B837" i="1"/>
  <c r="B838" i="1"/>
  <c r="C838" i="1" s="1"/>
  <c r="B839" i="1"/>
  <c r="B840" i="1"/>
  <c r="C840" i="1" s="1"/>
  <c r="B841" i="1"/>
  <c r="B842" i="1"/>
  <c r="C842" i="1" s="1"/>
  <c r="B843" i="1"/>
  <c r="B844" i="1"/>
  <c r="C844" i="1" s="1"/>
  <c r="B845" i="1"/>
  <c r="B846" i="1"/>
  <c r="C846" i="1" s="1"/>
  <c r="B847" i="1"/>
  <c r="B848" i="1"/>
  <c r="C848" i="1" s="1"/>
  <c r="B849" i="1"/>
  <c r="B850" i="1"/>
  <c r="C850" i="1" s="1"/>
  <c r="B851" i="1"/>
  <c r="B852" i="1"/>
  <c r="C852" i="1" s="1"/>
  <c r="B853" i="1"/>
  <c r="B854" i="1"/>
  <c r="C854" i="1" s="1"/>
  <c r="B855" i="1"/>
  <c r="B856" i="1"/>
  <c r="C856" i="1" s="1"/>
  <c r="B857" i="1"/>
  <c r="B858" i="1"/>
  <c r="C858" i="1" s="1"/>
  <c r="B859" i="1"/>
  <c r="B860" i="1"/>
  <c r="C860" i="1" s="1"/>
  <c r="B861" i="1"/>
  <c r="B862" i="1"/>
  <c r="C862" i="1" s="1"/>
  <c r="B863" i="1"/>
  <c r="B864" i="1"/>
  <c r="C864" i="1" s="1"/>
  <c r="B865" i="1"/>
  <c r="B866" i="1"/>
  <c r="C866" i="1" s="1"/>
  <c r="B867" i="1"/>
  <c r="B868" i="1"/>
  <c r="C868" i="1" s="1"/>
  <c r="B869" i="1"/>
  <c r="B870" i="1"/>
  <c r="C870" i="1" s="1"/>
  <c r="B871" i="1"/>
  <c r="B872" i="1"/>
  <c r="C872" i="1" s="1"/>
  <c r="B873" i="1"/>
  <c r="B874" i="1"/>
  <c r="C874" i="1" s="1"/>
  <c r="B875" i="1"/>
  <c r="B876" i="1"/>
  <c r="C876" i="1" s="1"/>
  <c r="B877" i="1"/>
  <c r="B878" i="1"/>
  <c r="C878" i="1" s="1"/>
  <c r="B879" i="1"/>
  <c r="B880" i="1"/>
  <c r="C880" i="1" s="1"/>
  <c r="B881" i="1"/>
  <c r="B882" i="1"/>
  <c r="C882" i="1" s="1"/>
  <c r="B883" i="1"/>
  <c r="B884" i="1"/>
  <c r="C884" i="1" s="1"/>
  <c r="B885" i="1"/>
  <c r="B886" i="1"/>
  <c r="C886" i="1" s="1"/>
  <c r="B887" i="1"/>
  <c r="B888" i="1"/>
  <c r="C888" i="1" s="1"/>
  <c r="B889" i="1"/>
  <c r="B890" i="1"/>
  <c r="C890" i="1" s="1"/>
  <c r="B891" i="1"/>
  <c r="B892" i="1"/>
  <c r="C892" i="1" s="1"/>
  <c r="B893" i="1"/>
  <c r="B894" i="1"/>
  <c r="C894" i="1" s="1"/>
  <c r="B895" i="1"/>
  <c r="B896" i="1"/>
  <c r="C896" i="1" s="1"/>
  <c r="B897" i="1"/>
  <c r="B898" i="1"/>
  <c r="C898" i="1" s="1"/>
  <c r="B899" i="1"/>
  <c r="B900" i="1"/>
  <c r="C900" i="1" s="1"/>
  <c r="B901" i="1"/>
  <c r="B902" i="1"/>
  <c r="C902" i="1" s="1"/>
  <c r="B903" i="1"/>
  <c r="B904" i="1"/>
  <c r="C904" i="1" s="1"/>
  <c r="B905" i="1"/>
  <c r="B906" i="1"/>
  <c r="C906" i="1" s="1"/>
  <c r="B907" i="1"/>
  <c r="B908" i="1"/>
  <c r="C908" i="1" s="1"/>
  <c r="B909" i="1"/>
  <c r="B910" i="1"/>
  <c r="C910" i="1" s="1"/>
  <c r="B911" i="1"/>
  <c r="B912" i="1"/>
  <c r="C912" i="1" s="1"/>
  <c r="B913" i="1"/>
  <c r="B914" i="1"/>
  <c r="C914" i="1" s="1"/>
  <c r="B915" i="1"/>
  <c r="B916" i="1"/>
  <c r="C916" i="1" s="1"/>
  <c r="B917" i="1"/>
  <c r="B918" i="1"/>
  <c r="C918" i="1" s="1"/>
  <c r="B919" i="1"/>
  <c r="B920" i="1"/>
  <c r="C920" i="1" s="1"/>
  <c r="C515" i="1"/>
  <c r="C518" i="1"/>
  <c r="C520" i="1"/>
  <c r="C525" i="1"/>
  <c r="C528" i="1"/>
  <c r="C531" i="1"/>
  <c r="C535" i="1"/>
  <c r="C539" i="1"/>
  <c r="C553" i="1"/>
  <c r="C555" i="1"/>
  <c r="C559" i="1"/>
  <c r="C562" i="1"/>
  <c r="C564" i="1"/>
  <c r="C568" i="1"/>
  <c r="C570" i="1"/>
  <c r="C574" i="1"/>
  <c r="C576" i="1"/>
  <c r="C579" i="1"/>
  <c r="C586" i="1"/>
  <c r="C588" i="1"/>
  <c r="C590" i="1"/>
  <c r="C592" i="1"/>
  <c r="C596" i="1"/>
  <c r="C598" i="1"/>
  <c r="C600" i="1"/>
  <c r="C608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89" i="1"/>
  <c r="C691" i="1"/>
  <c r="C693" i="1"/>
  <c r="C695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AJ531" i="1"/>
  <c r="AJ557" i="1"/>
  <c r="AJ565" i="1"/>
  <c r="AJ618" i="1"/>
  <c r="AJ624" i="1"/>
  <c r="AJ626" i="1"/>
  <c r="AJ634" i="1"/>
  <c r="AJ640" i="1"/>
  <c r="AJ642" i="1"/>
  <c r="AJ650" i="1"/>
  <c r="AJ656" i="1"/>
  <c r="AJ658" i="1"/>
  <c r="AJ661" i="1"/>
  <c r="AJ665" i="1"/>
  <c r="AJ666" i="1"/>
  <c r="AJ669" i="1"/>
  <c r="AJ672" i="1"/>
  <c r="AJ673" i="1"/>
  <c r="AJ674" i="1"/>
  <c r="AJ677" i="1"/>
  <c r="AJ680" i="1"/>
  <c r="AJ681" i="1"/>
  <c r="AJ682" i="1"/>
  <c r="AJ684" i="1"/>
  <c r="AJ685" i="1"/>
  <c r="AJ688" i="1"/>
  <c r="AJ689" i="1"/>
  <c r="AJ690" i="1"/>
  <c r="AJ691" i="1"/>
  <c r="AJ692" i="1"/>
  <c r="AJ693" i="1"/>
  <c r="AJ696" i="1"/>
  <c r="AJ697" i="1"/>
  <c r="AJ698" i="1"/>
  <c r="AJ701" i="1"/>
  <c r="AJ705" i="1"/>
  <c r="AJ706" i="1"/>
  <c r="AJ708" i="1"/>
  <c r="AJ709" i="1"/>
  <c r="AJ712" i="1"/>
  <c r="AJ713" i="1"/>
  <c r="AJ714" i="1"/>
  <c r="AJ716" i="1"/>
  <c r="AJ717" i="1"/>
  <c r="AJ720" i="1"/>
  <c r="AJ721" i="1"/>
  <c r="AJ722" i="1"/>
  <c r="AJ723" i="1"/>
  <c r="AJ724" i="1"/>
  <c r="AJ725" i="1"/>
  <c r="AJ729" i="1"/>
  <c r="AJ730" i="1"/>
  <c r="AJ732" i="1"/>
  <c r="AJ733" i="1"/>
  <c r="AJ737" i="1"/>
  <c r="AJ738" i="1"/>
  <c r="AJ740" i="1"/>
  <c r="AJ741" i="1"/>
  <c r="AJ743" i="1"/>
  <c r="AJ745" i="1"/>
  <c r="AJ746" i="1"/>
  <c r="AJ747" i="1"/>
  <c r="AJ748" i="1"/>
  <c r="AJ749" i="1"/>
  <c r="AJ751" i="1"/>
  <c r="AJ753" i="1"/>
  <c r="AJ754" i="1"/>
  <c r="AJ755" i="1"/>
  <c r="AJ756" i="1"/>
  <c r="AJ757" i="1"/>
  <c r="AJ759" i="1"/>
  <c r="AJ761" i="1"/>
  <c r="AJ762" i="1"/>
  <c r="AJ763" i="1"/>
  <c r="AJ764" i="1"/>
  <c r="AJ765" i="1"/>
  <c r="AJ767" i="1"/>
  <c r="AJ769" i="1"/>
  <c r="AJ770" i="1"/>
  <c r="AJ771" i="1"/>
  <c r="AJ772" i="1"/>
  <c r="AJ773" i="1"/>
  <c r="AJ775" i="1"/>
  <c r="AJ777" i="1"/>
  <c r="AJ778" i="1"/>
  <c r="AJ779" i="1"/>
  <c r="AJ780" i="1"/>
  <c r="AJ781" i="1"/>
  <c r="AJ783" i="1"/>
  <c r="AJ784" i="1"/>
  <c r="AJ785" i="1"/>
  <c r="AJ786" i="1"/>
  <c r="AJ787" i="1"/>
  <c r="AJ788" i="1"/>
  <c r="AJ789" i="1"/>
  <c r="AJ791" i="1"/>
  <c r="AJ793" i="1"/>
  <c r="AJ794" i="1"/>
  <c r="AJ795" i="1"/>
  <c r="AJ796" i="1"/>
  <c r="AJ797" i="1"/>
  <c r="AJ799" i="1"/>
  <c r="AJ801" i="1"/>
  <c r="AJ802" i="1"/>
  <c r="AJ803" i="1"/>
  <c r="AJ804" i="1"/>
  <c r="AJ805" i="1"/>
  <c r="AJ807" i="1"/>
  <c r="AJ809" i="1"/>
  <c r="AJ811" i="1"/>
  <c r="AJ812" i="1"/>
  <c r="AJ813" i="1"/>
  <c r="AJ815" i="1"/>
  <c r="AJ817" i="1"/>
  <c r="AJ818" i="1"/>
  <c r="AJ819" i="1"/>
  <c r="AJ820" i="1"/>
  <c r="AJ821" i="1"/>
  <c r="AJ823" i="1"/>
  <c r="AJ824" i="1"/>
  <c r="AJ825" i="1"/>
  <c r="AJ826" i="1"/>
  <c r="AJ827" i="1"/>
  <c r="AJ828" i="1"/>
  <c r="AJ829" i="1"/>
  <c r="AJ831" i="1"/>
  <c r="AJ833" i="1"/>
  <c r="AJ834" i="1"/>
  <c r="AJ835" i="1"/>
  <c r="AJ836" i="1"/>
  <c r="AJ837" i="1"/>
  <c r="AJ839" i="1"/>
  <c r="AJ841" i="1"/>
  <c r="AJ842" i="1"/>
  <c r="AJ843" i="1"/>
  <c r="AJ844" i="1"/>
  <c r="AJ845" i="1"/>
  <c r="AJ847" i="1"/>
  <c r="AJ848" i="1"/>
  <c r="AJ849" i="1"/>
  <c r="AJ850" i="1"/>
  <c r="AJ851" i="1"/>
  <c r="AJ852" i="1"/>
  <c r="AJ853" i="1"/>
  <c r="AJ855" i="1"/>
  <c r="AJ857" i="1"/>
  <c r="AJ858" i="1"/>
  <c r="AJ859" i="1"/>
  <c r="AJ860" i="1"/>
  <c r="AJ861" i="1"/>
  <c r="AJ863" i="1"/>
  <c r="AJ865" i="1"/>
  <c r="AJ866" i="1"/>
  <c r="AJ867" i="1"/>
  <c r="AJ868" i="1"/>
  <c r="AJ869" i="1"/>
  <c r="AJ871" i="1"/>
  <c r="AJ873" i="1"/>
  <c r="AJ874" i="1"/>
  <c r="AJ875" i="1"/>
  <c r="AJ876" i="1"/>
  <c r="AJ877" i="1"/>
  <c r="AJ879" i="1"/>
  <c r="AJ880" i="1"/>
  <c r="AJ881" i="1"/>
  <c r="AJ882" i="1"/>
  <c r="AJ883" i="1"/>
  <c r="AJ884" i="1"/>
  <c r="AJ885" i="1"/>
  <c r="AJ887" i="1"/>
  <c r="AJ888" i="1"/>
  <c r="AJ889" i="1"/>
  <c r="AJ890" i="1"/>
  <c r="AJ891" i="1"/>
  <c r="AJ892" i="1"/>
  <c r="AJ893" i="1"/>
  <c r="AJ895" i="1"/>
  <c r="AJ896" i="1"/>
  <c r="AJ897" i="1"/>
  <c r="AJ898" i="1"/>
  <c r="AJ899" i="1"/>
  <c r="AJ900" i="1"/>
  <c r="AJ901" i="1"/>
  <c r="AJ903" i="1"/>
  <c r="AJ905" i="1"/>
  <c r="AJ906" i="1"/>
  <c r="AJ907" i="1"/>
  <c r="AJ908" i="1"/>
  <c r="AJ909" i="1"/>
  <c r="AJ911" i="1"/>
  <c r="AJ912" i="1"/>
  <c r="AJ913" i="1"/>
  <c r="AJ914" i="1"/>
  <c r="AJ915" i="1"/>
  <c r="AJ916" i="1"/>
  <c r="AJ917" i="1"/>
  <c r="AJ919" i="1"/>
  <c r="AJ920" i="1"/>
  <c r="AL523" i="1"/>
  <c r="AL531" i="1"/>
  <c r="AL540" i="1"/>
  <c r="AL544" i="1"/>
  <c r="AL547" i="1"/>
  <c r="AL557" i="1"/>
  <c r="AL565" i="1"/>
  <c r="AL566" i="1"/>
  <c r="AL581" i="1"/>
  <c r="AL584" i="1"/>
  <c r="AL588" i="1"/>
  <c r="AL589" i="1"/>
  <c r="AL590" i="1"/>
  <c r="AL591" i="1"/>
  <c r="AL593" i="1"/>
  <c r="AL594" i="1"/>
  <c r="AL596" i="1"/>
  <c r="AL597" i="1"/>
  <c r="AL598" i="1"/>
  <c r="AL599" i="1"/>
  <c r="AL601" i="1"/>
  <c r="AL602" i="1"/>
  <c r="AL603" i="1"/>
  <c r="AL604" i="1"/>
  <c r="AL606" i="1"/>
  <c r="AL607" i="1"/>
  <c r="AL609" i="1"/>
  <c r="AL610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R516" i="1"/>
  <c r="AR522" i="1"/>
  <c r="AR539" i="1"/>
  <c r="AR542" i="1"/>
  <c r="AR546" i="1"/>
  <c r="AR548" i="1"/>
  <c r="AR550" i="1"/>
  <c r="AR580" i="1"/>
  <c r="AR588" i="1"/>
  <c r="AR590" i="1"/>
  <c r="AR596" i="1"/>
  <c r="AR598" i="1"/>
  <c r="AR606" i="1"/>
  <c r="AR610" i="1"/>
  <c r="AR612" i="1"/>
  <c r="AR614" i="1"/>
  <c r="AR616" i="1"/>
  <c r="AR618" i="1"/>
  <c r="AR620" i="1"/>
  <c r="AR622" i="1"/>
  <c r="AR624" i="1"/>
  <c r="AR626" i="1"/>
  <c r="AR628" i="1"/>
  <c r="AR630" i="1"/>
  <c r="AR632" i="1"/>
  <c r="AR634" i="1"/>
  <c r="AR636" i="1"/>
  <c r="AR638" i="1"/>
  <c r="AR640" i="1"/>
  <c r="AR642" i="1"/>
  <c r="AR644" i="1"/>
  <c r="AR646" i="1"/>
  <c r="AR648" i="1"/>
  <c r="AR650" i="1"/>
  <c r="AR652" i="1"/>
  <c r="AR654" i="1"/>
  <c r="AR656" i="1"/>
  <c r="AR658" i="1"/>
  <c r="AR660" i="1"/>
  <c r="AR662" i="1"/>
  <c r="AR664" i="1"/>
  <c r="AR666" i="1"/>
  <c r="AR668" i="1"/>
  <c r="AR670" i="1"/>
  <c r="AR672" i="1"/>
  <c r="AR674" i="1"/>
  <c r="AR676" i="1"/>
  <c r="AR678" i="1"/>
  <c r="AR680" i="1"/>
  <c r="AR682" i="1"/>
  <c r="AR684" i="1"/>
  <c r="AR686" i="1"/>
  <c r="AR688" i="1"/>
  <c r="AR690" i="1"/>
  <c r="AR692" i="1"/>
  <c r="AR694" i="1"/>
  <c r="AR696" i="1"/>
  <c r="AR698" i="1"/>
  <c r="AR700" i="1"/>
  <c r="AR702" i="1"/>
  <c r="AR704" i="1"/>
  <c r="AR706" i="1"/>
  <c r="AR708" i="1"/>
  <c r="AR710" i="1"/>
  <c r="AR712" i="1"/>
  <c r="AR714" i="1"/>
  <c r="AR716" i="1"/>
  <c r="AR718" i="1"/>
  <c r="AR720" i="1"/>
  <c r="AR722" i="1"/>
  <c r="AR724" i="1"/>
  <c r="AR726" i="1"/>
  <c r="AR728" i="1"/>
  <c r="AR729" i="1"/>
  <c r="AR732" i="1"/>
  <c r="AR733" i="1"/>
  <c r="AR737" i="1"/>
  <c r="AR779" i="1"/>
  <c r="AR533" i="1"/>
  <c r="AR537" i="1"/>
  <c r="AR565" i="1"/>
  <c r="AR571" i="1"/>
  <c r="AR583" i="1"/>
  <c r="AR593" i="1"/>
  <c r="AR601" i="1"/>
  <c r="AR603" i="1"/>
  <c r="AR609" i="1"/>
  <c r="AR611" i="1"/>
  <c r="AR613" i="1"/>
  <c r="AR615" i="1"/>
  <c r="AR617" i="1"/>
  <c r="AR619" i="1"/>
  <c r="AR621" i="1"/>
  <c r="AR623" i="1"/>
  <c r="AR625" i="1"/>
  <c r="AR627" i="1"/>
  <c r="AR629" i="1"/>
  <c r="AR631" i="1"/>
  <c r="AR633" i="1"/>
  <c r="AR635" i="1"/>
  <c r="AR637" i="1"/>
  <c r="AR639" i="1"/>
  <c r="AR641" i="1"/>
  <c r="AR643" i="1"/>
  <c r="AR645" i="1"/>
  <c r="AR647" i="1"/>
  <c r="AR649" i="1"/>
  <c r="AR651" i="1"/>
  <c r="AR653" i="1"/>
  <c r="AR655" i="1"/>
  <c r="AR657" i="1"/>
  <c r="AR659" i="1"/>
  <c r="AR661" i="1"/>
  <c r="AR663" i="1"/>
  <c r="AR665" i="1"/>
  <c r="AR667" i="1"/>
  <c r="AR669" i="1"/>
  <c r="AR671" i="1"/>
  <c r="AR673" i="1"/>
  <c r="AR675" i="1"/>
  <c r="AR677" i="1"/>
  <c r="AR679" i="1"/>
  <c r="AR681" i="1"/>
  <c r="AR683" i="1"/>
  <c r="AR685" i="1"/>
  <c r="AR687" i="1"/>
  <c r="AR689" i="1"/>
  <c r="AR691" i="1"/>
  <c r="AR693" i="1"/>
  <c r="AR695" i="1"/>
  <c r="AR697" i="1"/>
  <c r="AR699" i="1"/>
  <c r="AR701" i="1"/>
  <c r="AR703" i="1"/>
  <c r="AR705" i="1"/>
  <c r="AR707" i="1"/>
  <c r="AR709" i="1"/>
  <c r="AR711" i="1"/>
  <c r="AR713" i="1"/>
  <c r="AR715" i="1"/>
  <c r="AR717" i="1"/>
  <c r="AR719" i="1"/>
  <c r="AR721" i="1"/>
  <c r="AR723" i="1"/>
  <c r="AR725" i="1"/>
  <c r="AR727" i="1"/>
  <c r="AR730" i="1"/>
  <c r="AR736" i="1"/>
  <c r="AR740" i="1"/>
  <c r="AR744" i="1"/>
  <c r="AR748" i="1"/>
  <c r="AR752" i="1"/>
  <c r="AR756" i="1"/>
  <c r="AR760" i="1"/>
  <c r="AR764" i="1"/>
  <c r="AR768" i="1"/>
  <c r="AR772" i="1"/>
  <c r="AR776" i="1"/>
  <c r="AR780" i="1"/>
  <c r="AR784" i="1"/>
  <c r="AR788" i="1"/>
  <c r="AR792" i="1"/>
  <c r="AR796" i="1"/>
  <c r="AR800" i="1"/>
  <c r="AR804" i="1"/>
  <c r="AR808" i="1"/>
  <c r="AR812" i="1"/>
  <c r="AR816" i="1"/>
  <c r="AR820" i="1"/>
  <c r="AR824" i="1"/>
  <c r="AR828" i="1"/>
  <c r="AR832" i="1"/>
  <c r="AR836" i="1"/>
  <c r="AR840" i="1"/>
  <c r="AR844" i="1"/>
  <c r="AR848" i="1"/>
  <c r="AR852" i="1"/>
  <c r="AR856" i="1"/>
  <c r="AR860" i="1"/>
  <c r="AR864" i="1"/>
  <c r="AR868" i="1"/>
  <c r="AR872" i="1"/>
  <c r="AR876" i="1"/>
  <c r="AR880" i="1"/>
  <c r="AR884" i="1"/>
  <c r="AR888" i="1"/>
  <c r="AR892" i="1"/>
  <c r="AR896" i="1"/>
  <c r="AR902" i="1"/>
  <c r="AR905" i="1"/>
  <c r="AR907" i="1"/>
  <c r="AR909" i="1"/>
  <c r="AR911" i="1"/>
  <c r="AR913" i="1"/>
  <c r="AR915" i="1"/>
  <c r="AR917" i="1"/>
  <c r="AR919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34" i="1"/>
  <c r="D33" i="1"/>
  <c r="A35" i="1"/>
  <c r="AI33" i="1"/>
  <c r="AU5" i="1" l="1"/>
  <c r="AW5" i="1" s="1"/>
  <c r="AH918" i="1"/>
  <c r="AJ918" i="1"/>
  <c r="AH910" i="1"/>
  <c r="AJ910" i="1"/>
  <c r="AH904" i="1"/>
  <c r="AJ904" i="1"/>
  <c r="AH902" i="1"/>
  <c r="AJ902" i="1"/>
  <c r="AH894" i="1"/>
  <c r="AJ894" i="1"/>
  <c r="AH886" i="1"/>
  <c r="AJ886" i="1"/>
  <c r="AH878" i="1"/>
  <c r="AJ878" i="1"/>
  <c r="AH872" i="1"/>
  <c r="AJ872" i="1"/>
  <c r="AH870" i="1"/>
  <c r="AJ870" i="1"/>
  <c r="AH864" i="1"/>
  <c r="AJ864" i="1"/>
  <c r="AH862" i="1"/>
  <c r="AJ862" i="1"/>
  <c r="AH856" i="1"/>
  <c r="AJ856" i="1"/>
  <c r="AH854" i="1"/>
  <c r="AJ854" i="1"/>
  <c r="AH846" i="1"/>
  <c r="AJ846" i="1"/>
  <c r="AH840" i="1"/>
  <c r="AJ840" i="1"/>
  <c r="AH838" i="1"/>
  <c r="AJ838" i="1"/>
  <c r="AH832" i="1"/>
  <c r="AJ832" i="1"/>
  <c r="AH830" i="1"/>
  <c r="AJ830" i="1"/>
  <c r="AH822" i="1"/>
  <c r="AJ822" i="1"/>
  <c r="AH816" i="1"/>
  <c r="AJ816" i="1"/>
  <c r="AH814" i="1"/>
  <c r="AJ814" i="1"/>
  <c r="AH810" i="1"/>
  <c r="AJ810" i="1"/>
  <c r="AH808" i="1"/>
  <c r="AJ808" i="1"/>
  <c r="AH806" i="1"/>
  <c r="AJ806" i="1"/>
  <c r="AH800" i="1"/>
  <c r="AJ800" i="1"/>
  <c r="AH798" i="1"/>
  <c r="AJ798" i="1"/>
  <c r="AH792" i="1"/>
  <c r="AJ792" i="1"/>
  <c r="AH790" i="1"/>
  <c r="AJ790" i="1"/>
  <c r="AH782" i="1"/>
  <c r="AJ782" i="1"/>
  <c r="AH776" i="1"/>
  <c r="AJ776" i="1"/>
  <c r="AH774" i="1"/>
  <c r="AJ774" i="1"/>
  <c r="AH768" i="1"/>
  <c r="AJ768" i="1"/>
  <c r="AH766" i="1"/>
  <c r="AJ766" i="1"/>
  <c r="AH760" i="1"/>
  <c r="AJ760" i="1"/>
  <c r="AH758" i="1"/>
  <c r="AJ758" i="1"/>
  <c r="AH752" i="1"/>
  <c r="AJ752" i="1"/>
  <c r="AH750" i="1"/>
  <c r="AJ750" i="1"/>
  <c r="AH744" i="1"/>
  <c r="AJ744" i="1"/>
  <c r="AH742" i="1"/>
  <c r="AJ742" i="1"/>
  <c r="AH736" i="1"/>
  <c r="AJ736" i="1"/>
  <c r="AH734" i="1"/>
  <c r="AJ734" i="1"/>
  <c r="AH728" i="1"/>
  <c r="AJ728" i="1"/>
  <c r="AH726" i="1"/>
  <c r="AJ726" i="1"/>
  <c r="AH718" i="1"/>
  <c r="AJ718" i="1"/>
  <c r="AH710" i="1"/>
  <c r="AJ710" i="1"/>
  <c r="AH704" i="1"/>
  <c r="AJ704" i="1"/>
  <c r="AH702" i="1"/>
  <c r="AJ702" i="1"/>
  <c r="AH700" i="1"/>
  <c r="AJ700" i="1"/>
  <c r="AH694" i="1"/>
  <c r="AJ694" i="1"/>
  <c r="AH686" i="1"/>
  <c r="AJ686" i="1"/>
  <c r="AH678" i="1"/>
  <c r="AJ678" i="1"/>
  <c r="AH676" i="1"/>
  <c r="AJ676" i="1"/>
  <c r="AH670" i="1"/>
  <c r="AJ670" i="1"/>
  <c r="AH668" i="1"/>
  <c r="AJ668" i="1"/>
  <c r="AH664" i="1"/>
  <c r="AJ664" i="1"/>
  <c r="AH662" i="1"/>
  <c r="AJ662" i="1"/>
  <c r="AH660" i="1"/>
  <c r="AJ660" i="1"/>
  <c r="AH654" i="1"/>
  <c r="AJ654" i="1"/>
  <c r="AH652" i="1"/>
  <c r="AJ652" i="1"/>
  <c r="AH648" i="1"/>
  <c r="AJ648" i="1"/>
  <c r="AH646" i="1"/>
  <c r="AJ646" i="1"/>
  <c r="AH644" i="1"/>
  <c r="AJ644" i="1"/>
  <c r="AH638" i="1"/>
  <c r="AJ638" i="1"/>
  <c r="AH636" i="1"/>
  <c r="AJ636" i="1"/>
  <c r="AH632" i="1"/>
  <c r="AJ632" i="1"/>
  <c r="AH630" i="1"/>
  <c r="AJ630" i="1"/>
  <c r="AH628" i="1"/>
  <c r="AJ628" i="1"/>
  <c r="AH622" i="1"/>
  <c r="AJ622" i="1"/>
  <c r="AH620" i="1"/>
  <c r="AJ620" i="1"/>
  <c r="AH616" i="1"/>
  <c r="AJ616" i="1"/>
  <c r="AH614" i="1"/>
  <c r="AJ614" i="1"/>
  <c r="AH606" i="1"/>
  <c r="AJ606" i="1"/>
  <c r="AH598" i="1"/>
  <c r="AJ598" i="1"/>
  <c r="AH596" i="1"/>
  <c r="AJ596" i="1"/>
  <c r="AH590" i="1"/>
  <c r="AJ590" i="1"/>
  <c r="AH588" i="1"/>
  <c r="AJ588" i="1"/>
  <c r="AH739" i="1"/>
  <c r="AJ739" i="1"/>
  <c r="AH735" i="1"/>
  <c r="AJ735" i="1"/>
  <c r="AH731" i="1"/>
  <c r="AJ731" i="1"/>
  <c r="AH727" i="1"/>
  <c r="AJ727" i="1"/>
  <c r="AH719" i="1"/>
  <c r="AJ719" i="1"/>
  <c r="AH715" i="1"/>
  <c r="AJ715" i="1"/>
  <c r="AH711" i="1"/>
  <c r="AJ711" i="1"/>
  <c r="AH707" i="1"/>
  <c r="AJ707" i="1"/>
  <c r="AH703" i="1"/>
  <c r="AJ703" i="1"/>
  <c r="AH699" i="1"/>
  <c r="AJ699" i="1"/>
  <c r="AH695" i="1"/>
  <c r="AJ695" i="1"/>
  <c r="AH687" i="1"/>
  <c r="AJ687" i="1"/>
  <c r="AH683" i="1"/>
  <c r="AJ683" i="1"/>
  <c r="AH679" i="1"/>
  <c r="AJ679" i="1"/>
  <c r="AH675" i="1"/>
  <c r="AJ675" i="1"/>
  <c r="AH671" i="1"/>
  <c r="AJ671" i="1"/>
  <c r="AH667" i="1"/>
  <c r="AJ667" i="1"/>
  <c r="AH663" i="1"/>
  <c r="AJ663" i="1"/>
  <c r="AH659" i="1"/>
  <c r="AJ659" i="1"/>
  <c r="AH657" i="1"/>
  <c r="AJ657" i="1"/>
  <c r="AH655" i="1"/>
  <c r="AJ655" i="1"/>
  <c r="AH653" i="1"/>
  <c r="AJ653" i="1"/>
  <c r="AH651" i="1"/>
  <c r="AJ651" i="1"/>
  <c r="AH649" i="1"/>
  <c r="AJ649" i="1"/>
  <c r="AH647" i="1"/>
  <c r="AJ647" i="1"/>
  <c r="AH645" i="1"/>
  <c r="AJ645" i="1"/>
  <c r="AH643" i="1"/>
  <c r="AJ643" i="1"/>
  <c r="AH641" i="1"/>
  <c r="AJ641" i="1"/>
  <c r="AH639" i="1"/>
  <c r="AJ639" i="1"/>
  <c r="AH637" i="1"/>
  <c r="AJ637" i="1"/>
  <c r="AH635" i="1"/>
  <c r="AJ635" i="1"/>
  <c r="AH633" i="1"/>
  <c r="AJ633" i="1"/>
  <c r="AH631" i="1"/>
  <c r="AJ631" i="1"/>
  <c r="AH629" i="1"/>
  <c r="AJ629" i="1"/>
  <c r="AH627" i="1"/>
  <c r="AJ627" i="1"/>
  <c r="AH625" i="1"/>
  <c r="AJ625" i="1"/>
  <c r="AH623" i="1"/>
  <c r="AJ623" i="1"/>
  <c r="AH621" i="1"/>
  <c r="AJ621" i="1"/>
  <c r="AH619" i="1"/>
  <c r="AJ619" i="1"/>
  <c r="AH617" i="1"/>
  <c r="AJ617" i="1"/>
  <c r="AH615" i="1"/>
  <c r="AJ615" i="1"/>
  <c r="AH613" i="1"/>
  <c r="AJ613" i="1"/>
  <c r="AH609" i="1"/>
  <c r="AJ609" i="1"/>
  <c r="AH603" i="1"/>
  <c r="AJ603" i="1"/>
  <c r="AH601" i="1"/>
  <c r="AJ601" i="1"/>
  <c r="AH593" i="1"/>
  <c r="AJ593" i="1"/>
  <c r="AH544" i="1"/>
  <c r="AJ544" i="1"/>
  <c r="AD919" i="1"/>
  <c r="AH919" i="1"/>
  <c r="AD917" i="1"/>
  <c r="AH917" i="1"/>
  <c r="AD915" i="1"/>
  <c r="AH915" i="1"/>
  <c r="AD913" i="1"/>
  <c r="AH913" i="1"/>
  <c r="AD911" i="1"/>
  <c r="AH911" i="1"/>
  <c r="AD909" i="1"/>
  <c r="AH909" i="1"/>
  <c r="AD907" i="1"/>
  <c r="AH907" i="1"/>
  <c r="AD905" i="1"/>
  <c r="AH905" i="1"/>
  <c r="AD903" i="1"/>
  <c r="AH903" i="1"/>
  <c r="AD901" i="1"/>
  <c r="AH901" i="1"/>
  <c r="AD899" i="1"/>
  <c r="AH899" i="1"/>
  <c r="AD897" i="1"/>
  <c r="AH897" i="1"/>
  <c r="AD895" i="1"/>
  <c r="AH895" i="1"/>
  <c r="AD893" i="1"/>
  <c r="AH893" i="1"/>
  <c r="AD891" i="1"/>
  <c r="AH891" i="1"/>
  <c r="AD889" i="1"/>
  <c r="AH889" i="1"/>
  <c r="AD887" i="1"/>
  <c r="AH887" i="1"/>
  <c r="AD885" i="1"/>
  <c r="AH885" i="1"/>
  <c r="AD883" i="1"/>
  <c r="AH883" i="1"/>
  <c r="AD881" i="1"/>
  <c r="AH881" i="1"/>
  <c r="AD879" i="1"/>
  <c r="AH879" i="1"/>
  <c r="AD877" i="1"/>
  <c r="AH877" i="1"/>
  <c r="AD875" i="1"/>
  <c r="AH875" i="1"/>
  <c r="AD873" i="1"/>
  <c r="AH873" i="1"/>
  <c r="AD871" i="1"/>
  <c r="AH871" i="1"/>
  <c r="AD869" i="1"/>
  <c r="AH869" i="1"/>
  <c r="AD867" i="1"/>
  <c r="AH867" i="1"/>
  <c r="AD865" i="1"/>
  <c r="AH865" i="1"/>
  <c r="AD863" i="1"/>
  <c r="AH863" i="1"/>
  <c r="AD861" i="1"/>
  <c r="AH861" i="1"/>
  <c r="AD859" i="1"/>
  <c r="AH859" i="1"/>
  <c r="AD857" i="1"/>
  <c r="AH857" i="1"/>
  <c r="AD855" i="1"/>
  <c r="AH855" i="1"/>
  <c r="AD853" i="1"/>
  <c r="AH853" i="1"/>
  <c r="AD851" i="1"/>
  <c r="AH851" i="1"/>
  <c r="AD849" i="1"/>
  <c r="AH849" i="1"/>
  <c r="AD847" i="1"/>
  <c r="AH847" i="1"/>
  <c r="AD845" i="1"/>
  <c r="AH845" i="1"/>
  <c r="AD843" i="1"/>
  <c r="AH843" i="1"/>
  <c r="AD841" i="1"/>
  <c r="AH841" i="1"/>
  <c r="AD839" i="1"/>
  <c r="AH839" i="1"/>
  <c r="AD837" i="1"/>
  <c r="AH837" i="1"/>
  <c r="AD835" i="1"/>
  <c r="AH835" i="1"/>
  <c r="AD833" i="1"/>
  <c r="AH833" i="1"/>
  <c r="AD831" i="1"/>
  <c r="AH831" i="1"/>
  <c r="AD829" i="1"/>
  <c r="AH829" i="1"/>
  <c r="AD827" i="1"/>
  <c r="AH827" i="1"/>
  <c r="AD825" i="1"/>
  <c r="AH825" i="1"/>
  <c r="AD823" i="1"/>
  <c r="AH823" i="1"/>
  <c r="AD821" i="1"/>
  <c r="AH821" i="1"/>
  <c r="AD819" i="1"/>
  <c r="AH819" i="1"/>
  <c r="AD817" i="1"/>
  <c r="AH817" i="1"/>
  <c r="AD815" i="1"/>
  <c r="AH815" i="1"/>
  <c r="AD813" i="1"/>
  <c r="AH813" i="1"/>
  <c r="AD811" i="1"/>
  <c r="AH811" i="1"/>
  <c r="AD809" i="1"/>
  <c r="AH809" i="1"/>
  <c r="AD807" i="1"/>
  <c r="AH807" i="1"/>
  <c r="AD805" i="1"/>
  <c r="AH805" i="1"/>
  <c r="AD803" i="1"/>
  <c r="AH803" i="1"/>
  <c r="AD801" i="1"/>
  <c r="AH801" i="1"/>
  <c r="AD799" i="1"/>
  <c r="AH799" i="1"/>
  <c r="AD797" i="1"/>
  <c r="AH797" i="1"/>
  <c r="AD795" i="1"/>
  <c r="AH795" i="1"/>
  <c r="AD793" i="1"/>
  <c r="AH793" i="1"/>
  <c r="AD791" i="1"/>
  <c r="AH791" i="1"/>
  <c r="AD789" i="1"/>
  <c r="AH789" i="1"/>
  <c r="AD787" i="1"/>
  <c r="AH787" i="1"/>
  <c r="AD785" i="1"/>
  <c r="AH785" i="1"/>
  <c r="AD783" i="1"/>
  <c r="AH783" i="1"/>
  <c r="AD781" i="1"/>
  <c r="AH781" i="1"/>
  <c r="AD779" i="1"/>
  <c r="AH779" i="1"/>
  <c r="AD777" i="1"/>
  <c r="AH777" i="1"/>
  <c r="AD775" i="1"/>
  <c r="AH775" i="1"/>
  <c r="AD773" i="1"/>
  <c r="AH773" i="1"/>
  <c r="AD771" i="1"/>
  <c r="AH771" i="1"/>
  <c r="AD769" i="1"/>
  <c r="AH769" i="1"/>
  <c r="AD767" i="1"/>
  <c r="AH767" i="1"/>
  <c r="AD765" i="1"/>
  <c r="AH765" i="1"/>
  <c r="AD763" i="1"/>
  <c r="AH763" i="1"/>
  <c r="AD761" i="1"/>
  <c r="AH761" i="1"/>
  <c r="AD759" i="1"/>
  <c r="AH759" i="1"/>
  <c r="AD757" i="1"/>
  <c r="AH757" i="1"/>
  <c r="AD755" i="1"/>
  <c r="AH755" i="1"/>
  <c r="AD753" i="1"/>
  <c r="AH753" i="1"/>
  <c r="AD751" i="1"/>
  <c r="AH751" i="1"/>
  <c r="AD749" i="1"/>
  <c r="AH749" i="1"/>
  <c r="AD747" i="1"/>
  <c r="AH747" i="1"/>
  <c r="AD745" i="1"/>
  <c r="AH745" i="1"/>
  <c r="AD743" i="1"/>
  <c r="AH743" i="1"/>
  <c r="AD741" i="1"/>
  <c r="AH741" i="1"/>
  <c r="AD737" i="1"/>
  <c r="AH737" i="1"/>
  <c r="AD733" i="1"/>
  <c r="AH733" i="1"/>
  <c r="AD729" i="1"/>
  <c r="AH729" i="1"/>
  <c r="AD725" i="1"/>
  <c r="AH725" i="1"/>
  <c r="AD723" i="1"/>
  <c r="AH723" i="1"/>
  <c r="AD721" i="1"/>
  <c r="AH721" i="1"/>
  <c r="AD717" i="1"/>
  <c r="AH717" i="1"/>
  <c r="AD713" i="1"/>
  <c r="AH713" i="1"/>
  <c r="AD709" i="1"/>
  <c r="AH709" i="1"/>
  <c r="AD705" i="1"/>
  <c r="AH705" i="1"/>
  <c r="AD701" i="1"/>
  <c r="AH701" i="1"/>
  <c r="AD697" i="1"/>
  <c r="AH697" i="1"/>
  <c r="AD693" i="1"/>
  <c r="AH693" i="1"/>
  <c r="AD691" i="1"/>
  <c r="AH691" i="1"/>
  <c r="AD689" i="1"/>
  <c r="AH689" i="1"/>
  <c r="AD685" i="1"/>
  <c r="AH685" i="1"/>
  <c r="AD681" i="1"/>
  <c r="AH681" i="1"/>
  <c r="AD677" i="1"/>
  <c r="AH677" i="1"/>
  <c r="AD673" i="1"/>
  <c r="AH673" i="1"/>
  <c r="AD669" i="1"/>
  <c r="AH669" i="1"/>
  <c r="AD665" i="1"/>
  <c r="AH665" i="1"/>
  <c r="AD661" i="1"/>
  <c r="AH661" i="1"/>
  <c r="AD920" i="1"/>
  <c r="AH920" i="1"/>
  <c r="AD916" i="1"/>
  <c r="AH916" i="1"/>
  <c r="AD914" i="1"/>
  <c r="AH914" i="1"/>
  <c r="AD912" i="1"/>
  <c r="AH912" i="1"/>
  <c r="AD908" i="1"/>
  <c r="AH908" i="1"/>
  <c r="AD906" i="1"/>
  <c r="AH906" i="1"/>
  <c r="AD900" i="1"/>
  <c r="AH900" i="1"/>
  <c r="AD898" i="1"/>
  <c r="AH898" i="1"/>
  <c r="AD896" i="1"/>
  <c r="AH896" i="1"/>
  <c r="AD892" i="1"/>
  <c r="AH892" i="1"/>
  <c r="AD890" i="1"/>
  <c r="AH890" i="1"/>
  <c r="AD888" i="1"/>
  <c r="AH888" i="1"/>
  <c r="AD884" i="1"/>
  <c r="AH884" i="1"/>
  <c r="AD882" i="1"/>
  <c r="AH882" i="1"/>
  <c r="AD880" i="1"/>
  <c r="AH880" i="1"/>
  <c r="AD876" i="1"/>
  <c r="AH876" i="1"/>
  <c r="AD874" i="1"/>
  <c r="AH874" i="1"/>
  <c r="AD868" i="1"/>
  <c r="AH868" i="1"/>
  <c r="AD866" i="1"/>
  <c r="AH866" i="1"/>
  <c r="AD860" i="1"/>
  <c r="AH860" i="1"/>
  <c r="AD858" i="1"/>
  <c r="AH858" i="1"/>
  <c r="AD852" i="1"/>
  <c r="AH852" i="1"/>
  <c r="AD850" i="1"/>
  <c r="AH850" i="1"/>
  <c r="AD848" i="1"/>
  <c r="AH848" i="1"/>
  <c r="AD844" i="1"/>
  <c r="AH844" i="1"/>
  <c r="AD842" i="1"/>
  <c r="AH842" i="1"/>
  <c r="AD836" i="1"/>
  <c r="AH836" i="1"/>
  <c r="AD834" i="1"/>
  <c r="AH834" i="1"/>
  <c r="AD828" i="1"/>
  <c r="AH828" i="1"/>
  <c r="AD826" i="1"/>
  <c r="AH826" i="1"/>
  <c r="AD824" i="1"/>
  <c r="AH824" i="1"/>
  <c r="AD820" i="1"/>
  <c r="AH820" i="1"/>
  <c r="AD818" i="1"/>
  <c r="AH818" i="1"/>
  <c r="AD812" i="1"/>
  <c r="AH812" i="1"/>
  <c r="AD804" i="1"/>
  <c r="AH804" i="1"/>
  <c r="AD802" i="1"/>
  <c r="AH802" i="1"/>
  <c r="AD796" i="1"/>
  <c r="AH796" i="1"/>
  <c r="AD794" i="1"/>
  <c r="AH794" i="1"/>
  <c r="AD788" i="1"/>
  <c r="AH788" i="1"/>
  <c r="AD786" i="1"/>
  <c r="AH786" i="1"/>
  <c r="AD784" i="1"/>
  <c r="AH784" i="1"/>
  <c r="AD780" i="1"/>
  <c r="AH780" i="1"/>
  <c r="AD778" i="1"/>
  <c r="AH778" i="1"/>
  <c r="AD772" i="1"/>
  <c r="AH772" i="1"/>
  <c r="AD770" i="1"/>
  <c r="AH770" i="1"/>
  <c r="AD764" i="1"/>
  <c r="AH764" i="1"/>
  <c r="AD762" i="1"/>
  <c r="AH762" i="1"/>
  <c r="AD756" i="1"/>
  <c r="AH756" i="1"/>
  <c r="AD754" i="1"/>
  <c r="AH754" i="1"/>
  <c r="AD748" i="1"/>
  <c r="AH748" i="1"/>
  <c r="AD746" i="1"/>
  <c r="AH746" i="1"/>
  <c r="AD740" i="1"/>
  <c r="AH740" i="1"/>
  <c r="AD738" i="1"/>
  <c r="AH738" i="1"/>
  <c r="AD732" i="1"/>
  <c r="AH732" i="1"/>
  <c r="AD730" i="1"/>
  <c r="AH730" i="1"/>
  <c r="AD724" i="1"/>
  <c r="AH724" i="1"/>
  <c r="AD722" i="1"/>
  <c r="AH722" i="1"/>
  <c r="AD720" i="1"/>
  <c r="AH720" i="1"/>
  <c r="AD716" i="1"/>
  <c r="AH716" i="1"/>
  <c r="AD714" i="1"/>
  <c r="AH714" i="1"/>
  <c r="AD712" i="1"/>
  <c r="AH712" i="1"/>
  <c r="AD708" i="1"/>
  <c r="AH708" i="1"/>
  <c r="AD706" i="1"/>
  <c r="AH706" i="1"/>
  <c r="AD698" i="1"/>
  <c r="AH698" i="1"/>
  <c r="AD696" i="1"/>
  <c r="AH696" i="1"/>
  <c r="AD692" i="1"/>
  <c r="AH692" i="1"/>
  <c r="AD690" i="1"/>
  <c r="AH690" i="1"/>
  <c r="AD688" i="1"/>
  <c r="AH688" i="1"/>
  <c r="AD684" i="1"/>
  <c r="AH684" i="1"/>
  <c r="AD682" i="1"/>
  <c r="AH682" i="1"/>
  <c r="AD680" i="1"/>
  <c r="AH680" i="1"/>
  <c r="AD674" i="1"/>
  <c r="AH674" i="1"/>
  <c r="AD672" i="1"/>
  <c r="AH672" i="1"/>
  <c r="AD666" i="1"/>
  <c r="AH666" i="1"/>
  <c r="AD658" i="1"/>
  <c r="AH658" i="1"/>
  <c r="AD656" i="1"/>
  <c r="AH656" i="1"/>
  <c r="AD650" i="1"/>
  <c r="AH650" i="1"/>
  <c r="AD642" i="1"/>
  <c r="AH642" i="1"/>
  <c r="AD640" i="1"/>
  <c r="AH640" i="1"/>
  <c r="AD634" i="1"/>
  <c r="AH634" i="1"/>
  <c r="AD626" i="1"/>
  <c r="AH626" i="1"/>
  <c r="AD624" i="1"/>
  <c r="AH624" i="1"/>
  <c r="AD618" i="1"/>
  <c r="AH618" i="1"/>
  <c r="AD565" i="1"/>
  <c r="AH565" i="1"/>
  <c r="AD557" i="1"/>
  <c r="AH557" i="1"/>
  <c r="AD531" i="1"/>
  <c r="AH531" i="1"/>
  <c r="AE918" i="1"/>
  <c r="AD918" i="1"/>
  <c r="AE910" i="1"/>
  <c r="AD910" i="1"/>
  <c r="AE904" i="1"/>
  <c r="AD904" i="1"/>
  <c r="AE902" i="1"/>
  <c r="AD902" i="1"/>
  <c r="AE894" i="1"/>
  <c r="AD894" i="1"/>
  <c r="AE886" i="1"/>
  <c r="AD886" i="1"/>
  <c r="AE878" i="1"/>
  <c r="AD878" i="1"/>
  <c r="AE872" i="1"/>
  <c r="AD872" i="1"/>
  <c r="AE870" i="1"/>
  <c r="AD870" i="1"/>
  <c r="AE864" i="1"/>
  <c r="AD864" i="1"/>
  <c r="AE862" i="1"/>
  <c r="AD862" i="1"/>
  <c r="AE856" i="1"/>
  <c r="AD856" i="1"/>
  <c r="AE854" i="1"/>
  <c r="AD854" i="1"/>
  <c r="AE846" i="1"/>
  <c r="AD846" i="1"/>
  <c r="AE840" i="1"/>
  <c r="AD840" i="1"/>
  <c r="AE838" i="1"/>
  <c r="AD838" i="1"/>
  <c r="AE832" i="1"/>
  <c r="AD832" i="1"/>
  <c r="AE830" i="1"/>
  <c r="AD830" i="1"/>
  <c r="AE822" i="1"/>
  <c r="AD822" i="1"/>
  <c r="AE816" i="1"/>
  <c r="AD816" i="1"/>
  <c r="AE814" i="1"/>
  <c r="AD814" i="1"/>
  <c r="AE810" i="1"/>
  <c r="AD810" i="1"/>
  <c r="AE808" i="1"/>
  <c r="AD808" i="1"/>
  <c r="AE806" i="1"/>
  <c r="AD806" i="1"/>
  <c r="AE800" i="1"/>
  <c r="AD800" i="1"/>
  <c r="AE798" i="1"/>
  <c r="AD798" i="1"/>
  <c r="AE792" i="1"/>
  <c r="AD792" i="1"/>
  <c r="AE790" i="1"/>
  <c r="AD790" i="1"/>
  <c r="AE782" i="1"/>
  <c r="AD782" i="1"/>
  <c r="AE776" i="1"/>
  <c r="AD776" i="1"/>
  <c r="AE774" i="1"/>
  <c r="AD774" i="1"/>
  <c r="AE768" i="1"/>
  <c r="AD768" i="1"/>
  <c r="AE766" i="1"/>
  <c r="AD766" i="1"/>
  <c r="AE760" i="1"/>
  <c r="AD760" i="1"/>
  <c r="AE758" i="1"/>
  <c r="AD758" i="1"/>
  <c r="AE752" i="1"/>
  <c r="AD752" i="1"/>
  <c r="AE750" i="1"/>
  <c r="AD750" i="1"/>
  <c r="AE744" i="1"/>
  <c r="AD744" i="1"/>
  <c r="AE742" i="1"/>
  <c r="AD742" i="1"/>
  <c r="AE736" i="1"/>
  <c r="AD736" i="1"/>
  <c r="AE734" i="1"/>
  <c r="AD734" i="1"/>
  <c r="AE728" i="1"/>
  <c r="AD728" i="1"/>
  <c r="AE726" i="1"/>
  <c r="AD726" i="1"/>
  <c r="AE718" i="1"/>
  <c r="AD718" i="1"/>
  <c r="AE710" i="1"/>
  <c r="AD710" i="1"/>
  <c r="AE704" i="1"/>
  <c r="AD704" i="1"/>
  <c r="AE702" i="1"/>
  <c r="AD702" i="1"/>
  <c r="AE700" i="1"/>
  <c r="AD700" i="1"/>
  <c r="AE694" i="1"/>
  <c r="AD694" i="1"/>
  <c r="AE686" i="1"/>
  <c r="AD686" i="1"/>
  <c r="AE678" i="1"/>
  <c r="AD678" i="1"/>
  <c r="AE676" i="1"/>
  <c r="AD676" i="1"/>
  <c r="AE670" i="1"/>
  <c r="AD670" i="1"/>
  <c r="AE668" i="1"/>
  <c r="AD668" i="1"/>
  <c r="AE664" i="1"/>
  <c r="AD664" i="1"/>
  <c r="AE662" i="1"/>
  <c r="AD662" i="1"/>
  <c r="AE660" i="1"/>
  <c r="AD660" i="1"/>
  <c r="AE654" i="1"/>
  <c r="AD654" i="1"/>
  <c r="AE652" i="1"/>
  <c r="AD652" i="1"/>
  <c r="AE648" i="1"/>
  <c r="AD648" i="1"/>
  <c r="AE646" i="1"/>
  <c r="AD646" i="1"/>
  <c r="AE644" i="1"/>
  <c r="AD644" i="1"/>
  <c r="AE638" i="1"/>
  <c r="AD638" i="1"/>
  <c r="AE636" i="1"/>
  <c r="AD636" i="1"/>
  <c r="AE632" i="1"/>
  <c r="AD632" i="1"/>
  <c r="AE630" i="1"/>
  <c r="AD630" i="1"/>
  <c r="AE628" i="1"/>
  <c r="AD628" i="1"/>
  <c r="AE622" i="1"/>
  <c r="AD622" i="1"/>
  <c r="AE620" i="1"/>
  <c r="AD620" i="1"/>
  <c r="AE616" i="1"/>
  <c r="AD616" i="1"/>
  <c r="AE614" i="1"/>
  <c r="AD614" i="1"/>
  <c r="AE606" i="1"/>
  <c r="AD606" i="1"/>
  <c r="AE598" i="1"/>
  <c r="AD598" i="1"/>
  <c r="AE596" i="1"/>
  <c r="AD596" i="1"/>
  <c r="AE590" i="1"/>
  <c r="AD590" i="1"/>
  <c r="AE588" i="1"/>
  <c r="AD588" i="1"/>
  <c r="AE739" i="1"/>
  <c r="AD739" i="1"/>
  <c r="AE735" i="1"/>
  <c r="AD735" i="1"/>
  <c r="AE731" i="1"/>
  <c r="AD731" i="1"/>
  <c r="AE727" i="1"/>
  <c r="AD727" i="1"/>
  <c r="AE719" i="1"/>
  <c r="AD719" i="1"/>
  <c r="AE715" i="1"/>
  <c r="AD715" i="1"/>
  <c r="AE711" i="1"/>
  <c r="AD711" i="1"/>
  <c r="AE707" i="1"/>
  <c r="AD707" i="1"/>
  <c r="AE703" i="1"/>
  <c r="AD703" i="1"/>
  <c r="AE699" i="1"/>
  <c r="AD699" i="1"/>
  <c r="AE695" i="1"/>
  <c r="AD695" i="1"/>
  <c r="AE687" i="1"/>
  <c r="AD687" i="1"/>
  <c r="AE683" i="1"/>
  <c r="AD683" i="1"/>
  <c r="AE679" i="1"/>
  <c r="AD679" i="1"/>
  <c r="AE675" i="1"/>
  <c r="AD675" i="1"/>
  <c r="AE671" i="1"/>
  <c r="AD671" i="1"/>
  <c r="AE667" i="1"/>
  <c r="AD667" i="1"/>
  <c r="AE663" i="1"/>
  <c r="AD663" i="1"/>
  <c r="AE659" i="1"/>
  <c r="AD659" i="1"/>
  <c r="AE657" i="1"/>
  <c r="AD657" i="1"/>
  <c r="AE655" i="1"/>
  <c r="AD655" i="1"/>
  <c r="AE653" i="1"/>
  <c r="AD653" i="1"/>
  <c r="AE651" i="1"/>
  <c r="AD651" i="1"/>
  <c r="AE649" i="1"/>
  <c r="AD649" i="1"/>
  <c r="AE647" i="1"/>
  <c r="AD647" i="1"/>
  <c r="AE645" i="1"/>
  <c r="AD645" i="1"/>
  <c r="AE643" i="1"/>
  <c r="AD643" i="1"/>
  <c r="AE641" i="1"/>
  <c r="AD641" i="1"/>
  <c r="AE639" i="1"/>
  <c r="AD639" i="1"/>
  <c r="AE637" i="1"/>
  <c r="AD637" i="1"/>
  <c r="AE635" i="1"/>
  <c r="AD635" i="1"/>
  <c r="AE633" i="1"/>
  <c r="AD633" i="1"/>
  <c r="AE631" i="1"/>
  <c r="AD631" i="1"/>
  <c r="AE629" i="1"/>
  <c r="AD629" i="1"/>
  <c r="AE627" i="1"/>
  <c r="AD627" i="1"/>
  <c r="AE625" i="1"/>
  <c r="AD625" i="1"/>
  <c r="AE623" i="1"/>
  <c r="AD623" i="1"/>
  <c r="AE621" i="1"/>
  <c r="AD621" i="1"/>
  <c r="AE619" i="1"/>
  <c r="AD619" i="1"/>
  <c r="AE617" i="1"/>
  <c r="AD617" i="1"/>
  <c r="AE615" i="1"/>
  <c r="AD615" i="1"/>
  <c r="AE613" i="1"/>
  <c r="AD613" i="1"/>
  <c r="AE609" i="1"/>
  <c r="AD609" i="1"/>
  <c r="AE603" i="1"/>
  <c r="AD603" i="1"/>
  <c r="AE601" i="1"/>
  <c r="AD601" i="1"/>
  <c r="AE593" i="1"/>
  <c r="AD593" i="1"/>
  <c r="AE544" i="1"/>
  <c r="AD544" i="1"/>
  <c r="AT919" i="1"/>
  <c r="AE919" i="1"/>
  <c r="AT917" i="1"/>
  <c r="AU917" i="1" s="1"/>
  <c r="AW917" i="1" s="1"/>
  <c r="AE917" i="1"/>
  <c r="AT915" i="1"/>
  <c r="AE915" i="1"/>
  <c r="AT913" i="1"/>
  <c r="AE913" i="1"/>
  <c r="AT911" i="1"/>
  <c r="AU911" i="1" s="1"/>
  <c r="AW911" i="1" s="1"/>
  <c r="AE911" i="1"/>
  <c r="AT909" i="1"/>
  <c r="AE909" i="1"/>
  <c r="AT907" i="1"/>
  <c r="AU907" i="1" s="1"/>
  <c r="AW907" i="1" s="1"/>
  <c r="AE907" i="1"/>
  <c r="AT905" i="1"/>
  <c r="AE905" i="1"/>
  <c r="AT903" i="1"/>
  <c r="AU903" i="1" s="1"/>
  <c r="AW903" i="1" s="1"/>
  <c r="AE903" i="1"/>
  <c r="AT901" i="1"/>
  <c r="AE901" i="1"/>
  <c r="AT899" i="1"/>
  <c r="AU899" i="1" s="1"/>
  <c r="AW899" i="1" s="1"/>
  <c r="AE899" i="1"/>
  <c r="AT897" i="1"/>
  <c r="AE897" i="1"/>
  <c r="AT895" i="1"/>
  <c r="AU895" i="1" s="1"/>
  <c r="AW895" i="1" s="1"/>
  <c r="AE895" i="1"/>
  <c r="AT893" i="1"/>
  <c r="AE893" i="1"/>
  <c r="AT891" i="1"/>
  <c r="AU891" i="1" s="1"/>
  <c r="AW891" i="1" s="1"/>
  <c r="AE891" i="1"/>
  <c r="AT889" i="1"/>
  <c r="AE889" i="1"/>
  <c r="AT887" i="1"/>
  <c r="AU887" i="1" s="1"/>
  <c r="AW887" i="1" s="1"/>
  <c r="AE887" i="1"/>
  <c r="AT885" i="1"/>
  <c r="AE885" i="1"/>
  <c r="AT883" i="1"/>
  <c r="AU883" i="1" s="1"/>
  <c r="AW883" i="1" s="1"/>
  <c r="AE883" i="1"/>
  <c r="AT881" i="1"/>
  <c r="AE881" i="1"/>
  <c r="AT879" i="1"/>
  <c r="AU879" i="1" s="1"/>
  <c r="AW879" i="1" s="1"/>
  <c r="AE879" i="1"/>
  <c r="AT877" i="1"/>
  <c r="AE877" i="1"/>
  <c r="AT875" i="1"/>
  <c r="AU875" i="1" s="1"/>
  <c r="AW875" i="1" s="1"/>
  <c r="AE875" i="1"/>
  <c r="AT873" i="1"/>
  <c r="AE873" i="1"/>
  <c r="AT871" i="1"/>
  <c r="AU871" i="1" s="1"/>
  <c r="AW871" i="1" s="1"/>
  <c r="AE871" i="1"/>
  <c r="AV869" i="1"/>
  <c r="AE869" i="1"/>
  <c r="AV867" i="1"/>
  <c r="AE867" i="1"/>
  <c r="AV865" i="1"/>
  <c r="AE865" i="1"/>
  <c r="AV863" i="1"/>
  <c r="AE863" i="1"/>
  <c r="AV861" i="1"/>
  <c r="AE861" i="1"/>
  <c r="AV859" i="1"/>
  <c r="AE859" i="1"/>
  <c r="AV857" i="1"/>
  <c r="AE857" i="1"/>
  <c r="AV855" i="1"/>
  <c r="AE855" i="1"/>
  <c r="AV853" i="1"/>
  <c r="AE853" i="1"/>
  <c r="AV851" i="1"/>
  <c r="AE851" i="1"/>
  <c r="AV849" i="1"/>
  <c r="AE849" i="1"/>
  <c r="AV847" i="1"/>
  <c r="AE847" i="1"/>
  <c r="AV845" i="1"/>
  <c r="AE845" i="1"/>
  <c r="AV843" i="1"/>
  <c r="AE843" i="1"/>
  <c r="AV841" i="1"/>
  <c r="AE841" i="1"/>
  <c r="AV839" i="1"/>
  <c r="AE839" i="1"/>
  <c r="AV837" i="1"/>
  <c r="AE837" i="1"/>
  <c r="AV835" i="1"/>
  <c r="AE835" i="1"/>
  <c r="AV833" i="1"/>
  <c r="AE833" i="1"/>
  <c r="AV831" i="1"/>
  <c r="AE831" i="1"/>
  <c r="AV829" i="1"/>
  <c r="AE829" i="1"/>
  <c r="AV827" i="1"/>
  <c r="AE827" i="1"/>
  <c r="AV825" i="1"/>
  <c r="AE825" i="1"/>
  <c r="AV823" i="1"/>
  <c r="AE823" i="1"/>
  <c r="AV821" i="1"/>
  <c r="AE821" i="1"/>
  <c r="AV819" i="1"/>
  <c r="AE819" i="1"/>
  <c r="AV817" i="1"/>
  <c r="AE817" i="1"/>
  <c r="AV815" i="1"/>
  <c r="AE815" i="1"/>
  <c r="AV813" i="1"/>
  <c r="AE813" i="1"/>
  <c r="AV811" i="1"/>
  <c r="AE811" i="1"/>
  <c r="AV809" i="1"/>
  <c r="AE809" i="1"/>
  <c r="AV807" i="1"/>
  <c r="AE807" i="1"/>
  <c r="AV805" i="1"/>
  <c r="AE805" i="1"/>
  <c r="AV803" i="1"/>
  <c r="AE803" i="1"/>
  <c r="AV801" i="1"/>
  <c r="AE801" i="1"/>
  <c r="AV799" i="1"/>
  <c r="AE799" i="1"/>
  <c r="AV797" i="1"/>
  <c r="AE797" i="1"/>
  <c r="AV795" i="1"/>
  <c r="AE795" i="1"/>
  <c r="AV793" i="1"/>
  <c r="AE793" i="1"/>
  <c r="AV791" i="1"/>
  <c r="AE791" i="1"/>
  <c r="AV789" i="1"/>
  <c r="AE789" i="1"/>
  <c r="AV787" i="1"/>
  <c r="AE787" i="1"/>
  <c r="AV785" i="1"/>
  <c r="AE785" i="1"/>
  <c r="AV783" i="1"/>
  <c r="AE783" i="1"/>
  <c r="AV781" i="1"/>
  <c r="AE781" i="1"/>
  <c r="AV779" i="1"/>
  <c r="AE779" i="1"/>
  <c r="AV777" i="1"/>
  <c r="AE777" i="1"/>
  <c r="AV775" i="1"/>
  <c r="AE775" i="1"/>
  <c r="AV773" i="1"/>
  <c r="AE773" i="1"/>
  <c r="AV771" i="1"/>
  <c r="AE771" i="1"/>
  <c r="AV769" i="1"/>
  <c r="AE769" i="1"/>
  <c r="AV767" i="1"/>
  <c r="AE767" i="1"/>
  <c r="AV765" i="1"/>
  <c r="AE765" i="1"/>
  <c r="AV763" i="1"/>
  <c r="AE763" i="1"/>
  <c r="AV761" i="1"/>
  <c r="AE761" i="1"/>
  <c r="AV759" i="1"/>
  <c r="AE759" i="1"/>
  <c r="AV757" i="1"/>
  <c r="AE757" i="1"/>
  <c r="AV755" i="1"/>
  <c r="AE755" i="1"/>
  <c r="AV753" i="1"/>
  <c r="AE753" i="1"/>
  <c r="AV751" i="1"/>
  <c r="AE751" i="1"/>
  <c r="AV749" i="1"/>
  <c r="AE749" i="1"/>
  <c r="AV747" i="1"/>
  <c r="AE747" i="1"/>
  <c r="AV745" i="1"/>
  <c r="AE745" i="1"/>
  <c r="AV743" i="1"/>
  <c r="AE743" i="1"/>
  <c r="AV741" i="1"/>
  <c r="AE741" i="1"/>
  <c r="AV737" i="1"/>
  <c r="AE737" i="1"/>
  <c r="AV733" i="1"/>
  <c r="AE733" i="1"/>
  <c r="AV729" i="1"/>
  <c r="AE729" i="1"/>
  <c r="AV725" i="1"/>
  <c r="AE725" i="1"/>
  <c r="AE723" i="1"/>
  <c r="AV721" i="1"/>
  <c r="AE721" i="1"/>
  <c r="AV717" i="1"/>
  <c r="AE717" i="1"/>
  <c r="AV713" i="1"/>
  <c r="AE713" i="1"/>
  <c r="AV709" i="1"/>
  <c r="AE709" i="1"/>
  <c r="AV705" i="1"/>
  <c r="AE705" i="1"/>
  <c r="AV701" i="1"/>
  <c r="AE701" i="1"/>
  <c r="AV697" i="1"/>
  <c r="AE697" i="1"/>
  <c r="AV693" i="1"/>
  <c r="AE693" i="1"/>
  <c r="AE691" i="1"/>
  <c r="AV689" i="1"/>
  <c r="AE689" i="1"/>
  <c r="AV685" i="1"/>
  <c r="AE685" i="1"/>
  <c r="AV681" i="1"/>
  <c r="AE681" i="1"/>
  <c r="AV677" i="1"/>
  <c r="AE677" i="1"/>
  <c r="AV673" i="1"/>
  <c r="AE673" i="1"/>
  <c r="AV669" i="1"/>
  <c r="AE669" i="1"/>
  <c r="AV665" i="1"/>
  <c r="AE665" i="1"/>
  <c r="AV661" i="1"/>
  <c r="AE661" i="1"/>
  <c r="AT920" i="1"/>
  <c r="AE920" i="1"/>
  <c r="AE916" i="1"/>
  <c r="AT914" i="1"/>
  <c r="AE914" i="1"/>
  <c r="AT912" i="1"/>
  <c r="AE912" i="1"/>
  <c r="AE908" i="1"/>
  <c r="AT906" i="1"/>
  <c r="AE906" i="1"/>
  <c r="AE900" i="1"/>
  <c r="AT898" i="1"/>
  <c r="AE898" i="1"/>
  <c r="AT896" i="1"/>
  <c r="AE896" i="1"/>
  <c r="AE892" i="1"/>
  <c r="AT890" i="1"/>
  <c r="AE890" i="1"/>
  <c r="AT888" i="1"/>
  <c r="AE888" i="1"/>
  <c r="AV884" i="1"/>
  <c r="AE884" i="1"/>
  <c r="AT882" i="1"/>
  <c r="AE882" i="1"/>
  <c r="AT880" i="1"/>
  <c r="AE880" i="1"/>
  <c r="AV876" i="1"/>
  <c r="AE876" i="1"/>
  <c r="AT874" i="1"/>
  <c r="AE874" i="1"/>
  <c r="AV868" i="1"/>
  <c r="AE868" i="1"/>
  <c r="AT866" i="1"/>
  <c r="AE866" i="1"/>
  <c r="AV860" i="1"/>
  <c r="AE860" i="1"/>
  <c r="AT858" i="1"/>
  <c r="AE858" i="1"/>
  <c r="AV852" i="1"/>
  <c r="AE852" i="1"/>
  <c r="AT850" i="1"/>
  <c r="AE850" i="1"/>
  <c r="AE848" i="1"/>
  <c r="AV844" i="1"/>
  <c r="AE844" i="1"/>
  <c r="AT842" i="1"/>
  <c r="AE842" i="1"/>
  <c r="AV836" i="1"/>
  <c r="AE836" i="1"/>
  <c r="AT834" i="1"/>
  <c r="AU834" i="1" s="1"/>
  <c r="AW834" i="1" s="1"/>
  <c r="AE834" i="1"/>
  <c r="AV828" i="1"/>
  <c r="AE828" i="1"/>
  <c r="AE826" i="1"/>
  <c r="AE824" i="1"/>
  <c r="AV820" i="1"/>
  <c r="AE820" i="1"/>
  <c r="AT818" i="1"/>
  <c r="AU818" i="1" s="1"/>
  <c r="AW818" i="1" s="1"/>
  <c r="AE818" i="1"/>
  <c r="AV812" i="1"/>
  <c r="AE812" i="1"/>
  <c r="AV804" i="1"/>
  <c r="AE804" i="1"/>
  <c r="AT802" i="1"/>
  <c r="AU802" i="1" s="1"/>
  <c r="AW802" i="1" s="1"/>
  <c r="AE802" i="1"/>
  <c r="AV796" i="1"/>
  <c r="AE796" i="1"/>
  <c r="AT794" i="1"/>
  <c r="AU794" i="1" s="1"/>
  <c r="AW794" i="1" s="1"/>
  <c r="AE794" i="1"/>
  <c r="AV788" i="1"/>
  <c r="AE788" i="1"/>
  <c r="AT786" i="1"/>
  <c r="AU786" i="1" s="1"/>
  <c r="AW786" i="1" s="1"/>
  <c r="AE786" i="1"/>
  <c r="AE784" i="1"/>
  <c r="AV780" i="1"/>
  <c r="AE780" i="1"/>
  <c r="AT778" i="1"/>
  <c r="AU778" i="1" s="1"/>
  <c r="AW778" i="1" s="1"/>
  <c r="AE778" i="1"/>
  <c r="AV772" i="1"/>
  <c r="AE772" i="1"/>
  <c r="AT770" i="1"/>
  <c r="AU770" i="1" s="1"/>
  <c r="AW770" i="1" s="1"/>
  <c r="AE770" i="1"/>
  <c r="AV764" i="1"/>
  <c r="AE764" i="1"/>
  <c r="AE762" i="1"/>
  <c r="AV756" i="1"/>
  <c r="AE756" i="1"/>
  <c r="AT754" i="1"/>
  <c r="AE754" i="1"/>
  <c r="AV748" i="1"/>
  <c r="AE748" i="1"/>
  <c r="AT746" i="1"/>
  <c r="AE746" i="1"/>
  <c r="AV740" i="1"/>
  <c r="AE740" i="1"/>
  <c r="AT738" i="1"/>
  <c r="AE738" i="1"/>
  <c r="AV732" i="1"/>
  <c r="AE732" i="1"/>
  <c r="AT730" i="1"/>
  <c r="AE730" i="1"/>
  <c r="AV724" i="1"/>
  <c r="AE724" i="1"/>
  <c r="AT722" i="1"/>
  <c r="AE722" i="1"/>
  <c r="AE720" i="1"/>
  <c r="AV716" i="1"/>
  <c r="AE716" i="1"/>
  <c r="AT714" i="1"/>
  <c r="AE714" i="1"/>
  <c r="AV712" i="1"/>
  <c r="AE712" i="1"/>
  <c r="AV708" i="1"/>
  <c r="AE708" i="1"/>
  <c r="AT706" i="1"/>
  <c r="AU706" i="1" s="1"/>
  <c r="AW706" i="1" s="1"/>
  <c r="AE706" i="1"/>
  <c r="AT698" i="1"/>
  <c r="AE698" i="1"/>
  <c r="AV696" i="1"/>
  <c r="AE696" i="1"/>
  <c r="AV692" i="1"/>
  <c r="AE692" i="1"/>
  <c r="AT690" i="1"/>
  <c r="AE690" i="1"/>
  <c r="AV688" i="1"/>
  <c r="AE688" i="1"/>
  <c r="AV684" i="1"/>
  <c r="AE684" i="1"/>
  <c r="AT682" i="1"/>
  <c r="AU682" i="1" s="1"/>
  <c r="AW682" i="1" s="1"/>
  <c r="AE682" i="1"/>
  <c r="AV680" i="1"/>
  <c r="AE680" i="1"/>
  <c r="AT674" i="1"/>
  <c r="AU674" i="1" s="1"/>
  <c r="AW674" i="1" s="1"/>
  <c r="AE674" i="1"/>
  <c r="AE672" i="1"/>
  <c r="AT666" i="1"/>
  <c r="AE666" i="1"/>
  <c r="AT658" i="1"/>
  <c r="AE658" i="1"/>
  <c r="AE656" i="1"/>
  <c r="AV650" i="1"/>
  <c r="AE650" i="1"/>
  <c r="AT642" i="1"/>
  <c r="AE642" i="1"/>
  <c r="AE640" i="1"/>
  <c r="AE634" i="1"/>
  <c r="AT626" i="1"/>
  <c r="AE626" i="1"/>
  <c r="AE624" i="1"/>
  <c r="AV618" i="1"/>
  <c r="AE618" i="1"/>
  <c r="AV565" i="1"/>
  <c r="AE565" i="1"/>
  <c r="AV557" i="1"/>
  <c r="AE557" i="1"/>
  <c r="AV531" i="1"/>
  <c r="AE531" i="1"/>
  <c r="AR920" i="1"/>
  <c r="AR918" i="1"/>
  <c r="AR916" i="1"/>
  <c r="AR914" i="1"/>
  <c r="AR912" i="1"/>
  <c r="AR910" i="1"/>
  <c r="AR908" i="1"/>
  <c r="AR906" i="1"/>
  <c r="AR904" i="1"/>
  <c r="AR898" i="1"/>
  <c r="AR894" i="1"/>
  <c r="AR890" i="1"/>
  <c r="AR886" i="1"/>
  <c r="AR882" i="1"/>
  <c r="AR878" i="1"/>
  <c r="AR874" i="1"/>
  <c r="AR870" i="1"/>
  <c r="AR866" i="1"/>
  <c r="AR862" i="1"/>
  <c r="AR858" i="1"/>
  <c r="AR854" i="1"/>
  <c r="AR850" i="1"/>
  <c r="AR846" i="1"/>
  <c r="AR842" i="1"/>
  <c r="AR838" i="1"/>
  <c r="AR834" i="1"/>
  <c r="AR830" i="1"/>
  <c r="AR826" i="1"/>
  <c r="AR822" i="1"/>
  <c r="AR818" i="1"/>
  <c r="AR814" i="1"/>
  <c r="AR810" i="1"/>
  <c r="AR806" i="1"/>
  <c r="AR802" i="1"/>
  <c r="AR798" i="1"/>
  <c r="AR794" i="1"/>
  <c r="AR790" i="1"/>
  <c r="AR786" i="1"/>
  <c r="AR782" i="1"/>
  <c r="AR778" i="1"/>
  <c r="AR774" i="1"/>
  <c r="AR770" i="1"/>
  <c r="AR766" i="1"/>
  <c r="AR762" i="1"/>
  <c r="AR758" i="1"/>
  <c r="AR754" i="1"/>
  <c r="AR750" i="1"/>
  <c r="AR746" i="1"/>
  <c r="AR742" i="1"/>
  <c r="AR738" i="1"/>
  <c r="AR734" i="1"/>
  <c r="AR901" i="1"/>
  <c r="AR557" i="1"/>
  <c r="AR531" i="1"/>
  <c r="AR903" i="1"/>
  <c r="AR899" i="1"/>
  <c r="AR897" i="1"/>
  <c r="AR895" i="1"/>
  <c r="AR893" i="1"/>
  <c r="AR891" i="1"/>
  <c r="AR889" i="1"/>
  <c r="AR887" i="1"/>
  <c r="AR885" i="1"/>
  <c r="AR883" i="1"/>
  <c r="AR881" i="1"/>
  <c r="AR879" i="1"/>
  <c r="AR877" i="1"/>
  <c r="AR875" i="1"/>
  <c r="AR873" i="1"/>
  <c r="AR871" i="1"/>
  <c r="AR869" i="1"/>
  <c r="AR867" i="1"/>
  <c r="AR865" i="1"/>
  <c r="AR863" i="1"/>
  <c r="AR861" i="1"/>
  <c r="AR859" i="1"/>
  <c r="AR857" i="1"/>
  <c r="AR855" i="1"/>
  <c r="AR853" i="1"/>
  <c r="AR851" i="1"/>
  <c r="AR849" i="1"/>
  <c r="AR847" i="1"/>
  <c r="AR845" i="1"/>
  <c r="AR843" i="1"/>
  <c r="AR841" i="1"/>
  <c r="AR839" i="1"/>
  <c r="AR837" i="1"/>
  <c r="AR835" i="1"/>
  <c r="AR833" i="1"/>
  <c r="AR831" i="1"/>
  <c r="AR829" i="1"/>
  <c r="AR827" i="1"/>
  <c r="AR825" i="1"/>
  <c r="AR823" i="1"/>
  <c r="AR821" i="1"/>
  <c r="AR819" i="1"/>
  <c r="AR817" i="1"/>
  <c r="AR815" i="1"/>
  <c r="AR813" i="1"/>
  <c r="AR811" i="1"/>
  <c r="AR809" i="1"/>
  <c r="AR807" i="1"/>
  <c r="AR805" i="1"/>
  <c r="AR803" i="1"/>
  <c r="AR801" i="1"/>
  <c r="AR799" i="1"/>
  <c r="AR797" i="1"/>
  <c r="AR795" i="1"/>
  <c r="AR793" i="1"/>
  <c r="AR791" i="1"/>
  <c r="AR789" i="1"/>
  <c r="AR787" i="1"/>
  <c r="AR785" i="1"/>
  <c r="AR783" i="1"/>
  <c r="AR781" i="1"/>
  <c r="AR777" i="1"/>
  <c r="AR775" i="1"/>
  <c r="AR773" i="1"/>
  <c r="AR771" i="1"/>
  <c r="AR769" i="1"/>
  <c r="AR767" i="1"/>
  <c r="AR765" i="1"/>
  <c r="AR763" i="1"/>
  <c r="AR761" i="1"/>
  <c r="AR759" i="1"/>
  <c r="AR757" i="1"/>
  <c r="AR755" i="1"/>
  <c r="AR753" i="1"/>
  <c r="AR751" i="1"/>
  <c r="AR749" i="1"/>
  <c r="AR747" i="1"/>
  <c r="AR745" i="1"/>
  <c r="AR743" i="1"/>
  <c r="AR741" i="1"/>
  <c r="AR739" i="1"/>
  <c r="AR735" i="1"/>
  <c r="AR731" i="1"/>
  <c r="AU17" i="1"/>
  <c r="AW17" i="1" s="1"/>
  <c r="AU12" i="1"/>
  <c r="AW12" i="1" s="1"/>
  <c r="AR900" i="1"/>
  <c r="AR544" i="1"/>
  <c r="AR568" i="1"/>
  <c r="AV626" i="1"/>
  <c r="AV900" i="1"/>
  <c r="AT634" i="1"/>
  <c r="AV916" i="1"/>
  <c r="AV700" i="1"/>
  <c r="AV658" i="1"/>
  <c r="AV908" i="1"/>
  <c r="AV892" i="1"/>
  <c r="AV674" i="1"/>
  <c r="AV642" i="1"/>
  <c r="AT826" i="1"/>
  <c r="AT762" i="1"/>
  <c r="AT650" i="1"/>
  <c r="AT618" i="1"/>
  <c r="AT872" i="1"/>
  <c r="AT864" i="1"/>
  <c r="AT856" i="1"/>
  <c r="AV856" i="1"/>
  <c r="AT848" i="1"/>
  <c r="AV848" i="1"/>
  <c r="AT840" i="1"/>
  <c r="AV840" i="1"/>
  <c r="AT832" i="1"/>
  <c r="AV832" i="1"/>
  <c r="AT808" i="1"/>
  <c r="AV808" i="1"/>
  <c r="AT800" i="1"/>
  <c r="AV800" i="1"/>
  <c r="AT792" i="1"/>
  <c r="AV792" i="1"/>
  <c r="AT784" i="1"/>
  <c r="AV784" i="1"/>
  <c r="AT776" i="1"/>
  <c r="AV776" i="1"/>
  <c r="AT768" i="1"/>
  <c r="AV768" i="1"/>
  <c r="AT760" i="1"/>
  <c r="AV760" i="1"/>
  <c r="AT752" i="1"/>
  <c r="AV752" i="1"/>
  <c r="AT744" i="1"/>
  <c r="AV744" i="1"/>
  <c r="AT736" i="1"/>
  <c r="AV736" i="1"/>
  <c r="AT728" i="1"/>
  <c r="AV728" i="1"/>
  <c r="AT720" i="1"/>
  <c r="AV720" i="1"/>
  <c r="AV704" i="1"/>
  <c r="AV666" i="1"/>
  <c r="AV634" i="1"/>
  <c r="AT904" i="1"/>
  <c r="AT824" i="1"/>
  <c r="AV824" i="1"/>
  <c r="AT816" i="1"/>
  <c r="AV816" i="1"/>
  <c r="AV920" i="1"/>
  <c r="AV912" i="1"/>
  <c r="AV904" i="1"/>
  <c r="AV896" i="1"/>
  <c r="AV888" i="1"/>
  <c r="AV880" i="1"/>
  <c r="AV872" i="1"/>
  <c r="AV864" i="1"/>
  <c r="AT810" i="1"/>
  <c r="AT916" i="1"/>
  <c r="AT908" i="1"/>
  <c r="AT900" i="1"/>
  <c r="AT892" i="1"/>
  <c r="AT884" i="1"/>
  <c r="AT876" i="1"/>
  <c r="AT868" i="1"/>
  <c r="AT860" i="1"/>
  <c r="AT852" i="1"/>
  <c r="AT844" i="1"/>
  <c r="AT836" i="1"/>
  <c r="AT828" i="1"/>
  <c r="AT820" i="1"/>
  <c r="AT812" i="1"/>
  <c r="AT804" i="1"/>
  <c r="AT796" i="1"/>
  <c r="AT788" i="1"/>
  <c r="AT780" i="1"/>
  <c r="AT772" i="1"/>
  <c r="AT764" i="1"/>
  <c r="AT756" i="1"/>
  <c r="AT748" i="1"/>
  <c r="AT740" i="1"/>
  <c r="AT732" i="1"/>
  <c r="AT724" i="1"/>
  <c r="AT716" i="1"/>
  <c r="AT712" i="1"/>
  <c r="AT708" i="1"/>
  <c r="AT704" i="1"/>
  <c r="AT700" i="1"/>
  <c r="AT696" i="1"/>
  <c r="AT692" i="1"/>
  <c r="AT688" i="1"/>
  <c r="AT684" i="1"/>
  <c r="AT680" i="1"/>
  <c r="AT676" i="1"/>
  <c r="AV676" i="1"/>
  <c r="AT672" i="1"/>
  <c r="AV672" i="1"/>
  <c r="AT668" i="1"/>
  <c r="AV668" i="1"/>
  <c r="AT664" i="1"/>
  <c r="AV664" i="1"/>
  <c r="AT660" i="1"/>
  <c r="AV660" i="1"/>
  <c r="AT656" i="1"/>
  <c r="AU656" i="1" s="1"/>
  <c r="AW656" i="1" s="1"/>
  <c r="AV656" i="1"/>
  <c r="AT652" i="1"/>
  <c r="AV652" i="1"/>
  <c r="AT648" i="1"/>
  <c r="AV648" i="1"/>
  <c r="AT644" i="1"/>
  <c r="AV644" i="1"/>
  <c r="AT640" i="1"/>
  <c r="AU640" i="1" s="1"/>
  <c r="AW640" i="1" s="1"/>
  <c r="AV640" i="1"/>
  <c r="AT636" i="1"/>
  <c r="AV636" i="1"/>
  <c r="AT632" i="1"/>
  <c r="AV632" i="1"/>
  <c r="AT628" i="1"/>
  <c r="AV628" i="1"/>
  <c r="AT624" i="1"/>
  <c r="AU624" i="1" s="1"/>
  <c r="AW624" i="1" s="1"/>
  <c r="AV624" i="1"/>
  <c r="AT620" i="1"/>
  <c r="AV620" i="1"/>
  <c r="AT616" i="1"/>
  <c r="AV616" i="1"/>
  <c r="AT596" i="1"/>
  <c r="AV596" i="1"/>
  <c r="AT588" i="1"/>
  <c r="AV588" i="1"/>
  <c r="AT544" i="1"/>
  <c r="AV544" i="1"/>
  <c r="AV918" i="1"/>
  <c r="AV914" i="1"/>
  <c r="AV910" i="1"/>
  <c r="AV906" i="1"/>
  <c r="AV902" i="1"/>
  <c r="AV898" i="1"/>
  <c r="AV894" i="1"/>
  <c r="AV890" i="1"/>
  <c r="AV886" i="1"/>
  <c r="AV882" i="1"/>
  <c r="AV878" i="1"/>
  <c r="AV874" i="1"/>
  <c r="AV870" i="1"/>
  <c r="AV866" i="1"/>
  <c r="AV862" i="1"/>
  <c r="AV858" i="1"/>
  <c r="AV854" i="1"/>
  <c r="AV850" i="1"/>
  <c r="AV846" i="1"/>
  <c r="AV842" i="1"/>
  <c r="AV838" i="1"/>
  <c r="AV834" i="1"/>
  <c r="AV830" i="1"/>
  <c r="AV826" i="1"/>
  <c r="AV822" i="1"/>
  <c r="AV818" i="1"/>
  <c r="AV814" i="1"/>
  <c r="AV810" i="1"/>
  <c r="AV806" i="1"/>
  <c r="AV802" i="1"/>
  <c r="AV798" i="1"/>
  <c r="AV794" i="1"/>
  <c r="AV790" i="1"/>
  <c r="AV786" i="1"/>
  <c r="AV782" i="1"/>
  <c r="AV778" i="1"/>
  <c r="AV774" i="1"/>
  <c r="AV770" i="1"/>
  <c r="AV766" i="1"/>
  <c r="AV762" i="1"/>
  <c r="AV758" i="1"/>
  <c r="AV754" i="1"/>
  <c r="AV750" i="1"/>
  <c r="AV746" i="1"/>
  <c r="AV742" i="1"/>
  <c r="AV738" i="1"/>
  <c r="AV734" i="1"/>
  <c r="AV730" i="1"/>
  <c r="AV726" i="1"/>
  <c r="AV722" i="1"/>
  <c r="AV718" i="1"/>
  <c r="AV714" i="1"/>
  <c r="AV710" i="1"/>
  <c r="AV706" i="1"/>
  <c r="AV702" i="1"/>
  <c r="AV698" i="1"/>
  <c r="AV694" i="1"/>
  <c r="AV690" i="1"/>
  <c r="AV686" i="1"/>
  <c r="AV682" i="1"/>
  <c r="AV678" i="1"/>
  <c r="AV670" i="1"/>
  <c r="AV662" i="1"/>
  <c r="AV654" i="1"/>
  <c r="AV646" i="1"/>
  <c r="AV638" i="1"/>
  <c r="AV630" i="1"/>
  <c r="AV622" i="1"/>
  <c r="AV614" i="1"/>
  <c r="AV606" i="1"/>
  <c r="AV598" i="1"/>
  <c r="AV590" i="1"/>
  <c r="AT918" i="1"/>
  <c r="AT910" i="1"/>
  <c r="AT902" i="1"/>
  <c r="AT894" i="1"/>
  <c r="AT886" i="1"/>
  <c r="AT878" i="1"/>
  <c r="AT870" i="1"/>
  <c r="AT862" i="1"/>
  <c r="AT854" i="1"/>
  <c r="AT846" i="1"/>
  <c r="AT838" i="1"/>
  <c r="AT830" i="1"/>
  <c r="AT822" i="1"/>
  <c r="AT814" i="1"/>
  <c r="AT806" i="1"/>
  <c r="AT798" i="1"/>
  <c r="AT790" i="1"/>
  <c r="AT782" i="1"/>
  <c r="AT774" i="1"/>
  <c r="AT766" i="1"/>
  <c r="AT758" i="1"/>
  <c r="AT750" i="1"/>
  <c r="AT742" i="1"/>
  <c r="AT734" i="1"/>
  <c r="AT726" i="1"/>
  <c r="AT718" i="1"/>
  <c r="AT710" i="1"/>
  <c r="AT702" i="1"/>
  <c r="AT694" i="1"/>
  <c r="AT686" i="1"/>
  <c r="AT678" i="1"/>
  <c r="AT670" i="1"/>
  <c r="AT662" i="1"/>
  <c r="AT654" i="1"/>
  <c r="AT646" i="1"/>
  <c r="AT638" i="1"/>
  <c r="AT630" i="1"/>
  <c r="AT622" i="1"/>
  <c r="AT614" i="1"/>
  <c r="AT606" i="1"/>
  <c r="AT598" i="1"/>
  <c r="AT590" i="1"/>
  <c r="AV919" i="1"/>
  <c r="AV917" i="1"/>
  <c r="AV915" i="1"/>
  <c r="AV913" i="1"/>
  <c r="AV911" i="1"/>
  <c r="AV909" i="1"/>
  <c r="AV907" i="1"/>
  <c r="AV905" i="1"/>
  <c r="AV903" i="1"/>
  <c r="AV901" i="1"/>
  <c r="AV899" i="1"/>
  <c r="AV897" i="1"/>
  <c r="AV895" i="1"/>
  <c r="AV893" i="1"/>
  <c r="AV891" i="1"/>
  <c r="AV889" i="1"/>
  <c r="AV887" i="1"/>
  <c r="AV885" i="1"/>
  <c r="AV883" i="1"/>
  <c r="AV881" i="1"/>
  <c r="AV879" i="1"/>
  <c r="AV877" i="1"/>
  <c r="AV875" i="1"/>
  <c r="AV873" i="1"/>
  <c r="AV871" i="1"/>
  <c r="AT739" i="1"/>
  <c r="AV739" i="1"/>
  <c r="AT735" i="1"/>
  <c r="AV735" i="1"/>
  <c r="AT731" i="1"/>
  <c r="AV731" i="1"/>
  <c r="AT727" i="1"/>
  <c r="AV727" i="1"/>
  <c r="AT723" i="1"/>
  <c r="AV723" i="1"/>
  <c r="AT719" i="1"/>
  <c r="AV719" i="1"/>
  <c r="AT715" i="1"/>
  <c r="AV715" i="1"/>
  <c r="AT711" i="1"/>
  <c r="AV711" i="1"/>
  <c r="AT707" i="1"/>
  <c r="AV707" i="1"/>
  <c r="AT703" i="1"/>
  <c r="AV703" i="1"/>
  <c r="AT699" i="1"/>
  <c r="AV699" i="1"/>
  <c r="AT695" i="1"/>
  <c r="AV695" i="1"/>
  <c r="AT691" i="1"/>
  <c r="AV691" i="1"/>
  <c r="AT687" i="1"/>
  <c r="AV687" i="1"/>
  <c r="AT683" i="1"/>
  <c r="AV683" i="1"/>
  <c r="AT679" i="1"/>
  <c r="AV679" i="1"/>
  <c r="AT675" i="1"/>
  <c r="AV675" i="1"/>
  <c r="AT671" i="1"/>
  <c r="AV671" i="1"/>
  <c r="AT667" i="1"/>
  <c r="AV667" i="1"/>
  <c r="AT663" i="1"/>
  <c r="AV663" i="1"/>
  <c r="AT659" i="1"/>
  <c r="AV659" i="1"/>
  <c r="AT657" i="1"/>
  <c r="AV657" i="1"/>
  <c r="AT655" i="1"/>
  <c r="AV655" i="1"/>
  <c r="AT653" i="1"/>
  <c r="AV653" i="1"/>
  <c r="AT651" i="1"/>
  <c r="AV651" i="1"/>
  <c r="AT649" i="1"/>
  <c r="AV649" i="1"/>
  <c r="AT647" i="1"/>
  <c r="AV647" i="1"/>
  <c r="AT645" i="1"/>
  <c r="AV645" i="1"/>
  <c r="AT869" i="1"/>
  <c r="AT867" i="1"/>
  <c r="AT865" i="1"/>
  <c r="AT863" i="1"/>
  <c r="AT861" i="1"/>
  <c r="AT859" i="1"/>
  <c r="AT857" i="1"/>
  <c r="AT855" i="1"/>
  <c r="AT853" i="1"/>
  <c r="AT851" i="1"/>
  <c r="AT849" i="1"/>
  <c r="AT847" i="1"/>
  <c r="AT845" i="1"/>
  <c r="AT843" i="1"/>
  <c r="AT841" i="1"/>
  <c r="AT839" i="1"/>
  <c r="AT837" i="1"/>
  <c r="AT835" i="1"/>
  <c r="AT833" i="1"/>
  <c r="AT831" i="1"/>
  <c r="AT829" i="1"/>
  <c r="AT827" i="1"/>
  <c r="AT825" i="1"/>
  <c r="AT823" i="1"/>
  <c r="AT821" i="1"/>
  <c r="AT819" i="1"/>
  <c r="AT817" i="1"/>
  <c r="AT815" i="1"/>
  <c r="AT813" i="1"/>
  <c r="AT811" i="1"/>
  <c r="AT809" i="1"/>
  <c r="AT807" i="1"/>
  <c r="AT805" i="1"/>
  <c r="AT803" i="1"/>
  <c r="AT801" i="1"/>
  <c r="AT799" i="1"/>
  <c r="AT797" i="1"/>
  <c r="AT795" i="1"/>
  <c r="AT793" i="1"/>
  <c r="AT791" i="1"/>
  <c r="AT789" i="1"/>
  <c r="AT787" i="1"/>
  <c r="AT785" i="1"/>
  <c r="AT783" i="1"/>
  <c r="AT781" i="1"/>
  <c r="AT779" i="1"/>
  <c r="AT777" i="1"/>
  <c r="AT775" i="1"/>
  <c r="AT773" i="1"/>
  <c r="AT771" i="1"/>
  <c r="AT769" i="1"/>
  <c r="AT767" i="1"/>
  <c r="AT765" i="1"/>
  <c r="AT763" i="1"/>
  <c r="AT761" i="1"/>
  <c r="AT759" i="1"/>
  <c r="AT757" i="1"/>
  <c r="AT755" i="1"/>
  <c r="AT753" i="1"/>
  <c r="AT751" i="1"/>
  <c r="AT749" i="1"/>
  <c r="AT747" i="1"/>
  <c r="AT745" i="1"/>
  <c r="AT743" i="1"/>
  <c r="AT741" i="1"/>
  <c r="AT737" i="1"/>
  <c r="AT733" i="1"/>
  <c r="AT729" i="1"/>
  <c r="AT725" i="1"/>
  <c r="AT721" i="1"/>
  <c r="AT717" i="1"/>
  <c r="AT713" i="1"/>
  <c r="AT709" i="1"/>
  <c r="AT705" i="1"/>
  <c r="AT701" i="1"/>
  <c r="AT697" i="1"/>
  <c r="AT693" i="1"/>
  <c r="AT689" i="1"/>
  <c r="AT685" i="1"/>
  <c r="AT681" i="1"/>
  <c r="AT677" i="1"/>
  <c r="AT673" i="1"/>
  <c r="AT669" i="1"/>
  <c r="AT665" i="1"/>
  <c r="AT661" i="1"/>
  <c r="AT643" i="1"/>
  <c r="AV643" i="1"/>
  <c r="AT641" i="1"/>
  <c r="AV641" i="1"/>
  <c r="AT639" i="1"/>
  <c r="AV639" i="1"/>
  <c r="AT637" i="1"/>
  <c r="AV637" i="1"/>
  <c r="AT635" i="1"/>
  <c r="AV635" i="1"/>
  <c r="AT633" i="1"/>
  <c r="AV633" i="1"/>
  <c r="AT631" i="1"/>
  <c r="AV631" i="1"/>
  <c r="AT629" i="1"/>
  <c r="AV629" i="1"/>
  <c r="AT627" i="1"/>
  <c r="AV627" i="1"/>
  <c r="AT625" i="1"/>
  <c r="AV625" i="1"/>
  <c r="AT623" i="1"/>
  <c r="AV623" i="1"/>
  <c r="AT621" i="1"/>
  <c r="AV621" i="1"/>
  <c r="AT619" i="1"/>
  <c r="AV619" i="1"/>
  <c r="AT617" i="1"/>
  <c r="AV617" i="1"/>
  <c r="AT615" i="1"/>
  <c r="AV615" i="1"/>
  <c r="AT613" i="1"/>
  <c r="AV613" i="1"/>
  <c r="AT609" i="1"/>
  <c r="AV609" i="1"/>
  <c r="AT603" i="1"/>
  <c r="AV603" i="1"/>
  <c r="AT601" i="1"/>
  <c r="AV601" i="1"/>
  <c r="AT593" i="1"/>
  <c r="AV593" i="1"/>
  <c r="AT565" i="1"/>
  <c r="AT557" i="1"/>
  <c r="AT531" i="1"/>
  <c r="G1" i="14"/>
  <c r="D34" i="1"/>
  <c r="AI35" i="1"/>
  <c r="D35" i="1"/>
  <c r="A36" i="1"/>
  <c r="AI34" i="1"/>
  <c r="AU896" i="1" l="1"/>
  <c r="AW896" i="1" s="1"/>
  <c r="AU912" i="1"/>
  <c r="AW912" i="1" s="1"/>
  <c r="AU626" i="1"/>
  <c r="AW626" i="1" s="1"/>
  <c r="AU642" i="1"/>
  <c r="AW642" i="1" s="1"/>
  <c r="AU658" i="1"/>
  <c r="AW658" i="1" s="1"/>
  <c r="AU672" i="1"/>
  <c r="AW672" i="1" s="1"/>
  <c r="AU690" i="1"/>
  <c r="AW690" i="1" s="1"/>
  <c r="AU714" i="1"/>
  <c r="AW714" i="1" s="1"/>
  <c r="AU722" i="1"/>
  <c r="AW722" i="1" s="1"/>
  <c r="AU730" i="1"/>
  <c r="AW730" i="1" s="1"/>
  <c r="AU738" i="1"/>
  <c r="AW738" i="1" s="1"/>
  <c r="AU746" i="1"/>
  <c r="AW746" i="1" s="1"/>
  <c r="AU754" i="1"/>
  <c r="AW754" i="1" s="1"/>
  <c r="AU873" i="1"/>
  <c r="AW873" i="1" s="1"/>
  <c r="AU877" i="1"/>
  <c r="AW877" i="1" s="1"/>
  <c r="AU881" i="1"/>
  <c r="AW881" i="1" s="1"/>
  <c r="AU885" i="1"/>
  <c r="AW885" i="1" s="1"/>
  <c r="AU889" i="1"/>
  <c r="AW889" i="1" s="1"/>
  <c r="AU893" i="1"/>
  <c r="AW893" i="1" s="1"/>
  <c r="AU897" i="1"/>
  <c r="AW897" i="1" s="1"/>
  <c r="AU901" i="1"/>
  <c r="AW901" i="1" s="1"/>
  <c r="AU905" i="1"/>
  <c r="AW905" i="1" s="1"/>
  <c r="AU909" i="1"/>
  <c r="AW909" i="1" s="1"/>
  <c r="AU913" i="1"/>
  <c r="AW913" i="1" s="1"/>
  <c r="AU915" i="1"/>
  <c r="AW915" i="1" s="1"/>
  <c r="AU919" i="1"/>
  <c r="AW919" i="1" s="1"/>
  <c r="AU888" i="1"/>
  <c r="AW888" i="1" s="1"/>
  <c r="AU920" i="1"/>
  <c r="AW920" i="1" s="1"/>
  <c r="AU858" i="1"/>
  <c r="AW858" i="1" s="1"/>
  <c r="AU900" i="1"/>
  <c r="AW900" i="1" s="1"/>
  <c r="AU906" i="1"/>
  <c r="AW906" i="1" s="1"/>
  <c r="AU916" i="1"/>
  <c r="AW916" i="1" s="1"/>
  <c r="AU880" i="1"/>
  <c r="AW880" i="1" s="1"/>
  <c r="AU842" i="1"/>
  <c r="AW842" i="1" s="1"/>
  <c r="AU850" i="1"/>
  <c r="AW850" i="1" s="1"/>
  <c r="AU866" i="1"/>
  <c r="AW866" i="1" s="1"/>
  <c r="AU874" i="1"/>
  <c r="AW874" i="1" s="1"/>
  <c r="AU882" i="1"/>
  <c r="AW882" i="1" s="1"/>
  <c r="AU890" i="1"/>
  <c r="AW890" i="1" s="1"/>
  <c r="AU892" i="1"/>
  <c r="AW892" i="1" s="1"/>
  <c r="AU898" i="1"/>
  <c r="AW898" i="1" s="1"/>
  <c r="AU908" i="1"/>
  <c r="AW908" i="1" s="1"/>
  <c r="AU914" i="1"/>
  <c r="AW914" i="1" s="1"/>
  <c r="AU666" i="1"/>
  <c r="AW666" i="1" s="1"/>
  <c r="AU698" i="1"/>
  <c r="AW698" i="1" s="1"/>
  <c r="AU720" i="1"/>
  <c r="AW720" i="1" s="1"/>
  <c r="AU784" i="1"/>
  <c r="AW784" i="1" s="1"/>
  <c r="AU848" i="1"/>
  <c r="AW848" i="1" s="1"/>
  <c r="AU762" i="1"/>
  <c r="AW762" i="1" s="1"/>
  <c r="AU688" i="1"/>
  <c r="AW688" i="1" s="1"/>
  <c r="AU664" i="1"/>
  <c r="AW664" i="1" s="1"/>
  <c r="AU696" i="1"/>
  <c r="AW696" i="1" s="1"/>
  <c r="AU760" i="1"/>
  <c r="AW760" i="1" s="1"/>
  <c r="AU638" i="1"/>
  <c r="AW638" i="1" s="1"/>
  <c r="AU654" i="1"/>
  <c r="AW654" i="1" s="1"/>
  <c r="AU702" i="1"/>
  <c r="AW702" i="1" s="1"/>
  <c r="AU718" i="1"/>
  <c r="AW718" i="1" s="1"/>
  <c r="AU750" i="1"/>
  <c r="AW750" i="1" s="1"/>
  <c r="AU766" i="1"/>
  <c r="AW766" i="1" s="1"/>
  <c r="AU782" i="1"/>
  <c r="AW782" i="1" s="1"/>
  <c r="AU814" i="1"/>
  <c r="AW814" i="1" s="1"/>
  <c r="AU878" i="1"/>
  <c r="AW878" i="1" s="1"/>
  <c r="AU894" i="1"/>
  <c r="AW894" i="1" s="1"/>
  <c r="AU910" i="1"/>
  <c r="AW910" i="1" s="1"/>
  <c r="AU598" i="1"/>
  <c r="AW598" i="1" s="1"/>
  <c r="AU646" i="1"/>
  <c r="AW646" i="1" s="1"/>
  <c r="AU662" i="1"/>
  <c r="AW662" i="1" s="1"/>
  <c r="AU710" i="1"/>
  <c r="AW710" i="1" s="1"/>
  <c r="AU742" i="1"/>
  <c r="AW742" i="1" s="1"/>
  <c r="AU822" i="1"/>
  <c r="AW822" i="1" s="1"/>
  <c r="AU886" i="1"/>
  <c r="AW886" i="1" s="1"/>
  <c r="AU634" i="1"/>
  <c r="AW634" i="1" s="1"/>
  <c r="AU776" i="1"/>
  <c r="AW776" i="1" s="1"/>
  <c r="AU840" i="1"/>
  <c r="AW840" i="1" s="1"/>
  <c r="AU650" i="1"/>
  <c r="AW650" i="1" s="1"/>
  <c r="AU618" i="1"/>
  <c r="AW618" i="1" s="1"/>
  <c r="AU648" i="1"/>
  <c r="AW648" i="1" s="1"/>
  <c r="AU680" i="1"/>
  <c r="AW680" i="1" s="1"/>
  <c r="AU744" i="1"/>
  <c r="AW744" i="1" s="1"/>
  <c r="AU758" i="1"/>
  <c r="AW758" i="1" s="1"/>
  <c r="AU790" i="1"/>
  <c r="AW790" i="1" s="1"/>
  <c r="AU808" i="1"/>
  <c r="AW808" i="1" s="1"/>
  <c r="AU872" i="1"/>
  <c r="AW872" i="1" s="1"/>
  <c r="AU616" i="1"/>
  <c r="AW616" i="1" s="1"/>
  <c r="AU712" i="1"/>
  <c r="AW712" i="1" s="1"/>
  <c r="AU816" i="1"/>
  <c r="AW816" i="1" s="1"/>
  <c r="AU826" i="1"/>
  <c r="AW826" i="1" s="1"/>
  <c r="AU632" i="1"/>
  <c r="AW632" i="1" s="1"/>
  <c r="AU728" i="1"/>
  <c r="AW728" i="1" s="1"/>
  <c r="AU792" i="1"/>
  <c r="AW792" i="1" s="1"/>
  <c r="AU824" i="1"/>
  <c r="AW824" i="1" s="1"/>
  <c r="AU856" i="1"/>
  <c r="AW856" i="1" s="1"/>
  <c r="AU904" i="1"/>
  <c r="AW904" i="1" s="1"/>
  <c r="AU590" i="1"/>
  <c r="AW590" i="1" s="1"/>
  <c r="AU606" i="1"/>
  <c r="AW606" i="1" s="1"/>
  <c r="AU622" i="1"/>
  <c r="AW622" i="1" s="1"/>
  <c r="AU670" i="1"/>
  <c r="AW670" i="1" s="1"/>
  <c r="AU686" i="1"/>
  <c r="AW686" i="1" s="1"/>
  <c r="AU734" i="1"/>
  <c r="AW734" i="1" s="1"/>
  <c r="AU798" i="1"/>
  <c r="AW798" i="1" s="1"/>
  <c r="AU830" i="1"/>
  <c r="AW830" i="1" s="1"/>
  <c r="AU846" i="1"/>
  <c r="AW846" i="1" s="1"/>
  <c r="AU862" i="1"/>
  <c r="AW862" i="1" s="1"/>
  <c r="AU544" i="1"/>
  <c r="AW544" i="1" s="1"/>
  <c r="AU588" i="1"/>
  <c r="AW588" i="1" s="1"/>
  <c r="AU614" i="1"/>
  <c r="AW614" i="1" s="1"/>
  <c r="AU678" i="1"/>
  <c r="AW678" i="1" s="1"/>
  <c r="AU694" i="1"/>
  <c r="AW694" i="1" s="1"/>
  <c r="AU774" i="1"/>
  <c r="AW774" i="1" s="1"/>
  <c r="AU806" i="1"/>
  <c r="AW806" i="1" s="1"/>
  <c r="AU683" i="1"/>
  <c r="AW683" i="1" s="1"/>
  <c r="AU687" i="1"/>
  <c r="AW687" i="1" s="1"/>
  <c r="AU691" i="1"/>
  <c r="AW691" i="1" s="1"/>
  <c r="AU715" i="1"/>
  <c r="AW715" i="1" s="1"/>
  <c r="AU719" i="1"/>
  <c r="AW719" i="1" s="1"/>
  <c r="AU723" i="1"/>
  <c r="AW723" i="1" s="1"/>
  <c r="AU727" i="1"/>
  <c r="AW727" i="1" s="1"/>
  <c r="AU596" i="1"/>
  <c r="AW596" i="1" s="1"/>
  <c r="AU620" i="1"/>
  <c r="AW620" i="1" s="1"/>
  <c r="AU628" i="1"/>
  <c r="AW628" i="1" s="1"/>
  <c r="AU630" i="1"/>
  <c r="AW630" i="1" s="1"/>
  <c r="AU636" i="1"/>
  <c r="AW636" i="1" s="1"/>
  <c r="AU644" i="1"/>
  <c r="AW644" i="1" s="1"/>
  <c r="AU652" i="1"/>
  <c r="AW652" i="1" s="1"/>
  <c r="AU660" i="1"/>
  <c r="AW660" i="1" s="1"/>
  <c r="AU668" i="1"/>
  <c r="AW668" i="1" s="1"/>
  <c r="AU676" i="1"/>
  <c r="AW676" i="1" s="1"/>
  <c r="AU684" i="1"/>
  <c r="AW684" i="1" s="1"/>
  <c r="AU692" i="1"/>
  <c r="AW692" i="1" s="1"/>
  <c r="AU700" i="1"/>
  <c r="AW700" i="1" s="1"/>
  <c r="AU704" i="1"/>
  <c r="AW704" i="1" s="1"/>
  <c r="AU708" i="1"/>
  <c r="AW708" i="1" s="1"/>
  <c r="AU716" i="1"/>
  <c r="AW716" i="1" s="1"/>
  <c r="AU724" i="1"/>
  <c r="AW724" i="1" s="1"/>
  <c r="AU726" i="1"/>
  <c r="AW726" i="1" s="1"/>
  <c r="AU732" i="1"/>
  <c r="AW732" i="1" s="1"/>
  <c r="AU740" i="1"/>
  <c r="AW740" i="1" s="1"/>
  <c r="AU748" i="1"/>
  <c r="AW748" i="1" s="1"/>
  <c r="AU756" i="1"/>
  <c r="AW756" i="1" s="1"/>
  <c r="AU764" i="1"/>
  <c r="AW764" i="1" s="1"/>
  <c r="AU772" i="1"/>
  <c r="AW772" i="1" s="1"/>
  <c r="AU780" i="1"/>
  <c r="AW780" i="1" s="1"/>
  <c r="AU788" i="1"/>
  <c r="AW788" i="1" s="1"/>
  <c r="AU796" i="1"/>
  <c r="AW796" i="1" s="1"/>
  <c r="AU804" i="1"/>
  <c r="AW804" i="1" s="1"/>
  <c r="AU810" i="1"/>
  <c r="AW810" i="1" s="1"/>
  <c r="AU812" i="1"/>
  <c r="AW812" i="1" s="1"/>
  <c r="AU820" i="1"/>
  <c r="AW820" i="1" s="1"/>
  <c r="AU828" i="1"/>
  <c r="AW828" i="1" s="1"/>
  <c r="AU836" i="1"/>
  <c r="AW836" i="1" s="1"/>
  <c r="AU844" i="1"/>
  <c r="AW844" i="1" s="1"/>
  <c r="AU852" i="1"/>
  <c r="AW852" i="1" s="1"/>
  <c r="AU860" i="1"/>
  <c r="AW860" i="1" s="1"/>
  <c r="AU868" i="1"/>
  <c r="AW868" i="1" s="1"/>
  <c r="AU876" i="1"/>
  <c r="AW876" i="1" s="1"/>
  <c r="AU884" i="1"/>
  <c r="AW884" i="1" s="1"/>
  <c r="AU736" i="1"/>
  <c r="AW736" i="1" s="1"/>
  <c r="AU768" i="1"/>
  <c r="AW768" i="1" s="1"/>
  <c r="AU800" i="1"/>
  <c r="AW800" i="1" s="1"/>
  <c r="AU832" i="1"/>
  <c r="AW832" i="1" s="1"/>
  <c r="AU864" i="1"/>
  <c r="AW864" i="1" s="1"/>
  <c r="AU838" i="1"/>
  <c r="AW838" i="1" s="1"/>
  <c r="AU854" i="1"/>
  <c r="AW854" i="1" s="1"/>
  <c r="AU870" i="1"/>
  <c r="AW870" i="1" s="1"/>
  <c r="AU902" i="1"/>
  <c r="AW902" i="1" s="1"/>
  <c r="AU918" i="1"/>
  <c r="AW918" i="1" s="1"/>
  <c r="AU752" i="1"/>
  <c r="AW752" i="1" s="1"/>
  <c r="AU593" i="1"/>
  <c r="AW593" i="1" s="1"/>
  <c r="AU601" i="1"/>
  <c r="AW601" i="1" s="1"/>
  <c r="AU603" i="1"/>
  <c r="AW603" i="1" s="1"/>
  <c r="AU609" i="1"/>
  <c r="AW609" i="1" s="1"/>
  <c r="AU613" i="1"/>
  <c r="AW613" i="1" s="1"/>
  <c r="AU615" i="1"/>
  <c r="AW615" i="1" s="1"/>
  <c r="AU617" i="1"/>
  <c r="AW617" i="1" s="1"/>
  <c r="AU619" i="1"/>
  <c r="AW619" i="1" s="1"/>
  <c r="AU621" i="1"/>
  <c r="AW621" i="1" s="1"/>
  <c r="AU623" i="1"/>
  <c r="AW623" i="1" s="1"/>
  <c r="AU625" i="1"/>
  <c r="AW625" i="1" s="1"/>
  <c r="AU627" i="1"/>
  <c r="AW627" i="1" s="1"/>
  <c r="AU629" i="1"/>
  <c r="AW629" i="1" s="1"/>
  <c r="AU631" i="1"/>
  <c r="AW631" i="1" s="1"/>
  <c r="AU633" i="1"/>
  <c r="AW633" i="1" s="1"/>
  <c r="AU635" i="1"/>
  <c r="AW635" i="1" s="1"/>
  <c r="AU637" i="1"/>
  <c r="AW637" i="1" s="1"/>
  <c r="AU641" i="1"/>
  <c r="AW641" i="1" s="1"/>
  <c r="AU643" i="1"/>
  <c r="AW643" i="1" s="1"/>
  <c r="AU661" i="1"/>
  <c r="AW661" i="1" s="1"/>
  <c r="AU665" i="1"/>
  <c r="AW665" i="1" s="1"/>
  <c r="AU669" i="1"/>
  <c r="AW669" i="1" s="1"/>
  <c r="AU673" i="1"/>
  <c r="AW673" i="1" s="1"/>
  <c r="AU677" i="1"/>
  <c r="AW677" i="1" s="1"/>
  <c r="AU681" i="1"/>
  <c r="AW681" i="1" s="1"/>
  <c r="AU685" i="1"/>
  <c r="AW685" i="1" s="1"/>
  <c r="AU689" i="1"/>
  <c r="AW689" i="1" s="1"/>
  <c r="AU693" i="1"/>
  <c r="AW693" i="1" s="1"/>
  <c r="AU697" i="1"/>
  <c r="AW697" i="1" s="1"/>
  <c r="AU701" i="1"/>
  <c r="AW701" i="1" s="1"/>
  <c r="AU705" i="1"/>
  <c r="AW705" i="1" s="1"/>
  <c r="AU709" i="1"/>
  <c r="AW709" i="1" s="1"/>
  <c r="AU713" i="1"/>
  <c r="AW713" i="1" s="1"/>
  <c r="AU717" i="1"/>
  <c r="AW717" i="1" s="1"/>
  <c r="AU721" i="1"/>
  <c r="AW721" i="1" s="1"/>
  <c r="AU725" i="1"/>
  <c r="AW725" i="1" s="1"/>
  <c r="AU729" i="1"/>
  <c r="AW729" i="1" s="1"/>
  <c r="AU733" i="1"/>
  <c r="AW733" i="1" s="1"/>
  <c r="AU737" i="1"/>
  <c r="AW737" i="1" s="1"/>
  <c r="AU743" i="1"/>
  <c r="AW743" i="1" s="1"/>
  <c r="AU747" i="1"/>
  <c r="AW747" i="1" s="1"/>
  <c r="AU751" i="1"/>
  <c r="AW751" i="1" s="1"/>
  <c r="AU755" i="1"/>
  <c r="AW755" i="1" s="1"/>
  <c r="AU759" i="1"/>
  <c r="AW759" i="1" s="1"/>
  <c r="AU763" i="1"/>
  <c r="AW763" i="1" s="1"/>
  <c r="AU767" i="1"/>
  <c r="AW767" i="1" s="1"/>
  <c r="AU771" i="1"/>
  <c r="AW771" i="1" s="1"/>
  <c r="AU775" i="1"/>
  <c r="AW775" i="1" s="1"/>
  <c r="AU779" i="1"/>
  <c r="AW779" i="1" s="1"/>
  <c r="AU783" i="1"/>
  <c r="AW783" i="1" s="1"/>
  <c r="AU787" i="1"/>
  <c r="AW787" i="1" s="1"/>
  <c r="AU791" i="1"/>
  <c r="AW791" i="1" s="1"/>
  <c r="AU795" i="1"/>
  <c r="AW795" i="1" s="1"/>
  <c r="AU799" i="1"/>
  <c r="AW799" i="1" s="1"/>
  <c r="AU803" i="1"/>
  <c r="AW803" i="1" s="1"/>
  <c r="AU809" i="1"/>
  <c r="AW809" i="1" s="1"/>
  <c r="AU817" i="1"/>
  <c r="AW817" i="1" s="1"/>
  <c r="AU825" i="1"/>
  <c r="AW825" i="1" s="1"/>
  <c r="AU833" i="1"/>
  <c r="AW833" i="1" s="1"/>
  <c r="AU843" i="1"/>
  <c r="AW843" i="1" s="1"/>
  <c r="AU851" i="1"/>
  <c r="AW851" i="1" s="1"/>
  <c r="AU861" i="1"/>
  <c r="AW861" i="1" s="1"/>
  <c r="AU745" i="1"/>
  <c r="AW745" i="1" s="1"/>
  <c r="AU671" i="1"/>
  <c r="AW671" i="1" s="1"/>
  <c r="AU703" i="1"/>
  <c r="AW703" i="1" s="1"/>
  <c r="AU639" i="1"/>
  <c r="AW639" i="1" s="1"/>
  <c r="AU805" i="1"/>
  <c r="AW805" i="1" s="1"/>
  <c r="AU815" i="1"/>
  <c r="AW815" i="1" s="1"/>
  <c r="AU823" i="1"/>
  <c r="AW823" i="1" s="1"/>
  <c r="AU831" i="1"/>
  <c r="AW831" i="1" s="1"/>
  <c r="AU839" i="1"/>
  <c r="AW839" i="1" s="1"/>
  <c r="AU845" i="1"/>
  <c r="AW845" i="1" s="1"/>
  <c r="AU853" i="1"/>
  <c r="AW853" i="1" s="1"/>
  <c r="AU859" i="1"/>
  <c r="AW859" i="1" s="1"/>
  <c r="AU865" i="1"/>
  <c r="AW865" i="1" s="1"/>
  <c r="AU741" i="1"/>
  <c r="AW741" i="1" s="1"/>
  <c r="AU811" i="1"/>
  <c r="AW811" i="1" s="1"/>
  <c r="AU819" i="1"/>
  <c r="AW819" i="1" s="1"/>
  <c r="AU827" i="1"/>
  <c r="AW827" i="1" s="1"/>
  <c r="AU835" i="1"/>
  <c r="AW835" i="1" s="1"/>
  <c r="AU841" i="1"/>
  <c r="AW841" i="1" s="1"/>
  <c r="AU849" i="1"/>
  <c r="AW849" i="1" s="1"/>
  <c r="AU855" i="1"/>
  <c r="AW855" i="1" s="1"/>
  <c r="AU863" i="1"/>
  <c r="AW863" i="1" s="1"/>
  <c r="AU869" i="1"/>
  <c r="AW869" i="1" s="1"/>
  <c r="AU667" i="1"/>
  <c r="AW667" i="1" s="1"/>
  <c r="AU675" i="1"/>
  <c r="AW675" i="1" s="1"/>
  <c r="AU679" i="1"/>
  <c r="AW679" i="1" s="1"/>
  <c r="AU699" i="1"/>
  <c r="AW699" i="1" s="1"/>
  <c r="AU707" i="1"/>
  <c r="AW707" i="1" s="1"/>
  <c r="AU711" i="1"/>
  <c r="AW711" i="1" s="1"/>
  <c r="AU731" i="1"/>
  <c r="AW731" i="1" s="1"/>
  <c r="AU735" i="1"/>
  <c r="AW735" i="1" s="1"/>
  <c r="AU739" i="1"/>
  <c r="AW739" i="1" s="1"/>
  <c r="AU749" i="1"/>
  <c r="AW749" i="1" s="1"/>
  <c r="AU753" i="1"/>
  <c r="AW753" i="1" s="1"/>
  <c r="AU757" i="1"/>
  <c r="AW757" i="1" s="1"/>
  <c r="AU761" i="1"/>
  <c r="AW761" i="1" s="1"/>
  <c r="AU765" i="1"/>
  <c r="AW765" i="1" s="1"/>
  <c r="AU769" i="1"/>
  <c r="AW769" i="1" s="1"/>
  <c r="AU773" i="1"/>
  <c r="AW773" i="1" s="1"/>
  <c r="AU777" i="1"/>
  <c r="AW777" i="1" s="1"/>
  <c r="AU781" i="1"/>
  <c r="AW781" i="1" s="1"/>
  <c r="AU785" i="1"/>
  <c r="AW785" i="1" s="1"/>
  <c r="AU789" i="1"/>
  <c r="AW789" i="1" s="1"/>
  <c r="AU793" i="1"/>
  <c r="AW793" i="1" s="1"/>
  <c r="AU797" i="1"/>
  <c r="AW797" i="1" s="1"/>
  <c r="AU801" i="1"/>
  <c r="AW801" i="1" s="1"/>
  <c r="AU807" i="1"/>
  <c r="AW807" i="1" s="1"/>
  <c r="AU813" i="1"/>
  <c r="AW813" i="1" s="1"/>
  <c r="AU821" i="1"/>
  <c r="AW821" i="1" s="1"/>
  <c r="AU829" i="1"/>
  <c r="AW829" i="1" s="1"/>
  <c r="AU837" i="1"/>
  <c r="AW837" i="1" s="1"/>
  <c r="AU847" i="1"/>
  <c r="AW847" i="1" s="1"/>
  <c r="AU857" i="1"/>
  <c r="AW857" i="1" s="1"/>
  <c r="AU867" i="1"/>
  <c r="AW867" i="1" s="1"/>
  <c r="AU663" i="1"/>
  <c r="AW663" i="1" s="1"/>
  <c r="AU695" i="1"/>
  <c r="AW695" i="1" s="1"/>
  <c r="AU645" i="1"/>
  <c r="AW645" i="1" s="1"/>
  <c r="AU647" i="1"/>
  <c r="AW647" i="1" s="1"/>
  <c r="AU649" i="1"/>
  <c r="AW649" i="1" s="1"/>
  <c r="AU651" i="1"/>
  <c r="AW651" i="1" s="1"/>
  <c r="AU653" i="1"/>
  <c r="AW653" i="1" s="1"/>
  <c r="AU655" i="1"/>
  <c r="AW655" i="1" s="1"/>
  <c r="AU657" i="1"/>
  <c r="AW657" i="1" s="1"/>
  <c r="AU659" i="1"/>
  <c r="AW659" i="1" s="1"/>
  <c r="AU531" i="1"/>
  <c r="AW531" i="1" s="1"/>
  <c r="AU557" i="1"/>
  <c r="AW557" i="1" s="1"/>
  <c r="AU565" i="1"/>
  <c r="AW565" i="1" s="1"/>
  <c r="B445" i="1"/>
  <c r="C445" i="1" s="1"/>
  <c r="AS445" i="1"/>
  <c r="AI36" i="1"/>
  <c r="D36" i="1"/>
  <c r="A37" i="1"/>
  <c r="B294" i="1" l="1"/>
  <c r="C294" i="1" s="1"/>
  <c r="AS294" i="1"/>
  <c r="B293" i="1"/>
  <c r="C293" i="1" s="1"/>
  <c r="AS293" i="1"/>
  <c r="B292" i="1"/>
  <c r="C292" i="1" s="1"/>
  <c r="AS292" i="1"/>
  <c r="D37" i="1"/>
  <c r="AI37" i="1"/>
  <c r="A38" i="1"/>
  <c r="B78" i="1" l="1"/>
  <c r="C78" i="1" s="1"/>
  <c r="B79" i="1"/>
  <c r="C79" i="1" s="1"/>
  <c r="B81" i="1"/>
  <c r="C81" i="1" s="1"/>
  <c r="B82" i="1"/>
  <c r="C82" i="1" s="1"/>
  <c r="B83" i="1"/>
  <c r="C83" i="1" s="1"/>
  <c r="B140" i="1"/>
  <c r="C140" i="1" s="1"/>
  <c r="B142" i="1"/>
  <c r="C142" i="1" s="1"/>
  <c r="B143" i="1"/>
  <c r="C143" i="1" s="1"/>
  <c r="B145" i="1"/>
  <c r="C145" i="1" s="1"/>
  <c r="B147" i="1"/>
  <c r="C147" i="1" s="1"/>
  <c r="B148" i="1"/>
  <c r="C148" i="1" s="1"/>
  <c r="B149" i="1"/>
  <c r="C149" i="1" s="1"/>
  <c r="B152" i="1"/>
  <c r="C152" i="1" s="1"/>
  <c r="B154" i="1"/>
  <c r="C154" i="1" s="1"/>
  <c r="B156" i="1"/>
  <c r="C156" i="1" s="1"/>
  <c r="B157" i="1"/>
  <c r="C157" i="1" s="1"/>
  <c r="B158" i="1"/>
  <c r="C158" i="1" s="1"/>
  <c r="B160" i="1"/>
  <c r="C160" i="1" s="1"/>
  <c r="B161" i="1"/>
  <c r="C161" i="1" s="1"/>
  <c r="B162" i="1"/>
  <c r="C162" i="1" s="1"/>
  <c r="B163" i="1"/>
  <c r="C163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4" i="1"/>
  <c r="C174" i="1" s="1"/>
  <c r="B178" i="1"/>
  <c r="C178" i="1" s="1"/>
  <c r="B180" i="1"/>
  <c r="C180" i="1" s="1"/>
  <c r="B181" i="1"/>
  <c r="C181" i="1" s="1"/>
  <c r="B182" i="1"/>
  <c r="C182" i="1" s="1"/>
  <c r="B184" i="1"/>
  <c r="C184" i="1" s="1"/>
  <c r="B186" i="1"/>
  <c r="C186" i="1" s="1"/>
  <c r="B187" i="1"/>
  <c r="C187" i="1" s="1"/>
  <c r="B189" i="1"/>
  <c r="C189" i="1" s="1"/>
  <c r="B190" i="1"/>
  <c r="C190" i="1" s="1"/>
  <c r="B192" i="1"/>
  <c r="C192" i="1" s="1"/>
  <c r="B193" i="1"/>
  <c r="C193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3" i="1"/>
  <c r="C203" i="1" s="1"/>
  <c r="B204" i="1"/>
  <c r="C204" i="1" s="1"/>
  <c r="B206" i="1"/>
  <c r="C206" i="1" s="1"/>
  <c r="B208" i="1"/>
  <c r="C208" i="1" s="1"/>
  <c r="B210" i="1"/>
  <c r="C210" i="1" s="1"/>
  <c r="B211" i="1"/>
  <c r="C211" i="1" s="1"/>
  <c r="B214" i="1"/>
  <c r="C214" i="1" s="1"/>
  <c r="B215" i="1"/>
  <c r="C215" i="1" s="1"/>
  <c r="B216" i="1"/>
  <c r="C216" i="1" s="1"/>
  <c r="B218" i="1"/>
  <c r="C218" i="1" s="1"/>
  <c r="B219" i="1"/>
  <c r="C219" i="1" s="1"/>
  <c r="B221" i="1"/>
  <c r="C221" i="1" s="1"/>
  <c r="B222" i="1"/>
  <c r="C222" i="1" s="1"/>
  <c r="B223" i="1"/>
  <c r="C223" i="1" s="1"/>
  <c r="B224" i="1"/>
  <c r="C224" i="1" s="1"/>
  <c r="B226" i="1"/>
  <c r="C226" i="1" s="1"/>
  <c r="B227" i="1"/>
  <c r="C227" i="1" s="1"/>
  <c r="B229" i="1"/>
  <c r="C229" i="1" s="1"/>
  <c r="B230" i="1"/>
  <c r="C230" i="1" s="1"/>
  <c r="B231" i="1"/>
  <c r="C231" i="1" s="1"/>
  <c r="B233" i="1"/>
  <c r="C233" i="1" s="1"/>
  <c r="B234" i="1"/>
  <c r="C234" i="1" s="1"/>
  <c r="B235" i="1"/>
  <c r="C235" i="1" s="1"/>
  <c r="B236" i="1"/>
  <c r="C236" i="1" s="1"/>
  <c r="B238" i="1"/>
  <c r="C238" i="1" s="1"/>
  <c r="B239" i="1"/>
  <c r="C239" i="1" s="1"/>
  <c r="B240" i="1"/>
  <c r="C240" i="1" s="1"/>
  <c r="B242" i="1"/>
  <c r="C242" i="1" s="1"/>
  <c r="B243" i="1"/>
  <c r="C243" i="1" s="1"/>
  <c r="B245" i="1"/>
  <c r="C245" i="1" s="1"/>
  <c r="B246" i="1"/>
  <c r="C246" i="1" s="1"/>
  <c r="B248" i="1"/>
  <c r="C248" i="1" s="1"/>
  <c r="B249" i="1"/>
  <c r="C249" i="1" s="1"/>
  <c r="B250" i="1"/>
  <c r="C250" i="1" s="1"/>
  <c r="B254" i="1"/>
  <c r="C254" i="1" s="1"/>
  <c r="B255" i="1"/>
  <c r="C255" i="1" s="1"/>
  <c r="B256" i="1"/>
  <c r="C256" i="1" s="1"/>
  <c r="B258" i="1"/>
  <c r="C258" i="1" s="1"/>
  <c r="B259" i="1"/>
  <c r="C259" i="1" s="1"/>
  <c r="B260" i="1"/>
  <c r="C260" i="1" s="1"/>
  <c r="B261" i="1"/>
  <c r="C261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7" i="1"/>
  <c r="C277" i="1" s="1"/>
  <c r="B278" i="1"/>
  <c r="C278" i="1" s="1"/>
  <c r="B279" i="1"/>
  <c r="C279" i="1" s="1"/>
  <c r="B280" i="1"/>
  <c r="C280" i="1" s="1"/>
  <c r="B281" i="1"/>
  <c r="C281" i="1" s="1"/>
  <c r="B283" i="1"/>
  <c r="C283" i="1" s="1"/>
  <c r="B284" i="1"/>
  <c r="C284" i="1" s="1"/>
  <c r="B285" i="1"/>
  <c r="C285" i="1" s="1"/>
  <c r="B286" i="1"/>
  <c r="C286" i="1" s="1"/>
  <c r="B288" i="1"/>
  <c r="C288" i="1" s="1"/>
  <c r="B290" i="1"/>
  <c r="C290" i="1" s="1"/>
  <c r="B291" i="1"/>
  <c r="C291" i="1" s="1"/>
  <c r="B296" i="1"/>
  <c r="C296" i="1" s="1"/>
  <c r="B297" i="1"/>
  <c r="C297" i="1" s="1"/>
  <c r="B299" i="1"/>
  <c r="C299" i="1" s="1"/>
  <c r="B301" i="1"/>
  <c r="C301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1" i="1"/>
  <c r="C321" i="1" s="1"/>
  <c r="B322" i="1"/>
  <c r="C322" i="1" s="1"/>
  <c r="B324" i="1"/>
  <c r="C324" i="1" s="1"/>
  <c r="B325" i="1"/>
  <c r="C325" i="1" s="1"/>
  <c r="B326" i="1"/>
  <c r="B327" i="1"/>
  <c r="C327" i="1" s="1"/>
  <c r="B328" i="1"/>
  <c r="C328" i="1" s="1"/>
  <c r="B329" i="1"/>
  <c r="C329" i="1" s="1"/>
  <c r="B330" i="1"/>
  <c r="B331" i="1"/>
  <c r="C331" i="1" s="1"/>
  <c r="B334" i="1"/>
  <c r="C334" i="1" s="1"/>
  <c r="B335" i="1"/>
  <c r="C335" i="1" s="1"/>
  <c r="B336" i="1"/>
  <c r="C336" i="1" s="1"/>
  <c r="B338" i="1"/>
  <c r="C338" i="1" s="1"/>
  <c r="B339" i="1"/>
  <c r="C339" i="1" s="1"/>
  <c r="B341" i="1"/>
  <c r="C341" i="1" s="1"/>
  <c r="B342" i="1"/>
  <c r="B345" i="1"/>
  <c r="C345" i="1" s="1"/>
  <c r="B346" i="1"/>
  <c r="C346" i="1" s="1"/>
  <c r="B349" i="1"/>
  <c r="C349" i="1" s="1"/>
  <c r="B350" i="1"/>
  <c r="B352" i="1"/>
  <c r="C352" i="1" s="1"/>
  <c r="B354" i="1"/>
  <c r="B355" i="1"/>
  <c r="C355" i="1" s="1"/>
  <c r="B356" i="1"/>
  <c r="C356" i="1" s="1"/>
  <c r="B358" i="1"/>
  <c r="C358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3" i="1"/>
  <c r="C373" i="1" s="1"/>
  <c r="B374" i="1"/>
  <c r="C374" i="1" s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4" i="1"/>
  <c r="C384" i="1" s="1"/>
  <c r="B387" i="1"/>
  <c r="C387" i="1" s="1"/>
  <c r="B389" i="1"/>
  <c r="C389" i="1" s="1"/>
  <c r="B390" i="1"/>
  <c r="C390" i="1" s="1"/>
  <c r="B392" i="1"/>
  <c r="C392" i="1" s="1"/>
  <c r="B393" i="1"/>
  <c r="C393" i="1" s="1"/>
  <c r="B395" i="1"/>
  <c r="C395" i="1" s="1"/>
  <c r="B399" i="1"/>
  <c r="C399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B407" i="1"/>
  <c r="C407" i="1" s="1"/>
  <c r="B408" i="1"/>
  <c r="C408" i="1" s="1"/>
  <c r="B412" i="1"/>
  <c r="C412" i="1" s="1"/>
  <c r="B414" i="1"/>
  <c r="C414" i="1" s="1"/>
  <c r="B415" i="1"/>
  <c r="C415" i="1" s="1"/>
  <c r="B416" i="1"/>
  <c r="C416" i="1" s="1"/>
  <c r="B417" i="1"/>
  <c r="C417" i="1" s="1"/>
  <c r="B419" i="1"/>
  <c r="C419" i="1" s="1"/>
  <c r="B420" i="1"/>
  <c r="C420" i="1" s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1" i="1"/>
  <c r="C431" i="1" s="1"/>
  <c r="B434" i="1"/>
  <c r="C434" i="1" s="1"/>
  <c r="B435" i="1"/>
  <c r="C435" i="1" s="1"/>
  <c r="B436" i="1"/>
  <c r="C436" i="1" s="1"/>
  <c r="B439" i="1"/>
  <c r="C439" i="1" s="1"/>
  <c r="B440" i="1"/>
  <c r="C440" i="1" s="1"/>
  <c r="B442" i="1"/>
  <c r="C442" i="1" s="1"/>
  <c r="B444" i="1"/>
  <c r="C444" i="1" s="1"/>
  <c r="B446" i="1"/>
  <c r="C446" i="1" s="1"/>
  <c r="B447" i="1"/>
  <c r="C447" i="1" s="1"/>
  <c r="B448" i="1"/>
  <c r="B449" i="1"/>
  <c r="C449" i="1" s="1"/>
  <c r="B450" i="1"/>
  <c r="C450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5" i="1"/>
  <c r="C465" i="1" s="1"/>
  <c r="B467" i="1"/>
  <c r="C467" i="1" s="1"/>
  <c r="B469" i="1"/>
  <c r="C469" i="1" s="1"/>
  <c r="B475" i="1"/>
  <c r="C475" i="1" s="1"/>
  <c r="B478" i="1"/>
  <c r="C478" i="1" s="1"/>
  <c r="B480" i="1"/>
  <c r="C480" i="1" s="1"/>
  <c r="B482" i="1"/>
  <c r="C482" i="1" s="1"/>
  <c r="B485" i="1"/>
  <c r="C485" i="1" s="1"/>
  <c r="B486" i="1"/>
  <c r="C486" i="1" s="1"/>
  <c r="B488" i="1"/>
  <c r="C488" i="1" s="1"/>
  <c r="B491" i="1"/>
  <c r="C491" i="1" s="1"/>
  <c r="B492" i="1"/>
  <c r="C492" i="1" s="1"/>
  <c r="B495" i="1"/>
  <c r="C495" i="1" s="1"/>
  <c r="B496" i="1"/>
  <c r="C496" i="1" s="1"/>
  <c r="B498" i="1"/>
  <c r="C498" i="1" s="1"/>
  <c r="B500" i="1"/>
  <c r="C500" i="1" s="1"/>
  <c r="B501" i="1"/>
  <c r="C501" i="1" s="1"/>
  <c r="B503" i="1"/>
  <c r="C503" i="1" s="1"/>
  <c r="B504" i="1"/>
  <c r="C504" i="1" s="1"/>
  <c r="B505" i="1"/>
  <c r="C505" i="1" s="1"/>
  <c r="B508" i="1"/>
  <c r="C508" i="1" s="1"/>
  <c r="B510" i="1"/>
  <c r="C510" i="1" s="1"/>
  <c r="B511" i="1"/>
  <c r="C511" i="1" s="1"/>
  <c r="B513" i="1"/>
  <c r="C513" i="1" s="1"/>
  <c r="C326" i="1"/>
  <c r="C330" i="1"/>
  <c r="C342" i="1"/>
  <c r="C350" i="1"/>
  <c r="C354" i="1"/>
  <c r="C406" i="1"/>
  <c r="C448" i="1"/>
  <c r="AJ187" i="1"/>
  <c r="AJ204" i="1"/>
  <c r="AJ256" i="1"/>
  <c r="AJ299" i="1"/>
  <c r="AJ417" i="1"/>
  <c r="AJ463" i="1"/>
  <c r="AJ498" i="1"/>
  <c r="AL164" i="1"/>
  <c r="AL175" i="1"/>
  <c r="AL187" i="1"/>
  <c r="AL204" i="1"/>
  <c r="AL212" i="1"/>
  <c r="AL216" i="1"/>
  <c r="AL219" i="1"/>
  <c r="AL256" i="1"/>
  <c r="AL286" i="1"/>
  <c r="AL299" i="1"/>
  <c r="AL303" i="1"/>
  <c r="AL305" i="1"/>
  <c r="AL332" i="1"/>
  <c r="AL347" i="1"/>
  <c r="AL359" i="1"/>
  <c r="AL385" i="1"/>
  <c r="AL396" i="1"/>
  <c r="AL409" i="1"/>
  <c r="AL417" i="1"/>
  <c r="AL463" i="1"/>
  <c r="AL470" i="1"/>
  <c r="AL472" i="1"/>
  <c r="AL493" i="1"/>
  <c r="AL498" i="1"/>
  <c r="AL506" i="1"/>
  <c r="AR204" i="1"/>
  <c r="AR216" i="1"/>
  <c r="AR256" i="1"/>
  <c r="AR299" i="1"/>
  <c r="AS78" i="1"/>
  <c r="AS79" i="1"/>
  <c r="AS80" i="1"/>
  <c r="AS81" i="1"/>
  <c r="AS82" i="1"/>
  <c r="AS83" i="1"/>
  <c r="AS84" i="1"/>
  <c r="AS138" i="1"/>
  <c r="AS139" i="1"/>
  <c r="AS140" i="1"/>
  <c r="AS141" i="1"/>
  <c r="AS142" i="1"/>
  <c r="AS143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I38" i="1"/>
  <c r="D38" i="1"/>
  <c r="A39" i="1"/>
  <c r="D39" i="1"/>
  <c r="AH219" i="1" l="1"/>
  <c r="AJ219" i="1"/>
  <c r="AH286" i="1"/>
  <c r="AJ286" i="1"/>
  <c r="AH216" i="1"/>
  <c r="AJ216" i="1"/>
  <c r="AD463" i="1"/>
  <c r="AH463" i="1"/>
  <c r="AD417" i="1"/>
  <c r="AH417" i="1"/>
  <c r="AD299" i="1"/>
  <c r="AH299" i="1"/>
  <c r="AD204" i="1"/>
  <c r="AH204" i="1"/>
  <c r="AD187" i="1"/>
  <c r="AH187" i="1"/>
  <c r="AD498" i="1"/>
  <c r="AH498" i="1"/>
  <c r="AD256" i="1"/>
  <c r="AH256" i="1"/>
  <c r="AE219" i="1"/>
  <c r="AD219" i="1"/>
  <c r="AE286" i="1"/>
  <c r="AD286" i="1"/>
  <c r="AE216" i="1"/>
  <c r="AD216" i="1"/>
  <c r="AV463" i="1"/>
  <c r="AE463" i="1"/>
  <c r="AE417" i="1"/>
  <c r="AT299" i="1"/>
  <c r="AE299" i="1"/>
  <c r="AT204" i="1"/>
  <c r="AE204" i="1"/>
  <c r="AE187" i="1"/>
  <c r="AE498" i="1"/>
  <c r="AT256" i="1"/>
  <c r="AE256" i="1"/>
  <c r="AR498" i="1"/>
  <c r="AT216" i="1"/>
  <c r="AR505" i="1"/>
  <c r="AR501" i="1"/>
  <c r="AR463" i="1"/>
  <c r="AR417" i="1"/>
  <c r="AR286" i="1"/>
  <c r="AT463" i="1"/>
  <c r="AV286" i="1"/>
  <c r="AV417" i="1"/>
  <c r="AT417" i="1"/>
  <c r="AT286" i="1"/>
  <c r="AV299" i="1"/>
  <c r="AV256" i="1"/>
  <c r="AV216" i="1"/>
  <c r="AV204" i="1"/>
  <c r="AV219" i="1"/>
  <c r="AV187" i="1"/>
  <c r="AV498" i="1"/>
  <c r="AT498" i="1"/>
  <c r="AT219" i="1"/>
  <c r="AT187" i="1"/>
  <c r="AR219" i="1"/>
  <c r="AR187" i="1"/>
  <c r="A40" i="1"/>
  <c r="AI39" i="1"/>
  <c r="A41" i="1"/>
  <c r="AI40" i="1"/>
  <c r="D40" i="1"/>
  <c r="AU204" i="1" l="1"/>
  <c r="AW204" i="1" s="1"/>
  <c r="AU256" i="1"/>
  <c r="AW256" i="1" s="1"/>
  <c r="AU299" i="1"/>
  <c r="AW299" i="1" s="1"/>
  <c r="AU498" i="1"/>
  <c r="AW498" i="1" s="1"/>
  <c r="AU216" i="1"/>
  <c r="AW216" i="1" s="1"/>
  <c r="AU463" i="1"/>
  <c r="AW463" i="1" s="1"/>
  <c r="AU187" i="1"/>
  <c r="AW187" i="1" s="1"/>
  <c r="AU417" i="1"/>
  <c r="AW417" i="1" s="1"/>
  <c r="AU286" i="1"/>
  <c r="AW286" i="1" s="1"/>
  <c r="AU219" i="1"/>
  <c r="AW219" i="1" s="1"/>
  <c r="A42" i="1"/>
  <c r="D42" i="1"/>
  <c r="AI42" i="1"/>
  <c r="G1" i="13" l="1"/>
  <c r="G13" i="3"/>
  <c r="A43" i="1"/>
  <c r="AI43" i="1"/>
  <c r="D43" i="1"/>
  <c r="F1" i="13" l="1"/>
  <c r="A44" i="1"/>
  <c r="AS3" i="1" l="1"/>
  <c r="AS4" i="1"/>
  <c r="AS6" i="1"/>
  <c r="AS7" i="1"/>
  <c r="AS8" i="1"/>
  <c r="AS9" i="1"/>
  <c r="AS10" i="1"/>
  <c r="AS11" i="1"/>
  <c r="AS13" i="1"/>
  <c r="AS14" i="1"/>
  <c r="AS15" i="1"/>
  <c r="AS16" i="1"/>
  <c r="AS18" i="1"/>
  <c r="AS19" i="1"/>
  <c r="AS20" i="1"/>
  <c r="AS21" i="1"/>
  <c r="AS24" i="1"/>
  <c r="AS25" i="1"/>
  <c r="AS26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100" i="1"/>
  <c r="AS101" i="1"/>
  <c r="AS102" i="1"/>
  <c r="AS103" i="1"/>
  <c r="AS104" i="1"/>
  <c r="AS105" i="1"/>
  <c r="AS10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60" i="1"/>
  <c r="AS61" i="1"/>
  <c r="AS62" i="1"/>
  <c r="AS108" i="1"/>
  <c r="AS109" i="1"/>
  <c r="AS111" i="1"/>
  <c r="AS113" i="1"/>
  <c r="AS45" i="1"/>
  <c r="AS46" i="1"/>
  <c r="AS116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45" i="1"/>
  <c r="AI45" i="1"/>
  <c r="A46" i="1"/>
  <c r="D46" i="1"/>
  <c r="D45" i="1"/>
  <c r="AI46" i="1"/>
  <c r="A47" i="1"/>
  <c r="B113" i="1" l="1"/>
  <c r="C113" i="1" s="1"/>
  <c r="A48" i="1"/>
  <c r="AI47" i="1"/>
  <c r="D47" i="1"/>
  <c r="B4" i="1" l="1"/>
  <c r="C4" i="1" s="1"/>
  <c r="B8" i="1"/>
  <c r="C8" i="1" s="1"/>
  <c r="B9" i="1"/>
  <c r="C9" i="1" s="1"/>
  <c r="B11" i="1"/>
  <c r="C11" i="1" s="1"/>
  <c r="B16" i="1"/>
  <c r="C16" i="1" s="1"/>
  <c r="B19" i="1"/>
  <c r="C19" i="1" s="1"/>
  <c r="B20" i="1"/>
  <c r="C20" i="1" s="1"/>
  <c r="B21" i="1"/>
  <c r="C21" i="1" s="1"/>
  <c r="B25" i="1"/>
  <c r="C25" i="1" s="1"/>
  <c r="B26" i="1"/>
  <c r="C26" i="1" s="1"/>
  <c r="B34" i="1"/>
  <c r="C34" i="1" s="1"/>
  <c r="B37" i="1"/>
  <c r="C37" i="1" s="1"/>
  <c r="B39" i="1"/>
  <c r="C39" i="1" s="1"/>
  <c r="B40" i="1"/>
  <c r="C40" i="1" s="1"/>
  <c r="B41" i="1"/>
  <c r="C41" i="1" s="1"/>
  <c r="B43" i="1"/>
  <c r="C43" i="1" s="1"/>
  <c r="B44" i="1"/>
  <c r="C44" i="1" s="1"/>
  <c r="B86" i="1"/>
  <c r="C86" i="1" s="1"/>
  <c r="B87" i="1"/>
  <c r="C87" i="1" s="1"/>
  <c r="B88" i="1"/>
  <c r="C88" i="1" s="1"/>
  <c r="B90" i="1"/>
  <c r="C90" i="1" s="1"/>
  <c r="B92" i="1"/>
  <c r="C92" i="1" s="1"/>
  <c r="B93" i="1"/>
  <c r="C93" i="1" s="1"/>
  <c r="B94" i="1"/>
  <c r="C94" i="1" s="1"/>
  <c r="B96" i="1"/>
  <c r="C96" i="1" s="1"/>
  <c r="B97" i="1"/>
  <c r="C97" i="1" s="1"/>
  <c r="B100" i="1"/>
  <c r="C100" i="1" s="1"/>
  <c r="B104" i="1"/>
  <c r="C104" i="1" s="1"/>
  <c r="B105" i="1"/>
  <c r="C105" i="1" s="1"/>
  <c r="B48" i="1"/>
  <c r="C48" i="1" s="1"/>
  <c r="B62" i="1"/>
  <c r="C62" i="1" s="1"/>
  <c r="B111" i="1"/>
  <c r="C111" i="1" s="1"/>
  <c r="B46" i="1"/>
  <c r="C46" i="1" s="1"/>
  <c r="B116" i="1"/>
  <c r="C116" i="1" s="1"/>
  <c r="B124" i="1"/>
  <c r="C124" i="1" s="1"/>
  <c r="B127" i="1"/>
  <c r="C127" i="1" s="1"/>
  <c r="B128" i="1"/>
  <c r="C128" i="1" s="1"/>
  <c r="B130" i="1"/>
  <c r="C130" i="1" s="1"/>
  <c r="B132" i="1"/>
  <c r="C132" i="1" s="1"/>
  <c r="B133" i="1"/>
  <c r="C133" i="1" s="1"/>
  <c r="B134" i="1"/>
  <c r="C134" i="1" s="1"/>
  <c r="B135" i="1"/>
  <c r="C135" i="1" s="1"/>
  <c r="B137" i="1"/>
  <c r="C137" i="1" s="1"/>
  <c r="B66" i="1"/>
  <c r="C66" i="1" s="1"/>
  <c r="B67" i="1"/>
  <c r="C67" i="1" s="1"/>
  <c r="B69" i="1"/>
  <c r="C69" i="1" s="1"/>
  <c r="B71" i="1"/>
  <c r="C71" i="1" s="1"/>
  <c r="B73" i="1"/>
  <c r="C73" i="1" s="1"/>
  <c r="B75" i="1"/>
  <c r="C75" i="1" s="1"/>
  <c r="AR41" i="1"/>
  <c r="AR44" i="1"/>
  <c r="AR105" i="1"/>
  <c r="D48" i="1"/>
  <c r="AI48" i="1"/>
  <c r="A49" i="1"/>
  <c r="D49" i="1" s="1"/>
  <c r="A50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51" i="1"/>
  <c r="AI49" i="1"/>
  <c r="D50" i="1"/>
  <c r="AI5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I51" i="1"/>
  <c r="A52" i="1"/>
  <c r="D5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53" i="1"/>
  <c r="A54" i="1"/>
  <c r="D53" i="1"/>
  <c r="AI54" i="1"/>
  <c r="AI53" i="1"/>
  <c r="D52" i="1"/>
  <c r="AI52" i="1"/>
  <c r="D54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F21" i="17"/>
  <c r="K21" i="17"/>
  <c r="L21" i="17" s="1"/>
  <c r="M21" i="17" s="1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5" i="1"/>
  <c r="A56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57" i="1"/>
  <c r="AI56" i="1"/>
  <c r="D56" i="1"/>
  <c r="A58" i="1"/>
  <c r="D57" i="1"/>
  <c r="AI5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D58" i="1"/>
  <c r="A59" i="1"/>
  <c r="D59" i="1" s="1"/>
  <c r="AI58" i="1"/>
  <c r="AK59" i="1" l="1"/>
  <c r="B5" i="11"/>
  <c r="A60" i="1"/>
  <c r="D60" i="1"/>
  <c r="AI60" i="1"/>
  <c r="A61" i="1"/>
  <c r="AH59" i="1"/>
  <c r="AI59" i="1"/>
  <c r="J5" i="11" l="1"/>
  <c r="C5" i="11"/>
  <c r="G5" i="11"/>
  <c r="H5" i="11"/>
  <c r="D5" i="11"/>
  <c r="F5" i="11"/>
  <c r="E5" i="11"/>
  <c r="D61" i="1"/>
  <c r="AI61" i="1"/>
  <c r="A62" i="1"/>
  <c r="I5" i="11" l="1"/>
  <c r="K5" i="11" s="1"/>
  <c r="L5" i="11" s="1"/>
  <c r="M5" i="11" s="1"/>
  <c r="D62" i="1"/>
  <c r="AI62" i="1"/>
  <c r="A63" i="1"/>
  <c r="B7" i="7" l="1"/>
  <c r="D63" i="1"/>
  <c r="AI63" i="1"/>
  <c r="A64" i="1"/>
  <c r="D7" i="7" l="1"/>
  <c r="E7" i="7"/>
  <c r="F7" i="7"/>
  <c r="C7" i="7"/>
  <c r="G7" i="7"/>
  <c r="H7" i="7"/>
  <c r="A65" i="1"/>
  <c r="D65" i="1"/>
  <c r="J7" i="7" l="1"/>
  <c r="I7" i="7"/>
  <c r="A66" i="1"/>
  <c r="AI65" i="1"/>
  <c r="A67" i="1"/>
  <c r="K7" i="7" l="1"/>
  <c r="L7" i="7" s="1"/>
  <c r="M7" i="7" s="1"/>
  <c r="AI66" i="1"/>
  <c r="D66" i="1"/>
  <c r="D67" i="1"/>
  <c r="A68" i="1"/>
  <c r="AI67" i="1"/>
  <c r="B4" i="11" l="1"/>
  <c r="B5" i="6"/>
  <c r="B6" i="6"/>
  <c r="A69" i="1"/>
  <c r="D68" i="1"/>
  <c r="AI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D69" i="1"/>
  <c r="AI69" i="1"/>
  <c r="A70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I70" i="1"/>
  <c r="D70" i="1"/>
  <c r="AH69" i="1"/>
  <c r="A71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D71" i="1"/>
  <c r="A72" i="1"/>
  <c r="AI71" i="1"/>
  <c r="K6" i="7" l="1"/>
  <c r="L6" i="7" s="1"/>
  <c r="M6" i="7" s="1"/>
  <c r="A73" i="1"/>
  <c r="D72" i="1"/>
  <c r="AI72" i="1"/>
  <c r="B3" i="12" l="1"/>
  <c r="B4" i="12"/>
  <c r="A74" i="1"/>
  <c r="AI74" i="1"/>
  <c r="C4" i="12" l="1"/>
  <c r="H4" i="12"/>
  <c r="F4" i="12"/>
  <c r="D4" i="12"/>
  <c r="C3" i="12"/>
  <c r="F3" i="12"/>
  <c r="H3" i="12"/>
  <c r="G4" i="12"/>
  <c r="E4" i="12"/>
  <c r="E3" i="12"/>
  <c r="G3" i="12"/>
  <c r="D3" i="12"/>
  <c r="A75" i="1"/>
  <c r="A76" i="1"/>
  <c r="AI75" i="1"/>
  <c r="D75" i="1"/>
  <c r="D74" i="1"/>
  <c r="J4" i="12" l="1"/>
  <c r="J3" i="12"/>
  <c r="AI76" i="1"/>
  <c r="D76" i="1"/>
  <c r="A77" i="1"/>
  <c r="I3" i="12" l="1"/>
  <c r="K3" i="12" s="1"/>
  <c r="L3" i="12" s="1"/>
  <c r="M3" i="12" s="1"/>
  <c r="I4" i="12"/>
  <c r="K4" i="12" s="1"/>
  <c r="D77" i="1"/>
  <c r="A78" i="1"/>
  <c r="AI77" i="1"/>
  <c r="L4" i="12" l="1"/>
  <c r="M4" i="12" s="1"/>
  <c r="A79" i="1"/>
  <c r="D78" i="1"/>
  <c r="AI78" i="1"/>
  <c r="B39" i="5" l="1"/>
  <c r="D79" i="1"/>
  <c r="AI79" i="1"/>
  <c r="A80" i="1"/>
  <c r="I39" i="5" l="1"/>
  <c r="J39" i="5"/>
  <c r="B40" i="5"/>
  <c r="E39" i="5"/>
  <c r="F39" i="5"/>
  <c r="H39" i="5"/>
  <c r="C39" i="5"/>
  <c r="G39" i="5"/>
  <c r="D39" i="5"/>
  <c r="A81" i="1"/>
  <c r="D80" i="1"/>
  <c r="AI80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82" i="1"/>
  <c r="D81" i="1"/>
  <c r="AI81" i="1"/>
  <c r="J41" i="5" l="1"/>
  <c r="K40" i="5"/>
  <c r="L40" i="5" s="1"/>
  <c r="M40" i="5" s="1"/>
  <c r="B42" i="5"/>
  <c r="F41" i="5"/>
  <c r="D41" i="5"/>
  <c r="H41" i="5"/>
  <c r="B31" i="4"/>
  <c r="E41" i="5"/>
  <c r="C41" i="5"/>
  <c r="G41" i="5"/>
  <c r="D82" i="1"/>
  <c r="AI82" i="1"/>
  <c r="A83" i="1"/>
  <c r="J42" i="5" l="1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A84" i="1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84" i="1"/>
  <c r="AI84" i="1"/>
  <c r="A85" i="1"/>
  <c r="AI85" i="1"/>
  <c r="D85" i="1"/>
  <c r="A86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87" i="1"/>
  <c r="AI86" i="1"/>
  <c r="D86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8" i="1"/>
  <c r="AI87" i="1"/>
  <c r="D87" i="1"/>
  <c r="B4" i="6" l="1"/>
  <c r="G4" i="6" s="1"/>
  <c r="K35" i="4"/>
  <c r="L35" i="4" s="1"/>
  <c r="M35" i="4" s="1"/>
  <c r="A89" i="1"/>
  <c r="D88" i="1"/>
  <c r="AI88" i="1"/>
  <c r="F4" i="6" l="1"/>
  <c r="D4" i="6"/>
  <c r="C4" i="6"/>
  <c r="H4" i="6"/>
  <c r="E4" i="6"/>
  <c r="J4" i="6"/>
  <c r="D89" i="1"/>
  <c r="AI89" i="1"/>
  <c r="A90" i="1"/>
  <c r="I4" i="6" l="1"/>
  <c r="K4" i="6" s="1"/>
  <c r="L4" i="6" s="1"/>
  <c r="M4" i="6" s="1"/>
  <c r="I41" i="5"/>
  <c r="K41" i="5" s="1"/>
  <c r="L41" i="5" s="1"/>
  <c r="M41" i="5" s="1"/>
  <c r="AI90" i="1"/>
  <c r="A91" i="1"/>
  <c r="D90" i="1"/>
  <c r="D91" i="1"/>
  <c r="B4" i="9" l="1"/>
  <c r="AI91" i="1"/>
  <c r="A92" i="1"/>
  <c r="A93" i="1"/>
  <c r="AI92" i="1"/>
  <c r="J4" i="9" l="1"/>
  <c r="G4" i="9"/>
  <c r="D4" i="9"/>
  <c r="H4" i="9"/>
  <c r="C4" i="9"/>
  <c r="I4" i="9"/>
  <c r="E4" i="9"/>
  <c r="F4" i="9"/>
  <c r="D92" i="1"/>
  <c r="D93" i="1"/>
  <c r="A94" i="1"/>
  <c r="AI93" i="1"/>
  <c r="K4" i="9" l="1"/>
  <c r="A95" i="1"/>
  <c r="A96" i="1"/>
  <c r="D96" i="1"/>
  <c r="AI95" i="1"/>
  <c r="D95" i="1"/>
  <c r="L4" i="9" l="1"/>
  <c r="M4" i="9" s="1"/>
  <c r="B5" i="7"/>
  <c r="A97" i="1"/>
  <c r="A98" i="1"/>
  <c r="D97" i="1"/>
  <c r="AI96" i="1"/>
  <c r="C5" i="7" l="1"/>
  <c r="G5" i="7"/>
  <c r="D5" i="7"/>
  <c r="H5" i="7"/>
  <c r="E5" i="7"/>
  <c r="F5" i="7"/>
  <c r="AI97" i="1"/>
  <c r="A99" i="1"/>
  <c r="D98" i="1"/>
  <c r="D99" i="1"/>
  <c r="AI98" i="1"/>
  <c r="A100" i="1"/>
  <c r="AI99" i="1"/>
  <c r="AK99" i="1" l="1"/>
  <c r="J5" i="7"/>
  <c r="I5" i="7"/>
  <c r="AI100" i="1"/>
  <c r="A101" i="1"/>
  <c r="D100" i="1"/>
  <c r="AH99" i="1"/>
  <c r="D101" i="1"/>
  <c r="K5" i="7" l="1"/>
  <c r="L5" i="7" s="1"/>
  <c r="M5" i="7" s="1"/>
  <c r="A102" i="1"/>
  <c r="AI101" i="1"/>
  <c r="A103" i="1"/>
  <c r="AI102" i="1"/>
  <c r="AH100" i="1"/>
  <c r="D102" i="1"/>
  <c r="B5" i="9" l="1"/>
  <c r="D103" i="1"/>
  <c r="AI103" i="1"/>
  <c r="A104" i="1"/>
  <c r="I5" i="9" l="1"/>
  <c r="G5" i="9"/>
  <c r="D5" i="9"/>
  <c r="C5" i="9"/>
  <c r="H5" i="9"/>
  <c r="F5" i="9"/>
  <c r="J5" i="9"/>
  <c r="E5" i="9"/>
  <c r="AI104" i="1"/>
  <c r="D104" i="1"/>
  <c r="A105" i="1"/>
  <c r="K5" i="9" l="1"/>
  <c r="A106" i="1"/>
  <c r="L5" i="9" l="1"/>
  <c r="M5" i="9" s="1"/>
  <c r="A107" i="1"/>
  <c r="D107" i="1"/>
  <c r="D106" i="1"/>
  <c r="AI106" i="1"/>
  <c r="AI107" i="1"/>
  <c r="AT107" i="1" l="1"/>
  <c r="B58" i="1"/>
  <c r="C58" i="1" s="1"/>
  <c r="B50" i="1"/>
  <c r="C50" i="1" s="1"/>
  <c r="B102" i="1"/>
  <c r="C102" i="1" s="1"/>
  <c r="B89" i="1"/>
  <c r="C89" i="1" s="1"/>
  <c r="B15" i="1"/>
  <c r="C15" i="1" s="1"/>
  <c r="B7" i="1"/>
  <c r="C7" i="1" s="1"/>
  <c r="A108" i="1"/>
  <c r="AH107" i="1"/>
  <c r="B4" i="3" l="1"/>
  <c r="A63" i="2" s="1"/>
  <c r="A109" i="1"/>
  <c r="R63" i="2" l="1"/>
  <c r="F63" i="2"/>
  <c r="H63" i="2"/>
  <c r="I63" i="2"/>
  <c r="J63" i="2"/>
  <c r="A110" i="1"/>
  <c r="D109" i="1"/>
  <c r="AI109" i="1"/>
  <c r="D110" i="1"/>
  <c r="AI110" i="1"/>
  <c r="A111" i="1"/>
  <c r="AT110" i="1" l="1"/>
  <c r="AH110" i="1"/>
  <c r="A112" i="1"/>
  <c r="D112" i="1"/>
  <c r="D111" i="1"/>
  <c r="AI111" i="1"/>
  <c r="AI112" i="1"/>
  <c r="AT112" i="1" l="1"/>
  <c r="D3" i="1"/>
  <c r="D4" i="1"/>
  <c r="AI3" i="1"/>
  <c r="AI4" i="1"/>
  <c r="AH112" i="1"/>
  <c r="A113" i="1"/>
  <c r="A114" i="1"/>
  <c r="A115" i="1"/>
  <c r="AJ3" i="1" l="1"/>
  <c r="AK4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7" i="7"/>
  <c r="A15" i="8"/>
  <c r="A6" i="8"/>
  <c r="A13" i="6"/>
  <c r="A43" i="5"/>
  <c r="A35" i="4"/>
  <c r="A4" i="9"/>
  <c r="A5" i="9"/>
  <c r="D114" i="1"/>
  <c r="A116" i="1"/>
  <c r="AI115" i="1"/>
  <c r="AI114" i="1"/>
  <c r="A117" i="1"/>
  <c r="D116" i="1"/>
  <c r="AH3" i="1"/>
  <c r="D6" i="1"/>
  <c r="D115" i="1"/>
  <c r="AI6" i="1"/>
  <c r="AJ114" i="1" l="1"/>
  <c r="AT114" i="1"/>
  <c r="AT115" i="1"/>
  <c r="AL115" i="1"/>
  <c r="AL4" i="1"/>
  <c r="AK5" i="1"/>
  <c r="AH114" i="1"/>
  <c r="AI7" i="1"/>
  <c r="D7" i="1"/>
  <c r="AJ4" i="1"/>
  <c r="AJ115" i="1"/>
  <c r="AH115" i="1"/>
  <c r="AI116" i="1"/>
  <c r="AH4" i="1"/>
  <c r="A118" i="1"/>
  <c r="AI117" i="1"/>
  <c r="D117" i="1"/>
  <c r="AU114" i="1" l="1"/>
  <c r="AW114" i="1" s="1"/>
  <c r="AU115" i="1"/>
  <c r="AW115" i="1" s="1"/>
  <c r="AT117" i="1"/>
  <c r="AJ6" i="1"/>
  <c r="AK7" i="1"/>
  <c r="AI8" i="1"/>
  <c r="A119" i="1"/>
  <c r="AH6" i="1"/>
  <c r="D8" i="1"/>
  <c r="D118" i="1"/>
  <c r="AI118" i="1"/>
  <c r="AH117" i="1"/>
  <c r="AV114" i="1" l="1"/>
  <c r="AT118" i="1"/>
  <c r="AV115" i="1"/>
  <c r="AL7" i="1"/>
  <c r="AK8" i="1"/>
  <c r="D119" i="1"/>
  <c r="A120" i="1"/>
  <c r="AH118" i="1"/>
  <c r="AI119" i="1"/>
  <c r="AH7" i="1"/>
  <c r="AI9" i="1"/>
  <c r="AJ7" i="1"/>
  <c r="D9" i="1"/>
  <c r="AI120" i="1"/>
  <c r="AT119" i="1" l="1"/>
  <c r="AL8" i="1"/>
  <c r="AL9" i="1" s="1"/>
  <c r="AK9" i="1"/>
  <c r="AJ8" i="1"/>
  <c r="D120" i="1"/>
  <c r="AH9" i="1"/>
  <c r="AI10" i="1"/>
  <c r="AH8" i="1"/>
  <c r="AH119" i="1"/>
  <c r="A121" i="1"/>
  <c r="D10" i="1"/>
  <c r="AT120" i="1" l="1"/>
  <c r="AK10" i="1"/>
  <c r="B63" i="2"/>
  <c r="AI14" i="1"/>
  <c r="D11" i="1"/>
  <c r="D14" i="1"/>
  <c r="AI11" i="1"/>
  <c r="AI13" i="1"/>
  <c r="D121" i="1"/>
  <c r="AI121" i="1"/>
  <c r="D13" i="1"/>
  <c r="A122" i="1"/>
  <c r="AJ9" i="1"/>
  <c r="A123" i="1"/>
  <c r="AH120" i="1"/>
  <c r="D122" i="1"/>
  <c r="AK122" i="1" l="1"/>
  <c r="AT121" i="1"/>
  <c r="AT122" i="1"/>
  <c r="AK123" i="1"/>
  <c r="AJ13" i="1"/>
  <c r="AL10" i="1"/>
  <c r="AL11" i="1" s="1"/>
  <c r="AK14" i="1"/>
  <c r="AK12" i="1"/>
  <c r="AK11" i="1"/>
  <c r="AI122" i="1"/>
  <c r="AJ10" i="1"/>
  <c r="AH10" i="1"/>
  <c r="AH11" i="1"/>
  <c r="AI15" i="1"/>
  <c r="AJ14" i="1"/>
  <c r="AH14" i="1"/>
  <c r="AI123" i="1"/>
  <c r="AH121" i="1"/>
  <c r="A124" i="1"/>
  <c r="D123" i="1"/>
  <c r="D15" i="1"/>
  <c r="AH122" i="1"/>
  <c r="AH13" i="1"/>
  <c r="AT123" i="1" l="1"/>
  <c r="AL14" i="1"/>
  <c r="AK15" i="1"/>
  <c r="G63" i="2"/>
  <c r="AI124" i="1"/>
  <c r="D124" i="1"/>
  <c r="AJ11" i="1"/>
  <c r="D16" i="1"/>
  <c r="A125" i="1"/>
  <c r="AI16" i="1"/>
  <c r="AH123" i="1"/>
  <c r="AL15" i="1" l="1"/>
  <c r="AK17" i="1"/>
  <c r="AK16" i="1"/>
  <c r="AH16" i="1"/>
  <c r="AI18" i="1"/>
  <c r="AH15" i="1"/>
  <c r="A126" i="1"/>
  <c r="AI126" i="1" s="1"/>
  <c r="A127" i="1"/>
  <c r="D18" i="1"/>
  <c r="AJ15" i="1"/>
  <c r="AI19" i="1"/>
  <c r="D19" i="1"/>
  <c r="AJ18" i="1" l="1"/>
  <c r="AL16" i="1"/>
  <c r="AK19" i="1"/>
  <c r="AH18" i="1"/>
  <c r="AJ16" i="1"/>
  <c r="AI127" i="1"/>
  <c r="D126" i="1"/>
  <c r="D127" i="1"/>
  <c r="A128" i="1"/>
  <c r="D20" i="1"/>
  <c r="AI20" i="1"/>
  <c r="AL19" i="1" l="1"/>
  <c r="AK20" i="1"/>
  <c r="D128" i="1"/>
  <c r="AH19" i="1"/>
  <c r="AI128" i="1"/>
  <c r="AI21" i="1"/>
  <c r="D22" i="1"/>
  <c r="AI22" i="1"/>
  <c r="AJ19" i="1"/>
  <c r="A129" i="1"/>
  <c r="D21" i="1"/>
  <c r="AL20" i="1" l="1"/>
  <c r="AK22" i="1"/>
  <c r="AK21" i="1"/>
  <c r="A130" i="1"/>
  <c r="AJ20" i="1"/>
  <c r="AH128" i="1"/>
  <c r="AI129" i="1"/>
  <c r="AH20" i="1"/>
  <c r="D129" i="1"/>
  <c r="AL21" i="1" l="1"/>
  <c r="AK23" i="1"/>
  <c r="A131" i="1"/>
  <c r="AJ21" i="1"/>
  <c r="AI130" i="1"/>
  <c r="AH21" i="1"/>
  <c r="D131" i="1"/>
  <c r="D25" i="1"/>
  <c r="D130" i="1"/>
  <c r="D24" i="1"/>
  <c r="AI25" i="1"/>
  <c r="AI24" i="1"/>
  <c r="AJ24" i="1" l="1"/>
  <c r="AK25" i="1"/>
  <c r="AH24" i="1"/>
  <c r="A132" i="1"/>
  <c r="AH130" i="1"/>
  <c r="AI131" i="1"/>
  <c r="AL25" i="1" l="1"/>
  <c r="AK26" i="1"/>
  <c r="AL26" i="1"/>
  <c r="AL27" i="1"/>
  <c r="AJ25" i="1"/>
  <c r="AH25" i="1"/>
  <c r="A133" i="1"/>
  <c r="D132" i="1"/>
  <c r="AI132" i="1"/>
  <c r="AJ27" i="1" l="1"/>
  <c r="AH26" i="1"/>
  <c r="AJ26" i="1"/>
  <c r="AE26" i="1"/>
  <c r="AD26" i="1"/>
  <c r="AL28" i="1"/>
  <c r="AL29" i="1"/>
  <c r="A134" i="1"/>
  <c r="AH27" i="1"/>
  <c r="D133" i="1"/>
  <c r="AI133" i="1"/>
  <c r="AI134" i="1"/>
  <c r="AS27" i="1" l="1"/>
  <c r="AJ29" i="1"/>
  <c r="AH28" i="1"/>
  <c r="AJ28" i="1"/>
  <c r="AK28" i="1"/>
  <c r="AE28" i="1"/>
  <c r="AD28" i="1"/>
  <c r="AT29" i="1"/>
  <c r="A135" i="1"/>
  <c r="AI135" i="1"/>
  <c r="D135" i="1"/>
  <c r="A136" i="1"/>
  <c r="AH29" i="1"/>
  <c r="D134" i="1"/>
  <c r="AA35" i="1" l="1"/>
  <c r="AB35" i="1" s="1"/>
  <c r="AC35" i="1" s="1"/>
  <c r="AO35" i="1"/>
  <c r="AN35" i="1"/>
  <c r="AH30" i="1"/>
  <c r="AJ30" i="1"/>
  <c r="AK30" i="1"/>
  <c r="AE30" i="1"/>
  <c r="AD30" i="1"/>
  <c r="AU29" i="1"/>
  <c r="AL31" i="1"/>
  <c r="A137" i="1"/>
  <c r="D136" i="1"/>
  <c r="AI136" i="1"/>
  <c r="AH135" i="1"/>
  <c r="AJ31" i="1" l="1"/>
  <c r="AK32" i="1"/>
  <c r="AW29" i="1"/>
  <c r="AV29" i="1"/>
  <c r="AL32" i="1"/>
  <c r="D137" i="1"/>
  <c r="A138" i="1"/>
  <c r="AH31" i="1"/>
  <c r="AI137" i="1"/>
  <c r="AK33" i="1" l="1"/>
  <c r="AL33" i="1"/>
  <c r="AL34" i="1" s="1"/>
  <c r="A139" i="1"/>
  <c r="AJ32" i="1"/>
  <c r="AH137" i="1"/>
  <c r="AH32" i="1"/>
  <c r="AK34" i="1" l="1"/>
  <c r="AL35" i="1"/>
  <c r="D139" i="1"/>
  <c r="AJ33" i="1"/>
  <c r="A140" i="1"/>
  <c r="AI139" i="1"/>
  <c r="AH33" i="1"/>
  <c r="AH34" i="1"/>
  <c r="AK35" i="1" l="1"/>
  <c r="AI140" i="1"/>
  <c r="AJ34" i="1"/>
  <c r="A141" i="1"/>
  <c r="D140" i="1"/>
  <c r="AI141" i="1"/>
  <c r="AK36" i="1" l="1"/>
  <c r="AL36" i="1"/>
  <c r="AL37" i="1" s="1"/>
  <c r="A142" i="1"/>
  <c r="AH140" i="1"/>
  <c r="D142" i="1"/>
  <c r="AJ35" i="1"/>
  <c r="AH35" i="1"/>
  <c r="D141" i="1"/>
  <c r="AI142" i="1"/>
  <c r="A143" i="1"/>
  <c r="AK37" i="1" l="1"/>
  <c r="AH37" i="1"/>
  <c r="AI143" i="1"/>
  <c r="D143" i="1"/>
  <c r="A144" i="1"/>
  <c r="D144" i="1" s="1"/>
  <c r="AH36" i="1"/>
  <c r="AI144" i="1"/>
  <c r="A145" i="1"/>
  <c r="AJ36" i="1"/>
  <c r="AK144" i="1" l="1"/>
  <c r="AT144" i="1"/>
  <c r="AK38" i="1"/>
  <c r="AL38" i="1"/>
  <c r="AI145" i="1"/>
  <c r="AH144" i="1"/>
  <c r="A146" i="1"/>
  <c r="AJ37" i="1"/>
  <c r="D145" i="1"/>
  <c r="AT145" i="1" l="1"/>
  <c r="AK39" i="1"/>
  <c r="AL39" i="1"/>
  <c r="AJ38" i="1"/>
  <c r="AH145" i="1"/>
  <c r="A147" i="1"/>
  <c r="D146" i="1"/>
  <c r="AI146" i="1"/>
  <c r="AH38" i="1"/>
  <c r="AK40" i="1" l="1"/>
  <c r="AL40" i="1"/>
  <c r="AL41" i="1"/>
  <c r="AI147" i="1"/>
  <c r="AH39" i="1"/>
  <c r="A148" i="1"/>
  <c r="AJ39" i="1"/>
  <c r="D147" i="1"/>
  <c r="AH41" i="1" l="1"/>
  <c r="AJ41" i="1"/>
  <c r="AK41" i="1"/>
  <c r="AE41" i="1"/>
  <c r="AD41" i="1"/>
  <c r="AT41" i="1"/>
  <c r="AL42" i="1"/>
  <c r="AL43" i="1" s="1"/>
  <c r="A149" i="1"/>
  <c r="AI148" i="1"/>
  <c r="AJ40" i="1"/>
  <c r="AH40" i="1"/>
  <c r="D148" i="1"/>
  <c r="AJ42" i="1" l="1"/>
  <c r="AK43" i="1"/>
  <c r="AU41" i="1"/>
  <c r="AL44" i="1"/>
  <c r="AH43" i="1"/>
  <c r="D149" i="1"/>
  <c r="AI149" i="1"/>
  <c r="A150" i="1"/>
  <c r="AJ43" i="1"/>
  <c r="AH42" i="1"/>
  <c r="AH44" i="1" l="1"/>
  <c r="AJ44" i="1"/>
  <c r="AK44" i="1"/>
  <c r="AE44" i="1"/>
  <c r="AD44" i="1"/>
  <c r="AT44" i="1"/>
  <c r="AW41" i="1"/>
  <c r="AV41" i="1"/>
  <c r="A151" i="1"/>
  <c r="AH149" i="1"/>
  <c r="A152" i="1"/>
  <c r="D151" i="1"/>
  <c r="AI151" i="1"/>
  <c r="AU44" i="1" l="1"/>
  <c r="AL45" i="1"/>
  <c r="AL46" i="1" s="1"/>
  <c r="AL47" i="1" s="1"/>
  <c r="AL48" i="1" s="1"/>
  <c r="D152" i="1"/>
  <c r="AI152" i="1"/>
  <c r="A153" i="1"/>
  <c r="AJ45" i="1" l="1"/>
  <c r="AK48" i="1"/>
  <c r="AK47" i="1"/>
  <c r="AK46" i="1"/>
  <c r="AW44" i="1"/>
  <c r="AV44" i="1"/>
  <c r="AL49" i="1"/>
  <c r="AL50" i="1" s="1"/>
  <c r="AH47" i="1"/>
  <c r="AH45" i="1"/>
  <c r="AH152" i="1"/>
  <c r="AJ46" i="1"/>
  <c r="AI153" i="1"/>
  <c r="A154" i="1"/>
  <c r="AH46" i="1"/>
  <c r="D153" i="1"/>
  <c r="AH48" i="1"/>
  <c r="AK50" i="1" l="1"/>
  <c r="AK49" i="1"/>
  <c r="AJ47" i="1"/>
  <c r="AI154" i="1"/>
  <c r="A155" i="1"/>
  <c r="D154" i="1"/>
  <c r="AH49" i="1"/>
  <c r="AH50" i="1"/>
  <c r="AK52" i="1" l="1"/>
  <c r="AK51" i="1"/>
  <c r="AL51" i="1"/>
  <c r="AL52" i="1" s="1"/>
  <c r="AL53" i="1" s="1"/>
  <c r="A156" i="1"/>
  <c r="AH51" i="1"/>
  <c r="D155" i="1"/>
  <c r="AH154" i="1"/>
  <c r="AI155" i="1"/>
  <c r="AH52" i="1"/>
  <c r="AJ48" i="1"/>
  <c r="AK53" i="1" l="1"/>
  <c r="AL54" i="1"/>
  <c r="AL55" i="1"/>
  <c r="AL56" i="1"/>
  <c r="A157" i="1"/>
  <c r="D156" i="1"/>
  <c r="AI156" i="1"/>
  <c r="AJ49" i="1"/>
  <c r="AH55" i="1" l="1"/>
  <c r="AJ55" i="1"/>
  <c r="AJ56" i="1"/>
  <c r="AK55" i="1"/>
  <c r="AK54" i="1"/>
  <c r="AE55" i="1"/>
  <c r="AD55" i="1"/>
  <c r="AJ50" i="1"/>
  <c r="AH53" i="1"/>
  <c r="AH56" i="1"/>
  <c r="AI157" i="1"/>
  <c r="A158" i="1"/>
  <c r="AH54" i="1"/>
  <c r="D157" i="1"/>
  <c r="A159" i="1"/>
  <c r="AK57" i="1" l="1"/>
  <c r="AL57" i="1"/>
  <c r="AL58" i="1" s="1"/>
  <c r="AI159" i="1"/>
  <c r="D159" i="1"/>
  <c r="AH57" i="1"/>
  <c r="AJ57" i="1"/>
  <c r="A160" i="1"/>
  <c r="D158" i="1"/>
  <c r="AI158" i="1"/>
  <c r="AJ51" i="1"/>
  <c r="AL60" i="1" l="1"/>
  <c r="AL61" i="1" s="1"/>
  <c r="AL62" i="1" s="1"/>
  <c r="AL59" i="1"/>
  <c r="AK60" i="1"/>
  <c r="AK58" i="1"/>
  <c r="AH158" i="1"/>
  <c r="A161" i="1"/>
  <c r="D160" i="1"/>
  <c r="AI160" i="1"/>
  <c r="AH60" i="1"/>
  <c r="AJ52" i="1"/>
  <c r="AH58" i="1"/>
  <c r="AJ58" i="1"/>
  <c r="AK62" i="1" l="1"/>
  <c r="AK61" i="1"/>
  <c r="AJ53" i="1"/>
  <c r="AI161" i="1"/>
  <c r="AJ54" i="1"/>
  <c r="A162" i="1"/>
  <c r="AH61" i="1"/>
  <c r="D161" i="1"/>
  <c r="AH62" i="1"/>
  <c r="AJ59" i="1"/>
  <c r="B3" i="6" l="1"/>
  <c r="B5" i="13"/>
  <c r="D162" i="1"/>
  <c r="A163" i="1"/>
  <c r="AI162" i="1"/>
  <c r="AJ60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A164" i="1"/>
  <c r="AI164" i="1" s="1"/>
  <c r="D164" i="1"/>
  <c r="A165" i="1"/>
  <c r="AJ61" i="1"/>
  <c r="AI165" i="1"/>
  <c r="A166" i="1"/>
  <c r="D165" i="1"/>
  <c r="AJ164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H164" i="1"/>
  <c r="AJ62" i="1"/>
  <c r="D166" i="1"/>
  <c r="A167" i="1"/>
  <c r="AI166" i="1"/>
  <c r="AI167" i="1"/>
  <c r="D167" i="1"/>
  <c r="K3" i="6" l="1"/>
  <c r="L3" i="6" s="1"/>
  <c r="M3" i="6" s="1"/>
  <c r="A168" i="1"/>
  <c r="D168" i="1"/>
  <c r="A169" i="1"/>
  <c r="AI168" i="1"/>
  <c r="B4" i="13" l="1"/>
  <c r="A170" i="1"/>
  <c r="AI169" i="1"/>
  <c r="D169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171" i="1"/>
  <c r="AI171" i="1"/>
  <c r="A172" i="1"/>
  <c r="A173" i="1"/>
  <c r="A174" i="1"/>
  <c r="D171" i="1"/>
  <c r="AI170" i="1"/>
  <c r="D170" i="1"/>
  <c r="AI173" i="1"/>
  <c r="D173" i="1"/>
  <c r="B31" i="5" l="1"/>
  <c r="A175" i="1"/>
  <c r="A176" i="1"/>
  <c r="A177" i="1"/>
  <c r="A178" i="1" s="1"/>
  <c r="D177" i="1"/>
  <c r="AI177" i="1"/>
  <c r="AI175" i="1"/>
  <c r="D175" i="1"/>
  <c r="AJ175" i="1" l="1"/>
  <c r="AT175" i="1"/>
  <c r="AU175" i="1" s="1"/>
  <c r="AW175" i="1" s="1"/>
  <c r="B32" i="5"/>
  <c r="D31" i="5"/>
  <c r="E31" i="5"/>
  <c r="F31" i="5"/>
  <c r="G31" i="5"/>
  <c r="H31" i="5"/>
  <c r="C31" i="5"/>
  <c r="A31" i="5" s="1"/>
  <c r="J31" i="5"/>
  <c r="I31" i="5"/>
  <c r="A179" i="1"/>
  <c r="AH175" i="1"/>
  <c r="D179" i="1"/>
  <c r="AI179" i="1"/>
  <c r="A180" i="1"/>
  <c r="AV175" i="1" l="1"/>
  <c r="K31" i="5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I180" i="1"/>
  <c r="D180" i="1"/>
  <c r="A181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I181" i="1"/>
  <c r="D181" i="1"/>
  <c r="A182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83" i="1"/>
  <c r="AI183" i="1"/>
  <c r="D183" i="1"/>
  <c r="A184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5" i="1"/>
  <c r="AI185" i="1"/>
  <c r="D185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6" i="1"/>
  <c r="D186" i="1"/>
  <c r="AI186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7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8" i="1"/>
  <c r="K38" i="5" l="1"/>
  <c r="L38" i="5" s="1"/>
  <c r="M38" i="5" s="1"/>
  <c r="A189" i="1"/>
  <c r="D188" i="1"/>
  <c r="AI188" i="1"/>
  <c r="AH64" i="1" l="1"/>
  <c r="AJ64" i="1"/>
  <c r="AK64" i="1"/>
  <c r="AK63" i="1"/>
  <c r="AE64" i="1"/>
  <c r="AD64" i="1"/>
  <c r="D189" i="1"/>
  <c r="AI189" i="1"/>
  <c r="A190" i="1"/>
  <c r="AH63" i="1"/>
  <c r="AJ63" i="1"/>
  <c r="A191" i="1"/>
  <c r="AI191" i="1" s="1"/>
  <c r="A192" i="1"/>
  <c r="AJ65" i="1" l="1"/>
  <c r="AK67" i="1"/>
  <c r="AK66" i="1"/>
  <c r="AT64" i="1"/>
  <c r="AU64" i="1" s="1"/>
  <c r="AW64" i="1" s="1"/>
  <c r="D191" i="1"/>
  <c r="AH67" i="1"/>
  <c r="A193" i="1"/>
  <c r="AH65" i="1"/>
  <c r="AH66" i="1"/>
  <c r="D192" i="1"/>
  <c r="AJ66" i="1"/>
  <c r="AI192" i="1"/>
  <c r="AK69" i="1" l="1"/>
  <c r="AK68" i="1"/>
  <c r="A194" i="1"/>
  <c r="AH68" i="1"/>
  <c r="AJ67" i="1"/>
  <c r="AK71" i="1" l="1"/>
  <c r="AK70" i="1"/>
  <c r="AL65" i="1"/>
  <c r="AL66" i="1"/>
  <c r="AL67" i="1" s="1"/>
  <c r="AL64" i="1"/>
  <c r="AH70" i="1"/>
  <c r="AJ68" i="1"/>
  <c r="D194" i="1"/>
  <c r="AI194" i="1"/>
  <c r="A195" i="1"/>
  <c r="AK72" i="1" l="1"/>
  <c r="AL73" i="1"/>
  <c r="AJ69" i="1"/>
  <c r="A196" i="1"/>
  <c r="AH71" i="1"/>
  <c r="AI195" i="1"/>
  <c r="AJ70" i="1"/>
  <c r="D195" i="1"/>
  <c r="AK73" i="1" l="1"/>
  <c r="AV64" i="1"/>
  <c r="AL74" i="1"/>
  <c r="AJ71" i="1"/>
  <c r="AH72" i="1"/>
  <c r="AI196" i="1"/>
  <c r="A197" i="1"/>
  <c r="D197" i="1"/>
  <c r="AI197" i="1"/>
  <c r="D196" i="1"/>
  <c r="AH73" i="1" l="1"/>
  <c r="AJ73" i="1"/>
  <c r="AE73" i="1"/>
  <c r="AD73" i="1"/>
  <c r="AJ72" i="1"/>
  <c r="A198" i="1"/>
  <c r="D198" i="1"/>
  <c r="A199" i="1"/>
  <c r="AI198" i="1"/>
  <c r="AJ74" i="1" l="1"/>
  <c r="AK75" i="1"/>
  <c r="AL75" i="1"/>
  <c r="AL76" i="1" s="1"/>
  <c r="AH74" i="1"/>
  <c r="AI199" i="1"/>
  <c r="A200" i="1"/>
  <c r="D199" i="1"/>
  <c r="AK77" i="1" l="1"/>
  <c r="AK76" i="1"/>
  <c r="D200" i="1"/>
  <c r="AJ75" i="1"/>
  <c r="A201" i="1"/>
  <c r="AH77" i="1"/>
  <c r="AH76" i="1"/>
  <c r="AH75" i="1"/>
  <c r="AI200" i="1"/>
  <c r="AT200" i="1" l="1"/>
  <c r="AK80" i="1"/>
  <c r="AK79" i="1"/>
  <c r="AK78" i="1"/>
  <c r="AL68" i="1"/>
  <c r="AL69" i="1" s="1"/>
  <c r="AL70" i="1" s="1"/>
  <c r="AL71" i="1" s="1"/>
  <c r="AL72" i="1" s="1"/>
  <c r="AL63" i="1"/>
  <c r="AL77" i="1"/>
  <c r="AL78" i="1" s="1"/>
  <c r="AL79" i="1" s="1"/>
  <c r="AL80" i="1" s="1"/>
  <c r="AJ76" i="1"/>
  <c r="AH200" i="1"/>
  <c r="AH78" i="1"/>
  <c r="A202" i="1"/>
  <c r="AH79" i="1"/>
  <c r="AK81" i="1" l="1"/>
  <c r="AL81" i="1"/>
  <c r="D202" i="1"/>
  <c r="AJ77" i="1"/>
  <c r="AH80" i="1"/>
  <c r="AI202" i="1"/>
  <c r="A203" i="1"/>
  <c r="AK82" i="1" l="1"/>
  <c r="AL82" i="1"/>
  <c r="AJ78" i="1"/>
  <c r="A204" i="1"/>
  <c r="AI203" i="1"/>
  <c r="AH81" i="1"/>
  <c r="D203" i="1"/>
  <c r="AJ79" i="1"/>
  <c r="AK83" i="1" l="1"/>
  <c r="AL83" i="1"/>
  <c r="AL84" i="1"/>
  <c r="AJ80" i="1"/>
  <c r="AH82" i="1"/>
  <c r="A205" i="1"/>
  <c r="AJ84" i="1" l="1"/>
  <c r="AH83" i="1"/>
  <c r="AJ83" i="1"/>
  <c r="AK85" i="1"/>
  <c r="AE83" i="1"/>
  <c r="AD83" i="1"/>
  <c r="AL85" i="1"/>
  <c r="AL86" i="1" s="1"/>
  <c r="D205" i="1"/>
  <c r="AI205" i="1"/>
  <c r="A206" i="1"/>
  <c r="AH84" i="1"/>
  <c r="AJ81" i="1"/>
  <c r="AK87" i="1" l="1"/>
  <c r="AK86" i="1"/>
  <c r="AL87" i="1"/>
  <c r="AL88" i="1" s="1"/>
  <c r="AJ82" i="1"/>
  <c r="AH86" i="1"/>
  <c r="AH85" i="1"/>
  <c r="A207" i="1"/>
  <c r="A208" i="1"/>
  <c r="AJ85" i="1"/>
  <c r="AI207" i="1"/>
  <c r="AK89" i="1" l="1"/>
  <c r="AK88" i="1"/>
  <c r="AL89" i="1"/>
  <c r="AL90" i="1" s="1"/>
  <c r="D208" i="1"/>
  <c r="AH87" i="1"/>
  <c r="AJ86" i="1"/>
  <c r="AI208" i="1"/>
  <c r="A209" i="1"/>
  <c r="AH88" i="1"/>
  <c r="D207" i="1"/>
  <c r="AT208" i="1" l="1"/>
  <c r="AK90" i="1"/>
  <c r="AL91" i="1"/>
  <c r="AL92" i="1" s="1"/>
  <c r="AJ87" i="1"/>
  <c r="AH89" i="1"/>
  <c r="AH208" i="1"/>
  <c r="AI209" i="1"/>
  <c r="AH90" i="1"/>
  <c r="A210" i="1"/>
  <c r="D209" i="1"/>
  <c r="AK92" i="1" l="1"/>
  <c r="AK91" i="1"/>
  <c r="AL93" i="1"/>
  <c r="AI210" i="1"/>
  <c r="AH91" i="1"/>
  <c r="AJ88" i="1"/>
  <c r="A211" i="1"/>
  <c r="AH92" i="1"/>
  <c r="D210" i="1"/>
  <c r="AK94" i="1" l="1"/>
  <c r="AK93" i="1"/>
  <c r="AL94" i="1"/>
  <c r="AL95" i="1"/>
  <c r="AL96" i="1" s="1"/>
  <c r="AL97" i="1" s="1"/>
  <c r="AL98" i="1" s="1"/>
  <c r="AJ89" i="1"/>
  <c r="A212" i="1"/>
  <c r="AJ90" i="1"/>
  <c r="AH93" i="1"/>
  <c r="AL100" i="1" l="1"/>
  <c r="AL99" i="1"/>
  <c r="AH94" i="1"/>
  <c r="AJ94" i="1"/>
  <c r="AJ95" i="1"/>
  <c r="AK96" i="1"/>
  <c r="AE94" i="1"/>
  <c r="AD94" i="1"/>
  <c r="AT94" i="1"/>
  <c r="AI212" i="1"/>
  <c r="AH96" i="1"/>
  <c r="AH95" i="1"/>
  <c r="AJ96" i="1"/>
  <c r="A213" i="1"/>
  <c r="AJ91" i="1"/>
  <c r="D212" i="1"/>
  <c r="AH97" i="1"/>
  <c r="AH98" i="1"/>
  <c r="AT212" i="1" l="1"/>
  <c r="AJ212" i="1"/>
  <c r="AK97" i="1"/>
  <c r="AL105" i="1"/>
  <c r="AJ92" i="1"/>
  <c r="AH212" i="1"/>
  <c r="AH102" i="1"/>
  <c r="AJ93" i="1"/>
  <c r="AH103" i="1"/>
  <c r="D213" i="1"/>
  <c r="AJ97" i="1"/>
  <c r="AI213" i="1"/>
  <c r="A214" i="1"/>
  <c r="AH101" i="1"/>
  <c r="AU212" i="1" l="1"/>
  <c r="AW212" i="1" s="1"/>
  <c r="AH105" i="1"/>
  <c r="AJ105" i="1"/>
  <c r="AK105" i="1"/>
  <c r="AK104" i="1"/>
  <c r="AK103" i="1"/>
  <c r="AK102" i="1"/>
  <c r="AK101" i="1"/>
  <c r="AK100" i="1"/>
  <c r="AK98" i="1"/>
  <c r="AE105" i="1"/>
  <c r="AD105" i="1"/>
  <c r="AL101" i="1"/>
  <c r="AL102" i="1" s="1"/>
  <c r="AL103" i="1" s="1"/>
  <c r="AL104" i="1" s="1"/>
  <c r="AT105" i="1"/>
  <c r="AL106" i="1"/>
  <c r="AL107" i="1" s="1"/>
  <c r="AI214" i="1"/>
  <c r="A215" i="1"/>
  <c r="D214" i="1"/>
  <c r="AJ98" i="1"/>
  <c r="AH104" i="1"/>
  <c r="AV212" i="1" l="1"/>
  <c r="AJ106" i="1"/>
  <c r="AU105" i="1"/>
  <c r="AT106" i="1"/>
  <c r="AU94" i="1"/>
  <c r="AL108" i="1"/>
  <c r="AL109" i="1"/>
  <c r="AL110" i="1" s="1"/>
  <c r="AI215" i="1"/>
  <c r="AH106" i="1"/>
  <c r="AJ107" i="1"/>
  <c r="A216" i="1"/>
  <c r="AJ99" i="1"/>
  <c r="D215" i="1"/>
  <c r="AU107" i="1" l="1"/>
  <c r="AJ109" i="1"/>
  <c r="AH108" i="1"/>
  <c r="AJ108" i="1"/>
  <c r="AK108" i="1"/>
  <c r="AK107" i="1"/>
  <c r="AE108" i="1"/>
  <c r="AD108" i="1"/>
  <c r="AW105" i="1"/>
  <c r="AV105" i="1"/>
  <c r="AU106" i="1"/>
  <c r="AW106" i="1" s="1"/>
  <c r="AW94" i="1"/>
  <c r="AV94" i="1"/>
  <c r="AL111" i="1"/>
  <c r="AL112" i="1" s="1"/>
  <c r="A217" i="1"/>
  <c r="D217" i="1"/>
  <c r="AH109" i="1"/>
  <c r="A218" i="1"/>
  <c r="AJ110" i="1"/>
  <c r="AJ100" i="1"/>
  <c r="AU110" i="1" l="1"/>
  <c r="AW107" i="1"/>
  <c r="AV107" i="1"/>
  <c r="AK111" i="1"/>
  <c r="AK110" i="1"/>
  <c r="AV106" i="1"/>
  <c r="AL113" i="1"/>
  <c r="AJ101" i="1"/>
  <c r="AI218" i="1"/>
  <c r="A219" i="1"/>
  <c r="D218" i="1"/>
  <c r="AJ111" i="1"/>
  <c r="AI217" i="1"/>
  <c r="AH111" i="1"/>
  <c r="AW110" i="1" l="1"/>
  <c r="AV110" i="1"/>
  <c r="AH113" i="1"/>
  <c r="AJ113" i="1"/>
  <c r="AK113" i="1"/>
  <c r="AK112" i="1"/>
  <c r="AE113" i="1"/>
  <c r="AD113" i="1"/>
  <c r="AL116" i="1"/>
  <c r="AL117" i="1" s="1"/>
  <c r="AL118" i="1" s="1"/>
  <c r="AL119" i="1" s="1"/>
  <c r="AL120" i="1" s="1"/>
  <c r="AL121" i="1" s="1"/>
  <c r="AJ112" i="1"/>
  <c r="AJ102" i="1"/>
  <c r="A220" i="1"/>
  <c r="AU112" i="1" l="1"/>
  <c r="AW112" i="1" s="1"/>
  <c r="AL123" i="1"/>
  <c r="AL122" i="1"/>
  <c r="AK116" i="1"/>
  <c r="AK115" i="1"/>
  <c r="AT116" i="1"/>
  <c r="AJ103" i="1"/>
  <c r="A221" i="1"/>
  <c r="AI220" i="1"/>
  <c r="D220" i="1"/>
  <c r="AH116" i="1"/>
  <c r="AJ116" i="1"/>
  <c r="AV112" i="1" l="1"/>
  <c r="AK121" i="1"/>
  <c r="AK120" i="1"/>
  <c r="AK119" i="1"/>
  <c r="AK118" i="1"/>
  <c r="AK117" i="1"/>
  <c r="AU116" i="1"/>
  <c r="AJ104" i="1"/>
  <c r="AI221" i="1"/>
  <c r="A222" i="1"/>
  <c r="AI222" i="1" s="1"/>
  <c r="D221" i="1"/>
  <c r="AJ117" i="1"/>
  <c r="AU117" i="1" l="1"/>
  <c r="AW117" i="1" s="1"/>
  <c r="AW116" i="1"/>
  <c r="AV116" i="1"/>
  <c r="AJ118" i="1"/>
  <c r="A223" i="1"/>
  <c r="D223" i="1" s="1"/>
  <c r="D222" i="1"/>
  <c r="AU118" i="1" l="1"/>
  <c r="AW118" i="1" s="1"/>
  <c r="AV117" i="1"/>
  <c r="AK124" i="1"/>
  <c r="AL124" i="1"/>
  <c r="A224" i="1"/>
  <c r="AI224" i="1"/>
  <c r="AI223" i="1"/>
  <c r="A225" i="1"/>
  <c r="AJ119" i="1"/>
  <c r="AU119" i="1" l="1"/>
  <c r="AV119" i="1" s="1"/>
  <c r="AV118" i="1"/>
  <c r="AK125" i="1"/>
  <c r="AT124" i="1"/>
  <c r="AL125" i="1"/>
  <c r="D224" i="1"/>
  <c r="A226" i="1"/>
  <c r="D225" i="1"/>
  <c r="AJ120" i="1"/>
  <c r="AH124" i="1"/>
  <c r="AI225" i="1"/>
  <c r="AW119" i="1" l="1"/>
  <c r="AU120" i="1"/>
  <c r="AH125" i="1"/>
  <c r="AJ125" i="1"/>
  <c r="AE125" i="1"/>
  <c r="AD125" i="1"/>
  <c r="AT125" i="1"/>
  <c r="AL126" i="1"/>
  <c r="AH224" i="1"/>
  <c r="AI226" i="1"/>
  <c r="D226" i="1"/>
  <c r="AJ121" i="1"/>
  <c r="AJ122" i="1"/>
  <c r="AU121" i="1" l="1"/>
  <c r="AV121" i="1" s="1"/>
  <c r="AU122" i="1"/>
  <c r="AV122" i="1" s="1"/>
  <c r="AW120" i="1"/>
  <c r="AV120" i="1"/>
  <c r="AJ126" i="1"/>
  <c r="AK127" i="1"/>
  <c r="AU125" i="1"/>
  <c r="AV125" i="1" s="1"/>
  <c r="AL127" i="1"/>
  <c r="AL128" i="1" s="1"/>
  <c r="A227" i="1"/>
  <c r="AH126" i="1"/>
  <c r="AJ123" i="1"/>
  <c r="AW121" i="1" l="1"/>
  <c r="AU123" i="1"/>
  <c r="AV123" i="1" s="1"/>
  <c r="AW122" i="1"/>
  <c r="AK128" i="1"/>
  <c r="AW125" i="1"/>
  <c r="A228" i="1"/>
  <c r="AH127" i="1"/>
  <c r="AI228" i="1"/>
  <c r="AJ124" i="1"/>
  <c r="A229" i="1"/>
  <c r="AJ127" i="1"/>
  <c r="AU124" i="1" l="1"/>
  <c r="AW124" i="1" s="1"/>
  <c r="AW123" i="1"/>
  <c r="AK130" i="1"/>
  <c r="AK129" i="1"/>
  <c r="AL129" i="1"/>
  <c r="AL130" i="1" s="1"/>
  <c r="D229" i="1"/>
  <c r="AI229" i="1"/>
  <c r="D228" i="1"/>
  <c r="A230" i="1"/>
  <c r="AJ128" i="1"/>
  <c r="AV124" i="1" l="1"/>
  <c r="AK131" i="1"/>
  <c r="AL131" i="1"/>
  <c r="D230" i="1"/>
  <c r="A231" i="1"/>
  <c r="AJ129" i="1"/>
  <c r="AH129" i="1"/>
  <c r="AI230" i="1"/>
  <c r="AK132" i="1" l="1"/>
  <c r="AL132" i="1"/>
  <c r="AJ130" i="1"/>
  <c r="A232" i="1"/>
  <c r="A233" i="1"/>
  <c r="AH131" i="1"/>
  <c r="D232" i="1"/>
  <c r="AK133" i="1" l="1"/>
  <c r="AL133" i="1"/>
  <c r="AI232" i="1"/>
  <c r="A234" i="1"/>
  <c r="D233" i="1"/>
  <c r="AJ131" i="1"/>
  <c r="AJ132" i="1" s="1"/>
  <c r="AH132" i="1"/>
  <c r="AI233" i="1"/>
  <c r="AK134" i="1" l="1"/>
  <c r="AL134" i="1"/>
  <c r="AL135" i="1" s="1"/>
  <c r="AH133" i="1"/>
  <c r="AJ133" i="1"/>
  <c r="AI234" i="1"/>
  <c r="A235" i="1"/>
  <c r="D234" i="1"/>
  <c r="AK135" i="1" l="1"/>
  <c r="AL136" i="1"/>
  <c r="AL137" i="1" s="1"/>
  <c r="AL139" i="1"/>
  <c r="AL140" i="1" s="1"/>
  <c r="D235" i="1"/>
  <c r="AJ134" i="1"/>
  <c r="A236" i="1"/>
  <c r="AH134" i="1"/>
  <c r="AI235" i="1"/>
  <c r="AJ139" i="1" l="1"/>
  <c r="AH138" i="1"/>
  <c r="AJ138" i="1"/>
  <c r="AK137" i="1"/>
  <c r="AK136" i="1"/>
  <c r="AE138" i="1"/>
  <c r="AD138" i="1"/>
  <c r="AT138" i="1"/>
  <c r="AL138" i="1"/>
  <c r="AH139" i="1"/>
  <c r="AJ135" i="1"/>
  <c r="AJ140" i="1"/>
  <c r="AI236" i="1"/>
  <c r="AH136" i="1"/>
  <c r="A237" i="1"/>
  <c r="D236" i="1"/>
  <c r="AK141" i="1" l="1"/>
  <c r="AK140" i="1"/>
  <c r="AK138" i="1"/>
  <c r="AU138" i="1"/>
  <c r="AL141" i="1"/>
  <c r="AL142" i="1" s="1"/>
  <c r="D237" i="1"/>
  <c r="AJ136" i="1"/>
  <c r="AH236" i="1"/>
  <c r="AJ141" i="1"/>
  <c r="A238" i="1"/>
  <c r="AI237" i="1"/>
  <c r="AK143" i="1" l="1"/>
  <c r="AK142" i="1"/>
  <c r="AL143" i="1"/>
  <c r="AT143" i="1"/>
  <c r="AW138" i="1"/>
  <c r="AV138" i="1"/>
  <c r="AI238" i="1"/>
  <c r="AH141" i="1"/>
  <c r="AJ137" i="1"/>
  <c r="AH143" i="1"/>
  <c r="A239" i="1"/>
  <c r="D238" i="1"/>
  <c r="AJ142" i="1"/>
  <c r="AH142" i="1"/>
  <c r="A240" i="1"/>
  <c r="AL145" i="1" l="1"/>
  <c r="AL146" i="1" s="1"/>
  <c r="AL144" i="1"/>
  <c r="AK146" i="1"/>
  <c r="AK145" i="1"/>
  <c r="D239" i="1"/>
  <c r="AJ143" i="1"/>
  <c r="AI239" i="1"/>
  <c r="A241" i="1"/>
  <c r="D240" i="1"/>
  <c r="AI240" i="1"/>
  <c r="AU143" i="1" l="1"/>
  <c r="AV143" i="1" s="1"/>
  <c r="AK147" i="1"/>
  <c r="AL147" i="1"/>
  <c r="AH147" i="1"/>
  <c r="A242" i="1"/>
  <c r="AI241" i="1"/>
  <c r="D241" i="1"/>
  <c r="AH146" i="1"/>
  <c r="AJ144" i="1"/>
  <c r="AH240" i="1"/>
  <c r="AU144" i="1" l="1"/>
  <c r="AV144" i="1" s="1"/>
  <c r="AW143" i="1"/>
  <c r="AK148" i="1"/>
  <c r="AL148" i="1"/>
  <c r="AL149" i="1" s="1"/>
  <c r="D242" i="1"/>
  <c r="AJ145" i="1"/>
  <c r="AH148" i="1"/>
  <c r="A243" i="1"/>
  <c r="AI242" i="1"/>
  <c r="AU145" i="1" l="1"/>
  <c r="AW145" i="1" s="1"/>
  <c r="AW144" i="1"/>
  <c r="AK149" i="1"/>
  <c r="AL150" i="1"/>
  <c r="A244" i="1"/>
  <c r="AJ146" i="1"/>
  <c r="AV145" i="1" l="1"/>
  <c r="AH150" i="1"/>
  <c r="AJ150" i="1"/>
  <c r="AK150" i="1"/>
  <c r="AE150" i="1"/>
  <c r="AD150" i="1"/>
  <c r="AT150" i="1"/>
  <c r="AL151" i="1"/>
  <c r="AL152" i="1" s="1"/>
  <c r="AI244" i="1"/>
  <c r="A245" i="1"/>
  <c r="D244" i="1"/>
  <c r="AJ147" i="1"/>
  <c r="AJ151" i="1" l="1"/>
  <c r="AK152" i="1"/>
  <c r="AU150" i="1"/>
  <c r="AW150" i="1" s="1"/>
  <c r="AL153" i="1"/>
  <c r="AL154" i="1" s="1"/>
  <c r="A246" i="1"/>
  <c r="AJ152" i="1"/>
  <c r="D245" i="1"/>
  <c r="AH151" i="1"/>
  <c r="AJ148" i="1"/>
  <c r="AI245" i="1"/>
  <c r="AK155" i="1" l="1"/>
  <c r="AK154" i="1"/>
  <c r="AK153" i="1"/>
  <c r="AV150" i="1"/>
  <c r="AL155" i="1"/>
  <c r="AH153" i="1"/>
  <c r="AJ149" i="1"/>
  <c r="AJ153" i="1"/>
  <c r="A247" i="1"/>
  <c r="A248" i="1"/>
  <c r="AK158" i="1" l="1"/>
  <c r="AK157" i="1"/>
  <c r="AK156" i="1"/>
  <c r="AL156" i="1"/>
  <c r="AL157" i="1" s="1"/>
  <c r="AL158" i="1" s="1"/>
  <c r="AL159" i="1" s="1"/>
  <c r="AI247" i="1"/>
  <c r="AJ154" i="1"/>
  <c r="AH157" i="1"/>
  <c r="AH155" i="1"/>
  <c r="D247" i="1"/>
  <c r="AH156" i="1"/>
  <c r="A249" i="1"/>
  <c r="AI248" i="1"/>
  <c r="D248" i="1"/>
  <c r="AK159" i="1" l="1"/>
  <c r="AL160" i="1"/>
  <c r="D249" i="1"/>
  <c r="AH159" i="1"/>
  <c r="AJ155" i="1"/>
  <c r="A250" i="1"/>
  <c r="AI249" i="1"/>
  <c r="AK161" i="1" l="1"/>
  <c r="AK160" i="1"/>
  <c r="AL161" i="1"/>
  <c r="AL162" i="1" s="1"/>
  <c r="AL163" i="1"/>
  <c r="D250" i="1"/>
  <c r="A251" i="1"/>
  <c r="AI250" i="1"/>
  <c r="AH160" i="1"/>
  <c r="AH161" i="1"/>
  <c r="AJ156" i="1"/>
  <c r="AT250" i="1" l="1"/>
  <c r="AH163" i="1"/>
  <c r="AJ163" i="1"/>
  <c r="AK163" i="1"/>
  <c r="AK162" i="1"/>
  <c r="AE163" i="1"/>
  <c r="AD163" i="1"/>
  <c r="AT163" i="1"/>
  <c r="AL165" i="1"/>
  <c r="AJ157" i="1"/>
  <c r="D251" i="1"/>
  <c r="AI251" i="1"/>
  <c r="AH250" i="1"/>
  <c r="AK165" i="1" l="1"/>
  <c r="AU163" i="1"/>
  <c r="AL166" i="1"/>
  <c r="AH162" i="1"/>
  <c r="A252" i="1"/>
  <c r="AJ165" i="1"/>
  <c r="AH165" i="1"/>
  <c r="AJ158" i="1"/>
  <c r="AK168" i="1" l="1"/>
  <c r="AK167" i="1"/>
  <c r="AK166" i="1"/>
  <c r="AW163" i="1"/>
  <c r="AV163" i="1"/>
  <c r="AL167" i="1"/>
  <c r="AL168" i="1" s="1"/>
  <c r="A253" i="1"/>
  <c r="A254" i="1"/>
  <c r="AJ166" i="1"/>
  <c r="AJ159" i="1"/>
  <c r="AI253" i="1"/>
  <c r="AI254" i="1"/>
  <c r="AH166" i="1"/>
  <c r="AK169" i="1" l="1"/>
  <c r="AL169" i="1"/>
  <c r="AL170" i="1" s="1"/>
  <c r="AL171" i="1" s="1"/>
  <c r="AJ160" i="1"/>
  <c r="D254" i="1"/>
  <c r="D253" i="1"/>
  <c r="AH168" i="1"/>
  <c r="A255" i="1"/>
  <c r="AJ167" i="1"/>
  <c r="AH167" i="1"/>
  <c r="D255" i="1"/>
  <c r="AI255" i="1"/>
  <c r="A256" i="1"/>
  <c r="AK172" i="1" l="1"/>
  <c r="AK171" i="1"/>
  <c r="AK170" i="1"/>
  <c r="AL172" i="1"/>
  <c r="AL173" i="1"/>
  <c r="AH171" i="1"/>
  <c r="AJ168" i="1"/>
  <c r="A257" i="1"/>
  <c r="AJ161" i="1"/>
  <c r="AH169" i="1"/>
  <c r="AH170" i="1"/>
  <c r="AJ173" i="1" l="1"/>
  <c r="AH172" i="1"/>
  <c r="AJ172" i="1"/>
  <c r="AK174" i="1"/>
  <c r="AE172" i="1"/>
  <c r="AD172" i="1"/>
  <c r="AL174" i="1"/>
  <c r="AI257" i="1"/>
  <c r="A258" i="1"/>
  <c r="AJ162" i="1"/>
  <c r="D257" i="1"/>
  <c r="AJ169" i="1"/>
  <c r="AH173" i="1"/>
  <c r="AH174" i="1" l="1"/>
  <c r="AJ174" i="1"/>
  <c r="AH176" i="1"/>
  <c r="AJ176" i="1"/>
  <c r="AK176" i="1"/>
  <c r="AE176" i="1"/>
  <c r="AD176" i="1"/>
  <c r="AE174" i="1"/>
  <c r="AD174" i="1"/>
  <c r="AL176" i="1"/>
  <c r="AL177" i="1"/>
  <c r="AL178" i="1"/>
  <c r="AJ170" i="1"/>
  <c r="AJ171" i="1"/>
  <c r="AI258" i="1"/>
  <c r="D258" i="1"/>
  <c r="A259" i="1"/>
  <c r="AH178" i="1" l="1"/>
  <c r="AJ178" i="1"/>
  <c r="AJ177" i="1"/>
  <c r="AK178" i="1"/>
  <c r="AE178" i="1"/>
  <c r="AD178" i="1"/>
  <c r="AL179" i="1"/>
  <c r="AL180" i="1" s="1"/>
  <c r="AI259" i="1"/>
  <c r="D259" i="1"/>
  <c r="A260" i="1"/>
  <c r="AH177" i="1"/>
  <c r="AJ179" i="1" l="1"/>
  <c r="AK180" i="1"/>
  <c r="AL181" i="1"/>
  <c r="AJ180" i="1"/>
  <c r="AH179" i="1"/>
  <c r="AH180" i="1"/>
  <c r="AI260" i="1"/>
  <c r="A261" i="1"/>
  <c r="D260" i="1"/>
  <c r="AK182" i="1" l="1"/>
  <c r="AK181" i="1"/>
  <c r="AJ182" i="1"/>
  <c r="AL182" i="1"/>
  <c r="AH181" i="1"/>
  <c r="A262" i="1"/>
  <c r="AJ181" i="1"/>
  <c r="AI262" i="1"/>
  <c r="AJ183" i="1" l="1"/>
  <c r="AD182" i="1"/>
  <c r="AH182" i="1"/>
  <c r="AK184" i="1"/>
  <c r="AT182" i="1"/>
  <c r="AE182" i="1"/>
  <c r="AJ184" i="1"/>
  <c r="AL184" i="1"/>
  <c r="AL183" i="1"/>
  <c r="AL185" i="1"/>
  <c r="D262" i="1"/>
  <c r="AH183" i="1"/>
  <c r="A263" i="1"/>
  <c r="A264" i="1" s="1"/>
  <c r="AI263" i="1"/>
  <c r="D263" i="1"/>
  <c r="AJ185" i="1" l="1"/>
  <c r="AD184" i="1"/>
  <c r="AH184" i="1"/>
  <c r="AK186" i="1"/>
  <c r="AE184" i="1"/>
  <c r="AL186" i="1"/>
  <c r="AI264" i="1"/>
  <c r="AH186" i="1"/>
  <c r="A265" i="1"/>
  <c r="AH185" i="1"/>
  <c r="D264" i="1"/>
  <c r="AJ186" i="1"/>
  <c r="AK187" i="1" l="1"/>
  <c r="AU182" i="1"/>
  <c r="AL188" i="1"/>
  <c r="AL189" i="1" s="1"/>
  <c r="AI265" i="1"/>
  <c r="D265" i="1"/>
  <c r="A266" i="1"/>
  <c r="AJ188" i="1" l="1"/>
  <c r="AK189" i="1"/>
  <c r="AT188" i="1"/>
  <c r="AV182" i="1"/>
  <c r="AW182" i="1"/>
  <c r="AL190" i="1"/>
  <c r="AL191" i="1"/>
  <c r="AH188" i="1"/>
  <c r="D266" i="1"/>
  <c r="A267" i="1"/>
  <c r="AJ189" i="1"/>
  <c r="AH189" i="1"/>
  <c r="AI266" i="1"/>
  <c r="AH190" i="1" l="1"/>
  <c r="AJ190" i="1"/>
  <c r="AK192" i="1"/>
  <c r="AK190" i="1"/>
  <c r="AE190" i="1"/>
  <c r="AD190" i="1"/>
  <c r="AU188" i="1"/>
  <c r="AW188" i="1" s="1"/>
  <c r="AL192" i="1"/>
  <c r="AL193" i="1"/>
  <c r="AL194" i="1"/>
  <c r="A268" i="1"/>
  <c r="D267" i="1"/>
  <c r="AI267" i="1"/>
  <c r="AJ194" i="1" l="1"/>
  <c r="AH193" i="1"/>
  <c r="AJ193" i="1"/>
  <c r="AJ191" i="1"/>
  <c r="AK193" i="1"/>
  <c r="AE193" i="1"/>
  <c r="AD193" i="1"/>
  <c r="AV188" i="1"/>
  <c r="AL195" i="1"/>
  <c r="AL196" i="1" s="1"/>
  <c r="A269" i="1"/>
  <c r="D268" i="1"/>
  <c r="AH267" i="1"/>
  <c r="D269" i="1"/>
  <c r="AH194" i="1"/>
  <c r="AI268" i="1"/>
  <c r="AH191" i="1"/>
  <c r="AH192" i="1"/>
  <c r="AJ192" i="1"/>
  <c r="A270" i="1"/>
  <c r="D270" i="1" s="1"/>
  <c r="AI269" i="1"/>
  <c r="AK196" i="1" l="1"/>
  <c r="AK195" i="1"/>
  <c r="AL197" i="1"/>
  <c r="AL198" i="1" s="1"/>
  <c r="AJ195" i="1"/>
  <c r="AH195" i="1"/>
  <c r="AH196" i="1"/>
  <c r="AI270" i="1"/>
  <c r="A271" i="1"/>
  <c r="D271" i="1"/>
  <c r="AK198" i="1" l="1"/>
  <c r="AK197" i="1"/>
  <c r="AL199" i="1"/>
  <c r="AL200" i="1" s="1"/>
  <c r="A272" i="1"/>
  <c r="AI271" i="1"/>
  <c r="AH198" i="1"/>
  <c r="D272" i="1"/>
  <c r="AI272" i="1"/>
  <c r="AH197" i="1"/>
  <c r="A273" i="1"/>
  <c r="AJ196" i="1"/>
  <c r="AK199" i="1" l="1"/>
  <c r="AL201" i="1"/>
  <c r="A274" i="1"/>
  <c r="AJ197" i="1"/>
  <c r="A275" i="1"/>
  <c r="AH199" i="1"/>
  <c r="D274" i="1"/>
  <c r="AI274" i="1"/>
  <c r="AH201" i="1" l="1"/>
  <c r="AJ201" i="1"/>
  <c r="AK201" i="1"/>
  <c r="AK200" i="1"/>
  <c r="AE201" i="1"/>
  <c r="AD201" i="1"/>
  <c r="AL202" i="1"/>
  <c r="AL203" i="1"/>
  <c r="D275" i="1"/>
  <c r="AJ198" i="1"/>
  <c r="A276" i="1"/>
  <c r="AI275" i="1"/>
  <c r="AJ202" i="1" l="1"/>
  <c r="AK203" i="1"/>
  <c r="AL205" i="1"/>
  <c r="A277" i="1"/>
  <c r="AH203" i="1"/>
  <c r="AJ199" i="1"/>
  <c r="D276" i="1"/>
  <c r="AI276" i="1"/>
  <c r="AH275" i="1"/>
  <c r="AJ203" i="1"/>
  <c r="AH202" i="1"/>
  <c r="AJ205" i="1" l="1"/>
  <c r="AK204" i="1"/>
  <c r="AL206" i="1"/>
  <c r="AL207" i="1"/>
  <c r="AL208" i="1" s="1"/>
  <c r="D277" i="1"/>
  <c r="AI277" i="1"/>
  <c r="A278" i="1"/>
  <c r="AH205" i="1"/>
  <c r="AJ200" i="1"/>
  <c r="AI278" i="1"/>
  <c r="AU200" i="1" l="1"/>
  <c r="AW200" i="1" s="1"/>
  <c r="AJ207" i="1"/>
  <c r="AH206" i="1"/>
  <c r="AJ206" i="1"/>
  <c r="AK206" i="1"/>
  <c r="AE206" i="1"/>
  <c r="AD206" i="1"/>
  <c r="AL209" i="1"/>
  <c r="AL210" i="1" s="1"/>
  <c r="AL211" i="1"/>
  <c r="AL213" i="1"/>
  <c r="D278" i="1"/>
  <c r="AH207" i="1"/>
  <c r="A279" i="1"/>
  <c r="AI279" i="1" s="1"/>
  <c r="A280" i="1"/>
  <c r="AJ208" i="1"/>
  <c r="D279" i="1"/>
  <c r="AV200" i="1" l="1"/>
  <c r="AU208" i="1"/>
  <c r="AH211" i="1"/>
  <c r="AJ211" i="1"/>
  <c r="AK214" i="1"/>
  <c r="AK213" i="1"/>
  <c r="AK211" i="1"/>
  <c r="AK210" i="1"/>
  <c r="AK209" i="1"/>
  <c r="AK208" i="1"/>
  <c r="AE211" i="1"/>
  <c r="AD211" i="1"/>
  <c r="AL214" i="1"/>
  <c r="AI280" i="1"/>
  <c r="AH213" i="1"/>
  <c r="AH209" i="1"/>
  <c r="AJ213" i="1"/>
  <c r="AJ209" i="1"/>
  <c r="D280" i="1"/>
  <c r="A281" i="1"/>
  <c r="AH210" i="1"/>
  <c r="AW208" i="1" l="1"/>
  <c r="AV208" i="1"/>
  <c r="AK215" i="1"/>
  <c r="AL215" i="1"/>
  <c r="AH214" i="1"/>
  <c r="A282" i="1"/>
  <c r="D281" i="1"/>
  <c r="AJ210" i="1"/>
  <c r="AJ214" i="1"/>
  <c r="AI281" i="1"/>
  <c r="AK216" i="1" l="1"/>
  <c r="AL217" i="1"/>
  <c r="AJ215" i="1"/>
  <c r="D282" i="1"/>
  <c r="A283" i="1"/>
  <c r="AH215" i="1"/>
  <c r="AH281" i="1"/>
  <c r="AI282" i="1"/>
  <c r="D283" i="1"/>
  <c r="AJ217" i="1" l="1"/>
  <c r="AK218" i="1"/>
  <c r="AL218" i="1"/>
  <c r="AI283" i="1"/>
  <c r="A284" i="1"/>
  <c r="AH217" i="1"/>
  <c r="D284" i="1"/>
  <c r="AK219" i="1" l="1"/>
  <c r="AL220" i="1"/>
  <c r="A285" i="1"/>
  <c r="A286" i="1"/>
  <c r="AJ218" i="1"/>
  <c r="AH218" i="1"/>
  <c r="AI285" i="1"/>
  <c r="D285" i="1"/>
  <c r="AI284" i="1"/>
  <c r="AJ220" i="1" l="1"/>
  <c r="AK221" i="1"/>
  <c r="AL221" i="1"/>
  <c r="A287" i="1"/>
  <c r="D287" i="1" s="1"/>
  <c r="AH220" i="1"/>
  <c r="AK222" i="1" l="1"/>
  <c r="AL222" i="1"/>
  <c r="AL223" i="1" s="1"/>
  <c r="AL224" i="1" s="1"/>
  <c r="AI287" i="1"/>
  <c r="AJ221" i="1"/>
  <c r="A288" i="1"/>
  <c r="AH221" i="1"/>
  <c r="A289" i="1"/>
  <c r="D289" i="1"/>
  <c r="A290" i="1"/>
  <c r="AI289" i="1"/>
  <c r="AI290" i="1"/>
  <c r="D290" i="1"/>
  <c r="AK223" i="1" l="1"/>
  <c r="AJ222" i="1"/>
  <c r="AH222" i="1"/>
  <c r="A291" i="1"/>
  <c r="A292" i="1"/>
  <c r="D291" i="1"/>
  <c r="AK224" i="1" l="1"/>
  <c r="AI291" i="1"/>
  <c r="D292" i="1"/>
  <c r="AI292" i="1"/>
  <c r="A293" i="1"/>
  <c r="AJ223" i="1"/>
  <c r="AH223" i="1"/>
  <c r="AK225" i="1" l="1"/>
  <c r="AL225" i="1"/>
  <c r="D293" i="1"/>
  <c r="AH225" i="1"/>
  <c r="AI293" i="1"/>
  <c r="A294" i="1"/>
  <c r="D294" i="1" s="1"/>
  <c r="A295" i="1"/>
  <c r="AJ224" i="1"/>
  <c r="AT294" i="1" l="1"/>
  <c r="AK226" i="1"/>
  <c r="AL227" i="1"/>
  <c r="AL226" i="1"/>
  <c r="AI295" i="1"/>
  <c r="AJ225" i="1"/>
  <c r="A296" i="1"/>
  <c r="AH294" i="1"/>
  <c r="AI294" i="1"/>
  <c r="D295" i="1"/>
  <c r="AK227" i="1" l="1"/>
  <c r="D296" i="1"/>
  <c r="AI296" i="1"/>
  <c r="A297" i="1"/>
  <c r="AH226" i="1"/>
  <c r="AJ226" i="1"/>
  <c r="AH227" i="1" l="1"/>
  <c r="AJ227" i="1"/>
  <c r="AE227" i="1"/>
  <c r="AD227" i="1"/>
  <c r="AT227" i="1"/>
  <c r="AL228" i="1"/>
  <c r="AL229" i="1" s="1"/>
  <c r="A298" i="1"/>
  <c r="D298" i="1"/>
  <c r="A299" i="1"/>
  <c r="AI298" i="1"/>
  <c r="AJ228" i="1" l="1"/>
  <c r="AK229" i="1"/>
  <c r="AU227" i="1"/>
  <c r="AW227" i="1" s="1"/>
  <c r="A300" i="1"/>
  <c r="AH228" i="1"/>
  <c r="AK230" i="1" l="1"/>
  <c r="AV227" i="1"/>
  <c r="AL230" i="1"/>
  <c r="A301" i="1"/>
  <c r="AH229" i="1"/>
  <c r="AI300" i="1"/>
  <c r="AJ229" i="1"/>
  <c r="D301" i="1"/>
  <c r="D300" i="1"/>
  <c r="AT301" i="1" l="1"/>
  <c r="AK231" i="1"/>
  <c r="AL231" i="1"/>
  <c r="AI301" i="1"/>
  <c r="A302" i="1"/>
  <c r="AH230" i="1"/>
  <c r="AH301" i="1"/>
  <c r="AJ230" i="1"/>
  <c r="AH231" i="1" l="1"/>
  <c r="AJ231" i="1"/>
  <c r="AE231" i="1"/>
  <c r="AD231" i="1"/>
  <c r="AT231" i="1"/>
  <c r="AL232" i="1"/>
  <c r="A303" i="1"/>
  <c r="A304" i="1"/>
  <c r="D303" i="1"/>
  <c r="AI303" i="1"/>
  <c r="AJ303" i="1" l="1"/>
  <c r="AJ232" i="1"/>
  <c r="AK233" i="1"/>
  <c r="AU231" i="1"/>
  <c r="AV231" i="1" s="1"/>
  <c r="AL233" i="1"/>
  <c r="AH232" i="1"/>
  <c r="AH233" i="1"/>
  <c r="AJ233" i="1"/>
  <c r="AH303" i="1"/>
  <c r="A305" i="1"/>
  <c r="AK234" i="1" l="1"/>
  <c r="AW231" i="1"/>
  <c r="AL234" i="1"/>
  <c r="AL235" i="1" s="1"/>
  <c r="AL236" i="1" s="1"/>
  <c r="A306" i="1"/>
  <c r="D305" i="1"/>
  <c r="AI305" i="1"/>
  <c r="A307" i="1"/>
  <c r="D306" i="1"/>
  <c r="AT305" i="1" l="1"/>
  <c r="AJ305" i="1"/>
  <c r="AK235" i="1"/>
  <c r="AI306" i="1"/>
  <c r="AH305" i="1"/>
  <c r="AH235" i="1"/>
  <c r="AI307" i="1"/>
  <c r="AJ234" i="1"/>
  <c r="D307" i="1"/>
  <c r="A308" i="1"/>
  <c r="AH234" i="1"/>
  <c r="AU305" i="1" l="1"/>
  <c r="AW305" i="1" s="1"/>
  <c r="AK236" i="1"/>
  <c r="AI308" i="1"/>
  <c r="D308" i="1"/>
  <c r="AJ235" i="1"/>
  <c r="A309" i="1"/>
  <c r="AV305" i="1" l="1"/>
  <c r="AK237" i="1"/>
  <c r="AL237" i="1"/>
  <c r="AH237" i="1"/>
  <c r="A310" i="1"/>
  <c r="D309" i="1"/>
  <c r="AJ236" i="1"/>
  <c r="AI309" i="1"/>
  <c r="AK238" i="1" l="1"/>
  <c r="AL238" i="1"/>
  <c r="AJ237" i="1"/>
  <c r="D310" i="1"/>
  <c r="AI310" i="1"/>
  <c r="A311" i="1"/>
  <c r="AK239" i="1" l="1"/>
  <c r="AL239" i="1"/>
  <c r="AL240" i="1" s="1"/>
  <c r="AI311" i="1"/>
  <c r="A312" i="1"/>
  <c r="AH238" i="1"/>
  <c r="D311" i="1"/>
  <c r="AJ238" i="1"/>
  <c r="AK240" i="1" l="1"/>
  <c r="AL241" i="1"/>
  <c r="AJ239" i="1"/>
  <c r="AH239" i="1"/>
  <c r="A313" i="1"/>
  <c r="AI313" i="1" s="1"/>
  <c r="D313" i="1"/>
  <c r="A314" i="1"/>
  <c r="A315" i="1"/>
  <c r="D314" i="1"/>
  <c r="AK242" i="1" l="1"/>
  <c r="AK241" i="1"/>
  <c r="AL242" i="1"/>
  <c r="A316" i="1"/>
  <c r="AI314" i="1"/>
  <c r="AJ240" i="1"/>
  <c r="D315" i="1"/>
  <c r="AI315" i="1"/>
  <c r="AH241" i="1"/>
  <c r="AK243" i="1" l="1"/>
  <c r="AL243" i="1"/>
  <c r="AH242" i="1"/>
  <c r="AJ241" i="1"/>
  <c r="AI316" i="1"/>
  <c r="A317" i="1"/>
  <c r="D316" i="1"/>
  <c r="AH243" i="1" l="1"/>
  <c r="AJ243" i="1"/>
  <c r="AE243" i="1"/>
  <c r="AD243" i="1"/>
  <c r="AL244" i="1"/>
  <c r="A318" i="1"/>
  <c r="AI317" i="1"/>
  <c r="AJ242" i="1"/>
  <c r="D317" i="1"/>
  <c r="AJ244" i="1" l="1"/>
  <c r="AK245" i="1"/>
  <c r="AL245" i="1"/>
  <c r="D318" i="1"/>
  <c r="AI318" i="1"/>
  <c r="AH244" i="1"/>
  <c r="A319" i="1"/>
  <c r="AK246" i="1" l="1"/>
  <c r="AL246" i="1"/>
  <c r="AI319" i="1"/>
  <c r="D319" i="1"/>
  <c r="A320" i="1"/>
  <c r="D320" i="1"/>
  <c r="AH245" i="1"/>
  <c r="AJ245" i="1"/>
  <c r="A321" i="1"/>
  <c r="AI321" i="1" s="1"/>
  <c r="D321" i="1"/>
  <c r="AI320" i="1"/>
  <c r="AH246" i="1" l="1"/>
  <c r="AJ246" i="1"/>
  <c r="AE246" i="1"/>
  <c r="AD246" i="1"/>
  <c r="AL247" i="1"/>
  <c r="AL248" i="1" s="1"/>
  <c r="AH319" i="1"/>
  <c r="A322" i="1"/>
  <c r="AJ247" i="1" l="1"/>
  <c r="AK248" i="1"/>
  <c r="A323" i="1"/>
  <c r="AI323" i="1"/>
  <c r="A324" i="1"/>
  <c r="D323" i="1"/>
  <c r="AH247" i="1"/>
  <c r="AK249" i="1" l="1"/>
  <c r="AL249" i="1"/>
  <c r="AL250" i="1" s="1"/>
  <c r="AI324" i="1"/>
  <c r="A325" i="1"/>
  <c r="AH248" i="1"/>
  <c r="AJ248" i="1"/>
  <c r="D324" i="1"/>
  <c r="AH249" i="1"/>
  <c r="AK250" i="1" l="1"/>
  <c r="AL251" i="1"/>
  <c r="AI325" i="1"/>
  <c r="AJ249" i="1"/>
  <c r="A326" i="1"/>
  <c r="D325" i="1"/>
  <c r="AK252" i="1" l="1"/>
  <c r="AK251" i="1"/>
  <c r="B252" i="1"/>
  <c r="C252" i="1" s="1"/>
  <c r="AL252" i="1"/>
  <c r="AH251" i="1"/>
  <c r="D326" i="1"/>
  <c r="A327" i="1"/>
  <c r="AJ250" i="1"/>
  <c r="AI326" i="1"/>
  <c r="AU250" i="1" l="1"/>
  <c r="AW250" i="1" s="1"/>
  <c r="AH252" i="1"/>
  <c r="AJ252" i="1"/>
  <c r="AE252" i="1"/>
  <c r="AD252" i="1"/>
  <c r="AL253" i="1"/>
  <c r="AJ251" i="1"/>
  <c r="AI327" i="1"/>
  <c r="D327" i="1"/>
  <c r="A328" i="1"/>
  <c r="A329" i="1"/>
  <c r="AV250" i="1" l="1"/>
  <c r="AJ253" i="1"/>
  <c r="AK254" i="1"/>
  <c r="AL254" i="1"/>
  <c r="D328" i="1"/>
  <c r="AI328" i="1"/>
  <c r="A330" i="1"/>
  <c r="AI329" i="1"/>
  <c r="D329" i="1"/>
  <c r="AH253" i="1"/>
  <c r="AK255" i="1" l="1"/>
  <c r="AL255" i="1"/>
  <c r="A331" i="1"/>
  <c r="AI330" i="1"/>
  <c r="AH254" i="1"/>
  <c r="A332" i="1"/>
  <c r="AJ254" i="1"/>
  <c r="D330" i="1"/>
  <c r="AK256" i="1" l="1"/>
  <c r="AL257" i="1"/>
  <c r="D332" i="1"/>
  <c r="AJ255" i="1"/>
  <c r="A333" i="1"/>
  <c r="AI332" i="1"/>
  <c r="AH255" i="1"/>
  <c r="A334" i="1"/>
  <c r="AJ332" i="1" l="1"/>
  <c r="AJ257" i="1"/>
  <c r="AK258" i="1"/>
  <c r="AL258" i="1"/>
  <c r="AI333" i="1"/>
  <c r="AH332" i="1"/>
  <c r="D333" i="1"/>
  <c r="D334" i="1"/>
  <c r="A335" i="1"/>
  <c r="AI334" i="1"/>
  <c r="AH257" i="1"/>
  <c r="AK259" i="1" l="1"/>
  <c r="AL259" i="1"/>
  <c r="AI335" i="1"/>
  <c r="A336" i="1"/>
  <c r="D335" i="1"/>
  <c r="AJ258" i="1"/>
  <c r="AH258" i="1"/>
  <c r="AK260" i="1" l="1"/>
  <c r="AL260" i="1"/>
  <c r="AL261" i="1"/>
  <c r="A337" i="1"/>
  <c r="AJ259" i="1"/>
  <c r="AH259" i="1"/>
  <c r="AI336" i="1"/>
  <c r="D336" i="1"/>
  <c r="AK261" i="1" l="1"/>
  <c r="AJ261" i="1"/>
  <c r="AH260" i="1"/>
  <c r="AH336" i="1"/>
  <c r="A338" i="1"/>
  <c r="AI337" i="1"/>
  <c r="D337" i="1"/>
  <c r="AJ260" i="1"/>
  <c r="AD261" i="1" l="1"/>
  <c r="AH261" i="1"/>
  <c r="AE261" i="1"/>
  <c r="AL262" i="1"/>
  <c r="AL263" i="1" s="1"/>
  <c r="A339" i="1"/>
  <c r="AI338" i="1"/>
  <c r="A340" i="1"/>
  <c r="D338" i="1"/>
  <c r="AJ262" i="1" l="1"/>
  <c r="AK263" i="1"/>
  <c r="D340" i="1"/>
  <c r="AH262" i="1"/>
  <c r="AI340" i="1"/>
  <c r="A341" i="1"/>
  <c r="A342" i="1"/>
  <c r="D342" i="1"/>
  <c r="AI342" i="1"/>
  <c r="D341" i="1"/>
  <c r="AK264" i="1" l="1"/>
  <c r="AL264" i="1"/>
  <c r="AI341" i="1"/>
  <c r="A343" i="1"/>
  <c r="AH263" i="1"/>
  <c r="AH342" i="1"/>
  <c r="AJ263" i="1"/>
  <c r="AK265" i="1" l="1"/>
  <c r="AL265" i="1"/>
  <c r="AH264" i="1"/>
  <c r="A344" i="1"/>
  <c r="AJ264" i="1"/>
  <c r="D344" i="1"/>
  <c r="AK266" i="1" l="1"/>
  <c r="AL266" i="1"/>
  <c r="AL267" i="1" s="1"/>
  <c r="AI344" i="1"/>
  <c r="AJ265" i="1"/>
  <c r="A345" i="1"/>
  <c r="D345" i="1" s="1"/>
  <c r="AH265" i="1"/>
  <c r="AK267" i="1" l="1"/>
  <c r="AL268" i="1"/>
  <c r="A346" i="1"/>
  <c r="AJ266" i="1"/>
  <c r="AI345" i="1"/>
  <c r="AH266" i="1"/>
  <c r="A347" i="1"/>
  <c r="AK269" i="1" l="1"/>
  <c r="AK268" i="1"/>
  <c r="AL269" i="1"/>
  <c r="AL270" i="1" s="1"/>
  <c r="AJ267" i="1"/>
  <c r="AI347" i="1"/>
  <c r="AH268" i="1"/>
  <c r="D347" i="1"/>
  <c r="A348" i="1"/>
  <c r="AJ347" i="1" l="1"/>
  <c r="AK270" i="1"/>
  <c r="AL271" i="1"/>
  <c r="D348" i="1"/>
  <c r="AI348" i="1"/>
  <c r="AH347" i="1"/>
  <c r="A349" i="1"/>
  <c r="AH269" i="1"/>
  <c r="AJ268" i="1"/>
  <c r="AK271" i="1" l="1"/>
  <c r="AH270" i="1"/>
  <c r="A350" i="1"/>
  <c r="AH271" i="1"/>
  <c r="D349" i="1"/>
  <c r="AJ269" i="1"/>
  <c r="AI349" i="1"/>
  <c r="AK272" i="1" l="1"/>
  <c r="AL272" i="1"/>
  <c r="A351" i="1"/>
  <c r="AI351" i="1"/>
  <c r="AI350" i="1"/>
  <c r="AJ270" i="1"/>
  <c r="A352" i="1"/>
  <c r="D350" i="1"/>
  <c r="D351" i="1"/>
  <c r="AK273" i="1" l="1"/>
  <c r="AL273" i="1"/>
  <c r="AH272" i="1"/>
  <c r="AH350" i="1"/>
  <c r="A353" i="1"/>
  <c r="AI353" i="1"/>
  <c r="AI352" i="1"/>
  <c r="D352" i="1"/>
  <c r="AJ271" i="1"/>
  <c r="D353" i="1"/>
  <c r="AH273" i="1" l="1"/>
  <c r="AJ273" i="1"/>
  <c r="AE273" i="1"/>
  <c r="AD273" i="1"/>
  <c r="AL274" i="1"/>
  <c r="AL275" i="1" s="1"/>
  <c r="A354" i="1"/>
  <c r="AJ272" i="1"/>
  <c r="AI354" i="1"/>
  <c r="AH352" i="1"/>
  <c r="D354" i="1"/>
  <c r="A355" i="1"/>
  <c r="AJ274" i="1" l="1"/>
  <c r="AK275" i="1"/>
  <c r="AL276" i="1"/>
  <c r="AL277" i="1" s="1"/>
  <c r="A356" i="1"/>
  <c r="AJ275" i="1"/>
  <c r="AI355" i="1"/>
  <c r="D355" i="1"/>
  <c r="AH274" i="1"/>
  <c r="AK277" i="1" l="1"/>
  <c r="AK276" i="1"/>
  <c r="AL278" i="1"/>
  <c r="AI356" i="1"/>
  <c r="A357" i="1"/>
  <c r="AH276" i="1"/>
  <c r="D356" i="1"/>
  <c r="AH277" i="1"/>
  <c r="AJ276" i="1"/>
  <c r="AT356" i="1" l="1"/>
  <c r="AK278" i="1"/>
  <c r="AI357" i="1"/>
  <c r="AJ277" i="1"/>
  <c r="AH356" i="1"/>
  <c r="A358" i="1"/>
  <c r="D357" i="1"/>
  <c r="AK279" i="1" l="1"/>
  <c r="AL279" i="1"/>
  <c r="AH278" i="1"/>
  <c r="AH279" i="1"/>
  <c r="A359" i="1"/>
  <c r="AJ278" i="1"/>
  <c r="AK280" i="1" l="1"/>
  <c r="AL280" i="1"/>
  <c r="AL281" i="1" s="1"/>
  <c r="D359" i="1"/>
  <c r="AJ279" i="1"/>
  <c r="A360" i="1"/>
  <c r="AI359" i="1"/>
  <c r="AJ359" i="1" l="1"/>
  <c r="AK281" i="1"/>
  <c r="AL282" i="1"/>
  <c r="AL283" i="1" s="1"/>
  <c r="AJ280" i="1"/>
  <c r="AH359" i="1"/>
  <c r="AI360" i="1"/>
  <c r="D360" i="1"/>
  <c r="A361" i="1"/>
  <c r="A362" i="1" s="1"/>
  <c r="D361" i="1"/>
  <c r="AI361" i="1"/>
  <c r="AH280" i="1"/>
  <c r="A363" i="1"/>
  <c r="AK283" i="1" l="1"/>
  <c r="AK282" i="1"/>
  <c r="A364" i="1"/>
  <c r="AI362" i="1"/>
  <c r="AH282" i="1"/>
  <c r="D363" i="1"/>
  <c r="AJ281" i="1"/>
  <c r="AI363" i="1"/>
  <c r="D362" i="1"/>
  <c r="AK284" i="1" l="1"/>
  <c r="AL284" i="1"/>
  <c r="A365" i="1"/>
  <c r="D364" i="1"/>
  <c r="A366" i="1"/>
  <c r="AH283" i="1"/>
  <c r="D365" i="1"/>
  <c r="AI364" i="1"/>
  <c r="AJ282" i="1"/>
  <c r="AK285" i="1" l="1"/>
  <c r="AL285" i="1"/>
  <c r="AJ283" i="1"/>
  <c r="AI365" i="1"/>
  <c r="AH284" i="1"/>
  <c r="AJ284" i="1"/>
  <c r="A367" i="1"/>
  <c r="D366" i="1"/>
  <c r="AI366" i="1"/>
  <c r="AK286" i="1" l="1"/>
  <c r="AJ285" i="1"/>
  <c r="AI367" i="1"/>
  <c r="AH285" i="1"/>
  <c r="A368" i="1"/>
  <c r="D367" i="1"/>
  <c r="AL287" i="1" l="1"/>
  <c r="A369" i="1"/>
  <c r="AI369" i="1"/>
  <c r="D368" i="1"/>
  <c r="AI368" i="1"/>
  <c r="AJ287" i="1" l="1"/>
  <c r="AK288" i="1"/>
  <c r="AL288" i="1"/>
  <c r="AL289" i="1"/>
  <c r="A370" i="1"/>
  <c r="AI370" i="1"/>
  <c r="AH287" i="1"/>
  <c r="D369" i="1"/>
  <c r="A371" i="1"/>
  <c r="D370" i="1"/>
  <c r="AH288" i="1" l="1"/>
  <c r="AJ288" i="1"/>
  <c r="AE288" i="1"/>
  <c r="AD288" i="1"/>
  <c r="AT288" i="1"/>
  <c r="AH369" i="1"/>
  <c r="A372" i="1"/>
  <c r="AJ289" i="1" l="1"/>
  <c r="AK290" i="1"/>
  <c r="AU288" i="1"/>
  <c r="AV288" i="1" s="1"/>
  <c r="AL290" i="1"/>
  <c r="AL291" i="1" s="1"/>
  <c r="D372" i="1"/>
  <c r="AH289" i="1"/>
  <c r="AI372" i="1"/>
  <c r="A373" i="1"/>
  <c r="AK292" i="1" l="1"/>
  <c r="AK291" i="1"/>
  <c r="AW288" i="1"/>
  <c r="AT290" i="1"/>
  <c r="AL292" i="1"/>
  <c r="AL293" i="1" s="1"/>
  <c r="AL294" i="1" s="1"/>
  <c r="AH291" i="1"/>
  <c r="AI373" i="1"/>
  <c r="A374" i="1"/>
  <c r="AI374" i="1" s="1"/>
  <c r="AH290" i="1"/>
  <c r="AJ290" i="1"/>
  <c r="D373" i="1"/>
  <c r="AK293" i="1" l="1"/>
  <c r="AU290" i="1"/>
  <c r="AV290" i="1" s="1"/>
  <c r="AL295" i="1"/>
  <c r="D374" i="1"/>
  <c r="AH292" i="1"/>
  <c r="A375" i="1"/>
  <c r="AI375" i="1" s="1"/>
  <c r="D375" i="1"/>
  <c r="AJ291" i="1"/>
  <c r="A376" i="1"/>
  <c r="AK295" i="1" l="1"/>
  <c r="AK294" i="1"/>
  <c r="AW290" i="1"/>
  <c r="AL296" i="1"/>
  <c r="AJ292" i="1"/>
  <c r="D376" i="1"/>
  <c r="AJ293" i="1"/>
  <c r="AH293" i="1"/>
  <c r="A377" i="1"/>
  <c r="AI376" i="1"/>
  <c r="AK297" i="1" l="1"/>
  <c r="AK296" i="1"/>
  <c r="AT295" i="1"/>
  <c r="AL298" i="1"/>
  <c r="AL297" i="1"/>
  <c r="AI377" i="1"/>
  <c r="AJ294" i="1"/>
  <c r="A378" i="1"/>
  <c r="A379" i="1" s="1"/>
  <c r="AI378" i="1"/>
  <c r="D379" i="1"/>
  <c r="AH295" i="1"/>
  <c r="D378" i="1"/>
  <c r="D377" i="1"/>
  <c r="AI379" i="1"/>
  <c r="AU294" i="1" l="1"/>
  <c r="AW294" i="1" s="1"/>
  <c r="AH297" i="1"/>
  <c r="AJ297" i="1"/>
  <c r="AT296" i="1"/>
  <c r="AE297" i="1"/>
  <c r="AD297" i="1"/>
  <c r="AT297" i="1"/>
  <c r="AJ295" i="1"/>
  <c r="AH377" i="1"/>
  <c r="A380" i="1"/>
  <c r="AH296" i="1"/>
  <c r="AU295" i="1" l="1"/>
  <c r="AV295" i="1" s="1"/>
  <c r="AV294" i="1"/>
  <c r="AJ298" i="1"/>
  <c r="AK299" i="1"/>
  <c r="AU297" i="1"/>
  <c r="AV297" i="1" s="1"/>
  <c r="AJ296" i="1"/>
  <c r="AI380" i="1"/>
  <c r="AH298" i="1"/>
  <c r="A381" i="1"/>
  <c r="D380" i="1"/>
  <c r="AU296" i="1" l="1"/>
  <c r="AW296" i="1" s="1"/>
  <c r="AW295" i="1"/>
  <c r="AJ300" i="1"/>
  <c r="AW297" i="1"/>
  <c r="AL300" i="1"/>
  <c r="AL301" i="1" s="1"/>
  <c r="AI381" i="1"/>
  <c r="AH300" i="1"/>
  <c r="AJ301" i="1"/>
  <c r="D381" i="1"/>
  <c r="A382" i="1"/>
  <c r="AV296" i="1" l="1"/>
  <c r="AU301" i="1"/>
  <c r="AK301" i="1"/>
  <c r="A383" i="1"/>
  <c r="A384" i="1"/>
  <c r="D383" i="1"/>
  <c r="AI383" i="1"/>
  <c r="AW301" i="1" l="1"/>
  <c r="AV301" i="1"/>
  <c r="AK302" i="1"/>
  <c r="AL302" i="1"/>
  <c r="A385" i="1"/>
  <c r="D385" i="1"/>
  <c r="AI385" i="1"/>
  <c r="AJ385" i="1" l="1"/>
  <c r="AH302" i="1"/>
  <c r="AJ302" i="1"/>
  <c r="AE302" i="1"/>
  <c r="AD302" i="1"/>
  <c r="AT302" i="1"/>
  <c r="A386" i="1"/>
  <c r="AH385" i="1"/>
  <c r="D386" i="1"/>
  <c r="AI386" i="1"/>
  <c r="AK304" i="1" l="1"/>
  <c r="AU302" i="1"/>
  <c r="AW302" i="1" s="1"/>
  <c r="AL304" i="1"/>
  <c r="A387" i="1"/>
  <c r="AH304" i="1" l="1"/>
  <c r="AJ304" i="1"/>
  <c r="AE304" i="1"/>
  <c r="AD304" i="1"/>
  <c r="AV302" i="1"/>
  <c r="AT304" i="1"/>
  <c r="A388" i="1"/>
  <c r="A389" i="1"/>
  <c r="D388" i="1"/>
  <c r="AI388" i="1"/>
  <c r="AK306" i="1" l="1"/>
  <c r="AU304" i="1"/>
  <c r="AW304" i="1" s="1"/>
  <c r="AL306" i="1"/>
  <c r="A390" i="1"/>
  <c r="AH306" i="1"/>
  <c r="AJ306" i="1"/>
  <c r="D389" i="1"/>
  <c r="AI389" i="1"/>
  <c r="AK307" i="1" l="1"/>
  <c r="AL307" i="1"/>
  <c r="AV304" i="1"/>
  <c r="A391" i="1"/>
  <c r="AK308" i="1" l="1"/>
  <c r="AL308" i="1"/>
  <c r="AI391" i="1"/>
  <c r="A392" i="1"/>
  <c r="AH307" i="1"/>
  <c r="D391" i="1"/>
  <c r="AJ307" i="1"/>
  <c r="AK309" i="1" l="1"/>
  <c r="AL309" i="1"/>
  <c r="AL310" i="1" s="1"/>
  <c r="A393" i="1"/>
  <c r="A394" i="1"/>
  <c r="AJ308" i="1"/>
  <c r="AI392" i="1"/>
  <c r="D392" i="1"/>
  <c r="AH308" i="1"/>
  <c r="AI394" i="1"/>
  <c r="AK310" i="1" l="1"/>
  <c r="AJ309" i="1"/>
  <c r="D394" i="1"/>
  <c r="A395" i="1"/>
  <c r="A396" i="1" s="1"/>
  <c r="AH309" i="1"/>
  <c r="AK311" i="1" l="1"/>
  <c r="AL311" i="1"/>
  <c r="A397" i="1"/>
  <c r="AH310" i="1"/>
  <c r="AI396" i="1"/>
  <c r="D396" i="1"/>
  <c r="AJ310" i="1"/>
  <c r="AJ396" i="1" l="1"/>
  <c r="AK312" i="1"/>
  <c r="AL312" i="1"/>
  <c r="AH311" i="1"/>
  <c r="AJ311" i="1"/>
  <c r="A398" i="1"/>
  <c r="AH396" i="1"/>
  <c r="AH312" i="1" l="1"/>
  <c r="AJ312" i="1"/>
  <c r="AE312" i="1"/>
  <c r="AD312" i="1"/>
  <c r="AL313" i="1"/>
  <c r="D398" i="1"/>
  <c r="AI398" i="1"/>
  <c r="A399" i="1"/>
  <c r="AJ313" i="1" l="1"/>
  <c r="AK314" i="1"/>
  <c r="AL314" i="1"/>
  <c r="A400" i="1"/>
  <c r="AH313" i="1"/>
  <c r="A401" i="1"/>
  <c r="AI400" i="1"/>
  <c r="AK315" i="1" l="1"/>
  <c r="AL315" i="1"/>
  <c r="A402" i="1"/>
  <c r="D401" i="1"/>
  <c r="D400" i="1"/>
  <c r="AJ314" i="1"/>
  <c r="D402" i="1"/>
  <c r="A403" i="1"/>
  <c r="AH314" i="1"/>
  <c r="AI401" i="1"/>
  <c r="AH315" i="1"/>
  <c r="AK316" i="1" l="1"/>
  <c r="AL316" i="1"/>
  <c r="AJ315" i="1"/>
  <c r="AI402" i="1"/>
  <c r="AI403" i="1"/>
  <c r="A404" i="1"/>
  <c r="AI404" i="1" s="1"/>
  <c r="D403" i="1"/>
  <c r="AK317" i="1" l="1"/>
  <c r="AL317" i="1"/>
  <c r="AJ316" i="1"/>
  <c r="AH316" i="1"/>
  <c r="D404" i="1"/>
  <c r="A405" i="1"/>
  <c r="AK318" i="1" l="1"/>
  <c r="AL318" i="1"/>
  <c r="AL319" i="1" s="1"/>
  <c r="AI405" i="1"/>
  <c r="A406" i="1"/>
  <c r="D405" i="1"/>
  <c r="AJ317" i="1"/>
  <c r="A407" i="1"/>
  <c r="AH317" i="1"/>
  <c r="AK319" i="1" l="1"/>
  <c r="AJ318" i="1"/>
  <c r="A408" i="1"/>
  <c r="D407" i="1"/>
  <c r="AI407" i="1"/>
  <c r="D406" i="1"/>
  <c r="AI406" i="1"/>
  <c r="AH318" i="1"/>
  <c r="AK320" i="1" l="1"/>
  <c r="AL320" i="1"/>
  <c r="AJ319" i="1"/>
  <c r="A409" i="1"/>
  <c r="AK321" i="1" l="1"/>
  <c r="AL321" i="1"/>
  <c r="D409" i="1"/>
  <c r="AJ320" i="1"/>
  <c r="AI409" i="1"/>
  <c r="AH320" i="1"/>
  <c r="A410" i="1"/>
  <c r="AT409" i="1" l="1"/>
  <c r="AJ409" i="1"/>
  <c r="AK322" i="1"/>
  <c r="AL322" i="1"/>
  <c r="A411" i="1"/>
  <c r="AJ321" i="1"/>
  <c r="AH409" i="1"/>
  <c r="D411" i="1"/>
  <c r="A412" i="1"/>
  <c r="AI411" i="1"/>
  <c r="AH321" i="1"/>
  <c r="AU409" i="1" l="1"/>
  <c r="AW409" i="1" s="1"/>
  <c r="AH322" i="1"/>
  <c r="AJ322" i="1"/>
  <c r="AE322" i="1"/>
  <c r="AD322" i="1"/>
  <c r="AT322" i="1"/>
  <c r="AL323" i="1"/>
  <c r="A413" i="1"/>
  <c r="AV409" i="1" l="1"/>
  <c r="AJ323" i="1"/>
  <c r="AK324" i="1"/>
  <c r="AU322" i="1"/>
  <c r="AV322" i="1" s="1"/>
  <c r="AL324" i="1"/>
  <c r="AI413" i="1"/>
  <c r="AJ324" i="1"/>
  <c r="A414" i="1"/>
  <c r="AH323" i="1"/>
  <c r="D413" i="1"/>
  <c r="AK325" i="1" l="1"/>
  <c r="AW322" i="1"/>
  <c r="AL325" i="1"/>
  <c r="D414" i="1"/>
  <c r="AI414" i="1"/>
  <c r="A415" i="1"/>
  <c r="A416" i="1" s="1"/>
  <c r="AI415" i="1"/>
  <c r="AH324" i="1"/>
  <c r="AK326" i="1" l="1"/>
  <c r="AL326" i="1"/>
  <c r="AL327" i="1" s="1"/>
  <c r="D416" i="1"/>
  <c r="AI416" i="1"/>
  <c r="A417" i="1"/>
  <c r="D415" i="1"/>
  <c r="AH325" i="1"/>
  <c r="AJ325" i="1"/>
  <c r="AK327" i="1" l="1"/>
  <c r="AJ326" i="1"/>
  <c r="AH326" i="1"/>
  <c r="A418" i="1"/>
  <c r="A419" i="1"/>
  <c r="D419" i="1"/>
  <c r="AI419" i="1"/>
  <c r="D418" i="1"/>
  <c r="AI418" i="1"/>
  <c r="AK328" i="1" l="1"/>
  <c r="AL328" i="1"/>
  <c r="AJ327" i="1"/>
  <c r="AH327" i="1"/>
  <c r="A420" i="1"/>
  <c r="AK329" i="1" l="1"/>
  <c r="AL329" i="1"/>
  <c r="D420" i="1"/>
  <c r="A421" i="1"/>
  <c r="AI420" i="1"/>
  <c r="AJ328" i="1"/>
  <c r="AH328" i="1"/>
  <c r="AK330" i="1" l="1"/>
  <c r="AL330" i="1"/>
  <c r="AH420" i="1"/>
  <c r="AJ329" i="1"/>
  <c r="A422" i="1"/>
  <c r="AH329" i="1"/>
  <c r="AK331" i="1" l="1"/>
  <c r="AL331" i="1"/>
  <c r="AI422" i="1"/>
  <c r="AH330" i="1"/>
  <c r="AJ330" i="1"/>
  <c r="A423" i="1"/>
  <c r="D422" i="1"/>
  <c r="AH331" i="1" l="1"/>
  <c r="AJ331" i="1"/>
  <c r="AE331" i="1"/>
  <c r="AD331" i="1"/>
  <c r="D423" i="1"/>
  <c r="A424" i="1"/>
  <c r="AI423" i="1"/>
  <c r="AK333" i="1" l="1"/>
  <c r="AL333" i="1"/>
  <c r="AI424" i="1"/>
  <c r="D424" i="1"/>
  <c r="A425" i="1"/>
  <c r="AI425" i="1"/>
  <c r="D425" i="1"/>
  <c r="A426" i="1"/>
  <c r="D426" i="1" s="1"/>
  <c r="AK334" i="1" l="1"/>
  <c r="AL334" i="1"/>
  <c r="AL335" i="1" s="1"/>
  <c r="AL336" i="1" s="1"/>
  <c r="AI426" i="1"/>
  <c r="AH333" i="1"/>
  <c r="AJ333" i="1"/>
  <c r="AH334" i="1"/>
  <c r="A427" i="1"/>
  <c r="A428" i="1"/>
  <c r="D428" i="1"/>
  <c r="AI427" i="1"/>
  <c r="AK335" i="1" l="1"/>
  <c r="D427" i="1"/>
  <c r="AJ334" i="1"/>
  <c r="A429" i="1"/>
  <c r="AI428" i="1"/>
  <c r="AK336" i="1" l="1"/>
  <c r="AH427" i="1"/>
  <c r="A430" i="1"/>
  <c r="AJ335" i="1"/>
  <c r="AH335" i="1"/>
  <c r="AK337" i="1" l="1"/>
  <c r="AL337" i="1"/>
  <c r="A431" i="1"/>
  <c r="AI430" i="1"/>
  <c r="D430" i="1"/>
  <c r="AJ336" i="1"/>
  <c r="AK338" i="1" l="1"/>
  <c r="AL338" i="1"/>
  <c r="A432" i="1"/>
  <c r="D431" i="1"/>
  <c r="AJ337" i="1"/>
  <c r="AH337" i="1"/>
  <c r="AI431" i="1"/>
  <c r="A433" i="1"/>
  <c r="AK432" i="1" l="1"/>
  <c r="AK339" i="1"/>
  <c r="AL340" i="1"/>
  <c r="AL339" i="1"/>
  <c r="AI433" i="1"/>
  <c r="AH338" i="1"/>
  <c r="A434" i="1"/>
  <c r="AI434" i="1"/>
  <c r="A435" i="1"/>
  <c r="D433" i="1"/>
  <c r="AJ338" i="1"/>
  <c r="D434" i="1"/>
  <c r="AH339" i="1" l="1"/>
  <c r="AJ339" i="1"/>
  <c r="AE339" i="1"/>
  <c r="AD339" i="1"/>
  <c r="AT339" i="1"/>
  <c r="AI435" i="1"/>
  <c r="A436" i="1"/>
  <c r="D435" i="1"/>
  <c r="AJ340" i="1" l="1"/>
  <c r="AK341" i="1"/>
  <c r="AU339" i="1"/>
  <c r="AV339" i="1" s="1"/>
  <c r="AL341" i="1"/>
  <c r="AL342" i="1" s="1"/>
  <c r="AI436" i="1"/>
  <c r="A437" i="1"/>
  <c r="AH340" i="1"/>
  <c r="D436" i="1"/>
  <c r="AK342" i="1" l="1"/>
  <c r="AW339" i="1"/>
  <c r="AL343" i="1"/>
  <c r="AH341" i="1"/>
  <c r="A438" i="1"/>
  <c r="AJ341" i="1"/>
  <c r="AH436" i="1"/>
  <c r="AH343" i="1" l="1"/>
  <c r="AJ343" i="1"/>
  <c r="AK343" i="1"/>
  <c r="AE343" i="1"/>
  <c r="AD343" i="1"/>
  <c r="AT343" i="1"/>
  <c r="AL344" i="1"/>
  <c r="AI438" i="1"/>
  <c r="A439" i="1"/>
  <c r="AI439" i="1"/>
  <c r="D438" i="1"/>
  <c r="D439" i="1"/>
  <c r="A440" i="1"/>
  <c r="AJ342" i="1"/>
  <c r="AJ344" i="1" l="1"/>
  <c r="AK345" i="1"/>
  <c r="AU343" i="1"/>
  <c r="AV343" i="1" s="1"/>
  <c r="AL345" i="1"/>
  <c r="A441" i="1"/>
  <c r="AJ345" i="1"/>
  <c r="AH345" i="1"/>
  <c r="AH344" i="1"/>
  <c r="AK346" i="1" l="1"/>
  <c r="AL346" i="1"/>
  <c r="AW343" i="1"/>
  <c r="D441" i="1"/>
  <c r="AI441" i="1"/>
  <c r="A442" i="1"/>
  <c r="AH346" i="1" l="1"/>
  <c r="AJ346" i="1"/>
  <c r="AE346" i="1"/>
  <c r="AD346" i="1"/>
  <c r="AT346" i="1"/>
  <c r="AL348" i="1"/>
  <c r="AI442" i="1"/>
  <c r="A443" i="1"/>
  <c r="D443" i="1"/>
  <c r="D442" i="1"/>
  <c r="A444" i="1"/>
  <c r="D444" i="1" s="1"/>
  <c r="AI443" i="1"/>
  <c r="AI444" i="1"/>
  <c r="AK348" i="1" l="1"/>
  <c r="AU346" i="1"/>
  <c r="AV346" i="1" s="1"/>
  <c r="AL349" i="1"/>
  <c r="AL350" i="1" s="1"/>
  <c r="A445" i="1"/>
  <c r="A446" i="1" s="1"/>
  <c r="D445" i="1"/>
  <c r="AI445" i="1"/>
  <c r="AH442" i="1"/>
  <c r="AK349" i="1" l="1"/>
  <c r="AW346" i="1"/>
  <c r="AI446" i="1"/>
  <c r="AH348" i="1"/>
  <c r="A447" i="1"/>
  <c r="AH349" i="1"/>
  <c r="AJ348" i="1"/>
  <c r="D446" i="1"/>
  <c r="AK350" i="1" l="1"/>
  <c r="AJ349" i="1"/>
  <c r="D447" i="1"/>
  <c r="A448" i="1"/>
  <c r="AI447" i="1"/>
  <c r="AK351" i="1" l="1"/>
  <c r="AL351" i="1"/>
  <c r="AL352" i="1" s="1"/>
  <c r="A449" i="1"/>
  <c r="AJ350" i="1"/>
  <c r="AI449" i="1"/>
  <c r="A450" i="1"/>
  <c r="D449" i="1"/>
  <c r="AI448" i="1"/>
  <c r="D448" i="1"/>
  <c r="AK352" i="1" l="1"/>
  <c r="AL353" i="1"/>
  <c r="D450" i="1"/>
  <c r="AJ351" i="1"/>
  <c r="AI450" i="1"/>
  <c r="AH351" i="1"/>
  <c r="A451" i="1"/>
  <c r="AK353" i="1" l="1"/>
  <c r="AJ352" i="1"/>
  <c r="A452" i="1"/>
  <c r="D451" i="1"/>
  <c r="AI451" i="1"/>
  <c r="AH450" i="1"/>
  <c r="AK354" i="1" l="1"/>
  <c r="AL354" i="1"/>
  <c r="AJ353" i="1"/>
  <c r="AH353" i="1"/>
  <c r="A453" i="1"/>
  <c r="AK355" i="1" l="1"/>
  <c r="L63" i="2"/>
  <c r="K63" i="2"/>
  <c r="E63" i="2"/>
  <c r="C63" i="2"/>
  <c r="N63" i="2"/>
  <c r="AL355" i="1"/>
  <c r="AL356" i="1" s="1"/>
  <c r="A454" i="1"/>
  <c r="D453" i="1"/>
  <c r="AI453" i="1"/>
  <c r="AJ354" i="1"/>
  <c r="AH354" i="1"/>
  <c r="A455" i="1"/>
  <c r="D454" i="1"/>
  <c r="AI454" i="1"/>
  <c r="AK356" i="1" l="1"/>
  <c r="M63" i="2"/>
  <c r="O63" i="2" s="1"/>
  <c r="P63" i="2" s="1"/>
  <c r="Q63" i="2" s="1"/>
  <c r="D455" i="1"/>
  <c r="AH355" i="1"/>
  <c r="AJ355" i="1"/>
  <c r="A456" i="1"/>
  <c r="AI455" i="1"/>
  <c r="AK357" i="1" l="1"/>
  <c r="AL357" i="1"/>
  <c r="D456" i="1"/>
  <c r="A457" i="1"/>
  <c r="AI457" i="1"/>
  <c r="AI456" i="1"/>
  <c r="AJ356" i="1"/>
  <c r="A458" i="1"/>
  <c r="AU356" i="1" l="1"/>
  <c r="AW356" i="1" s="1"/>
  <c r="AH358" i="1"/>
  <c r="AJ358" i="1"/>
  <c r="AK358" i="1"/>
  <c r="AE358" i="1"/>
  <c r="AD358" i="1"/>
  <c r="AT358" i="1"/>
  <c r="AL358" i="1"/>
  <c r="D457" i="1"/>
  <c r="D458" i="1"/>
  <c r="AI458" i="1"/>
  <c r="A459" i="1"/>
  <c r="AJ357" i="1"/>
  <c r="AH357" i="1"/>
  <c r="AI459" i="1"/>
  <c r="D459" i="1"/>
  <c r="A460" i="1"/>
  <c r="D460" i="1" s="1"/>
  <c r="AV356" i="1" l="1"/>
  <c r="AU358" i="1"/>
  <c r="AI460" i="1"/>
  <c r="A461" i="1"/>
  <c r="AI461" i="1" s="1"/>
  <c r="AK360" i="1" l="1"/>
  <c r="AW358" i="1"/>
  <c r="AV358" i="1"/>
  <c r="AL360" i="1"/>
  <c r="D461" i="1"/>
  <c r="A462" i="1"/>
  <c r="AK361" i="1" l="1"/>
  <c r="AL361" i="1"/>
  <c r="D462" i="1"/>
  <c r="AH360" i="1"/>
  <c r="AI462" i="1"/>
  <c r="A463" i="1"/>
  <c r="AJ360" i="1"/>
  <c r="AH361" i="1"/>
  <c r="AK362" i="1" l="1"/>
  <c r="AL362" i="1"/>
  <c r="AJ361" i="1"/>
  <c r="A464" i="1"/>
  <c r="D464" i="1"/>
  <c r="A465" i="1"/>
  <c r="AK363" i="1" l="1"/>
  <c r="AL363" i="1"/>
  <c r="AI464" i="1"/>
  <c r="AJ362" i="1"/>
  <c r="AH362" i="1"/>
  <c r="A466" i="1"/>
  <c r="AI465" i="1"/>
  <c r="D465" i="1"/>
  <c r="AK364" i="1" l="1"/>
  <c r="AL364" i="1"/>
  <c r="A467" i="1"/>
  <c r="D466" i="1"/>
  <c r="AI466" i="1"/>
  <c r="AH465" i="1"/>
  <c r="A468" i="1"/>
  <c r="AH363" i="1"/>
  <c r="AJ363" i="1"/>
  <c r="AK365" i="1" l="1"/>
  <c r="AL365" i="1"/>
  <c r="AL366" i="1" s="1"/>
  <c r="AI468" i="1"/>
  <c r="A469" i="1"/>
  <c r="D468" i="1"/>
  <c r="AH364" i="1"/>
  <c r="AJ364" i="1"/>
  <c r="AK366" i="1" l="1"/>
  <c r="AL367" i="1"/>
  <c r="AJ365" i="1"/>
  <c r="AH365" i="1"/>
  <c r="A470" i="1"/>
  <c r="A471" i="1" s="1"/>
  <c r="AK367" i="1" l="1"/>
  <c r="A472" i="1"/>
  <c r="D472" i="1"/>
  <c r="AH366" i="1"/>
  <c r="AJ366" i="1"/>
  <c r="D470" i="1"/>
  <c r="AI470" i="1"/>
  <c r="AJ470" i="1" l="1"/>
  <c r="AJ472" i="1"/>
  <c r="AK368" i="1"/>
  <c r="AL368" i="1"/>
  <c r="AL369" i="1" s="1"/>
  <c r="AJ367" i="1"/>
  <c r="AH470" i="1"/>
  <c r="AI472" i="1"/>
  <c r="AH472" i="1"/>
  <c r="AH367" i="1"/>
  <c r="A473" i="1"/>
  <c r="AK369" i="1" l="1"/>
  <c r="AL370" i="1"/>
  <c r="A474" i="1"/>
  <c r="AI474" i="1"/>
  <c r="AH368" i="1"/>
  <c r="A475" i="1"/>
  <c r="AJ368" i="1"/>
  <c r="D474" i="1"/>
  <c r="AK371" i="1" l="1"/>
  <c r="AK370" i="1"/>
  <c r="AL371" i="1"/>
  <c r="AH370" i="1"/>
  <c r="A476" i="1"/>
  <c r="D475" i="1"/>
  <c r="AI475" i="1"/>
  <c r="AJ369" i="1"/>
  <c r="AH371" i="1" l="1"/>
  <c r="AJ371" i="1"/>
  <c r="AE371" i="1"/>
  <c r="AD371" i="1"/>
  <c r="AL372" i="1"/>
  <c r="A477" i="1"/>
  <c r="AJ370" i="1"/>
  <c r="AH475" i="1"/>
  <c r="AJ372" i="1" l="1"/>
  <c r="AK373" i="1"/>
  <c r="AL373" i="1"/>
  <c r="A478" i="1"/>
  <c r="D477" i="1"/>
  <c r="AI477" i="1"/>
  <c r="AH372" i="1"/>
  <c r="AK374" i="1" l="1"/>
  <c r="AL374" i="1"/>
  <c r="AJ373" i="1"/>
  <c r="A479" i="1"/>
  <c r="AH373" i="1"/>
  <c r="AH374" i="1"/>
  <c r="AK375" i="1" l="1"/>
  <c r="AL375" i="1"/>
  <c r="AI479" i="1"/>
  <c r="A480" i="1"/>
  <c r="AJ374" i="1"/>
  <c r="D479" i="1"/>
  <c r="AK376" i="1" l="1"/>
  <c r="AL376" i="1"/>
  <c r="AL377" i="1" s="1"/>
  <c r="A481" i="1"/>
  <c r="A482" i="1"/>
  <c r="D481" i="1"/>
  <c r="AJ375" i="1"/>
  <c r="AH375" i="1"/>
  <c r="AK377" i="1" l="1"/>
  <c r="AL378" i="1"/>
  <c r="A483" i="1"/>
  <c r="AI482" i="1"/>
  <c r="AJ376" i="1"/>
  <c r="D482" i="1"/>
  <c r="A484" i="1"/>
  <c r="AI481" i="1"/>
  <c r="AH376" i="1"/>
  <c r="AT482" i="1" l="1"/>
  <c r="AK379" i="1"/>
  <c r="AK378" i="1"/>
  <c r="AL379" i="1"/>
  <c r="AI484" i="1"/>
  <c r="A485" i="1"/>
  <c r="AJ377" i="1"/>
  <c r="AH378" i="1"/>
  <c r="AH482" i="1"/>
  <c r="D484" i="1"/>
  <c r="AK380" i="1" l="1"/>
  <c r="AL380" i="1"/>
  <c r="AL381" i="1" s="1"/>
  <c r="D485" i="1"/>
  <c r="AI485" i="1"/>
  <c r="A486" i="1"/>
  <c r="AJ378" i="1"/>
  <c r="AH379" i="1"/>
  <c r="AK381" i="1" l="1"/>
  <c r="AJ379" i="1"/>
  <c r="AH380" i="1"/>
  <c r="A487" i="1"/>
  <c r="AK382" i="1" l="1"/>
  <c r="AJ382" i="1"/>
  <c r="AL382" i="1"/>
  <c r="AL383" i="1"/>
  <c r="AJ380" i="1"/>
  <c r="A488" i="1"/>
  <c r="D487" i="1"/>
  <c r="AI487" i="1"/>
  <c r="AJ381" i="1"/>
  <c r="AH381" i="1"/>
  <c r="AJ383" i="1" l="1"/>
  <c r="AD382" i="1"/>
  <c r="AH382" i="1"/>
  <c r="AE382" i="1"/>
  <c r="AL384" i="1"/>
  <c r="D488" i="1"/>
  <c r="AH383" i="1"/>
  <c r="A489" i="1"/>
  <c r="AI488" i="1"/>
  <c r="AH384" i="1" l="1"/>
  <c r="AJ384" i="1"/>
  <c r="AK384" i="1"/>
  <c r="AE384" i="1"/>
  <c r="AD384" i="1"/>
  <c r="A490" i="1"/>
  <c r="A491" i="1"/>
  <c r="AH488" i="1"/>
  <c r="AI490" i="1"/>
  <c r="D490" i="1"/>
  <c r="AL386" i="1" l="1"/>
  <c r="A492" i="1"/>
  <c r="AI491" i="1"/>
  <c r="D491" i="1"/>
  <c r="AK387" i="1" l="1"/>
  <c r="AK386" i="1"/>
  <c r="AL387" i="1"/>
  <c r="A493" i="1"/>
  <c r="AH386" i="1"/>
  <c r="D493" i="1"/>
  <c r="AJ386" i="1"/>
  <c r="A494" i="1"/>
  <c r="AI493" i="1"/>
  <c r="AJ493" i="1" l="1"/>
  <c r="AT493" i="1"/>
  <c r="AH387" i="1"/>
  <c r="AJ387" i="1"/>
  <c r="AE387" i="1"/>
  <c r="AD387" i="1"/>
  <c r="AL388" i="1"/>
  <c r="D494" i="1"/>
  <c r="A495" i="1"/>
  <c r="AI494" i="1"/>
  <c r="AH493" i="1"/>
  <c r="AU493" i="1" l="1"/>
  <c r="AW493" i="1" s="1"/>
  <c r="AJ388" i="1"/>
  <c r="AK389" i="1"/>
  <c r="AL389" i="1"/>
  <c r="D495" i="1"/>
  <c r="A496" i="1"/>
  <c r="AI495" i="1"/>
  <c r="AH388" i="1"/>
  <c r="AV493" i="1" l="1"/>
  <c r="AK390" i="1"/>
  <c r="AL390" i="1"/>
  <c r="AJ389" i="1"/>
  <c r="AI496" i="1"/>
  <c r="AH389" i="1"/>
  <c r="D496" i="1"/>
  <c r="A497" i="1"/>
  <c r="AI497" i="1"/>
  <c r="A498" i="1"/>
  <c r="D497" i="1"/>
  <c r="AT496" i="1" l="1"/>
  <c r="AH390" i="1"/>
  <c r="AJ390" i="1"/>
  <c r="AE390" i="1"/>
  <c r="AD390" i="1"/>
  <c r="AL391" i="1"/>
  <c r="AH496" i="1"/>
  <c r="A499" i="1"/>
  <c r="D499" i="1"/>
  <c r="AI499" i="1"/>
  <c r="A500" i="1"/>
  <c r="AI500" i="1" s="1"/>
  <c r="AJ391" i="1" l="1"/>
  <c r="AK392" i="1"/>
  <c r="AL392" i="1"/>
  <c r="A501" i="1"/>
  <c r="AH391" i="1"/>
  <c r="D500" i="1"/>
  <c r="AK393" i="1" l="1"/>
  <c r="AL393" i="1"/>
  <c r="AL394" i="1"/>
  <c r="A502" i="1"/>
  <c r="AJ392" i="1"/>
  <c r="AH392" i="1"/>
  <c r="AH393" i="1" l="1"/>
  <c r="AJ393" i="1"/>
  <c r="AJ394" i="1"/>
  <c r="AE393" i="1"/>
  <c r="AD393" i="1"/>
  <c r="AI502" i="1"/>
  <c r="AH394" i="1"/>
  <c r="D502" i="1"/>
  <c r="A503" i="1"/>
  <c r="D503" i="1"/>
  <c r="AK395" i="1" l="1"/>
  <c r="AL395" i="1"/>
  <c r="AI503" i="1"/>
  <c r="A504" i="1"/>
  <c r="D504" i="1"/>
  <c r="AI504" i="1"/>
  <c r="A505" i="1"/>
  <c r="AH395" i="1" l="1"/>
  <c r="AJ395" i="1"/>
  <c r="AE395" i="1"/>
  <c r="AD395" i="1"/>
  <c r="AL397" i="1"/>
  <c r="A506" i="1"/>
  <c r="AH397" i="1" l="1"/>
  <c r="AJ397" i="1"/>
  <c r="AK397" i="1"/>
  <c r="AE397" i="1"/>
  <c r="AD397" i="1"/>
  <c r="AT397" i="1"/>
  <c r="AI506" i="1"/>
  <c r="D506" i="1"/>
  <c r="A507" i="1"/>
  <c r="AT506" i="1" l="1"/>
  <c r="AJ506" i="1"/>
  <c r="AU397" i="1"/>
  <c r="AL398" i="1"/>
  <c r="D507" i="1"/>
  <c r="A508" i="1"/>
  <c r="A509" i="1"/>
  <c r="AI507" i="1"/>
  <c r="AH506" i="1"/>
  <c r="AI508" i="1"/>
  <c r="D508" i="1"/>
  <c r="AU506" i="1" l="1"/>
  <c r="AW506" i="1" s="1"/>
  <c r="AT508" i="1"/>
  <c r="AJ398" i="1"/>
  <c r="AK399" i="1"/>
  <c r="AW397" i="1"/>
  <c r="AV397" i="1"/>
  <c r="AL399" i="1"/>
  <c r="D509" i="1"/>
  <c r="AH508" i="1"/>
  <c r="A510" i="1"/>
  <c r="AH398" i="1"/>
  <c r="AI509" i="1"/>
  <c r="AV506" i="1" l="1"/>
  <c r="AH399" i="1"/>
  <c r="AJ399" i="1"/>
  <c r="AE399" i="1"/>
  <c r="AD399" i="1"/>
  <c r="AT399" i="1"/>
  <c r="AL400" i="1"/>
  <c r="AL401" i="1" s="1"/>
  <c r="AI510" i="1"/>
  <c r="A511" i="1"/>
  <c r="D510" i="1"/>
  <c r="AJ400" i="1" l="1"/>
  <c r="AK401" i="1"/>
  <c r="AU399" i="1"/>
  <c r="AV399" i="1" s="1"/>
  <c r="AT400" i="1"/>
  <c r="AT401" i="1"/>
  <c r="AL402" i="1"/>
  <c r="AH401" i="1"/>
  <c r="AJ401" i="1"/>
  <c r="AI511" i="1"/>
  <c r="AH400" i="1"/>
  <c r="D511" i="1"/>
  <c r="A512" i="1"/>
  <c r="AT511" i="1" l="1"/>
  <c r="AK402" i="1"/>
  <c r="AW399" i="1"/>
  <c r="AU400" i="1"/>
  <c r="AV400" i="1" s="1"/>
  <c r="D512" i="1"/>
  <c r="A513" i="1"/>
  <c r="AH511" i="1"/>
  <c r="AI512" i="1"/>
  <c r="AK403" i="1" l="1"/>
  <c r="AU401" i="1"/>
  <c r="AW401" i="1" s="1"/>
  <c r="AW400" i="1"/>
  <c r="AT402" i="1"/>
  <c r="AL403" i="1"/>
  <c r="AI513" i="1"/>
  <c r="A514" i="1"/>
  <c r="A515" i="1"/>
  <c r="AJ402" i="1"/>
  <c r="D513" i="1"/>
  <c r="AI514" i="1"/>
  <c r="AH402" i="1"/>
  <c r="AT513" i="1" l="1"/>
  <c r="AK404" i="1"/>
  <c r="AV401" i="1"/>
  <c r="AT403" i="1"/>
  <c r="AU402" i="1"/>
  <c r="AV402" i="1" s="1"/>
  <c r="AL404" i="1"/>
  <c r="AI515" i="1"/>
  <c r="D515" i="1"/>
  <c r="AJ403" i="1"/>
  <c r="AH513" i="1"/>
  <c r="A516" i="1"/>
  <c r="AH403" i="1"/>
  <c r="D514" i="1"/>
  <c r="AK405" i="1" l="1"/>
  <c r="AU403" i="1"/>
  <c r="AV403" i="1" s="1"/>
  <c r="AT404" i="1"/>
  <c r="AW402" i="1"/>
  <c r="AL405" i="1"/>
  <c r="AK406" i="1" l="1"/>
  <c r="AL406" i="1"/>
  <c r="AT405" i="1"/>
  <c r="AW403" i="1"/>
  <c r="AK407" i="1" l="1"/>
  <c r="AT406" i="1"/>
  <c r="AT407" i="1"/>
  <c r="AL407" i="1"/>
  <c r="AK408" i="1" l="1"/>
  <c r="AL408" i="1"/>
  <c r="A517" i="1"/>
  <c r="AH404" i="1"/>
  <c r="D517" i="1"/>
  <c r="A518" i="1"/>
  <c r="AH405" i="1"/>
  <c r="A519" i="1"/>
  <c r="AI519" i="1"/>
  <c r="AI517" i="1"/>
  <c r="AH407" i="1"/>
  <c r="AJ404" i="1"/>
  <c r="AH406" i="1"/>
  <c r="D518" i="1"/>
  <c r="D519" i="1"/>
  <c r="A520" i="1"/>
  <c r="D520" i="1" s="1"/>
  <c r="AI520" i="1"/>
  <c r="AU404" i="1" l="1"/>
  <c r="AW404" i="1" s="1"/>
  <c r="AH408" i="1"/>
  <c r="AJ408" i="1"/>
  <c r="AE408" i="1"/>
  <c r="AD408" i="1"/>
  <c r="AT408" i="1"/>
  <c r="A521" i="1"/>
  <c r="AI518" i="1"/>
  <c r="A522" i="1"/>
  <c r="D521" i="1"/>
  <c r="AJ405" i="1"/>
  <c r="AU405" i="1" l="1"/>
  <c r="AV405" i="1" s="1"/>
  <c r="AV404" i="1"/>
  <c r="AK410" i="1"/>
  <c r="AU408" i="1"/>
  <c r="AV408" i="1" s="1"/>
  <c r="AL410" i="1"/>
  <c r="AH521" i="1"/>
  <c r="AI521" i="1"/>
  <c r="A523" i="1"/>
  <c r="AJ406" i="1"/>
  <c r="AI523" i="1"/>
  <c r="A524" i="1"/>
  <c r="AU406" i="1" l="1"/>
  <c r="AW406" i="1" s="1"/>
  <c r="AW405" i="1"/>
  <c r="AH410" i="1"/>
  <c r="AJ410" i="1"/>
  <c r="AE410" i="1"/>
  <c r="AD410" i="1"/>
  <c r="AT410" i="1"/>
  <c r="AW408" i="1"/>
  <c r="AL411" i="1"/>
  <c r="D523" i="1"/>
  <c r="AI524" i="1"/>
  <c r="A525" i="1"/>
  <c r="D525" i="1" s="1"/>
  <c r="D524" i="1"/>
  <c r="AJ407" i="1"/>
  <c r="AJ523" i="1" l="1"/>
  <c r="AU407" i="1"/>
  <c r="AW407" i="1" s="1"/>
  <c r="AV406" i="1"/>
  <c r="AJ411" i="1"/>
  <c r="AK412" i="1"/>
  <c r="AU410" i="1"/>
  <c r="AW410" i="1" s="1"/>
  <c r="AT411" i="1"/>
  <c r="AL412" i="1"/>
  <c r="AH523" i="1"/>
  <c r="AH525" i="1"/>
  <c r="AH411" i="1"/>
  <c r="AI525" i="1"/>
  <c r="A526" i="1"/>
  <c r="D526" i="1"/>
  <c r="AV407" i="1" l="1"/>
  <c r="AH412" i="1"/>
  <c r="AJ412" i="1"/>
  <c r="AE412" i="1"/>
  <c r="AD412" i="1"/>
  <c r="AV410" i="1"/>
  <c r="AU411" i="1"/>
  <c r="AW411" i="1" s="1"/>
  <c r="AT412" i="1"/>
  <c r="AL413" i="1"/>
  <c r="AL414" i="1" s="1"/>
  <c r="AI526" i="1"/>
  <c r="A527" i="1"/>
  <c r="A528" i="1"/>
  <c r="D527" i="1"/>
  <c r="AJ413" i="1" l="1"/>
  <c r="AK414" i="1"/>
  <c r="AV411" i="1"/>
  <c r="AU412" i="1"/>
  <c r="AW412" i="1" s="1"/>
  <c r="AI527" i="1"/>
  <c r="AH414" i="1"/>
  <c r="AI528" i="1"/>
  <c r="D528" i="1"/>
  <c r="AJ414" i="1"/>
  <c r="AH413" i="1"/>
  <c r="A529" i="1"/>
  <c r="A530" i="1"/>
  <c r="D529" i="1"/>
  <c r="AK415" i="1" l="1"/>
  <c r="AV412" i="1"/>
  <c r="AL415" i="1"/>
  <c r="AI529" i="1"/>
  <c r="AH528" i="1"/>
  <c r="A531" i="1"/>
  <c r="D530" i="1"/>
  <c r="AI530" i="1"/>
  <c r="AK416" i="1" l="1"/>
  <c r="AL416" i="1"/>
  <c r="AH415" i="1"/>
  <c r="AJ415" i="1"/>
  <c r="A532" i="1"/>
  <c r="AI532" i="1"/>
  <c r="D532" i="1"/>
  <c r="A533" i="1"/>
  <c r="AK417" i="1" l="1"/>
  <c r="A534" i="1"/>
  <c r="AH416" i="1"/>
  <c r="AJ416" i="1"/>
  <c r="AL418" i="1" l="1"/>
  <c r="AI534" i="1"/>
  <c r="D534" i="1"/>
  <c r="A535" i="1"/>
  <c r="AJ418" i="1" l="1"/>
  <c r="AK419" i="1"/>
  <c r="AT418" i="1"/>
  <c r="AL419" i="1"/>
  <c r="AL420" i="1" s="1"/>
  <c r="D535" i="1"/>
  <c r="A536" i="1"/>
  <c r="AI535" i="1"/>
  <c r="AH418" i="1"/>
  <c r="AI536" i="1"/>
  <c r="D536" i="1"/>
  <c r="AK420" i="1" l="1"/>
  <c r="AU418" i="1"/>
  <c r="AW418" i="1" s="1"/>
  <c r="AH535" i="1"/>
  <c r="AH419" i="1"/>
  <c r="A537" i="1"/>
  <c r="A538" i="1" s="1"/>
  <c r="AJ419" i="1"/>
  <c r="D538" i="1"/>
  <c r="AK421" i="1" l="1"/>
  <c r="AV418" i="1"/>
  <c r="AL421" i="1"/>
  <c r="AL422" i="1"/>
  <c r="AI538" i="1"/>
  <c r="AJ420" i="1"/>
  <c r="A539" i="1"/>
  <c r="AH421" i="1" l="1"/>
  <c r="AJ421" i="1"/>
  <c r="AE421" i="1"/>
  <c r="AD421" i="1"/>
  <c r="AJ422" i="1"/>
  <c r="AT421" i="1"/>
  <c r="A540" i="1"/>
  <c r="AI540" i="1"/>
  <c r="D540" i="1"/>
  <c r="AT540" i="1" l="1"/>
  <c r="AJ540" i="1"/>
  <c r="AK423" i="1"/>
  <c r="AU421" i="1"/>
  <c r="AV421" i="1" s="1"/>
  <c r="AL423" i="1"/>
  <c r="AH422" i="1"/>
  <c r="AH540" i="1"/>
  <c r="A541" i="1"/>
  <c r="D541" i="1"/>
  <c r="A542" i="1"/>
  <c r="AI541" i="1"/>
  <c r="AU540" i="1" l="1"/>
  <c r="AW540" i="1" s="1"/>
  <c r="AK424" i="1"/>
  <c r="AL424" i="1"/>
  <c r="AW421" i="1"/>
  <c r="A543" i="1"/>
  <c r="D543" i="1"/>
  <c r="AI543" i="1"/>
  <c r="AH424" i="1"/>
  <c r="A544" i="1"/>
  <c r="AJ423" i="1"/>
  <c r="AH423" i="1"/>
  <c r="AV540" i="1" l="1"/>
  <c r="AK425" i="1"/>
  <c r="AL425" i="1"/>
  <c r="AJ424" i="1"/>
  <c r="A545" i="1"/>
  <c r="AI545" i="1" s="1"/>
  <c r="AK426" i="1" l="1"/>
  <c r="AL426" i="1"/>
  <c r="AL427" i="1" s="1"/>
  <c r="D545" i="1"/>
  <c r="AH425" i="1"/>
  <c r="AJ425" i="1"/>
  <c r="A546" i="1"/>
  <c r="AH426" i="1"/>
  <c r="AK427" i="1" l="1"/>
  <c r="A547" i="1"/>
  <c r="AI547" i="1" s="1"/>
  <c r="AJ426" i="1"/>
  <c r="AK428" i="1" l="1"/>
  <c r="AL428" i="1"/>
  <c r="D547" i="1"/>
  <c r="A548" i="1"/>
  <c r="AJ427" i="1"/>
  <c r="AT547" i="1" l="1"/>
  <c r="AJ547" i="1"/>
  <c r="AK429" i="1"/>
  <c r="AL429" i="1"/>
  <c r="AH547" i="1"/>
  <c r="AJ428" i="1"/>
  <c r="A549" i="1"/>
  <c r="AH428" i="1"/>
  <c r="AU547" i="1" l="1"/>
  <c r="AW547" i="1" s="1"/>
  <c r="AH429" i="1"/>
  <c r="AJ429" i="1"/>
  <c r="AE429" i="1"/>
  <c r="AD429" i="1"/>
  <c r="AT429" i="1"/>
  <c r="AL430" i="1"/>
  <c r="A550" i="1"/>
  <c r="A551" i="1"/>
  <c r="D549" i="1"/>
  <c r="AI549" i="1"/>
  <c r="D551" i="1"/>
  <c r="AV547" i="1" l="1"/>
  <c r="AJ430" i="1"/>
  <c r="AK431" i="1"/>
  <c r="AU429" i="1"/>
  <c r="AV429" i="1" s="1"/>
  <c r="AL431" i="1"/>
  <c r="A552" i="1"/>
  <c r="D552" i="1"/>
  <c r="AH430" i="1"/>
  <c r="AI552" i="1"/>
  <c r="AI551" i="1"/>
  <c r="AW429" i="1" l="1"/>
  <c r="AL433" i="1"/>
  <c r="A553" i="1"/>
  <c r="AJ431" i="1"/>
  <c r="A554" i="1"/>
  <c r="AH431" i="1"/>
  <c r="AI553" i="1"/>
  <c r="AJ433" i="1" l="1"/>
  <c r="AK434" i="1"/>
  <c r="AL434" i="1"/>
  <c r="D553" i="1"/>
  <c r="D554" i="1"/>
  <c r="A555" i="1"/>
  <c r="D555" i="1"/>
  <c r="AH433" i="1"/>
  <c r="AI554" i="1"/>
  <c r="AK435" i="1" l="1"/>
  <c r="AL435" i="1"/>
  <c r="AL436" i="1" s="1"/>
  <c r="AI555" i="1"/>
  <c r="AH555" i="1"/>
  <c r="AJ434" i="1"/>
  <c r="AH434" i="1"/>
  <c r="A556" i="1"/>
  <c r="AK436" i="1" l="1"/>
  <c r="AH435" i="1"/>
  <c r="AI556" i="1"/>
  <c r="AJ435" i="1"/>
  <c r="A557" i="1"/>
  <c r="D556" i="1"/>
  <c r="AK437" i="1" l="1"/>
  <c r="AL437" i="1"/>
  <c r="A558" i="1"/>
  <c r="AJ436" i="1"/>
  <c r="D558" i="1"/>
  <c r="A559" i="1"/>
  <c r="AI558" i="1"/>
  <c r="AJ438" i="1" l="1"/>
  <c r="AH437" i="1"/>
  <c r="AJ437" i="1"/>
  <c r="AE437" i="1"/>
  <c r="AD437" i="1"/>
  <c r="AL438" i="1"/>
  <c r="AH438" i="1"/>
  <c r="AI559" i="1"/>
  <c r="A560" i="1"/>
  <c r="D560" i="1" s="1"/>
  <c r="AI560" i="1"/>
  <c r="D559" i="1"/>
  <c r="A561" i="1"/>
  <c r="AK439" i="1" l="1"/>
  <c r="AL439" i="1"/>
  <c r="AL440" i="1"/>
  <c r="AH559" i="1"/>
  <c r="A562" i="1"/>
  <c r="D562" i="1"/>
  <c r="AI561" i="1"/>
  <c r="D561" i="1"/>
  <c r="AK440" i="1" l="1"/>
  <c r="AJ440" i="1"/>
  <c r="AI562" i="1"/>
  <c r="AJ439" i="1"/>
  <c r="AH439" i="1"/>
  <c r="A563" i="1"/>
  <c r="AI563" i="1"/>
  <c r="A564" i="1"/>
  <c r="D563" i="1"/>
  <c r="AI564" i="1"/>
  <c r="D564" i="1"/>
  <c r="AD440" i="1" l="1"/>
  <c r="AH440" i="1"/>
  <c r="AE440" i="1"/>
  <c r="AL441" i="1"/>
  <c r="AL442" i="1" s="1"/>
  <c r="AJ441" i="1" l="1"/>
  <c r="AK442" i="1"/>
  <c r="AL443" i="1"/>
  <c r="AL444" i="1" s="1"/>
  <c r="AK445" i="1" l="1"/>
  <c r="AK444" i="1"/>
  <c r="AK443" i="1"/>
  <c r="AL445" i="1"/>
  <c r="AJ442" i="1"/>
  <c r="AH441" i="1"/>
  <c r="AH444" i="1"/>
  <c r="A565" i="1"/>
  <c r="AH443" i="1"/>
  <c r="AJ443" i="1"/>
  <c r="AK446" i="1" l="1"/>
  <c r="AL446" i="1"/>
  <c r="AJ444" i="1"/>
  <c r="AH445" i="1"/>
  <c r="AK447" i="1" l="1"/>
  <c r="AL447" i="1"/>
  <c r="AJ445" i="1"/>
  <c r="AH446" i="1"/>
  <c r="AJ446" i="1"/>
  <c r="AK448" i="1" l="1"/>
  <c r="AL448" i="1"/>
  <c r="AJ447" i="1"/>
  <c r="AH447" i="1"/>
  <c r="AK449" i="1" l="1"/>
  <c r="AL449" i="1"/>
  <c r="AL450" i="1" s="1"/>
  <c r="AJ448" i="1"/>
  <c r="AH448" i="1"/>
  <c r="AK450" i="1" l="1"/>
  <c r="AH449" i="1"/>
  <c r="AJ449" i="1"/>
  <c r="AK451" i="1" l="1"/>
  <c r="AL451" i="1"/>
  <c r="AJ450" i="1"/>
  <c r="AH452" i="1" l="1"/>
  <c r="AJ452" i="1"/>
  <c r="AK452" i="1"/>
  <c r="AE452" i="1"/>
  <c r="AD452" i="1"/>
  <c r="AT452" i="1"/>
  <c r="AL452" i="1"/>
  <c r="AH451" i="1"/>
  <c r="AJ451" i="1"/>
  <c r="AU452" i="1" l="1"/>
  <c r="AL453" i="1"/>
  <c r="AJ453" i="1" l="1"/>
  <c r="AK454" i="1"/>
  <c r="AW452" i="1"/>
  <c r="AV452" i="1"/>
  <c r="AL454" i="1"/>
  <c r="AJ454" i="1"/>
  <c r="AH454" i="1"/>
  <c r="AH453" i="1"/>
  <c r="AK455" i="1" l="1"/>
  <c r="AL455" i="1"/>
  <c r="AL456" i="1" s="1"/>
  <c r="AK456" i="1" l="1"/>
  <c r="AH455" i="1"/>
  <c r="AJ455" i="1"/>
  <c r="AK457" i="1" l="1"/>
  <c r="AL457" i="1"/>
  <c r="AH456" i="1"/>
  <c r="AJ456" i="1"/>
  <c r="AK458" i="1" l="1"/>
  <c r="AL458" i="1"/>
  <c r="AH457" i="1"/>
  <c r="AJ457" i="1"/>
  <c r="AK459" i="1" l="1"/>
  <c r="AL459" i="1"/>
  <c r="AJ458" i="1"/>
  <c r="AH458" i="1"/>
  <c r="AK460" i="1" l="1"/>
  <c r="AL460" i="1"/>
  <c r="AH459" i="1"/>
  <c r="AJ459" i="1"/>
  <c r="AK461" i="1" l="1"/>
  <c r="AL461" i="1"/>
  <c r="AH461" i="1"/>
  <c r="AH460" i="1"/>
  <c r="AJ460" i="1"/>
  <c r="AK462" i="1" l="1"/>
  <c r="AL462" i="1"/>
  <c r="AH462" i="1"/>
  <c r="AJ461" i="1"/>
  <c r="A566" i="1"/>
  <c r="AI566" i="1"/>
  <c r="AK463" i="1" l="1"/>
  <c r="D566" i="1"/>
  <c r="AJ462" i="1"/>
  <c r="A567" i="1"/>
  <c r="AJ566" i="1" l="1"/>
  <c r="AL464" i="1"/>
  <c r="AL465" i="1" s="1"/>
  <c r="D567" i="1"/>
  <c r="A568" i="1"/>
  <c r="AH566" i="1"/>
  <c r="AI567" i="1"/>
  <c r="AJ464" i="1" l="1"/>
  <c r="AK465" i="1"/>
  <c r="AJ465" i="1"/>
  <c r="AH464" i="1"/>
  <c r="A569" i="1"/>
  <c r="D569" i="1"/>
  <c r="A570" i="1"/>
  <c r="AI570" i="1" s="1"/>
  <c r="D570" i="1"/>
  <c r="AI569" i="1"/>
  <c r="AK466" i="1" l="1"/>
  <c r="AL466" i="1"/>
  <c r="A571" i="1"/>
  <c r="AK467" i="1" l="1"/>
  <c r="AL467" i="1"/>
  <c r="AJ466" i="1"/>
  <c r="AH466" i="1"/>
  <c r="A572" i="1"/>
  <c r="AI572" i="1" s="1"/>
  <c r="A573" i="1"/>
  <c r="D573" i="1"/>
  <c r="AH467" i="1" l="1"/>
  <c r="AJ467" i="1"/>
  <c r="AE467" i="1"/>
  <c r="AD467" i="1"/>
  <c r="AT467" i="1"/>
  <c r="AL468" i="1"/>
  <c r="D572" i="1"/>
  <c r="A574" i="1"/>
  <c r="AI574" i="1"/>
  <c r="AI573" i="1"/>
  <c r="AJ468" i="1" l="1"/>
  <c r="AK469" i="1"/>
  <c r="AU467" i="1"/>
  <c r="AV467" i="1" s="1"/>
  <c r="AL469" i="1"/>
  <c r="AH468" i="1"/>
  <c r="A575" i="1"/>
  <c r="D575" i="1"/>
  <c r="D574" i="1"/>
  <c r="AH469" i="1" l="1"/>
  <c r="AJ469" i="1"/>
  <c r="AE469" i="1"/>
  <c r="AD469" i="1"/>
  <c r="AW467" i="1"/>
  <c r="AT469" i="1"/>
  <c r="AI575" i="1"/>
  <c r="A576" i="1"/>
  <c r="D576" i="1"/>
  <c r="A577" i="1"/>
  <c r="AK471" i="1" l="1"/>
  <c r="AU469" i="1"/>
  <c r="AW469" i="1" s="1"/>
  <c r="AL471" i="1"/>
  <c r="AI576" i="1"/>
  <c r="D577" i="1"/>
  <c r="A578" i="1"/>
  <c r="AI577" i="1"/>
  <c r="AH576" i="1"/>
  <c r="AH471" i="1" l="1"/>
  <c r="AJ471" i="1"/>
  <c r="AE471" i="1"/>
  <c r="AD471" i="1"/>
  <c r="AV469" i="1"/>
  <c r="AT471" i="1"/>
  <c r="D578" i="1"/>
  <c r="A579" i="1"/>
  <c r="D579" i="1" s="1"/>
  <c r="AI578" i="1"/>
  <c r="AH473" i="1" l="1"/>
  <c r="AJ473" i="1"/>
  <c r="AK473" i="1"/>
  <c r="AE473" i="1"/>
  <c r="AD473" i="1"/>
  <c r="AU471" i="1"/>
  <c r="AV471" i="1" s="1"/>
  <c r="AT473" i="1"/>
  <c r="AL473" i="1"/>
  <c r="AI579" i="1"/>
  <c r="A580" i="1"/>
  <c r="AW471" i="1" l="1"/>
  <c r="AU473" i="1"/>
  <c r="AL474" i="1"/>
  <c r="AL475" i="1" s="1"/>
  <c r="A581" i="1"/>
  <c r="D581" i="1"/>
  <c r="A582" i="1"/>
  <c r="D582" i="1" s="1"/>
  <c r="AI582" i="1"/>
  <c r="AI581" i="1"/>
  <c r="AJ581" i="1" l="1"/>
  <c r="AJ474" i="1"/>
  <c r="AK475" i="1"/>
  <c r="AW473" i="1"/>
  <c r="AV473" i="1"/>
  <c r="A583" i="1"/>
  <c r="AJ475" i="1"/>
  <c r="AH581" i="1"/>
  <c r="A584" i="1"/>
  <c r="D584" i="1" s="1"/>
  <c r="AH474" i="1"/>
  <c r="AJ584" i="1" l="1"/>
  <c r="AT584" i="1"/>
  <c r="AK476" i="1"/>
  <c r="AL476" i="1"/>
  <c r="AI584" i="1"/>
  <c r="AH584" i="1"/>
  <c r="A585" i="1"/>
  <c r="AU584" i="1" l="1"/>
  <c r="AW584" i="1" s="1"/>
  <c r="AH476" i="1"/>
  <c r="AJ476" i="1"/>
  <c r="AE476" i="1"/>
  <c r="AD476" i="1"/>
  <c r="AT476" i="1"/>
  <c r="AL477" i="1"/>
  <c r="AL478" i="1"/>
  <c r="AI585" i="1"/>
  <c r="A586" i="1"/>
  <c r="D585" i="1"/>
  <c r="AI586" i="1"/>
  <c r="AL585" i="1" l="1"/>
  <c r="AT585" i="1"/>
  <c r="AL586" i="1"/>
  <c r="AV584" i="1"/>
  <c r="AH478" i="1"/>
  <c r="AJ478" i="1"/>
  <c r="AJ477" i="1"/>
  <c r="AK478" i="1"/>
  <c r="AE478" i="1"/>
  <c r="AD478" i="1"/>
  <c r="AU476" i="1"/>
  <c r="AW476" i="1" s="1"/>
  <c r="AT478" i="1"/>
  <c r="A587" i="1"/>
  <c r="D586" i="1"/>
  <c r="AH585" i="1"/>
  <c r="AJ585" i="1"/>
  <c r="D587" i="1"/>
  <c r="AH477" i="1"/>
  <c r="AU585" i="1" l="1"/>
  <c r="AW585" i="1" s="1"/>
  <c r="AT586" i="1"/>
  <c r="AT587" i="1"/>
  <c r="AV476" i="1"/>
  <c r="AL479" i="1"/>
  <c r="AI587" i="1"/>
  <c r="A588" i="1"/>
  <c r="AJ586" i="1"/>
  <c r="AJ587" i="1" s="1"/>
  <c r="AH587" i="1"/>
  <c r="AH586" i="1"/>
  <c r="A589" i="1"/>
  <c r="D589" i="1" s="1"/>
  <c r="AV585" i="1" l="1"/>
  <c r="AU586" i="1"/>
  <c r="AW586" i="1" s="1"/>
  <c r="AL587" i="1"/>
  <c r="AJ589" i="1"/>
  <c r="AT589" i="1"/>
  <c r="AU587" i="1"/>
  <c r="AJ479" i="1"/>
  <c r="AK480" i="1"/>
  <c r="AT479" i="1"/>
  <c r="AU478" i="1"/>
  <c r="AV478" i="1" s="1"/>
  <c r="AL480" i="1"/>
  <c r="AH589" i="1"/>
  <c r="AH479" i="1"/>
  <c r="AI589" i="1"/>
  <c r="A590" i="1"/>
  <c r="AV586" i="1" l="1"/>
  <c r="AU589" i="1"/>
  <c r="AW589" i="1" s="1"/>
  <c r="AW587" i="1"/>
  <c r="AV587" i="1"/>
  <c r="AH480" i="1"/>
  <c r="AJ480" i="1"/>
  <c r="AE480" i="1"/>
  <c r="AD480" i="1"/>
  <c r="AU479" i="1"/>
  <c r="AV479" i="1" s="1"/>
  <c r="AW478" i="1"/>
  <c r="AT480" i="1"/>
  <c r="AL481" i="1"/>
  <c r="AL482" i="1" s="1"/>
  <c r="A591" i="1"/>
  <c r="AI591" i="1"/>
  <c r="AV589" i="1" l="1"/>
  <c r="AJ481" i="1"/>
  <c r="AK482" i="1"/>
  <c r="AW479" i="1"/>
  <c r="AU480" i="1"/>
  <c r="AV480" i="1" s="1"/>
  <c r="AT481" i="1"/>
  <c r="D591" i="1"/>
  <c r="AH481" i="1"/>
  <c r="AJ482" i="1"/>
  <c r="A592" i="1"/>
  <c r="AJ591" i="1" l="1"/>
  <c r="AT591" i="1"/>
  <c r="AU482" i="1"/>
  <c r="AH483" i="1"/>
  <c r="AJ483" i="1"/>
  <c r="AK483" i="1"/>
  <c r="AE483" i="1"/>
  <c r="AD483" i="1"/>
  <c r="AW480" i="1"/>
  <c r="AU481" i="1"/>
  <c r="AV481" i="1" s="1"/>
  <c r="AT483" i="1"/>
  <c r="AL483" i="1"/>
  <c r="D592" i="1"/>
  <c r="A593" i="1"/>
  <c r="AI592" i="1"/>
  <c r="AH591" i="1"/>
  <c r="AT592" i="1" l="1"/>
  <c r="AU591" i="1"/>
  <c r="AW591" i="1" s="1"/>
  <c r="AL592" i="1"/>
  <c r="AW482" i="1"/>
  <c r="AV482" i="1"/>
  <c r="AW481" i="1"/>
  <c r="AU483" i="1"/>
  <c r="AW483" i="1" s="1"/>
  <c r="AL484" i="1"/>
  <c r="AH592" i="1"/>
  <c r="AJ592" i="1"/>
  <c r="A594" i="1"/>
  <c r="AI594" i="1"/>
  <c r="AV591" i="1" l="1"/>
  <c r="AU592" i="1"/>
  <c r="AW592" i="1" s="1"/>
  <c r="AJ484" i="1"/>
  <c r="AK485" i="1"/>
  <c r="AT484" i="1"/>
  <c r="AV483" i="1"/>
  <c r="AL486" i="1"/>
  <c r="AL485" i="1"/>
  <c r="AH484" i="1"/>
  <c r="D594" i="1"/>
  <c r="A595" i="1"/>
  <c r="D595" i="1" s="1"/>
  <c r="AI595" i="1"/>
  <c r="AV592" i="1" l="1"/>
  <c r="AT594" i="1"/>
  <c r="AJ594" i="1"/>
  <c r="AT595" i="1"/>
  <c r="AL595" i="1"/>
  <c r="AK486" i="1"/>
  <c r="AT485" i="1"/>
  <c r="AU484" i="1"/>
  <c r="AV484" i="1" s="1"/>
  <c r="A596" i="1"/>
  <c r="AH485" i="1"/>
  <c r="AH595" i="1"/>
  <c r="AH594" i="1"/>
  <c r="AJ595" i="1"/>
  <c r="A597" i="1"/>
  <c r="D597" i="1" s="1"/>
  <c r="AJ485" i="1"/>
  <c r="A598" i="1"/>
  <c r="AU594" i="1" l="1"/>
  <c r="AW594" i="1" s="1"/>
  <c r="AJ597" i="1"/>
  <c r="AT597" i="1"/>
  <c r="AU595" i="1"/>
  <c r="AH486" i="1"/>
  <c r="AJ486" i="1"/>
  <c r="AE486" i="1"/>
  <c r="AD486" i="1"/>
  <c r="AJ487" i="1"/>
  <c r="AU485" i="1"/>
  <c r="AW485" i="1" s="1"/>
  <c r="AW484" i="1"/>
  <c r="AT486" i="1"/>
  <c r="AL487" i="1"/>
  <c r="AL488" i="1" s="1"/>
  <c r="A599" i="1"/>
  <c r="AH597" i="1"/>
  <c r="AJ488" i="1"/>
  <c r="AI597" i="1"/>
  <c r="AV594" i="1" l="1"/>
  <c r="AU597" i="1"/>
  <c r="AW597" i="1" s="1"/>
  <c r="AW595" i="1"/>
  <c r="AV595" i="1"/>
  <c r="AK488" i="1"/>
  <c r="AV485" i="1"/>
  <c r="AU486" i="1"/>
  <c r="AV486" i="1" s="1"/>
  <c r="AH487" i="1"/>
  <c r="A600" i="1"/>
  <c r="AI599" i="1"/>
  <c r="D599" i="1"/>
  <c r="A601" i="1"/>
  <c r="D600" i="1"/>
  <c r="AI600" i="1"/>
  <c r="AJ599" i="1" l="1"/>
  <c r="AL600" i="1"/>
  <c r="AV597" i="1"/>
  <c r="AK489" i="1"/>
  <c r="AW486" i="1"/>
  <c r="AL489" i="1"/>
  <c r="AL490" i="1"/>
  <c r="AJ600" i="1"/>
  <c r="AH600" i="1"/>
  <c r="A602" i="1"/>
  <c r="D602" i="1" s="1"/>
  <c r="AH599" i="1"/>
  <c r="AJ602" i="1" l="1"/>
  <c r="AT602" i="1"/>
  <c r="AH489" i="1"/>
  <c r="AJ489" i="1"/>
  <c r="AE489" i="1"/>
  <c r="AD489" i="1"/>
  <c r="AT489" i="1"/>
  <c r="A603" i="1"/>
  <c r="AH602" i="1"/>
  <c r="AI602" i="1"/>
  <c r="AU602" i="1" l="1"/>
  <c r="AJ490" i="1"/>
  <c r="AK491" i="1"/>
  <c r="AU489" i="1"/>
  <c r="AW489" i="1" s="1"/>
  <c r="AT490" i="1"/>
  <c r="AL491" i="1"/>
  <c r="AH490" i="1"/>
  <c r="A604" i="1"/>
  <c r="D604" i="1"/>
  <c r="AI604" i="1"/>
  <c r="AJ604" i="1" l="1"/>
  <c r="AT604" i="1"/>
  <c r="AW602" i="1"/>
  <c r="AV602" i="1"/>
  <c r="AK492" i="1"/>
  <c r="AL492" i="1"/>
  <c r="AV489" i="1"/>
  <c r="AT491" i="1"/>
  <c r="AU490" i="1"/>
  <c r="AW490" i="1" s="1"/>
  <c r="A605" i="1"/>
  <c r="AJ491" i="1"/>
  <c r="AI605" i="1"/>
  <c r="AH604" i="1"/>
  <c r="AH491" i="1"/>
  <c r="D605" i="1"/>
  <c r="AU604" i="1" l="1"/>
  <c r="AW604" i="1" s="1"/>
  <c r="AL605" i="1"/>
  <c r="AT605" i="1"/>
  <c r="AH492" i="1"/>
  <c r="AJ492" i="1"/>
  <c r="AE492" i="1"/>
  <c r="AD492" i="1"/>
  <c r="AU491" i="1"/>
  <c r="AW491" i="1" s="1"/>
  <c r="AV490" i="1"/>
  <c r="AT492" i="1"/>
  <c r="A606" i="1"/>
  <c r="A607" i="1"/>
  <c r="AH605" i="1"/>
  <c r="AJ605" i="1"/>
  <c r="AV604" i="1" l="1"/>
  <c r="AU605" i="1"/>
  <c r="AK494" i="1"/>
  <c r="AV491" i="1"/>
  <c r="AU492" i="1"/>
  <c r="AV492" i="1" s="1"/>
  <c r="AL494" i="1"/>
  <c r="AL495" i="1" s="1"/>
  <c r="AL496" i="1" s="1"/>
  <c r="D607" i="1"/>
  <c r="AI607" i="1"/>
  <c r="A608" i="1"/>
  <c r="D608" i="1" s="1"/>
  <c r="AI608" i="1"/>
  <c r="AJ607" i="1" l="1"/>
  <c r="AT607" i="1"/>
  <c r="AT608" i="1"/>
  <c r="AL608" i="1"/>
  <c r="AW605" i="1"/>
  <c r="AV605" i="1"/>
  <c r="AK495" i="1"/>
  <c r="AT494" i="1"/>
  <c r="AW492" i="1"/>
  <c r="AH494" i="1"/>
  <c r="AJ494" i="1"/>
  <c r="AH495" i="1"/>
  <c r="AH608" i="1"/>
  <c r="AH607" i="1"/>
  <c r="A609" i="1"/>
  <c r="AJ608" i="1"/>
  <c r="AU607" i="1" l="1"/>
  <c r="AV607" i="1" s="1"/>
  <c r="AU608" i="1"/>
  <c r="AW607" i="1"/>
  <c r="AK496" i="1"/>
  <c r="AU494" i="1"/>
  <c r="AW494" i="1" s="1"/>
  <c r="A610" i="1"/>
  <c r="AJ495" i="1"/>
  <c r="AI610" i="1"/>
  <c r="A611" i="1"/>
  <c r="D610" i="1"/>
  <c r="AT610" i="1" l="1"/>
  <c r="AJ610" i="1"/>
  <c r="AW608" i="1"/>
  <c r="AV608" i="1"/>
  <c r="AK497" i="1"/>
  <c r="AV494" i="1"/>
  <c r="D611" i="1"/>
  <c r="AJ496" i="1"/>
  <c r="A612" i="1"/>
  <c r="D612" i="1"/>
  <c r="AH610" i="1"/>
  <c r="AI611" i="1"/>
  <c r="AT611" i="1" l="1"/>
  <c r="AU610" i="1"/>
  <c r="AW610" i="1" s="1"/>
  <c r="AL611" i="1"/>
  <c r="AT612" i="1"/>
  <c r="AK177" i="1"/>
  <c r="B177" i="1" s="1"/>
  <c r="C177" i="1" s="1"/>
  <c r="AK344" i="1"/>
  <c r="B344" i="1" s="1"/>
  <c r="C344" i="1" s="1"/>
  <c r="AK247" i="1"/>
  <c r="B247" i="1" s="1"/>
  <c r="C247" i="1" s="1"/>
  <c r="AK45" i="1"/>
  <c r="AK175" i="1"/>
  <c r="B175" i="1" s="1"/>
  <c r="C175" i="1" s="1"/>
  <c r="AK332" i="1"/>
  <c r="B332" i="1" s="1"/>
  <c r="C332" i="1" s="1"/>
  <c r="AK477" i="1"/>
  <c r="B477" i="1" s="1"/>
  <c r="C477" i="1" s="1"/>
  <c r="AK179" i="1"/>
  <c r="B179" i="1" s="1"/>
  <c r="C179" i="1" s="1"/>
  <c r="AK42" i="1"/>
  <c r="AK205" i="1"/>
  <c r="AK474" i="1"/>
  <c r="B474" i="1" s="1"/>
  <c r="C474" i="1" s="1"/>
  <c r="AK56" i="1"/>
  <c r="AK422" i="1"/>
  <c r="B422" i="1" s="1"/>
  <c r="C422" i="1" s="1"/>
  <c r="AK385" i="1"/>
  <c r="B385" i="1" s="1"/>
  <c r="C385" i="1" s="1"/>
  <c r="AK95" i="1"/>
  <c r="B95" i="1" s="1"/>
  <c r="C95" i="1" s="1"/>
  <c r="AK164" i="1"/>
  <c r="B164" i="1" s="1"/>
  <c r="C164" i="1" s="1"/>
  <c r="AK244" i="1"/>
  <c r="B244" i="1" s="1"/>
  <c r="C244" i="1" s="1"/>
  <c r="AK274" i="1"/>
  <c r="B274" i="1" s="1"/>
  <c r="C274" i="1" s="1"/>
  <c r="AK217" i="1"/>
  <c r="AK300" i="1"/>
  <c r="AK400" i="1"/>
  <c r="B400" i="1" s="1"/>
  <c r="C400" i="1" s="1"/>
  <c r="AK194" i="1"/>
  <c r="B194" i="1" s="1"/>
  <c r="C194" i="1" s="1"/>
  <c r="AK212" i="1"/>
  <c r="B212" i="1" s="1"/>
  <c r="C212" i="1" s="1"/>
  <c r="AK183" i="1"/>
  <c r="B183" i="1" s="1"/>
  <c r="C183" i="1" s="1"/>
  <c r="AK27" i="1"/>
  <c r="AK396" i="1"/>
  <c r="B396" i="1" s="1"/>
  <c r="C396" i="1" s="1"/>
  <c r="AK359" i="1"/>
  <c r="B359" i="1" s="1"/>
  <c r="C359" i="1" s="1"/>
  <c r="AK409" i="1"/>
  <c r="B409" i="1" s="1"/>
  <c r="C409" i="1" s="1"/>
  <c r="AK298" i="1"/>
  <c r="B298" i="1" s="1"/>
  <c r="C298" i="1" s="1"/>
  <c r="AK253" i="1"/>
  <c r="B253" i="1" s="1"/>
  <c r="C253" i="1" s="1"/>
  <c r="AK191" i="1"/>
  <c r="B191" i="1" s="1"/>
  <c r="C191" i="1" s="1"/>
  <c r="AK31" i="1"/>
  <c r="B31" i="1" s="1"/>
  <c r="C31" i="1" s="1"/>
  <c r="AK323" i="1"/>
  <c r="B323" i="1" s="1"/>
  <c r="C323" i="1" s="1"/>
  <c r="AK74" i="1"/>
  <c r="B74" i="1" s="1"/>
  <c r="C74" i="1" s="1"/>
  <c r="AK388" i="1"/>
  <c r="B388" i="1" s="1"/>
  <c r="C388" i="1" s="1"/>
  <c r="AK84" i="1"/>
  <c r="B84" i="1" s="1"/>
  <c r="C84" i="1" s="1"/>
  <c r="AK470" i="1"/>
  <c r="B470" i="1" s="1"/>
  <c r="C470" i="1" s="1"/>
  <c r="AK479" i="1"/>
  <c r="B479" i="1" s="1"/>
  <c r="C479" i="1" s="1"/>
  <c r="AK207" i="1"/>
  <c r="B207" i="1" s="1"/>
  <c r="C207" i="1" s="1"/>
  <c r="AK372" i="1"/>
  <c r="B372" i="1" s="1"/>
  <c r="C372" i="1" s="1"/>
  <c r="AK441" i="1"/>
  <c r="B441" i="1" s="1"/>
  <c r="C441" i="1" s="1"/>
  <c r="AK289" i="1"/>
  <c r="B289" i="1" s="1"/>
  <c r="C289" i="1" s="1"/>
  <c r="AK202" i="1"/>
  <c r="B202" i="1" s="1"/>
  <c r="C202" i="1" s="1"/>
  <c r="AK29" i="1"/>
  <c r="B29" i="1" s="1"/>
  <c r="C29" i="1" s="1"/>
  <c r="AK151" i="1"/>
  <c r="B151" i="1" s="1"/>
  <c r="C151" i="1" s="1"/>
  <c r="AK398" i="1"/>
  <c r="B398" i="1" s="1"/>
  <c r="C398" i="1" s="1"/>
  <c r="AK438" i="1"/>
  <c r="B438" i="1" s="1"/>
  <c r="C438" i="1" s="1"/>
  <c r="AK232" i="1"/>
  <c r="B232" i="1" s="1"/>
  <c r="C232" i="1" s="1"/>
  <c r="AK347" i="1"/>
  <c r="B347" i="1" s="1"/>
  <c r="C347" i="1" s="1"/>
  <c r="AK481" i="1"/>
  <c r="B481" i="1" s="1"/>
  <c r="C481" i="1" s="1"/>
  <c r="AK109" i="1"/>
  <c r="B109" i="1" s="1"/>
  <c r="C109" i="1" s="1"/>
  <c r="AK490" i="1"/>
  <c r="B490" i="1" s="1"/>
  <c r="C490" i="1" s="1"/>
  <c r="AK340" i="1"/>
  <c r="B340" i="1" s="1"/>
  <c r="C340" i="1" s="1"/>
  <c r="AK383" i="1"/>
  <c r="B383" i="1" s="1"/>
  <c r="C383" i="1" s="1"/>
  <c r="AK487" i="1"/>
  <c r="B487" i="1" s="1"/>
  <c r="C487" i="1" s="1"/>
  <c r="AK391" i="1"/>
  <c r="B391" i="1" s="1"/>
  <c r="C391" i="1" s="1"/>
  <c r="AK228" i="1"/>
  <c r="B228" i="1" s="1"/>
  <c r="C228" i="1" s="1"/>
  <c r="AK257" i="1"/>
  <c r="AK114" i="1"/>
  <c r="B114" i="1" s="1"/>
  <c r="C114" i="1" s="1"/>
  <c r="AK433" i="1"/>
  <c r="B433" i="1" s="1"/>
  <c r="C433" i="1" s="1"/>
  <c r="AK464" i="1"/>
  <c r="AK24" i="1"/>
  <c r="AK303" i="1"/>
  <c r="B303" i="1" s="1"/>
  <c r="C303" i="1" s="1"/>
  <c r="AK305" i="1"/>
  <c r="B305" i="1" s="1"/>
  <c r="C305" i="1" s="1"/>
  <c r="AK188" i="1"/>
  <c r="AK468" i="1"/>
  <c r="B468" i="1" s="1"/>
  <c r="C468" i="1" s="1"/>
  <c r="AK287" i="1"/>
  <c r="AK313" i="1"/>
  <c r="B313" i="1" s="1"/>
  <c r="C313" i="1" s="1"/>
  <c r="AK220" i="1"/>
  <c r="AK453" i="1"/>
  <c r="B453" i="1" s="1"/>
  <c r="C453" i="1" s="1"/>
  <c r="AK430" i="1"/>
  <c r="B430" i="1" s="1"/>
  <c r="C430" i="1" s="1"/>
  <c r="AK173" i="1"/>
  <c r="B173" i="1" s="1"/>
  <c r="C173" i="1" s="1"/>
  <c r="AK262" i="1"/>
  <c r="B262" i="1" s="1"/>
  <c r="C262" i="1" s="1"/>
  <c r="AK106" i="1"/>
  <c r="AK394" i="1"/>
  <c r="B394" i="1" s="1"/>
  <c r="C394" i="1" s="1"/>
  <c r="AK126" i="1"/>
  <c r="B126" i="1" s="1"/>
  <c r="C126" i="1" s="1"/>
  <c r="AK65" i="1"/>
  <c r="B65" i="1" s="1"/>
  <c r="C65" i="1" s="1"/>
  <c r="AK139" i="1"/>
  <c r="B139" i="1" s="1"/>
  <c r="C139" i="1" s="1"/>
  <c r="AK418" i="1"/>
  <c r="AK493" i="1"/>
  <c r="B493" i="1" s="1"/>
  <c r="C493" i="1" s="1"/>
  <c r="AK185" i="1"/>
  <c r="B185" i="1" s="1"/>
  <c r="C185" i="1" s="1"/>
  <c r="AK411" i="1"/>
  <c r="B411" i="1" s="1"/>
  <c r="C411" i="1" s="1"/>
  <c r="AK472" i="1"/>
  <c r="B472" i="1" s="1"/>
  <c r="C472" i="1" s="1"/>
  <c r="AK413" i="1"/>
  <c r="B413" i="1" s="1"/>
  <c r="C413" i="1" s="1"/>
  <c r="AK484" i="1"/>
  <c r="B484" i="1" s="1"/>
  <c r="C484" i="1" s="1"/>
  <c r="AU496" i="1"/>
  <c r="AT497" i="1"/>
  <c r="AJ611" i="1"/>
  <c r="AH611" i="1"/>
  <c r="AU611" i="1" l="1"/>
  <c r="AV611" i="1" s="1"/>
  <c r="AV610" i="1"/>
  <c r="AV496" i="1"/>
  <c r="AW496" i="1"/>
  <c r="AW611" i="1" l="1"/>
  <c r="A62" i="2"/>
  <c r="A64" i="2"/>
  <c r="R64" i="2" l="1"/>
  <c r="G64" i="2"/>
  <c r="R62" i="2"/>
  <c r="G62" i="2"/>
  <c r="A77" i="2"/>
  <c r="H62" i="2"/>
  <c r="B62" i="2"/>
  <c r="C64" i="2"/>
  <c r="C62" i="2"/>
  <c r="I64" i="2"/>
  <c r="H64" i="2"/>
  <c r="F62" i="2"/>
  <c r="I62" i="2"/>
  <c r="A65" i="2"/>
  <c r="B64" i="2"/>
  <c r="F64" i="2"/>
  <c r="AL497" i="1"/>
  <c r="AL499" i="1"/>
  <c r="J64" i="2"/>
  <c r="J62" i="2"/>
  <c r="AE611" i="1"/>
  <c r="AD109" i="1"/>
  <c r="AE71" i="1"/>
  <c r="AE376" i="1"/>
  <c r="AD49" i="1"/>
  <c r="AD189" i="1"/>
  <c r="AE351" i="1"/>
  <c r="AE53" i="1"/>
  <c r="AE484" i="1"/>
  <c r="AE361" i="1"/>
  <c r="AE90" i="1"/>
  <c r="AE251" i="1"/>
  <c r="AD398" i="1"/>
  <c r="AE62" i="1"/>
  <c r="AD508" i="1"/>
  <c r="AD600" i="1"/>
  <c r="AD597" i="1"/>
  <c r="AD300" i="1"/>
  <c r="AD373" i="1"/>
  <c r="AE147" i="1"/>
  <c r="AE337" i="1"/>
  <c r="AE369" i="1"/>
  <c r="AE380" i="1"/>
  <c r="AD481" i="1"/>
  <c r="AD379" i="1"/>
  <c r="AE116" i="1"/>
  <c r="AD126" i="1"/>
  <c r="AE296" i="1"/>
  <c r="AD309" i="1"/>
  <c r="AE363" i="1"/>
  <c r="AD454" i="1"/>
  <c r="AD275" i="1"/>
  <c r="AE47" i="1"/>
  <c r="AE400" i="1"/>
  <c r="AD587" i="1"/>
  <c r="AD141" i="1"/>
  <c r="AE124" i="1"/>
  <c r="AE268" i="1"/>
  <c r="AD369" i="1"/>
  <c r="AD225" i="1"/>
  <c r="AD301" i="1"/>
  <c r="AE72" i="1"/>
  <c r="AE254" i="1"/>
  <c r="AE427" i="1"/>
  <c r="AE37" i="1"/>
  <c r="AD151" i="1"/>
  <c r="AE313" i="1"/>
  <c r="AD430" i="1"/>
  <c r="AD226" i="1"/>
  <c r="AD474" i="1"/>
  <c r="AD158" i="1"/>
  <c r="AD344" i="1"/>
  <c r="AE54" i="1"/>
  <c r="AD47" i="1"/>
  <c r="AE69" i="1"/>
  <c r="AE127" i="1"/>
  <c r="AE329" i="1"/>
  <c r="AD70" i="1"/>
  <c r="AD242" i="1"/>
  <c r="AE454" i="1"/>
  <c r="AD258" i="1"/>
  <c r="AD127" i="1"/>
  <c r="AD310" i="1"/>
  <c r="AE356" i="1"/>
  <c r="AD293" i="1"/>
  <c r="AD101" i="1"/>
  <c r="AE482" i="1"/>
  <c r="AD63" i="1"/>
  <c r="AD591" i="1"/>
  <c r="AD361" i="1"/>
  <c r="AE335" i="1"/>
  <c r="AE103" i="1"/>
  <c r="AE212" i="1"/>
  <c r="AD581" i="1"/>
  <c r="AE391" i="1"/>
  <c r="AD330" i="1"/>
  <c r="AE402" i="1"/>
  <c r="AD315" i="1"/>
  <c r="AE194" i="1"/>
  <c r="AE148" i="1"/>
  <c r="AE88" i="1"/>
  <c r="AE39" i="1"/>
  <c r="AD92" i="1"/>
  <c r="AE160" i="1"/>
  <c r="AD329" i="1"/>
  <c r="AD611" i="1"/>
  <c r="AD78" i="1"/>
  <c r="AD450" i="1"/>
  <c r="AE244" i="1"/>
  <c r="AD106" i="1"/>
  <c r="AE350" i="1"/>
  <c r="AE370" i="1"/>
  <c r="AD117" i="1"/>
  <c r="AD513" i="1"/>
  <c r="AE237" i="1"/>
  <c r="AD316" i="1"/>
  <c r="AD96" i="1"/>
  <c r="AE320" i="1"/>
  <c r="AD121" i="1"/>
  <c r="AD495" i="1"/>
  <c r="AJ612" i="1"/>
  <c r="AD100" i="1"/>
  <c r="AD260" i="1"/>
  <c r="AD98" i="1"/>
  <c r="AE334" i="1"/>
  <c r="AD179" i="1"/>
  <c r="AD308" i="1"/>
  <c r="AE179" i="1"/>
  <c r="AE52" i="1"/>
  <c r="AD320" i="1"/>
  <c r="AD303" i="1"/>
  <c r="AD266" i="1"/>
  <c r="AD360" i="1"/>
  <c r="AD52" i="1"/>
  <c r="AE233" i="1"/>
  <c r="AD104" i="1"/>
  <c r="AD146" i="1"/>
  <c r="AD448" i="1"/>
  <c r="AD416" i="1"/>
  <c r="AD245" i="1"/>
  <c r="AD89" i="1"/>
  <c r="AE119" i="1"/>
  <c r="AD451" i="1"/>
  <c r="AE86" i="1"/>
  <c r="AD153" i="1"/>
  <c r="AE418" i="1"/>
  <c r="AD212" i="1"/>
  <c r="AE328" i="1"/>
  <c r="AE481" i="1"/>
  <c r="AD525" i="1"/>
  <c r="AD482" i="1"/>
  <c r="AE238" i="1"/>
  <c r="AD237" i="1"/>
  <c r="AE255" i="1"/>
  <c r="AE280" i="1"/>
  <c r="AD318" i="1"/>
  <c r="AE67" i="1"/>
  <c r="AD357" i="1"/>
  <c r="AE349" i="1"/>
  <c r="AD188" i="1"/>
  <c r="AE368" i="1"/>
  <c r="AD59" i="1"/>
  <c r="AD279" i="1"/>
  <c r="AD592" i="1"/>
  <c r="AD180" i="1"/>
  <c r="AE145" i="1"/>
  <c r="AD351" i="1"/>
  <c r="AD154" i="1"/>
  <c r="AE78" i="1"/>
  <c r="AE318" i="1"/>
  <c r="AE340" i="1"/>
  <c r="AE133" i="1"/>
  <c r="AD380" i="1"/>
  <c r="AD35" i="1"/>
  <c r="AE300" i="1"/>
  <c r="AE234" i="1"/>
  <c r="AD134" i="1"/>
  <c r="AE279" i="1"/>
  <c r="AE586" i="1"/>
  <c r="AE260" i="1"/>
  <c r="AD236" i="1"/>
  <c r="AD60" i="1"/>
  <c r="AD95" i="1"/>
  <c r="AD511" i="1"/>
  <c r="AE394" i="1"/>
  <c r="AE585" i="1"/>
  <c r="AE51" i="1"/>
  <c r="AD221" i="1"/>
  <c r="AD285" i="1"/>
  <c r="AD374" i="1"/>
  <c r="AE241" i="1"/>
  <c r="AE33" i="1"/>
  <c r="AE164" i="1"/>
  <c r="AD356" i="1"/>
  <c r="AD376" i="1"/>
  <c r="AD586" i="1"/>
  <c r="AE305" i="1"/>
  <c r="AE132" i="1"/>
  <c r="AD442" i="1"/>
  <c r="AE285" i="1"/>
  <c r="AD155" i="1"/>
  <c r="AD149" i="1"/>
  <c r="AE263" i="1"/>
  <c r="AD254" i="1"/>
  <c r="AE355" i="1"/>
  <c r="AD91" i="1"/>
  <c r="AD491" i="1"/>
  <c r="AE291" i="1"/>
  <c r="AD352" i="1"/>
  <c r="AD411" i="1"/>
  <c r="AH612" i="1"/>
  <c r="AD118" i="1"/>
  <c r="AD29" i="1"/>
  <c r="AD37" i="1"/>
  <c r="AD311" i="1"/>
  <c r="AE298" i="1"/>
  <c r="AE224" i="1"/>
  <c r="AD441" i="1"/>
  <c r="AE63" i="1"/>
  <c r="AE357" i="1"/>
  <c r="AE181" i="1"/>
  <c r="AE130" i="1"/>
  <c r="AE114" i="1"/>
  <c r="AD224" i="1"/>
  <c r="AD259" i="1"/>
  <c r="AD124" i="1"/>
  <c r="AD262" i="1"/>
  <c r="AD90" i="1"/>
  <c r="AE135" i="1"/>
  <c r="AE525" i="1"/>
  <c r="AE87" i="1"/>
  <c r="AE309" i="1"/>
  <c r="AE59" i="1"/>
  <c r="AE610" i="1"/>
  <c r="AE344" i="1"/>
  <c r="AD422" i="1"/>
  <c r="AE359" i="1"/>
  <c r="AE120" i="1"/>
  <c r="AE293" i="1"/>
  <c r="AD217" i="1"/>
  <c r="AE367" i="1"/>
  <c r="AD298" i="1"/>
  <c r="AE352" i="1"/>
  <c r="AD341" i="1"/>
  <c r="AD354" i="1"/>
  <c r="AD27" i="1"/>
  <c r="AE365" i="1"/>
  <c r="AE143" i="1"/>
  <c r="AE169" i="1"/>
  <c r="AE450" i="1"/>
  <c r="AD365" i="1"/>
  <c r="AE430" i="1"/>
  <c r="AD66" i="1"/>
  <c r="AD323" i="1"/>
  <c r="AE126" i="1"/>
  <c r="AD230" i="1"/>
  <c r="AD269" i="1"/>
  <c r="AE379" i="1"/>
  <c r="AE29" i="1"/>
  <c r="AE446" i="1"/>
  <c r="AD244" i="1"/>
  <c r="AD345" i="1"/>
  <c r="AD459" i="1"/>
  <c r="AD381" i="1"/>
  <c r="AE448" i="1"/>
  <c r="AE191" i="1"/>
  <c r="AD433" i="1"/>
  <c r="AE93" i="1"/>
  <c r="AD57" i="1"/>
  <c r="AD205" i="1"/>
  <c r="AD255" i="1"/>
  <c r="AD423" i="1"/>
  <c r="AE162" i="1"/>
  <c r="AE405" i="1"/>
  <c r="AD403" i="1"/>
  <c r="AE362" i="1"/>
  <c r="AE409" i="1"/>
  <c r="AD608" i="1"/>
  <c r="AD375" i="1"/>
  <c r="AE416" i="1"/>
  <c r="AD148" i="1"/>
  <c r="AD401" i="1"/>
  <c r="AE80" i="1"/>
  <c r="AD419" i="1"/>
  <c r="AE42" i="1"/>
  <c r="AE183" i="1"/>
  <c r="AD370" i="1"/>
  <c r="AD547" i="1"/>
  <c r="AE76" i="1"/>
  <c r="AE134" i="1"/>
  <c r="AD214" i="1"/>
  <c r="AD350" i="1"/>
  <c r="AE249" i="1"/>
  <c r="AD53" i="1"/>
  <c r="AD493" i="1"/>
  <c r="AD272" i="1"/>
  <c r="AD164" i="1"/>
  <c r="AE265" i="1"/>
  <c r="AE479" i="1"/>
  <c r="AE226" i="1"/>
  <c r="AD420" i="1"/>
  <c r="AD103" i="1"/>
  <c r="AE264" i="1"/>
  <c r="AE171" i="1"/>
  <c r="AD488" i="1"/>
  <c r="AE581" i="1"/>
  <c r="AD233" i="1"/>
  <c r="AE258" i="1"/>
  <c r="AE84" i="1"/>
  <c r="AE327" i="1"/>
  <c r="AD143" i="1"/>
  <c r="AE449" i="1"/>
  <c r="AD324" i="1"/>
  <c r="AE215" i="1"/>
  <c r="AD249" i="1"/>
  <c r="AD257" i="1"/>
  <c r="AD292" i="1"/>
  <c r="AD253" i="1"/>
  <c r="AE404" i="1"/>
  <c r="AD74" i="1"/>
  <c r="AD128" i="1"/>
  <c r="AD414" i="1"/>
  <c r="AD186" i="1"/>
  <c r="AE589" i="1"/>
  <c r="AE49" i="1"/>
  <c r="AD389" i="1"/>
  <c r="AD555" i="1"/>
  <c r="AD289" i="1"/>
  <c r="AE407" i="1"/>
  <c r="AE95" i="1"/>
  <c r="AE406" i="1"/>
  <c r="AE477" i="1"/>
  <c r="AD276" i="1"/>
  <c r="AD200" i="1"/>
  <c r="AE153" i="1"/>
  <c r="AD213" i="1"/>
  <c r="AD215" i="1"/>
  <c r="AE342" i="1"/>
  <c r="AD468" i="1"/>
  <c r="AE91" i="1"/>
  <c r="AD584" i="1"/>
  <c r="AD160" i="1"/>
  <c r="AD296" i="1"/>
  <c r="AD265" i="1"/>
  <c r="AE100" i="1"/>
  <c r="AD208" i="1"/>
  <c r="AE354" i="1"/>
  <c r="AD435" i="1"/>
  <c r="AD415" i="1"/>
  <c r="AD116" i="1"/>
  <c r="AD427" i="1"/>
  <c r="AE85" i="1"/>
  <c r="AE555" i="1"/>
  <c r="AD317" i="1"/>
  <c r="AD198" i="1"/>
  <c r="AE180" i="1"/>
  <c r="AD599" i="1"/>
  <c r="AD523" i="1"/>
  <c r="AE222" i="1"/>
  <c r="AE155" i="1"/>
  <c r="AD506" i="1"/>
  <c r="AE121" i="1"/>
  <c r="AE214" i="1"/>
  <c r="AD453" i="1"/>
  <c r="AE137" i="1"/>
  <c r="AD39" i="1"/>
  <c r="AD349" i="1"/>
  <c r="AE470" i="1"/>
  <c r="AD123" i="1"/>
  <c r="AD348" i="1"/>
  <c r="AD50" i="1"/>
  <c r="AD426" i="1"/>
  <c r="AD110" i="1"/>
  <c r="AD209" i="1"/>
  <c r="AE210" i="1"/>
  <c r="AE123" i="1"/>
  <c r="AD191" i="1"/>
  <c r="AD377" i="1"/>
  <c r="AE99" i="1"/>
  <c r="AE333" i="1"/>
  <c r="AE65" i="1"/>
  <c r="AD307" i="1"/>
  <c r="AE217" i="1"/>
  <c r="AE107" i="1"/>
  <c r="AE325" i="1"/>
  <c r="AE460" i="1"/>
  <c r="AD332" i="1"/>
  <c r="AD81" i="1"/>
  <c r="AE465" i="1"/>
  <c r="AD321" i="1"/>
  <c r="AD602" i="1"/>
  <c r="AD76" i="1"/>
  <c r="AD444" i="1"/>
  <c r="AD465" i="1"/>
  <c r="AD479" i="1"/>
  <c r="AD457" i="1"/>
  <c r="AE495" i="1"/>
  <c r="AE278" i="1"/>
  <c r="AE377" i="1"/>
  <c r="AE386" i="1"/>
  <c r="AE559" i="1"/>
  <c r="AE117" i="1"/>
  <c r="AE111" i="1"/>
  <c r="AE366" i="1"/>
  <c r="AE347" i="1"/>
  <c r="AE415" i="1"/>
  <c r="AE140" i="1"/>
  <c r="AE566" i="1"/>
  <c r="AD378" i="1"/>
  <c r="AD333" i="1"/>
  <c r="AE326" i="1"/>
  <c r="AE151" i="1"/>
  <c r="AE511" i="1"/>
  <c r="AD455" i="1"/>
  <c r="AE308" i="1"/>
  <c r="AE451" i="1"/>
  <c r="AD42" i="1"/>
  <c r="AE341" i="1"/>
  <c r="AE198" i="1"/>
  <c r="AE508" i="1"/>
  <c r="AD424" i="1"/>
  <c r="AD439" i="1"/>
  <c r="AE466" i="1"/>
  <c r="AI612" i="1"/>
  <c r="AE56" i="1"/>
  <c r="AE46" i="1"/>
  <c r="AE310" i="1"/>
  <c r="AE209" i="1"/>
  <c r="AD232" i="1"/>
  <c r="AE443" i="1"/>
  <c r="AD203" i="1"/>
  <c r="AE303" i="1"/>
  <c r="AD406" i="1"/>
  <c r="AE112" i="1"/>
  <c r="AD43" i="1"/>
  <c r="AE141" i="1"/>
  <c r="AE128" i="1"/>
  <c r="AE81" i="1"/>
  <c r="AD87" i="1"/>
  <c r="AD220" i="1"/>
  <c r="AD290" i="1"/>
  <c r="AD383" i="1"/>
  <c r="AD353" i="1"/>
  <c r="AD167" i="1"/>
  <c r="AE607" i="1"/>
  <c r="AE287" i="1"/>
  <c r="AD407" i="1"/>
  <c r="AE197" i="1"/>
  <c r="AD67" i="1"/>
  <c r="AE229" i="1"/>
  <c r="AD388" i="1"/>
  <c r="AE461" i="1"/>
  <c r="AD162" i="1"/>
  <c r="AD130" i="1"/>
  <c r="AE203" i="1"/>
  <c r="AD46" i="1"/>
  <c r="AE431" i="1"/>
  <c r="AD334" i="1"/>
  <c r="AE474" i="1"/>
  <c r="AD32" i="1"/>
  <c r="AE159" i="1"/>
  <c r="AE330" i="1"/>
  <c r="AE323" i="1"/>
  <c r="AD71" i="1"/>
  <c r="AE175" i="1"/>
  <c r="AE493" i="1"/>
  <c r="AD62" i="1"/>
  <c r="AE600" i="1"/>
  <c r="AE277" i="1"/>
  <c r="AE240" i="1"/>
  <c r="AD33" i="1"/>
  <c r="AD605" i="1"/>
  <c r="AD367" i="1"/>
  <c r="AD477" i="1"/>
  <c r="AE464" i="1"/>
  <c r="AE284" i="1"/>
  <c r="AD409" i="1"/>
  <c r="AE423" i="1"/>
  <c r="AD366" i="1"/>
  <c r="AD604" i="1"/>
  <c r="AE136" i="1"/>
  <c r="AD325" i="1"/>
  <c r="AE316" i="1"/>
  <c r="AE247" i="1"/>
  <c r="AE597" i="1"/>
  <c r="AD202" i="1"/>
  <c r="AE413" i="1"/>
  <c r="AD449" i="1"/>
  <c r="AE34" i="1"/>
  <c r="AE242" i="1"/>
  <c r="AE360" i="1"/>
  <c r="AE245" i="1"/>
  <c r="AD56" i="1"/>
  <c r="AE259" i="1"/>
  <c r="AE353" i="1"/>
  <c r="AE592" i="1"/>
  <c r="AE161" i="1"/>
  <c r="AE74" i="1"/>
  <c r="AD566" i="1"/>
  <c r="AD278" i="1"/>
  <c r="AD156" i="1"/>
  <c r="AE104" i="1"/>
  <c r="AD464" i="1"/>
  <c r="AE82" i="1"/>
  <c r="AE202" i="1"/>
  <c r="AE317" i="1"/>
  <c r="AD165" i="1"/>
  <c r="AD443" i="1"/>
  <c r="AE290" i="1"/>
  <c r="AD84" i="1"/>
  <c r="AD85" i="1"/>
  <c r="AD475" i="1"/>
  <c r="AD79" i="1"/>
  <c r="AD594" i="1"/>
  <c r="AE269" i="1"/>
  <c r="AD137" i="1"/>
  <c r="AE441" i="1"/>
  <c r="AD284" i="1"/>
  <c r="AD136" i="1"/>
  <c r="AD295" i="1"/>
  <c r="AD133" i="1"/>
  <c r="AD470" i="1"/>
  <c r="AD68" i="1"/>
  <c r="AE364" i="1"/>
  <c r="AD248" i="1"/>
  <c r="AD147" i="1"/>
  <c r="AE283" i="1"/>
  <c r="AE50" i="1"/>
  <c r="AD240" i="1"/>
  <c r="AE196" i="1"/>
  <c r="AD97" i="1"/>
  <c r="AE523" i="1"/>
  <c r="AD447" i="1"/>
  <c r="AD490" i="1"/>
  <c r="AE149" i="1"/>
  <c r="AE152" i="1"/>
  <c r="AE270" i="1"/>
  <c r="AE79" i="1"/>
  <c r="AD107" i="1"/>
  <c r="AE154" i="1"/>
  <c r="AD207" i="1"/>
  <c r="AE225" i="1"/>
  <c r="AD456" i="1"/>
  <c r="AD86" i="1"/>
  <c r="AD277" i="1"/>
  <c r="AD335" i="1"/>
  <c r="AD132" i="1"/>
  <c r="AE97" i="1"/>
  <c r="AE253" i="1"/>
  <c r="AD283" i="1"/>
  <c r="AE185" i="1"/>
  <c r="AE129" i="1"/>
  <c r="AE595" i="1"/>
  <c r="AD438" i="1"/>
  <c r="AD326" i="1"/>
  <c r="AD229" i="1"/>
  <c r="AE488" i="1"/>
  <c r="AE338" i="1"/>
  <c r="AE60" i="1"/>
  <c r="AE403" i="1"/>
  <c r="AD340" i="1"/>
  <c r="AD88" i="1"/>
  <c r="AE131" i="1"/>
  <c r="AD175" i="1"/>
  <c r="AD391" i="1"/>
  <c r="AE232" i="1"/>
  <c r="AD364" i="1"/>
  <c r="AE272" i="1"/>
  <c r="AE118" i="1"/>
  <c r="AE439" i="1"/>
  <c r="AE419" i="1"/>
  <c r="AE447" i="1"/>
  <c r="AD115" i="1"/>
  <c r="AD234" i="1"/>
  <c r="AD305" i="1"/>
  <c r="AD144" i="1"/>
  <c r="AE208" i="1"/>
  <c r="A613" i="1"/>
  <c r="AE186" i="1"/>
  <c r="AD342" i="1"/>
  <c r="AE295" i="1"/>
  <c r="AE68" i="1"/>
  <c r="AE274" i="1"/>
  <c r="AE612" i="1"/>
  <c r="AD400" i="1"/>
  <c r="AE92" i="1"/>
  <c r="AD484" i="1"/>
  <c r="AE434" i="1"/>
  <c r="AE392" i="1"/>
  <c r="AE48" i="1"/>
  <c r="AE485" i="1"/>
  <c r="AD385" i="1"/>
  <c r="AE428" i="1"/>
  <c r="AE31" i="1"/>
  <c r="AD185" i="1"/>
  <c r="AD72" i="1"/>
  <c r="AD58" i="1"/>
  <c r="AD196" i="1"/>
  <c r="AE115" i="1"/>
  <c r="AD446" i="1"/>
  <c r="AD268" i="1"/>
  <c r="AE433" i="1"/>
  <c r="AD142" i="1"/>
  <c r="AH497" i="1"/>
  <c r="AD540" i="1"/>
  <c r="AE576" i="1"/>
  <c r="AE319" i="1"/>
  <c r="AD170" i="1"/>
  <c r="AD139" i="1"/>
  <c r="AE422" i="1"/>
  <c r="AD251" i="1"/>
  <c r="AD535" i="1"/>
  <c r="AE388" i="1"/>
  <c r="AE605" i="1"/>
  <c r="AE294" i="1"/>
  <c r="AE157" i="1"/>
  <c r="AE257" i="1"/>
  <c r="AD327" i="1"/>
  <c r="AE336" i="1"/>
  <c r="AE166" i="1"/>
  <c r="AD247" i="1"/>
  <c r="AE462" i="1"/>
  <c r="AE414" i="1"/>
  <c r="AE490" i="1"/>
  <c r="AD287" i="1"/>
  <c r="AD31" i="1"/>
  <c r="AE497" i="1"/>
  <c r="AE221" i="1"/>
  <c r="AE458" i="1"/>
  <c r="AD45" i="1"/>
  <c r="AD183" i="1"/>
  <c r="AE158" i="1"/>
  <c r="AE491" i="1"/>
  <c r="AD194" i="1"/>
  <c r="AE207" i="1"/>
  <c r="AD218" i="1"/>
  <c r="AD282" i="1"/>
  <c r="AE513" i="1"/>
  <c r="AE213" i="1"/>
  <c r="AD82" i="1"/>
  <c r="AE375" i="1"/>
  <c r="AD313" i="1"/>
  <c r="AE218" i="1"/>
  <c r="AE602" i="1"/>
  <c r="AD75" i="1"/>
  <c r="AD114" i="1"/>
  <c r="AE110" i="1"/>
  <c r="AE189" i="1"/>
  <c r="AD48" i="1"/>
  <c r="AD280" i="1"/>
  <c r="AE420" i="1"/>
  <c r="AD466" i="1"/>
  <c r="AE535" i="1"/>
  <c r="AD263" i="1"/>
  <c r="AD362" i="1"/>
  <c r="AE547" i="1"/>
  <c r="AD281" i="1"/>
  <c r="AD111" i="1"/>
  <c r="AE457" i="1"/>
  <c r="AE109" i="1"/>
  <c r="AE345" i="1"/>
  <c r="AE307" i="1"/>
  <c r="AE321" i="1"/>
  <c r="AD612" i="1"/>
  <c r="AE426" i="1"/>
  <c r="AE146" i="1"/>
  <c r="AD241" i="1"/>
  <c r="AD431" i="1"/>
  <c r="AD145" i="1"/>
  <c r="AE96" i="1"/>
  <c r="AD223" i="1"/>
  <c r="AD77" i="1"/>
  <c r="AE591" i="1"/>
  <c r="AE75" i="1"/>
  <c r="AD270" i="1"/>
  <c r="AD238" i="1"/>
  <c r="AE230" i="1"/>
  <c r="AE156" i="1"/>
  <c r="AD140" i="1"/>
  <c r="AD129" i="1"/>
  <c r="AE250" i="1"/>
  <c r="AE57" i="1"/>
  <c r="AE594" i="1"/>
  <c r="AE396" i="1"/>
  <c r="AD135" i="1"/>
  <c r="AE459" i="1"/>
  <c r="AE521" i="1"/>
  <c r="AD61" i="1"/>
  <c r="AD386" i="1"/>
  <c r="AE165" i="1"/>
  <c r="AD472" i="1"/>
  <c r="AE599" i="1"/>
  <c r="AD428" i="1"/>
  <c r="AD51" i="1"/>
  <c r="AE385" i="1"/>
  <c r="AD102" i="1"/>
  <c r="AE472" i="1"/>
  <c r="AD122" i="1"/>
  <c r="AD487" i="1"/>
  <c r="AD585" i="1"/>
  <c r="AE142" i="1"/>
  <c r="AE315" i="1"/>
  <c r="AE77" i="1"/>
  <c r="AE239" i="1"/>
  <c r="AE496" i="1"/>
  <c r="AD359" i="1"/>
  <c r="AD337" i="1"/>
  <c r="AD394" i="1"/>
  <c r="AE27" i="1"/>
  <c r="AD461" i="1"/>
  <c r="AD610" i="1"/>
  <c r="AD306" i="1"/>
  <c r="AD294" i="1"/>
  <c r="AD462" i="1"/>
  <c r="AE89" i="1"/>
  <c r="AE235" i="1"/>
  <c r="AE455" i="1"/>
  <c r="AE275" i="1"/>
  <c r="AD402" i="1"/>
  <c r="AE289" i="1"/>
  <c r="AD434" i="1"/>
  <c r="AE248" i="1"/>
  <c r="AD99" i="1"/>
  <c r="AE453" i="1"/>
  <c r="AE372" i="1"/>
  <c r="AE271" i="1"/>
  <c r="AE398" i="1"/>
  <c r="AE374" i="1"/>
  <c r="AE587" i="1"/>
  <c r="AE311" i="1"/>
  <c r="AE314" i="1"/>
  <c r="AD169" i="1"/>
  <c r="AD460" i="1"/>
  <c r="AE223" i="1"/>
  <c r="AD93" i="1"/>
  <c r="AE177" i="1"/>
  <c r="AD80" i="1"/>
  <c r="AE32" i="1"/>
  <c r="AE66" i="1"/>
  <c r="AD363" i="1"/>
  <c r="AD413" i="1"/>
  <c r="AD173" i="1"/>
  <c r="AD177" i="1"/>
  <c r="AE276" i="1"/>
  <c r="AD418" i="1"/>
  <c r="AE220" i="1"/>
  <c r="AE205" i="1"/>
  <c r="AD314" i="1"/>
  <c r="AD274" i="1"/>
  <c r="AE383" i="1"/>
  <c r="AD405" i="1"/>
  <c r="AE170" i="1"/>
  <c r="AD494" i="1"/>
  <c r="AE61" i="1"/>
  <c r="AE228" i="1"/>
  <c r="AE540" i="1"/>
  <c r="AD291" i="1"/>
  <c r="AD347" i="1"/>
  <c r="AE266" i="1"/>
  <c r="AD65" i="1"/>
  <c r="AE36" i="1"/>
  <c r="AD222" i="1"/>
  <c r="AD192" i="1"/>
  <c r="AE424" i="1"/>
  <c r="AE487" i="1"/>
  <c r="AE436" i="1"/>
  <c r="AE45" i="1"/>
  <c r="AE389" i="1"/>
  <c r="AE282" i="1"/>
  <c r="AD36" i="1"/>
  <c r="AE475" i="1"/>
  <c r="AD235" i="1"/>
  <c r="AE301" i="1"/>
  <c r="AD161" i="1"/>
  <c r="AD171" i="1"/>
  <c r="AD595" i="1"/>
  <c r="AD485" i="1"/>
  <c r="AD497" i="1"/>
  <c r="AD328" i="1"/>
  <c r="AE122" i="1"/>
  <c r="AD166" i="1"/>
  <c r="AD34" i="1"/>
  <c r="AD576" i="1"/>
  <c r="AD267" i="1"/>
  <c r="AD528" i="1"/>
  <c r="AE188" i="1"/>
  <c r="AE411" i="1"/>
  <c r="AE98" i="1"/>
  <c r="AD131" i="1"/>
  <c r="AD264" i="1"/>
  <c r="AD396" i="1"/>
  <c r="AD120" i="1"/>
  <c r="AE292" i="1"/>
  <c r="AE608" i="1"/>
  <c r="AE528" i="1"/>
  <c r="AD199" i="1"/>
  <c r="AE494" i="1"/>
  <c r="AD119" i="1"/>
  <c r="AE444" i="1"/>
  <c r="AE425" i="1"/>
  <c r="AE144" i="1"/>
  <c r="AD607" i="1"/>
  <c r="AE281" i="1"/>
  <c r="AE102" i="1"/>
  <c r="AE173" i="1"/>
  <c r="AE468" i="1"/>
  <c r="AD425" i="1"/>
  <c r="AD54" i="1"/>
  <c r="AD197" i="1"/>
  <c r="AE378" i="1"/>
  <c r="AE168" i="1"/>
  <c r="AE58" i="1"/>
  <c r="AD589" i="1"/>
  <c r="AD355" i="1"/>
  <c r="AE236" i="1"/>
  <c r="AE604" i="1"/>
  <c r="AE192" i="1"/>
  <c r="AE381" i="1"/>
  <c r="AD239" i="1"/>
  <c r="AE106" i="1"/>
  <c r="AE332" i="1"/>
  <c r="AD392" i="1"/>
  <c r="AD112" i="1"/>
  <c r="AD157" i="1"/>
  <c r="AE401" i="1"/>
  <c r="AD404" i="1"/>
  <c r="AE139" i="1"/>
  <c r="AD210" i="1"/>
  <c r="AE584" i="1"/>
  <c r="AE267" i="1"/>
  <c r="AE35" i="1"/>
  <c r="AE195" i="1"/>
  <c r="AD445" i="1"/>
  <c r="AE262" i="1"/>
  <c r="AD319" i="1"/>
  <c r="AE306" i="1"/>
  <c r="AE199" i="1"/>
  <c r="AD250" i="1"/>
  <c r="AD152" i="1"/>
  <c r="AD372" i="1"/>
  <c r="AD338" i="1"/>
  <c r="AD521" i="1"/>
  <c r="AD195" i="1"/>
  <c r="AE506" i="1"/>
  <c r="AE373" i="1"/>
  <c r="AD181" i="1"/>
  <c r="AD159" i="1"/>
  <c r="AE200" i="1"/>
  <c r="AD496" i="1"/>
  <c r="AD168" i="1"/>
  <c r="AD336" i="1"/>
  <c r="AD228" i="1"/>
  <c r="AE348" i="1"/>
  <c r="AD271" i="1"/>
  <c r="AD436" i="1"/>
  <c r="AD559" i="1"/>
  <c r="AE324" i="1"/>
  <c r="AE101" i="1"/>
  <c r="AE435" i="1"/>
  <c r="AE445" i="1"/>
  <c r="AD368" i="1"/>
  <c r="AE43" i="1"/>
  <c r="AE456" i="1"/>
  <c r="AD69" i="1"/>
  <c r="AJ497" i="1"/>
  <c r="AE167" i="1"/>
  <c r="AE438" i="1"/>
  <c r="AE70" i="1"/>
  <c r="AE442" i="1"/>
  <c r="AD458" i="1"/>
  <c r="A614" i="1"/>
  <c r="AU497" i="1" l="1"/>
  <c r="AW497" i="1" s="1"/>
  <c r="AL612" i="1"/>
  <c r="AU612" i="1"/>
  <c r="AW612" i="1" s="1"/>
  <c r="AJ499" i="1"/>
  <c r="AK499" i="1"/>
  <c r="AK498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C77" i="2"/>
  <c r="B65" i="2"/>
  <c r="H65" i="2"/>
  <c r="I77" i="2"/>
  <c r="F65" i="2"/>
  <c r="N64" i="2"/>
  <c r="AL501" i="1"/>
  <c r="AL500" i="1"/>
  <c r="A615" i="1"/>
  <c r="AD499" i="1"/>
  <c r="AE499" i="1"/>
  <c r="AH499" i="1"/>
  <c r="AV612" i="1" l="1"/>
  <c r="AV497" i="1"/>
  <c r="AH501" i="1"/>
  <c r="AJ501" i="1"/>
  <c r="AK501" i="1"/>
  <c r="AK500" i="1"/>
  <c r="AE501" i="1"/>
  <c r="AD501" i="1"/>
  <c r="AT501" i="1"/>
  <c r="E77" i="2"/>
  <c r="K77" i="2"/>
  <c r="L77" i="2"/>
  <c r="E65" i="2"/>
  <c r="L65" i="2"/>
  <c r="K65" i="2"/>
  <c r="M64" i="2"/>
  <c r="O64" i="2" s="1"/>
  <c r="P64" i="2" s="1"/>
  <c r="Q64" i="2" s="1"/>
  <c r="M62" i="2"/>
  <c r="O62" i="2" s="1"/>
  <c r="P62" i="2" s="1"/>
  <c r="Q62" i="2" s="1"/>
  <c r="A78" i="2"/>
  <c r="N65" i="2"/>
  <c r="N77" i="2"/>
  <c r="A67" i="2"/>
  <c r="AL502" i="1"/>
  <c r="A616" i="1"/>
  <c r="A617" i="1" s="1"/>
  <c r="A618" i="1" s="1"/>
  <c r="AH500" i="1"/>
  <c r="AJ500" i="1"/>
  <c r="AD500" i="1"/>
  <c r="AE500" i="1"/>
  <c r="A619" i="1"/>
  <c r="AJ502" i="1" l="1"/>
  <c r="AK503" i="1"/>
  <c r="AK502" i="1"/>
  <c r="AL503" i="1"/>
  <c r="M65" i="2"/>
  <c r="O65" i="2" s="1"/>
  <c r="P65" i="2" s="1"/>
  <c r="Q65" i="2" s="1"/>
  <c r="M77" i="2"/>
  <c r="O77" i="2" s="1"/>
  <c r="P77" i="2" s="1"/>
  <c r="Q77" i="2" s="1"/>
  <c r="R67" i="2"/>
  <c r="G67" i="2"/>
  <c r="G78" i="2"/>
  <c r="R78" i="2"/>
  <c r="H67" i="2"/>
  <c r="B67" i="2"/>
  <c r="B78" i="2"/>
  <c r="H78" i="2"/>
  <c r="A66" i="2"/>
  <c r="C67" i="2"/>
  <c r="I78" i="2"/>
  <c r="A68" i="2"/>
  <c r="F67" i="2"/>
  <c r="F78" i="2"/>
  <c r="I67" i="2"/>
  <c r="C78" i="2"/>
  <c r="AD503" i="1"/>
  <c r="AJ503" i="1"/>
  <c r="AE502" i="1"/>
  <c r="AH502" i="1"/>
  <c r="A620" i="1"/>
  <c r="AH503" i="1"/>
  <c r="AE503" i="1"/>
  <c r="AD502" i="1"/>
  <c r="B502" i="1" l="1"/>
  <c r="C502" i="1" s="1"/>
  <c r="G68" i="2"/>
  <c r="R68" i="2"/>
  <c r="E78" i="2"/>
  <c r="L78" i="2"/>
  <c r="K78" i="2"/>
  <c r="E67" i="2"/>
  <c r="L67" i="2"/>
  <c r="K67" i="2"/>
  <c r="G66" i="2"/>
  <c r="R66" i="2"/>
  <c r="B68" i="2"/>
  <c r="C66" i="2"/>
  <c r="A80" i="2"/>
  <c r="I68" i="2"/>
  <c r="F68" i="2"/>
  <c r="N67" i="2"/>
  <c r="I66" i="2"/>
  <c r="A69" i="2"/>
  <c r="F66" i="2"/>
  <c r="C68" i="2"/>
  <c r="H68" i="2"/>
  <c r="N78" i="2"/>
  <c r="B66" i="2"/>
  <c r="H66" i="2"/>
  <c r="AL504" i="1"/>
  <c r="AL505" i="1"/>
  <c r="J66" i="2"/>
  <c r="J78" i="2"/>
  <c r="J68" i="2"/>
  <c r="J67" i="2"/>
  <c r="J77" i="2"/>
  <c r="J65" i="2"/>
  <c r="A621" i="1"/>
  <c r="AK505" i="1" l="1"/>
  <c r="AK504" i="1"/>
  <c r="AJ505" i="1"/>
  <c r="AT505" i="1"/>
  <c r="AU501" i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F80" i="2"/>
  <c r="I69" i="2"/>
  <c r="B80" i="2"/>
  <c r="N68" i="2"/>
  <c r="A81" i="2"/>
  <c r="C80" i="2"/>
  <c r="J80" i="2"/>
  <c r="J69" i="2"/>
  <c r="A622" i="1"/>
  <c r="AH504" i="1"/>
  <c r="AE504" i="1"/>
  <c r="AD504" i="1"/>
  <c r="AJ504" i="1"/>
  <c r="AD505" i="1" l="1"/>
  <c r="AH505" i="1"/>
  <c r="AK507" i="1"/>
  <c r="AK506" i="1"/>
  <c r="B506" i="1" s="1"/>
  <c r="C506" i="1" s="1"/>
  <c r="AE505" i="1"/>
  <c r="AL507" i="1"/>
  <c r="AL508" i="1" s="1"/>
  <c r="AL509" i="1" s="1"/>
  <c r="AT507" i="1"/>
  <c r="AW501" i="1"/>
  <c r="AV501" i="1"/>
  <c r="AU505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H75" i="2"/>
  <c r="C75" i="2"/>
  <c r="N80" i="2"/>
  <c r="F81" i="2"/>
  <c r="F75" i="2"/>
  <c r="F76" i="2"/>
  <c r="B76" i="2"/>
  <c r="H76" i="2"/>
  <c r="N69" i="2"/>
  <c r="I76" i="2"/>
  <c r="A86" i="2"/>
  <c r="I81" i="2"/>
  <c r="B75" i="2"/>
  <c r="C81" i="2"/>
  <c r="I75" i="2"/>
  <c r="C76" i="2"/>
  <c r="J81" i="2"/>
  <c r="J76" i="2"/>
  <c r="J75" i="2"/>
  <c r="A623" i="1"/>
  <c r="AE507" i="1"/>
  <c r="AH507" i="1"/>
  <c r="AJ507" i="1"/>
  <c r="AD507" i="1"/>
  <c r="AK509" i="1" l="1"/>
  <c r="AK508" i="1"/>
  <c r="AT509" i="1"/>
  <c r="AU507" i="1"/>
  <c r="AV505" i="1"/>
  <c r="AW505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C87" i="2"/>
  <c r="C86" i="2"/>
  <c r="I86" i="2"/>
  <c r="B86" i="2"/>
  <c r="N81" i="2"/>
  <c r="A82" i="2"/>
  <c r="N76" i="2"/>
  <c r="AL510" i="1"/>
  <c r="AL511" i="1" s="1"/>
  <c r="J87" i="2"/>
  <c r="J86" i="2"/>
  <c r="AH509" i="1"/>
  <c r="AJ508" i="1"/>
  <c r="AE509" i="1"/>
  <c r="A624" i="1"/>
  <c r="AD509" i="1"/>
  <c r="AU508" i="1" l="1"/>
  <c r="AW508" i="1" s="1"/>
  <c r="AK511" i="1"/>
  <c r="AK510" i="1"/>
  <c r="AT510" i="1"/>
  <c r="AW507" i="1"/>
  <c r="AV507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H83" i="2"/>
  <c r="C82" i="2"/>
  <c r="A84" i="2"/>
  <c r="N87" i="2"/>
  <c r="I83" i="2"/>
  <c r="F83" i="2"/>
  <c r="C83" i="2"/>
  <c r="F82" i="2"/>
  <c r="B82" i="2"/>
  <c r="I82" i="2"/>
  <c r="N86" i="2"/>
  <c r="A85" i="2"/>
  <c r="H82" i="2"/>
  <c r="AJ509" i="1"/>
  <c r="AD510" i="1"/>
  <c r="A625" i="1"/>
  <c r="AH510" i="1"/>
  <c r="AE510" i="1"/>
  <c r="AU509" i="1" l="1"/>
  <c r="AW509" i="1" s="1"/>
  <c r="AV508" i="1"/>
  <c r="O81" i="2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F84" i="2"/>
  <c r="I85" i="2"/>
  <c r="F85" i="2"/>
  <c r="H85" i="2"/>
  <c r="C84" i="2"/>
  <c r="I84" i="2"/>
  <c r="H84" i="2"/>
  <c r="N83" i="2"/>
  <c r="A93" i="2"/>
  <c r="B85" i="2"/>
  <c r="C85" i="2"/>
  <c r="N82" i="2"/>
  <c r="AL512" i="1"/>
  <c r="AL513" i="1" s="1"/>
  <c r="AL514" i="1" s="1"/>
  <c r="AL515" i="1" s="1"/>
  <c r="AL516" i="1"/>
  <c r="AL517" i="1"/>
  <c r="AL518" i="1" s="1"/>
  <c r="AL519" i="1" s="1"/>
  <c r="AL520" i="1" s="1"/>
  <c r="AL521" i="1" s="1"/>
  <c r="AL522" i="1"/>
  <c r="AL524" i="1"/>
  <c r="AL525" i="1" s="1"/>
  <c r="AL526" i="1" s="1"/>
  <c r="AL527" i="1" s="1"/>
  <c r="AL528" i="1" s="1"/>
  <c r="AL529" i="1" s="1"/>
  <c r="AL530" i="1" s="1"/>
  <c r="AL532" i="1"/>
  <c r="AL533" i="1"/>
  <c r="AL534" i="1"/>
  <c r="AL535" i="1" s="1"/>
  <c r="AL536" i="1" s="1"/>
  <c r="AL537" i="1"/>
  <c r="AL538" i="1"/>
  <c r="AL539" i="1"/>
  <c r="AL541" i="1"/>
  <c r="AL542" i="1"/>
  <c r="AL543" i="1"/>
  <c r="AL545" i="1"/>
  <c r="AL546" i="1"/>
  <c r="AL548" i="1"/>
  <c r="AL549" i="1"/>
  <c r="AL550" i="1"/>
  <c r="AL551" i="1"/>
  <c r="AL552" i="1" s="1"/>
  <c r="AL553" i="1" s="1"/>
  <c r="AL554" i="1" s="1"/>
  <c r="AL555" i="1" s="1"/>
  <c r="AL556" i="1" s="1"/>
  <c r="AL558" i="1"/>
  <c r="AL559" i="1" s="1"/>
  <c r="AL560" i="1" s="1"/>
  <c r="AL561" i="1" s="1"/>
  <c r="AL562" i="1" s="1"/>
  <c r="AL563" i="1" s="1"/>
  <c r="AL564" i="1" s="1"/>
  <c r="AL567" i="1"/>
  <c r="AL568" i="1"/>
  <c r="AL569" i="1"/>
  <c r="AL570" i="1" s="1"/>
  <c r="AL571" i="1"/>
  <c r="AL572" i="1"/>
  <c r="AL573" i="1" s="1"/>
  <c r="AL574" i="1" s="1"/>
  <c r="AL575" i="1" s="1"/>
  <c r="AL576" i="1" s="1"/>
  <c r="AL577" i="1" s="1"/>
  <c r="AL578" i="1" s="1"/>
  <c r="AL579" i="1" s="1"/>
  <c r="AL580" i="1"/>
  <c r="AL582" i="1"/>
  <c r="AL583" i="1"/>
  <c r="A626" i="1"/>
  <c r="AJ510" i="1"/>
  <c r="AV509" i="1" l="1"/>
  <c r="AJ572" i="1"/>
  <c r="AH568" i="1"/>
  <c r="AJ568" i="1"/>
  <c r="AJ558" i="1"/>
  <c r="AH550" i="1"/>
  <c r="AJ550" i="1"/>
  <c r="AH548" i="1"/>
  <c r="AJ548" i="1"/>
  <c r="AH546" i="1"/>
  <c r="AJ546" i="1"/>
  <c r="AJ545" i="1"/>
  <c r="AJ543" i="1"/>
  <c r="AH539" i="1"/>
  <c r="AJ539" i="1"/>
  <c r="AH537" i="1"/>
  <c r="AJ537" i="1"/>
  <c r="AH533" i="1"/>
  <c r="AJ533" i="1"/>
  <c r="AH516" i="1"/>
  <c r="AJ516" i="1"/>
  <c r="AH580" i="1"/>
  <c r="AJ580" i="1"/>
  <c r="AH583" i="1"/>
  <c r="AJ583" i="1"/>
  <c r="AH571" i="1"/>
  <c r="AJ571" i="1"/>
  <c r="AJ569" i="1"/>
  <c r="AJ551" i="1"/>
  <c r="AJ549" i="1"/>
  <c r="AH542" i="1"/>
  <c r="AJ542" i="1"/>
  <c r="AJ538" i="1"/>
  <c r="AJ534" i="1"/>
  <c r="AJ532" i="1"/>
  <c r="AH522" i="1"/>
  <c r="AJ522" i="1"/>
  <c r="AJ517" i="1"/>
  <c r="AE580" i="1"/>
  <c r="AD580" i="1"/>
  <c r="AE568" i="1"/>
  <c r="AD568" i="1"/>
  <c r="AE550" i="1"/>
  <c r="AD550" i="1"/>
  <c r="AE548" i="1"/>
  <c r="AD548" i="1"/>
  <c r="AE546" i="1"/>
  <c r="AD546" i="1"/>
  <c r="AE539" i="1"/>
  <c r="AD539" i="1"/>
  <c r="AE537" i="1"/>
  <c r="AD537" i="1"/>
  <c r="AE533" i="1"/>
  <c r="AD533" i="1"/>
  <c r="AE516" i="1"/>
  <c r="AD516" i="1"/>
  <c r="AD583" i="1"/>
  <c r="AE571" i="1"/>
  <c r="AD571" i="1"/>
  <c r="AE542" i="1"/>
  <c r="AD542" i="1"/>
  <c r="AE522" i="1"/>
  <c r="AD522" i="1"/>
  <c r="AE583" i="1"/>
  <c r="B72" i="1"/>
  <c r="C72" i="1" s="1"/>
  <c r="B64" i="1"/>
  <c r="C64" i="1" s="1"/>
  <c r="B76" i="1"/>
  <c r="C76" i="1" s="1"/>
  <c r="B91" i="1"/>
  <c r="C91" i="1" s="1"/>
  <c r="B125" i="1"/>
  <c r="C125" i="1" s="1"/>
  <c r="B60" i="1"/>
  <c r="C60" i="1" s="1"/>
  <c r="B54" i="1"/>
  <c r="C54" i="1" s="1"/>
  <c r="B56" i="1"/>
  <c r="C56" i="1" s="1"/>
  <c r="B52" i="1"/>
  <c r="C52" i="1" s="1"/>
  <c r="AT583" i="1"/>
  <c r="AT582" i="1"/>
  <c r="AT580" i="1"/>
  <c r="AT571" i="1"/>
  <c r="AT568" i="1"/>
  <c r="AT550" i="1"/>
  <c r="AT549" i="1"/>
  <c r="AT548" i="1"/>
  <c r="AT546" i="1"/>
  <c r="AT543" i="1"/>
  <c r="AT542" i="1"/>
  <c r="AT541" i="1"/>
  <c r="AT539" i="1"/>
  <c r="AT538" i="1"/>
  <c r="AT537" i="1"/>
  <c r="AT533" i="1"/>
  <c r="AT522" i="1"/>
  <c r="AT516" i="1"/>
  <c r="AT515" i="1"/>
  <c r="AT514" i="1"/>
  <c r="AT512" i="1"/>
  <c r="B370" i="1"/>
  <c r="C370" i="1" s="1"/>
  <c r="B237" i="1"/>
  <c r="C237" i="1" s="1"/>
  <c r="B337" i="1"/>
  <c r="C337" i="1" s="1"/>
  <c r="B443" i="1"/>
  <c r="C443" i="1" s="1"/>
  <c r="B63" i="1"/>
  <c r="C63" i="1" s="1"/>
  <c r="B225" i="1"/>
  <c r="C225" i="1" s="1"/>
  <c r="B14" i="1"/>
  <c r="C14" i="1" s="1"/>
  <c r="B80" i="1"/>
  <c r="C80" i="1" s="1"/>
  <c r="B129" i="1"/>
  <c r="C129" i="1" s="1"/>
  <c r="B353" i="1"/>
  <c r="C353" i="1" s="1"/>
  <c r="B306" i="1"/>
  <c r="C306" i="1" s="1"/>
  <c r="B85" i="1"/>
  <c r="C85" i="1" s="1"/>
  <c r="B499" i="1"/>
  <c r="C499" i="1" s="1"/>
  <c r="B494" i="1"/>
  <c r="C494" i="1" s="1"/>
  <c r="B251" i="1"/>
  <c r="C251" i="1" s="1"/>
  <c r="B205" i="1"/>
  <c r="C205" i="1" s="1"/>
  <c r="B489" i="1"/>
  <c r="C489" i="1" s="1"/>
  <c r="B70" i="1"/>
  <c r="C70" i="1" s="1"/>
  <c r="B464" i="1"/>
  <c r="C464" i="1" s="1"/>
  <c r="B483" i="1"/>
  <c r="C483" i="1" s="1"/>
  <c r="B471" i="1"/>
  <c r="C471" i="1" s="1"/>
  <c r="B386" i="1"/>
  <c r="C386" i="1" s="1"/>
  <c r="B106" i="1"/>
  <c r="C106" i="1" s="1"/>
  <c r="B437" i="1"/>
  <c r="C437" i="1" s="1"/>
  <c r="B201" i="1"/>
  <c r="C201" i="1" s="1"/>
  <c r="B295" i="1"/>
  <c r="C295" i="1" s="1"/>
  <c r="B428" i="1"/>
  <c r="C428" i="1" s="1"/>
  <c r="B155" i="1"/>
  <c r="C155" i="1" s="1"/>
  <c r="B77" i="1"/>
  <c r="C77" i="1" s="1"/>
  <c r="B30" i="1"/>
  <c r="C30" i="1" s="1"/>
  <c r="B61" i="1"/>
  <c r="C61" i="1" s="1"/>
  <c r="B257" i="1"/>
  <c r="C257" i="1" s="1"/>
  <c r="B38" i="1"/>
  <c r="C38" i="1" s="1"/>
  <c r="B165" i="1"/>
  <c r="C165" i="1" s="1"/>
  <c r="B159" i="1"/>
  <c r="C159" i="1" s="1"/>
  <c r="B378" i="1"/>
  <c r="C378" i="1" s="1"/>
  <c r="B57" i="1"/>
  <c r="C57" i="1" s="1"/>
  <c r="B418" i="1"/>
  <c r="C418" i="1" s="1"/>
  <c r="B268" i="1"/>
  <c r="C268" i="1" s="1"/>
  <c r="B42" i="1"/>
  <c r="C42" i="1" s="1"/>
  <c r="B287" i="1"/>
  <c r="C287" i="1" s="1"/>
  <c r="B276" i="1"/>
  <c r="C276" i="1" s="1"/>
  <c r="B103" i="1"/>
  <c r="C103" i="1" s="1"/>
  <c r="B304" i="1"/>
  <c r="C304" i="1" s="1"/>
  <c r="B348" i="1"/>
  <c r="C348" i="1" s="1"/>
  <c r="B476" i="1"/>
  <c r="C476" i="1" s="1"/>
  <c r="B302" i="1"/>
  <c r="C302" i="1" s="1"/>
  <c r="B220" i="1"/>
  <c r="C220" i="1" s="1"/>
  <c r="B101" i="1"/>
  <c r="C101" i="1" s="1"/>
  <c r="B136" i="1"/>
  <c r="C136" i="1" s="1"/>
  <c r="B131" i="1"/>
  <c r="C131" i="1" s="1"/>
  <c r="B141" i="1"/>
  <c r="C141" i="1" s="1"/>
  <c r="B421" i="1"/>
  <c r="C421" i="1" s="1"/>
  <c r="B357" i="1"/>
  <c r="C357" i="1" s="1"/>
  <c r="B241" i="1"/>
  <c r="C241" i="1" s="1"/>
  <c r="B98" i="1"/>
  <c r="C98" i="1" s="1"/>
  <c r="B217" i="1"/>
  <c r="C217" i="1" s="1"/>
  <c r="B146" i="1"/>
  <c r="C146" i="1" s="1"/>
  <c r="B35" i="1"/>
  <c r="C35" i="1" s="1"/>
  <c r="B213" i="1"/>
  <c r="C213" i="1" s="1"/>
  <c r="B47" i="1"/>
  <c r="C47" i="1" s="1"/>
  <c r="B320" i="1"/>
  <c r="C320" i="1" s="1"/>
  <c r="B507" i="1"/>
  <c r="C507" i="1" s="1"/>
  <c r="B68" i="1"/>
  <c r="C68" i="1" s="1"/>
  <c r="B497" i="1"/>
  <c r="C497" i="1" s="1"/>
  <c r="B10" i="1"/>
  <c r="C10" i="1" s="1"/>
  <c r="B473" i="1"/>
  <c r="C473" i="1" s="1"/>
  <c r="B138" i="1"/>
  <c r="C138" i="1" s="1"/>
  <c r="B153" i="1"/>
  <c r="C153" i="1" s="1"/>
  <c r="B176" i="1"/>
  <c r="C176" i="1" s="1"/>
  <c r="B300" i="1"/>
  <c r="C300" i="1" s="1"/>
  <c r="B351" i="1"/>
  <c r="C351" i="1" s="1"/>
  <c r="B51" i="1"/>
  <c r="C51" i="1" s="1"/>
  <c r="B451" i="1"/>
  <c r="C451" i="1" s="1"/>
  <c r="B53" i="1"/>
  <c r="C53" i="1" s="1"/>
  <c r="B397" i="1"/>
  <c r="C397" i="1" s="1"/>
  <c r="B282" i="1"/>
  <c r="C282" i="1" s="1"/>
  <c r="B188" i="1"/>
  <c r="C188" i="1" s="1"/>
  <c r="B150" i="1"/>
  <c r="C150" i="1" s="1"/>
  <c r="B466" i="1"/>
  <c r="C466" i="1" s="1"/>
  <c r="B209" i="1"/>
  <c r="C209" i="1" s="1"/>
  <c r="B108" i="1"/>
  <c r="C108" i="1" s="1"/>
  <c r="B360" i="1"/>
  <c r="C360" i="1" s="1"/>
  <c r="B333" i="1"/>
  <c r="C333" i="1" s="1"/>
  <c r="B343" i="1"/>
  <c r="C343" i="1" s="1"/>
  <c r="B410" i="1"/>
  <c r="C410" i="1" s="1"/>
  <c r="B55" i="1"/>
  <c r="C55" i="1" s="1"/>
  <c r="B509" i="1"/>
  <c r="C509" i="1" s="1"/>
  <c r="AU510" i="1"/>
  <c r="AW510" i="1" s="1"/>
  <c r="AV548" i="1"/>
  <c r="O87" i="2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I92" i="2"/>
  <c r="H92" i="2"/>
  <c r="B93" i="2"/>
  <c r="F93" i="2"/>
  <c r="I93" i="2"/>
  <c r="N84" i="2"/>
  <c r="F92" i="2"/>
  <c r="C92" i="2"/>
  <c r="H93" i="2"/>
  <c r="C93" i="2"/>
  <c r="N85" i="2"/>
  <c r="J88" i="2"/>
  <c r="J83" i="2"/>
  <c r="J92" i="2"/>
  <c r="J82" i="2"/>
  <c r="J85" i="2"/>
  <c r="J93" i="2"/>
  <c r="J84" i="2"/>
  <c r="A627" i="1"/>
  <c r="AE570" i="1"/>
  <c r="AD554" i="1"/>
  <c r="AH572" i="1"/>
  <c r="AJ518" i="1"/>
  <c r="A628" i="1"/>
  <c r="AH538" i="1"/>
  <c r="AD561" i="1"/>
  <c r="AD570" i="1"/>
  <c r="AE562" i="1"/>
  <c r="AH558" i="1"/>
  <c r="AJ541" i="1"/>
  <c r="AH570" i="1"/>
  <c r="AE517" i="1"/>
  <c r="AH575" i="1"/>
  <c r="AH512" i="1"/>
  <c r="AD575" i="1"/>
  <c r="AE529" i="1"/>
  <c r="AE569" i="1"/>
  <c r="AD551" i="1"/>
  <c r="AH551" i="1"/>
  <c r="AH569" i="1"/>
  <c r="AH545" i="1"/>
  <c r="AD556" i="1"/>
  <c r="AH520" i="1"/>
  <c r="AE514" i="1"/>
  <c r="AE534" i="1"/>
  <c r="AH579" i="1"/>
  <c r="AE527" i="1"/>
  <c r="AH527" i="1"/>
  <c r="AH552" i="1"/>
  <c r="AD526" i="1"/>
  <c r="AE558" i="1"/>
  <c r="AE556" i="1"/>
  <c r="AD577" i="1"/>
  <c r="AD524" i="1"/>
  <c r="AD564" i="1"/>
  <c r="AH530" i="1"/>
  <c r="AD563" i="1"/>
  <c r="AJ511" i="1"/>
  <c r="AE553" i="1"/>
  <c r="AE574" i="1"/>
  <c r="AD515" i="1"/>
  <c r="AJ567" i="1"/>
  <c r="AH517" i="1"/>
  <c r="AH573" i="1"/>
  <c r="AD532" i="1"/>
  <c r="AE551" i="1"/>
  <c r="AD514" i="1"/>
  <c r="AH524" i="1"/>
  <c r="AD569" i="1"/>
  <c r="AD543" i="1"/>
  <c r="AH534" i="1"/>
  <c r="AH532" i="1"/>
  <c r="AD536" i="1"/>
  <c r="AH515" i="1"/>
  <c r="AE564" i="1"/>
  <c r="AD553" i="1"/>
  <c r="AH549" i="1"/>
  <c r="AD529" i="1"/>
  <c r="AE577" i="1"/>
  <c r="AE532" i="1"/>
  <c r="AD518" i="1"/>
  <c r="AH556" i="1"/>
  <c r="AE572" i="1"/>
  <c r="AE515" i="1"/>
  <c r="AE567" i="1"/>
  <c r="AD573" i="1"/>
  <c r="AD562" i="1"/>
  <c r="AJ573" i="1"/>
  <c r="AE575" i="1"/>
  <c r="AH518" i="1"/>
  <c r="AE512" i="1"/>
  <c r="AE563" i="1"/>
  <c r="AD538" i="1"/>
  <c r="AH562" i="1"/>
  <c r="AH582" i="1"/>
  <c r="AE536" i="1"/>
  <c r="AH526" i="1"/>
  <c r="AD574" i="1"/>
  <c r="AH561" i="1"/>
  <c r="AH564" i="1"/>
  <c r="AH567" i="1"/>
  <c r="AJ535" i="1"/>
  <c r="AH553" i="1"/>
  <c r="AH519" i="1"/>
  <c r="AJ570" i="1"/>
  <c r="AJ552" i="1"/>
  <c r="AE538" i="1"/>
  <c r="AH577" i="1"/>
  <c r="AD567" i="1"/>
  <c r="AH514" i="1"/>
  <c r="AD519" i="1"/>
  <c r="AJ559" i="1"/>
  <c r="AJ524" i="1"/>
  <c r="AD572" i="1"/>
  <c r="AD520" i="1"/>
  <c r="AD512" i="1"/>
  <c r="AE526" i="1"/>
  <c r="AD578" i="1"/>
  <c r="AD541" i="1"/>
  <c r="AD549" i="1"/>
  <c r="AD545" i="1"/>
  <c r="AE560" i="1"/>
  <c r="AE530" i="1"/>
  <c r="AD517" i="1"/>
  <c r="AD530" i="1"/>
  <c r="AE545" i="1"/>
  <c r="AH543" i="1"/>
  <c r="AH578" i="1"/>
  <c r="AE519" i="1"/>
  <c r="AE554" i="1"/>
  <c r="AE524" i="1"/>
  <c r="AD582" i="1"/>
  <c r="AH560" i="1"/>
  <c r="AE541" i="1"/>
  <c r="AD552" i="1"/>
  <c r="AD534" i="1"/>
  <c r="AD579" i="1"/>
  <c r="AE552" i="1"/>
  <c r="AD560" i="1"/>
  <c r="AH563" i="1"/>
  <c r="AD527" i="1"/>
  <c r="AH541" i="1"/>
  <c r="AH529" i="1"/>
  <c r="AE579" i="1"/>
  <c r="AH554" i="1"/>
  <c r="AH574" i="1"/>
  <c r="AE549" i="1"/>
  <c r="AE582" i="1"/>
  <c r="AH536" i="1"/>
  <c r="AE520" i="1"/>
  <c r="AE573" i="1"/>
  <c r="AE518" i="1"/>
  <c r="AE578" i="1"/>
  <c r="AE543" i="1"/>
  <c r="AJ582" i="1"/>
  <c r="AE561" i="1"/>
  <c r="AD558" i="1"/>
  <c r="AU511" i="1" l="1"/>
  <c r="AW511" i="1" s="1"/>
  <c r="AV510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B610" i="1" s="1"/>
  <c r="C610" i="1" s="1"/>
  <c r="AK609" i="1"/>
  <c r="AK608" i="1"/>
  <c r="AK607" i="1"/>
  <c r="B607" i="1" s="1"/>
  <c r="C607" i="1" s="1"/>
  <c r="AK606" i="1"/>
  <c r="AK605" i="1"/>
  <c r="AK604" i="1"/>
  <c r="B604" i="1" s="1"/>
  <c r="C604" i="1" s="1"/>
  <c r="AK603" i="1"/>
  <c r="AK602" i="1"/>
  <c r="B602" i="1" s="1"/>
  <c r="C602" i="1" s="1"/>
  <c r="AK601" i="1"/>
  <c r="AK600" i="1"/>
  <c r="AK599" i="1"/>
  <c r="B599" i="1" s="1"/>
  <c r="C599" i="1" s="1"/>
  <c r="AK598" i="1"/>
  <c r="AK597" i="1"/>
  <c r="B597" i="1" s="1"/>
  <c r="C597" i="1" s="1"/>
  <c r="AK596" i="1"/>
  <c r="AK595" i="1"/>
  <c r="AK594" i="1"/>
  <c r="B594" i="1" s="1"/>
  <c r="C594" i="1" s="1"/>
  <c r="AK593" i="1"/>
  <c r="AK592" i="1"/>
  <c r="AK591" i="1"/>
  <c r="B591" i="1" s="1"/>
  <c r="C591" i="1" s="1"/>
  <c r="AK590" i="1"/>
  <c r="AK589" i="1"/>
  <c r="B589" i="1" s="1"/>
  <c r="C589" i="1" s="1"/>
  <c r="AK588" i="1"/>
  <c r="AK587" i="1"/>
  <c r="AK586" i="1"/>
  <c r="AK585" i="1"/>
  <c r="AK584" i="1"/>
  <c r="B584" i="1" s="1"/>
  <c r="C584" i="1" s="1"/>
  <c r="AK583" i="1"/>
  <c r="AK582" i="1"/>
  <c r="AK581" i="1"/>
  <c r="B581" i="1" s="1"/>
  <c r="C581" i="1" s="1"/>
  <c r="AK580" i="1"/>
  <c r="AK579" i="1"/>
  <c r="AK578" i="1"/>
  <c r="AK577" i="1"/>
  <c r="AK576" i="1"/>
  <c r="AK575" i="1"/>
  <c r="AK574" i="1"/>
  <c r="AK573" i="1"/>
  <c r="AK572" i="1"/>
  <c r="B572" i="1" s="1"/>
  <c r="C572" i="1" s="1"/>
  <c r="AK571" i="1"/>
  <c r="AK570" i="1"/>
  <c r="AK569" i="1"/>
  <c r="B569" i="1" s="1"/>
  <c r="C569" i="1" s="1"/>
  <c r="AK568" i="1"/>
  <c r="AK567" i="1"/>
  <c r="AK566" i="1"/>
  <c r="B566" i="1" s="1"/>
  <c r="C566" i="1" s="1"/>
  <c r="AK565" i="1"/>
  <c r="AK564" i="1"/>
  <c r="AK563" i="1"/>
  <c r="AK562" i="1"/>
  <c r="AK561" i="1"/>
  <c r="AK560" i="1"/>
  <c r="AK559" i="1"/>
  <c r="AK558" i="1"/>
  <c r="B558" i="1" s="1"/>
  <c r="C558" i="1" s="1"/>
  <c r="AK557" i="1"/>
  <c r="AK556" i="1"/>
  <c r="AK555" i="1"/>
  <c r="AK554" i="1"/>
  <c r="AK553" i="1"/>
  <c r="AK552" i="1"/>
  <c r="AK551" i="1"/>
  <c r="B551" i="1" s="1"/>
  <c r="C551" i="1" s="1"/>
  <c r="AK550" i="1"/>
  <c r="AK549" i="1"/>
  <c r="B549" i="1" s="1"/>
  <c r="C549" i="1" s="1"/>
  <c r="AK548" i="1"/>
  <c r="AK547" i="1"/>
  <c r="B547" i="1" s="1"/>
  <c r="C547" i="1" s="1"/>
  <c r="AK546" i="1"/>
  <c r="AK545" i="1"/>
  <c r="B545" i="1" s="1"/>
  <c r="C545" i="1" s="1"/>
  <c r="AK544" i="1"/>
  <c r="AK543" i="1"/>
  <c r="B543" i="1" s="1"/>
  <c r="C543" i="1" s="1"/>
  <c r="AK542" i="1"/>
  <c r="AK541" i="1"/>
  <c r="AK540" i="1"/>
  <c r="B540" i="1" s="1"/>
  <c r="C540" i="1" s="1"/>
  <c r="AK539" i="1"/>
  <c r="AK538" i="1"/>
  <c r="B538" i="1" s="1"/>
  <c r="C538" i="1" s="1"/>
  <c r="AK537" i="1"/>
  <c r="AK536" i="1"/>
  <c r="AK535" i="1"/>
  <c r="AK534" i="1"/>
  <c r="B534" i="1" s="1"/>
  <c r="C534" i="1" s="1"/>
  <c r="AK533" i="1"/>
  <c r="AK532" i="1"/>
  <c r="B532" i="1" s="1"/>
  <c r="C532" i="1" s="1"/>
  <c r="AK531" i="1"/>
  <c r="AK530" i="1"/>
  <c r="AK529" i="1"/>
  <c r="AK528" i="1"/>
  <c r="AK527" i="1"/>
  <c r="AK526" i="1"/>
  <c r="AK525" i="1"/>
  <c r="AK524" i="1"/>
  <c r="AK523" i="1"/>
  <c r="B523" i="1" s="1"/>
  <c r="C523" i="1" s="1"/>
  <c r="AK522" i="1"/>
  <c r="AK521" i="1"/>
  <c r="AK520" i="1"/>
  <c r="AK519" i="1"/>
  <c r="AK518" i="1"/>
  <c r="AK517" i="1"/>
  <c r="B517" i="1" s="1"/>
  <c r="C517" i="1" s="1"/>
  <c r="AK516" i="1"/>
  <c r="AK515" i="1"/>
  <c r="AK514" i="1"/>
  <c r="AK513" i="1"/>
  <c r="AK512" i="1"/>
  <c r="AU522" i="1"/>
  <c r="AW522" i="1" s="1"/>
  <c r="AU541" i="1"/>
  <c r="AW541" i="1" s="1"/>
  <c r="AU548" i="1"/>
  <c r="AW548" i="1" s="1"/>
  <c r="AU582" i="1"/>
  <c r="B512" i="1"/>
  <c r="C512" i="1" s="1"/>
  <c r="B522" i="1"/>
  <c r="C522" i="1" s="1"/>
  <c r="B529" i="1"/>
  <c r="C529" i="1" s="1"/>
  <c r="AU537" i="1"/>
  <c r="AW537" i="1" s="1"/>
  <c r="B541" i="1"/>
  <c r="C541" i="1" s="1"/>
  <c r="AU550" i="1"/>
  <c r="AW550" i="1" s="1"/>
  <c r="B556" i="1"/>
  <c r="C556" i="1" s="1"/>
  <c r="B560" i="1"/>
  <c r="C560" i="1" s="1"/>
  <c r="B567" i="1"/>
  <c r="C567" i="1" s="1"/>
  <c r="AU583" i="1"/>
  <c r="AW583" i="1" s="1"/>
  <c r="B514" i="1"/>
  <c r="C514" i="1" s="1"/>
  <c r="B524" i="1"/>
  <c r="C524" i="1" s="1"/>
  <c r="B526" i="1"/>
  <c r="C526" i="1" s="1"/>
  <c r="AU533" i="1"/>
  <c r="AW533" i="1" s="1"/>
  <c r="B536" i="1"/>
  <c r="C536" i="1" s="1"/>
  <c r="AU542" i="1"/>
  <c r="AW542" i="1" s="1"/>
  <c r="AU546" i="1"/>
  <c r="AW546" i="1" s="1"/>
  <c r="B548" i="1"/>
  <c r="C548" i="1" s="1"/>
  <c r="AU549" i="1"/>
  <c r="AW549" i="1" s="1"/>
  <c r="AU568" i="1"/>
  <c r="AW568" i="1" s="1"/>
  <c r="B577" i="1"/>
  <c r="C577" i="1" s="1"/>
  <c r="B582" i="1"/>
  <c r="C582" i="1" s="1"/>
  <c r="AV583" i="1"/>
  <c r="AV546" i="1"/>
  <c r="AV537" i="1"/>
  <c r="AV522" i="1"/>
  <c r="AV533" i="1"/>
  <c r="AV542" i="1"/>
  <c r="AV568" i="1"/>
  <c r="AV550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H88" i="2"/>
  <c r="F88" i="2"/>
  <c r="I88" i="2"/>
  <c r="C88" i="2"/>
  <c r="F89" i="2"/>
  <c r="B89" i="2"/>
  <c r="H89" i="2"/>
  <c r="I89" i="2"/>
  <c r="C89" i="2"/>
  <c r="N92" i="2"/>
  <c r="F90" i="2"/>
  <c r="C90" i="2"/>
  <c r="I90" i="2"/>
  <c r="H90" i="2"/>
  <c r="B90" i="2"/>
  <c r="N93" i="2"/>
  <c r="J90" i="2"/>
  <c r="J89" i="2"/>
  <c r="J70" i="2"/>
  <c r="AJ512" i="1"/>
  <c r="AJ553" i="1"/>
  <c r="AJ560" i="1"/>
  <c r="AJ513" i="1"/>
  <c r="AJ574" i="1"/>
  <c r="AJ536" i="1"/>
  <c r="AJ514" i="1"/>
  <c r="AJ519" i="1"/>
  <c r="AJ525" i="1"/>
  <c r="A629" i="1"/>
  <c r="AU512" i="1" l="1"/>
  <c r="AW512" i="1" s="1"/>
  <c r="AV511" i="1"/>
  <c r="AK629" i="1"/>
  <c r="AV549" i="1"/>
  <c r="AV541" i="1"/>
  <c r="AU514" i="1"/>
  <c r="AW514" i="1" s="1"/>
  <c r="AU513" i="1"/>
  <c r="AV513" i="1" s="1"/>
  <c r="AW582" i="1"/>
  <c r="AV582" i="1"/>
  <c r="AU543" i="1"/>
  <c r="AU516" i="1"/>
  <c r="AU538" i="1"/>
  <c r="AU580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C74" i="2"/>
  <c r="H74" i="2"/>
  <c r="B74" i="2"/>
  <c r="F74" i="2"/>
  <c r="I74" i="2"/>
  <c r="N88" i="2"/>
  <c r="N89" i="2"/>
  <c r="N90" i="2"/>
  <c r="J74" i="2"/>
  <c r="J71" i="2"/>
  <c r="A630" i="1"/>
  <c r="A631" i="1"/>
  <c r="AJ554" i="1"/>
  <c r="AJ520" i="1"/>
  <c r="AJ515" i="1"/>
  <c r="AJ575" i="1"/>
  <c r="AJ561" i="1"/>
  <c r="AJ526" i="1"/>
  <c r="AV512" i="1" l="1"/>
  <c r="AK631" i="1"/>
  <c r="AK630" i="1"/>
  <c r="AW513" i="1"/>
  <c r="AV514" i="1"/>
  <c r="AU515" i="1"/>
  <c r="AU539" i="1"/>
  <c r="AU571" i="1"/>
  <c r="AW580" i="1"/>
  <c r="AV580" i="1"/>
  <c r="AW538" i="1"/>
  <c r="AV538" i="1"/>
  <c r="AW516" i="1"/>
  <c r="AV516" i="1"/>
  <c r="AW543" i="1"/>
  <c r="AV543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B73" i="2"/>
  <c r="F73" i="2"/>
  <c r="H73" i="2"/>
  <c r="I73" i="2"/>
  <c r="C73" i="2"/>
  <c r="N70" i="2"/>
  <c r="N74" i="2"/>
  <c r="J73" i="2"/>
  <c r="J91" i="2"/>
  <c r="AJ521" i="1"/>
  <c r="AJ576" i="1"/>
  <c r="AJ555" i="1"/>
  <c r="A632" i="1"/>
  <c r="A633" i="1"/>
  <c r="A634" i="1" s="1"/>
  <c r="AJ562" i="1"/>
  <c r="AJ527" i="1"/>
  <c r="AK632" i="1" l="1"/>
  <c r="AK634" i="1"/>
  <c r="AK633" i="1"/>
  <c r="AW515" i="1"/>
  <c r="AV515" i="1"/>
  <c r="AW571" i="1"/>
  <c r="AV571" i="1"/>
  <c r="AW539" i="1"/>
  <c r="AV539" i="1"/>
  <c r="G91" i="2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B72" i="2"/>
  <c r="I72" i="2"/>
  <c r="H72" i="2"/>
  <c r="C72" i="2"/>
  <c r="F72" i="2"/>
  <c r="N71" i="2"/>
  <c r="N73" i="2"/>
  <c r="J72" i="2"/>
  <c r="A2" i="2"/>
  <c r="A635" i="1"/>
  <c r="AJ556" i="1"/>
  <c r="A636" i="1"/>
  <c r="AJ563" i="1"/>
  <c r="AJ577" i="1"/>
  <c r="AJ528" i="1"/>
  <c r="AK635" i="1" l="1"/>
  <c r="AK636" i="1"/>
  <c r="E91" i="2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I2" i="2"/>
  <c r="F2" i="2"/>
  <c r="J2" i="2"/>
  <c r="B2" i="2"/>
  <c r="H2" i="2"/>
  <c r="A637" i="1"/>
  <c r="AJ578" i="1"/>
  <c r="A638" i="1"/>
  <c r="AJ564" i="1"/>
  <c r="AJ529" i="1"/>
  <c r="A639" i="1"/>
  <c r="AK637" i="1" l="1"/>
  <c r="AK638" i="1"/>
  <c r="AK639" i="1"/>
  <c r="M91" i="2"/>
  <c r="O91" i="2" s="1"/>
  <c r="P91" i="2" s="1"/>
  <c r="Q91" i="2" s="1"/>
  <c r="M72" i="2"/>
  <c r="O72" i="2" s="1"/>
  <c r="P72" i="2" s="1"/>
  <c r="Q72" i="2" s="1"/>
  <c r="A640" i="1"/>
  <c r="AJ530" i="1"/>
  <c r="AJ579" i="1"/>
  <c r="AK640" i="1" l="1"/>
  <c r="A641" i="1"/>
  <c r="AK641" i="1" l="1"/>
  <c r="A642" i="1"/>
  <c r="AK642" i="1" l="1"/>
  <c r="A643" i="1"/>
  <c r="A644" i="1"/>
  <c r="AK643" i="1" l="1"/>
  <c r="AK644" i="1"/>
  <c r="A645" i="1"/>
  <c r="AK645" i="1" l="1"/>
  <c r="A646" i="1"/>
  <c r="AK646" i="1" l="1"/>
  <c r="A647" i="1"/>
  <c r="AK647" i="1" l="1"/>
  <c r="B3" i="14"/>
  <c r="A648" i="1"/>
  <c r="A649" i="1"/>
  <c r="A650" i="1"/>
  <c r="A651" i="1" s="1"/>
  <c r="A652" i="1" s="1"/>
  <c r="AK649" i="1" l="1"/>
  <c r="AK648" i="1"/>
  <c r="AK650" i="1"/>
  <c r="AK651" i="1"/>
  <c r="AK652" i="1"/>
  <c r="E3" i="14"/>
  <c r="G3" i="14"/>
  <c r="D3" i="14"/>
  <c r="H3" i="14"/>
  <c r="C3" i="14"/>
  <c r="F3" i="14"/>
  <c r="B3" i="13"/>
  <c r="A653" i="1"/>
  <c r="A654" i="1"/>
  <c r="AK654" i="1" l="1"/>
  <c r="AK653" i="1"/>
  <c r="J3" i="14"/>
  <c r="A3" i="14"/>
  <c r="D3" i="13"/>
  <c r="G3" i="13"/>
  <c r="C3" i="13"/>
  <c r="H3" i="13"/>
  <c r="E3" i="13"/>
  <c r="F3" i="13"/>
  <c r="A655" i="1"/>
  <c r="AK655" i="1" l="1"/>
  <c r="A3" i="13"/>
  <c r="A656" i="1"/>
  <c r="A657" i="1"/>
  <c r="AK657" i="1" l="1"/>
  <c r="AK656" i="1"/>
  <c r="A658" i="1"/>
  <c r="A659" i="1"/>
  <c r="AK659" i="1" l="1"/>
  <c r="AK658" i="1"/>
  <c r="B4" i="7"/>
  <c r="A660" i="1"/>
  <c r="AK660" i="1" l="1"/>
  <c r="H4" i="7"/>
  <c r="D4" i="7"/>
  <c r="F4" i="7"/>
  <c r="E4" i="7"/>
  <c r="G4" i="7"/>
  <c r="C4" i="7"/>
  <c r="A661" i="1"/>
  <c r="A662" i="1"/>
  <c r="A663" i="1"/>
  <c r="AK662" i="1" l="1"/>
  <c r="AK661" i="1"/>
  <c r="AK663" i="1"/>
  <c r="J4" i="7"/>
  <c r="A4" i="7"/>
  <c r="A664" i="1"/>
  <c r="A665" i="1"/>
  <c r="A666" i="1"/>
  <c r="A667" i="1" s="1"/>
  <c r="AK665" i="1" l="1"/>
  <c r="AK664" i="1"/>
  <c r="AK666" i="1"/>
  <c r="AK667" i="1"/>
  <c r="A668" i="1"/>
  <c r="A669" i="1"/>
  <c r="AK668" i="1" l="1"/>
  <c r="AK669" i="1"/>
  <c r="A670" i="1"/>
  <c r="AK670" i="1" l="1"/>
  <c r="B3" i="11"/>
  <c r="A671" i="1"/>
  <c r="A672" i="1"/>
  <c r="A673" i="1"/>
  <c r="A674" i="1" s="1"/>
  <c r="A675" i="1" s="1"/>
  <c r="AK672" i="1" l="1"/>
  <c r="AK671" i="1"/>
  <c r="AK673" i="1"/>
  <c r="AK674" i="1"/>
  <c r="AK675" i="1"/>
  <c r="J3" i="11"/>
  <c r="C3" i="11"/>
  <c r="F3" i="11"/>
  <c r="E3" i="11"/>
  <c r="G3" i="11"/>
  <c r="H3" i="11"/>
  <c r="D3" i="11"/>
  <c r="A676" i="1"/>
  <c r="AK676" i="1" l="1"/>
  <c r="A3" i="11"/>
  <c r="I3" i="11"/>
  <c r="A677" i="1"/>
  <c r="A678" i="1" s="1"/>
  <c r="AK677" i="1" l="1"/>
  <c r="AK678" i="1"/>
  <c r="K3" i="11"/>
  <c r="A679" i="1"/>
  <c r="A680" i="1"/>
  <c r="AK679" i="1" l="1"/>
  <c r="AK680" i="1"/>
  <c r="L3" i="11"/>
  <c r="A681" i="1"/>
  <c r="A682" i="1" s="1"/>
  <c r="A683" i="1" s="1"/>
  <c r="AK682" i="1" l="1"/>
  <c r="AK681" i="1"/>
  <c r="AK683" i="1"/>
  <c r="M3" i="11"/>
  <c r="A684" i="1"/>
  <c r="A685" i="1"/>
  <c r="A686" i="1"/>
  <c r="AK684" i="1" l="1"/>
  <c r="AK685" i="1"/>
  <c r="AK686" i="1"/>
  <c r="A687" i="1"/>
  <c r="A688" i="1"/>
  <c r="AK687" i="1" l="1"/>
  <c r="AK688" i="1"/>
  <c r="A689" i="1"/>
  <c r="AK689" i="1" l="1"/>
  <c r="A690" i="1"/>
  <c r="AK690" i="1" l="1"/>
  <c r="A691" i="1"/>
  <c r="A692" i="1"/>
  <c r="A693" i="1"/>
  <c r="AK692" i="1" l="1"/>
  <c r="AK691" i="1"/>
  <c r="AK693" i="1"/>
  <c r="A694" i="1"/>
  <c r="AK694" i="1" l="1"/>
  <c r="A695" i="1"/>
  <c r="A696" i="1"/>
  <c r="A697" i="1"/>
  <c r="AK696" i="1" l="1"/>
  <c r="AK695" i="1"/>
  <c r="AK697" i="1"/>
  <c r="A698" i="1"/>
  <c r="AK698" i="1" l="1"/>
  <c r="A699" i="1"/>
  <c r="AK699" i="1" l="1"/>
  <c r="A700" i="1"/>
  <c r="AK700" i="1" l="1"/>
  <c r="AR384" i="1"/>
  <c r="AT384" i="1" s="1"/>
  <c r="AU384" i="1" s="1"/>
  <c r="AR478" i="1"/>
  <c r="AR339" i="1"/>
  <c r="AR412" i="1"/>
  <c r="AR382" i="1"/>
  <c r="AR469" i="1"/>
  <c r="AR440" i="1"/>
  <c r="AT440" i="1" s="1"/>
  <c r="AU440" i="1" s="1"/>
  <c r="AR399" i="1"/>
  <c r="AR343" i="1"/>
  <c r="AR437" i="1"/>
  <c r="AT437" i="1" s="1"/>
  <c r="AU437" i="1" s="1"/>
  <c r="AR492" i="1"/>
  <c r="AR476" i="1"/>
  <c r="AR410" i="1"/>
  <c r="AR471" i="1"/>
  <c r="AR393" i="1"/>
  <c r="AR172" i="1"/>
  <c r="AR467" i="1"/>
  <c r="AR397" i="1"/>
  <c r="AR246" i="1"/>
  <c r="AR190" i="1"/>
  <c r="AT190" i="1" s="1"/>
  <c r="AU190" i="1" s="1"/>
  <c r="AR231" i="1"/>
  <c r="AR138" i="1"/>
  <c r="AR125" i="1"/>
  <c r="AR64" i="1"/>
  <c r="AR252" i="1"/>
  <c r="AR302" i="1"/>
  <c r="AR83" i="1"/>
  <c r="AR28" i="1"/>
  <c r="AR486" i="1"/>
  <c r="AR408" i="1"/>
  <c r="AR480" i="1"/>
  <c r="AR390" i="1"/>
  <c r="AR358" i="1"/>
  <c r="AR489" i="1"/>
  <c r="AR473" i="1"/>
  <c r="AR395" i="1"/>
  <c r="AT395" i="1" s="1"/>
  <c r="AU395" i="1" s="1"/>
  <c r="AR387" i="1"/>
  <c r="AR371" i="1"/>
  <c r="AR346" i="1"/>
  <c r="AR452" i="1"/>
  <c r="AR182" i="1"/>
  <c r="AR429" i="1"/>
  <c r="AR483" i="1"/>
  <c r="AR421" i="1"/>
  <c r="AR261" i="1"/>
  <c r="AR176" i="1"/>
  <c r="AT176" i="1" s="1"/>
  <c r="AU176" i="1" s="1"/>
  <c r="AR297" i="1"/>
  <c r="AR243" i="1"/>
  <c r="AR227" i="1"/>
  <c r="AR201" i="1"/>
  <c r="AR331" i="1"/>
  <c r="AT331" i="1" s="1"/>
  <c r="AU331" i="1" s="1"/>
  <c r="AR206" i="1"/>
  <c r="AR150" i="1"/>
  <c r="AR322" i="1"/>
  <c r="AR304" i="1"/>
  <c r="AR30" i="1"/>
  <c r="AT30" i="1" s="1"/>
  <c r="AU30" i="1" s="1"/>
  <c r="AR108" i="1"/>
  <c r="AT108" i="1" s="1"/>
  <c r="AU108" i="1" s="1"/>
  <c r="AR288" i="1"/>
  <c r="AR184" i="1"/>
  <c r="AR312" i="1"/>
  <c r="AT312" i="1" s="1"/>
  <c r="AU312" i="1" s="1"/>
  <c r="AR273" i="1"/>
  <c r="AR211" i="1"/>
  <c r="AR163" i="1"/>
  <c r="AR174" i="1"/>
  <c r="AR178" i="1"/>
  <c r="AR193" i="1"/>
  <c r="AR113" i="1"/>
  <c r="AT113" i="1" s="1"/>
  <c r="AU113" i="1" s="1"/>
  <c r="AR73" i="1"/>
  <c r="AR55" i="1"/>
  <c r="AT55" i="1" s="1"/>
  <c r="AU55" i="1" s="1"/>
  <c r="AR94" i="1"/>
  <c r="AR26" i="1"/>
  <c r="B30" i="5"/>
  <c r="A701" i="1"/>
  <c r="A702" i="1"/>
  <c r="A703" i="1" s="1"/>
  <c r="AK701" i="1" l="1"/>
  <c r="AK702" i="1"/>
  <c r="AK703" i="1"/>
  <c r="AW55" i="1"/>
  <c r="AV55" i="1"/>
  <c r="AT183" i="1"/>
  <c r="AU183" i="1" s="1"/>
  <c r="AV183" i="1" s="1"/>
  <c r="AT214" i="1"/>
  <c r="AU214" i="1" s="1"/>
  <c r="AW214" i="1" s="1"/>
  <c r="AT273" i="1"/>
  <c r="AU273" i="1" s="1"/>
  <c r="AV273" i="1" s="1"/>
  <c r="AT206" i="1"/>
  <c r="AU206" i="1" s="1"/>
  <c r="AV206" i="1" s="1"/>
  <c r="AT201" i="1"/>
  <c r="AU201" i="1" s="1"/>
  <c r="AV201" i="1" s="1"/>
  <c r="AT217" i="1"/>
  <c r="AU217" i="1" s="1"/>
  <c r="AV217" i="1" s="1"/>
  <c r="AT251" i="1"/>
  <c r="AU251" i="1" s="1"/>
  <c r="AV251" i="1" s="1"/>
  <c r="AT261" i="1"/>
  <c r="AU261" i="1" s="1"/>
  <c r="AW261" i="1" s="1"/>
  <c r="AT371" i="1"/>
  <c r="AU371" i="1" s="1"/>
  <c r="AV371" i="1" s="1"/>
  <c r="AT387" i="1"/>
  <c r="AU387" i="1" s="1"/>
  <c r="AV387" i="1" s="1"/>
  <c r="AT390" i="1"/>
  <c r="AU390" i="1" s="1"/>
  <c r="AV390" i="1" s="1"/>
  <c r="AT392" i="1"/>
  <c r="AU392" i="1" s="1"/>
  <c r="AV392" i="1" s="1"/>
  <c r="AT83" i="1"/>
  <c r="AU83" i="1" s="1"/>
  <c r="AW83" i="1" s="1"/>
  <c r="AT198" i="1"/>
  <c r="AU198" i="1" s="1"/>
  <c r="AV198" i="1" s="1"/>
  <c r="AT215" i="1"/>
  <c r="AU215" i="1" s="1"/>
  <c r="AV215" i="1" s="1"/>
  <c r="AT252" i="1"/>
  <c r="AU252" i="1" s="1"/>
  <c r="AV252" i="1" s="1"/>
  <c r="AT192" i="1"/>
  <c r="AU192" i="1" s="1"/>
  <c r="AV192" i="1" s="1"/>
  <c r="AT213" i="1"/>
  <c r="AU213" i="1" s="1"/>
  <c r="AV213" i="1" s="1"/>
  <c r="AT218" i="1"/>
  <c r="AU218" i="1" s="1"/>
  <c r="AW218" i="1" s="1"/>
  <c r="AT383" i="1"/>
  <c r="AU383" i="1" s="1"/>
  <c r="AW383" i="1" s="1"/>
  <c r="AT180" i="1"/>
  <c r="AU180" i="1" s="1"/>
  <c r="AW180" i="1" s="1"/>
  <c r="AT382" i="1"/>
  <c r="AU382" i="1" s="1"/>
  <c r="AW382" i="1" s="1"/>
  <c r="AT26" i="1"/>
  <c r="AU26" i="1" s="1"/>
  <c r="AW26" i="1" s="1"/>
  <c r="AT73" i="1"/>
  <c r="AU73" i="1" s="1"/>
  <c r="AW73" i="1" s="1"/>
  <c r="AT193" i="1"/>
  <c r="AU193" i="1" s="1"/>
  <c r="AW193" i="1" s="1"/>
  <c r="AT178" i="1"/>
  <c r="AU178" i="1" s="1"/>
  <c r="AV178" i="1" s="1"/>
  <c r="AT174" i="1"/>
  <c r="AU174" i="1" s="1"/>
  <c r="AV174" i="1" s="1"/>
  <c r="AT191" i="1"/>
  <c r="AU191" i="1" s="1"/>
  <c r="AV191" i="1" s="1"/>
  <c r="AT211" i="1"/>
  <c r="AU211" i="1" s="1"/>
  <c r="AV211" i="1" s="1"/>
  <c r="AT184" i="1"/>
  <c r="AU184" i="1" s="1"/>
  <c r="AW184" i="1" s="1"/>
  <c r="AT210" i="1"/>
  <c r="AU210" i="1" s="1"/>
  <c r="AW210" i="1" s="1"/>
  <c r="AT27" i="1"/>
  <c r="AU27" i="1" s="1"/>
  <c r="AW27" i="1" s="1"/>
  <c r="AT189" i="1"/>
  <c r="AU189" i="1" s="1"/>
  <c r="AW189" i="1" s="1"/>
  <c r="AT185" i="1"/>
  <c r="AU185" i="1" s="1"/>
  <c r="AV185" i="1" s="1"/>
  <c r="AT209" i="1"/>
  <c r="AU209" i="1" s="1"/>
  <c r="AW209" i="1" s="1"/>
  <c r="AT243" i="1"/>
  <c r="AU243" i="1" s="1"/>
  <c r="AV243" i="1" s="1"/>
  <c r="AT202" i="1"/>
  <c r="AU202" i="1" s="1"/>
  <c r="AW202" i="1" s="1"/>
  <c r="AT181" i="1"/>
  <c r="AU181" i="1" s="1"/>
  <c r="AW181" i="1" s="1"/>
  <c r="AT28" i="1"/>
  <c r="AU28" i="1" s="1"/>
  <c r="AW28" i="1" s="1"/>
  <c r="AT207" i="1"/>
  <c r="AU207" i="1" s="1"/>
  <c r="AW207" i="1" s="1"/>
  <c r="AT186" i="1"/>
  <c r="AU186" i="1" s="1"/>
  <c r="AV186" i="1" s="1"/>
  <c r="AT194" i="1"/>
  <c r="AU194" i="1" s="1"/>
  <c r="AV194" i="1" s="1"/>
  <c r="AT173" i="1"/>
  <c r="AU173" i="1" s="1"/>
  <c r="AV173" i="1" s="1"/>
  <c r="AT244" i="1"/>
  <c r="AU244" i="1" s="1"/>
  <c r="AW244" i="1" s="1"/>
  <c r="AT246" i="1"/>
  <c r="AU246" i="1" s="1"/>
  <c r="AV246" i="1" s="1"/>
  <c r="AT172" i="1"/>
  <c r="AU172" i="1" s="1"/>
  <c r="AW172" i="1" s="1"/>
  <c r="AT393" i="1"/>
  <c r="AU393" i="1" s="1"/>
  <c r="AV393" i="1" s="1"/>
  <c r="AT179" i="1"/>
  <c r="AU179" i="1" s="1"/>
  <c r="AV179" i="1" s="1"/>
  <c r="AW113" i="1"/>
  <c r="AV113" i="1"/>
  <c r="AV312" i="1"/>
  <c r="AW312" i="1"/>
  <c r="AW108" i="1"/>
  <c r="AV108" i="1"/>
  <c r="AV176" i="1"/>
  <c r="AW176" i="1"/>
  <c r="AV395" i="1"/>
  <c r="AW395" i="1"/>
  <c r="AW437" i="1"/>
  <c r="AV437" i="1"/>
  <c r="AV440" i="1"/>
  <c r="AW440" i="1"/>
  <c r="AV30" i="1"/>
  <c r="AW30" i="1"/>
  <c r="AW331" i="1"/>
  <c r="AV331" i="1"/>
  <c r="AW190" i="1"/>
  <c r="AV190" i="1"/>
  <c r="AV384" i="1"/>
  <c r="AW384" i="1"/>
  <c r="C30" i="5"/>
  <c r="F30" i="5"/>
  <c r="H30" i="5"/>
  <c r="E30" i="5"/>
  <c r="D30" i="5"/>
  <c r="G30" i="5"/>
  <c r="A704" i="1"/>
  <c r="A705" i="1" s="1"/>
  <c r="AK704" i="1" l="1"/>
  <c r="AK705" i="1"/>
  <c r="AV184" i="1"/>
  <c r="J30" i="5"/>
  <c r="A30" i="5"/>
  <c r="AV209" i="1"/>
  <c r="AW243" i="1"/>
  <c r="AW185" i="1"/>
  <c r="AW183" i="1"/>
  <c r="AW371" i="1"/>
  <c r="AW246" i="1"/>
  <c r="AW201" i="1"/>
  <c r="AV383" i="1"/>
  <c r="AW252" i="1"/>
  <c r="AW179" i="1"/>
  <c r="AW194" i="1"/>
  <c r="AW390" i="1"/>
  <c r="AV261" i="1"/>
  <c r="AW217" i="1"/>
  <c r="AV214" i="1"/>
  <c r="AV26" i="1"/>
  <c r="AW192" i="1"/>
  <c r="AW198" i="1"/>
  <c r="AV181" i="1"/>
  <c r="AW174" i="1"/>
  <c r="AW393" i="1"/>
  <c r="AV244" i="1"/>
  <c r="AV207" i="1"/>
  <c r="AV382" i="1"/>
  <c r="AV218" i="1"/>
  <c r="AV210" i="1"/>
  <c r="AW211" i="1"/>
  <c r="AV193" i="1"/>
  <c r="AW173" i="1"/>
  <c r="AW392" i="1"/>
  <c r="AW206" i="1"/>
  <c r="AW273" i="1"/>
  <c r="AW213" i="1"/>
  <c r="AV83" i="1"/>
  <c r="AV27" i="1"/>
  <c r="AW178" i="1"/>
  <c r="AV172" i="1"/>
  <c r="AW186" i="1"/>
  <c r="AV28" i="1"/>
  <c r="AW387" i="1"/>
  <c r="AW251" i="1"/>
  <c r="AV180" i="1"/>
  <c r="AW215" i="1"/>
  <c r="AV202" i="1"/>
  <c r="AV189" i="1"/>
  <c r="AW191" i="1"/>
  <c r="AV73" i="1"/>
  <c r="A706" i="1"/>
  <c r="AK706" i="1" l="1"/>
  <c r="B3" i="4"/>
  <c r="A707" i="1"/>
  <c r="A708" i="1" s="1"/>
  <c r="AK707" i="1" l="1"/>
  <c r="AK708" i="1"/>
  <c r="F3" i="4"/>
  <c r="G3" i="4"/>
  <c r="E3" i="4"/>
  <c r="H3" i="4"/>
  <c r="C3" i="4"/>
  <c r="D3" i="4"/>
  <c r="A709" i="1"/>
  <c r="A710" i="1"/>
  <c r="AK709" i="1" l="1"/>
  <c r="AK710" i="1"/>
  <c r="A3" i="4"/>
  <c r="A711" i="1"/>
  <c r="A712" i="1" s="1"/>
  <c r="AK711" i="1" l="1"/>
  <c r="AK712" i="1"/>
  <c r="A713" i="1"/>
  <c r="A714" i="1"/>
  <c r="AK713" i="1" l="1"/>
  <c r="AK714" i="1"/>
  <c r="A715" i="1"/>
  <c r="A716" i="1"/>
  <c r="AK715" i="1" l="1"/>
  <c r="AK716" i="1"/>
  <c r="A717" i="1"/>
  <c r="AK717" i="1" l="1"/>
  <c r="C22" i="1"/>
  <c r="AR22" i="1"/>
  <c r="AS22" i="1"/>
  <c r="A718" i="1"/>
  <c r="A719" i="1"/>
  <c r="AK719" i="1" l="1"/>
  <c r="AK718" i="1"/>
  <c r="AK3" i="1"/>
  <c r="B3" i="1" s="1"/>
  <c r="AK13" i="1"/>
  <c r="B13" i="1" s="1"/>
  <c r="AK6" i="1"/>
  <c r="B6" i="1" s="1"/>
  <c r="AK18" i="1"/>
  <c r="B18" i="1" s="1"/>
  <c r="B36" i="1"/>
  <c r="C36" i="1" s="1"/>
  <c r="B32" i="1"/>
  <c r="C32" i="1" s="1"/>
  <c r="B27" i="1"/>
  <c r="C27" i="1" s="1"/>
  <c r="B24" i="1"/>
  <c r="C24" i="1" s="1"/>
  <c r="B49" i="1"/>
  <c r="C49" i="1" s="1"/>
  <c r="B33" i="1"/>
  <c r="C33" i="1" s="1"/>
  <c r="B28" i="1"/>
  <c r="C28" i="1" s="1"/>
  <c r="B45" i="1"/>
  <c r="C45" i="1" s="1"/>
  <c r="K2" i="2"/>
  <c r="E2" i="2"/>
  <c r="L2" i="2"/>
  <c r="C2" i="2"/>
  <c r="J3" i="4"/>
  <c r="I3" i="4"/>
  <c r="N2" i="2"/>
  <c r="A720" i="1"/>
  <c r="AE9" i="1"/>
  <c r="AE16" i="1"/>
  <c r="AD3" i="1"/>
  <c r="AJ22" i="1"/>
  <c r="AD13" i="1"/>
  <c r="AE15" i="1"/>
  <c r="AD10" i="1"/>
  <c r="AD7" i="1"/>
  <c r="AD25" i="1"/>
  <c r="AD11" i="1"/>
  <c r="AE11" i="1"/>
  <c r="AE18" i="1"/>
  <c r="AE6" i="1"/>
  <c r="AD9" i="1"/>
  <c r="AD24" i="1"/>
  <c r="AE14" i="1"/>
  <c r="AE7" i="1"/>
  <c r="AE8" i="1"/>
  <c r="AD18" i="1"/>
  <c r="AD8" i="1"/>
  <c r="AE21" i="1"/>
  <c r="AD14" i="1"/>
  <c r="AD4" i="1"/>
  <c r="AD21" i="1"/>
  <c r="AE13" i="1"/>
  <c r="AE3" i="1"/>
  <c r="AD22" i="1"/>
  <c r="AD6" i="1"/>
  <c r="AE4" i="1"/>
  <c r="AE22" i="1"/>
  <c r="AH22" i="1"/>
  <c r="AE24" i="1"/>
  <c r="AD16" i="1"/>
  <c r="AD15" i="1"/>
  <c r="AE25" i="1"/>
  <c r="AD19" i="1"/>
  <c r="AD20" i="1"/>
  <c r="AE20" i="1"/>
  <c r="AE19" i="1"/>
  <c r="AE10" i="1"/>
  <c r="A721" i="1"/>
  <c r="A722" i="1"/>
  <c r="A723" i="1" s="1"/>
  <c r="A724" i="1" s="1"/>
  <c r="AK721" i="1" l="1"/>
  <c r="AK720" i="1"/>
  <c r="AK722" i="1"/>
  <c r="AK724" i="1"/>
  <c r="AK723" i="1"/>
  <c r="K3" i="4"/>
  <c r="L3" i="4" s="1"/>
  <c r="M3" i="4" s="1"/>
  <c r="N3" i="4"/>
  <c r="C18" i="1"/>
  <c r="C13" i="1"/>
  <c r="M2" i="2"/>
  <c r="O2" i="2" s="1"/>
  <c r="P2" i="2" s="1"/>
  <c r="Q2" i="2" s="1"/>
  <c r="C6" i="1"/>
  <c r="C3" i="1"/>
  <c r="A725" i="1"/>
  <c r="A726" i="1"/>
  <c r="AK725" i="1" l="1"/>
  <c r="AK726" i="1"/>
  <c r="AL22" i="1"/>
  <c r="A727" i="1"/>
  <c r="AK727" i="1" l="1"/>
  <c r="A728" i="1"/>
  <c r="AK728" i="1" l="1"/>
  <c r="A729" i="1"/>
  <c r="AK729" i="1" l="1"/>
  <c r="A730" i="1"/>
  <c r="A731" i="1"/>
  <c r="A732" i="1"/>
  <c r="AK732" i="1" l="1"/>
  <c r="AK731" i="1"/>
  <c r="AK730" i="1"/>
  <c r="AG38" i="1"/>
  <c r="AF38" i="1" s="1"/>
  <c r="A733" i="1"/>
  <c r="A734" i="1"/>
  <c r="A735" i="1"/>
  <c r="A736" i="1"/>
  <c r="A737" i="1"/>
  <c r="A738" i="1"/>
  <c r="A739" i="1" s="1"/>
  <c r="AK737" i="1" l="1"/>
  <c r="AK736" i="1"/>
  <c r="AK735" i="1"/>
  <c r="AK734" i="1"/>
  <c r="AK733" i="1"/>
  <c r="AK738" i="1"/>
  <c r="AK739" i="1"/>
  <c r="AO38" i="1"/>
  <c r="AN38" i="1"/>
  <c r="Y38" i="1"/>
  <c r="Z38" i="1" s="1"/>
  <c r="A740" i="1"/>
  <c r="AK740" i="1" l="1"/>
  <c r="AA38" i="1"/>
  <c r="A741" i="1"/>
  <c r="A742" i="1"/>
  <c r="AK741" i="1" l="1"/>
  <c r="AK742" i="1"/>
  <c r="AB38" i="1"/>
  <c r="AC38" i="1" s="1"/>
  <c r="AE38" i="1"/>
  <c r="A743" i="1"/>
  <c r="AE40" i="1"/>
  <c r="AD40" i="1"/>
  <c r="AD38" i="1"/>
  <c r="AK743" i="1" l="1"/>
  <c r="A744" i="1"/>
  <c r="A745" i="1"/>
  <c r="A746" i="1"/>
  <c r="AK745" i="1" l="1"/>
  <c r="AK744" i="1"/>
  <c r="AK746" i="1"/>
  <c r="A747" i="1"/>
  <c r="A748" i="1" s="1"/>
  <c r="AK747" i="1" l="1"/>
  <c r="AK748" i="1"/>
  <c r="A749" i="1"/>
  <c r="AK749" i="1" l="1"/>
  <c r="A750" i="1"/>
  <c r="AK750" i="1" l="1"/>
  <c r="A751" i="1"/>
  <c r="AK751" i="1" l="1"/>
  <c r="A752" i="1"/>
  <c r="A753" i="1" s="1"/>
  <c r="AK752" i="1" l="1"/>
  <c r="AK753" i="1"/>
  <c r="A754" i="1"/>
  <c r="A755" i="1"/>
  <c r="AK754" i="1" l="1"/>
  <c r="AK755" i="1"/>
  <c r="A756" i="1"/>
  <c r="AK756" i="1" l="1"/>
  <c r="A757" i="1"/>
  <c r="AK757" i="1" l="1"/>
  <c r="A758" i="1"/>
  <c r="A759" i="1" s="1"/>
  <c r="A760" i="1"/>
  <c r="AK759" i="1" l="1"/>
  <c r="AK758" i="1"/>
  <c r="AK760" i="1"/>
  <c r="A761" i="1"/>
  <c r="A762" i="1"/>
  <c r="AK761" i="1" l="1"/>
  <c r="AK762" i="1"/>
  <c r="A763" i="1"/>
  <c r="A764" i="1"/>
  <c r="A765" i="1" s="1"/>
  <c r="AK764" i="1" l="1"/>
  <c r="AK763" i="1"/>
  <c r="AK765" i="1"/>
  <c r="A766" i="1"/>
  <c r="AK766" i="1" l="1"/>
  <c r="A767" i="1"/>
  <c r="AK767" i="1" l="1"/>
  <c r="A768" i="1"/>
  <c r="A769" i="1" s="1"/>
  <c r="AK768" i="1" l="1"/>
  <c r="AK769" i="1"/>
  <c r="A770" i="1"/>
  <c r="AK770" i="1" l="1"/>
  <c r="A771" i="1"/>
  <c r="A772" i="1" s="1"/>
  <c r="AK771" i="1" l="1"/>
  <c r="AK772" i="1"/>
  <c r="A773" i="1"/>
  <c r="A774" i="1"/>
  <c r="AK773" i="1" l="1"/>
  <c r="AK774" i="1"/>
  <c r="A775" i="1"/>
  <c r="AK775" i="1" l="1"/>
  <c r="A776" i="1"/>
  <c r="A777" i="1"/>
  <c r="A778" i="1"/>
  <c r="AK777" i="1" l="1"/>
  <c r="AK776" i="1"/>
  <c r="AK778" i="1"/>
  <c r="A779" i="1"/>
  <c r="A780" i="1" s="1"/>
  <c r="A781" i="1" s="1"/>
  <c r="AK780" i="1" l="1"/>
  <c r="AK779" i="1"/>
  <c r="AK781" i="1"/>
  <c r="A782" i="1"/>
  <c r="A783" i="1"/>
  <c r="AK782" i="1" l="1"/>
  <c r="AK783" i="1"/>
  <c r="A784" i="1"/>
  <c r="AK784" i="1" l="1"/>
  <c r="A785" i="1"/>
  <c r="A786" i="1" s="1"/>
  <c r="AK785" i="1" l="1"/>
  <c r="AK786" i="1"/>
  <c r="A787" i="1"/>
  <c r="A788" i="1"/>
  <c r="A789" i="1"/>
  <c r="AK788" i="1" l="1"/>
  <c r="AK787" i="1"/>
  <c r="AK789" i="1"/>
  <c r="A790" i="1"/>
  <c r="AK790" i="1" l="1"/>
  <c r="A791" i="1"/>
  <c r="A792" i="1" s="1"/>
  <c r="AK791" i="1" l="1"/>
  <c r="AK792" i="1"/>
  <c r="A793" i="1"/>
  <c r="A794" i="1"/>
  <c r="AK793" i="1" l="1"/>
  <c r="AK794" i="1"/>
  <c r="A795" i="1"/>
  <c r="AK795" i="1" l="1"/>
  <c r="A796" i="1"/>
  <c r="AK796" i="1" l="1"/>
  <c r="A797" i="1"/>
  <c r="A798" i="1"/>
  <c r="A799" i="1"/>
  <c r="AK799" i="1" l="1"/>
  <c r="AK798" i="1"/>
  <c r="AK797" i="1"/>
  <c r="A800" i="1"/>
  <c r="A801" i="1"/>
  <c r="AK801" i="1" l="1"/>
  <c r="AK800" i="1"/>
  <c r="A802" i="1"/>
  <c r="AK802" i="1" l="1"/>
  <c r="A803" i="1"/>
  <c r="A804" i="1"/>
  <c r="A805" i="1"/>
  <c r="A806" i="1"/>
  <c r="AK806" i="1" l="1"/>
  <c r="AK805" i="1"/>
  <c r="AK804" i="1"/>
  <c r="AK803" i="1"/>
  <c r="A807" i="1"/>
  <c r="A808" i="1"/>
  <c r="AK808" i="1" l="1"/>
  <c r="AK807" i="1"/>
  <c r="A809" i="1"/>
  <c r="A810" i="1"/>
  <c r="A811" i="1"/>
  <c r="A812" i="1"/>
  <c r="A813" i="1" s="1"/>
  <c r="AK811" i="1" l="1"/>
  <c r="AK810" i="1"/>
  <c r="AK809" i="1"/>
  <c r="AK813" i="1"/>
  <c r="AK812" i="1"/>
  <c r="A814" i="1"/>
  <c r="A815" i="1"/>
  <c r="AK815" i="1" l="1"/>
  <c r="AK814" i="1"/>
  <c r="A816" i="1"/>
  <c r="A817" i="1"/>
  <c r="AK817" i="1" l="1"/>
  <c r="AK816" i="1"/>
  <c r="A818" i="1"/>
  <c r="A819" i="1"/>
  <c r="AK818" i="1" l="1"/>
  <c r="AK819" i="1"/>
  <c r="A820" i="1"/>
  <c r="A821" i="1"/>
  <c r="AK821" i="1" l="1"/>
  <c r="AK820" i="1"/>
  <c r="A822" i="1"/>
  <c r="A823" i="1"/>
  <c r="AK823" i="1" l="1"/>
  <c r="AK822" i="1"/>
  <c r="A824" i="1"/>
  <c r="A825" i="1"/>
  <c r="AK825" i="1" l="1"/>
  <c r="AK824" i="1"/>
  <c r="A826" i="1"/>
  <c r="AK826" i="1" l="1"/>
  <c r="A827" i="1"/>
  <c r="A828" i="1" s="1"/>
  <c r="A829" i="1"/>
  <c r="AK829" i="1" l="1"/>
  <c r="AK828" i="1"/>
  <c r="AK827" i="1"/>
  <c r="A830" i="1"/>
  <c r="A831" i="1" s="1"/>
  <c r="AK831" i="1" l="1"/>
  <c r="AK830" i="1"/>
  <c r="A832" i="1"/>
  <c r="AK832" i="1" l="1"/>
  <c r="A833" i="1"/>
  <c r="A834" i="1" s="1"/>
  <c r="A835" i="1"/>
  <c r="A836" i="1" s="1"/>
  <c r="AK836" i="1" l="1"/>
  <c r="AK835" i="1"/>
  <c r="AK834" i="1"/>
  <c r="AK833" i="1"/>
  <c r="A837" i="1"/>
  <c r="A838" i="1"/>
  <c r="A839" i="1" s="1"/>
  <c r="A840" i="1"/>
  <c r="A841" i="1" s="1"/>
  <c r="A842" i="1" s="1"/>
  <c r="AK841" i="1" l="1"/>
  <c r="AK840" i="1"/>
  <c r="AK839" i="1"/>
  <c r="AK838" i="1"/>
  <c r="AK837" i="1"/>
  <c r="AK842" i="1"/>
  <c r="A843" i="1"/>
  <c r="AK843" i="1" l="1"/>
  <c r="A844" i="1"/>
  <c r="AK844" i="1" l="1"/>
  <c r="A845" i="1"/>
  <c r="AK845" i="1" l="1"/>
  <c r="A846" i="1"/>
  <c r="AK846" i="1" l="1"/>
  <c r="A847" i="1"/>
  <c r="AK847" i="1" l="1"/>
  <c r="A848" i="1"/>
  <c r="AK848" i="1" l="1"/>
  <c r="A849" i="1"/>
  <c r="AK849" i="1" l="1"/>
  <c r="A850" i="1"/>
  <c r="A851" i="1" s="1"/>
  <c r="AK850" i="1" l="1"/>
  <c r="AK851" i="1"/>
  <c r="A852" i="1"/>
  <c r="AK852" i="1" l="1"/>
  <c r="A853" i="1"/>
  <c r="AK853" i="1" l="1"/>
  <c r="A854" i="1"/>
  <c r="A855" i="1" s="1"/>
  <c r="AK854" i="1" l="1"/>
  <c r="AK855" i="1"/>
  <c r="A856" i="1"/>
  <c r="AK856" i="1" l="1"/>
  <c r="A857" i="1"/>
  <c r="AK857" i="1" l="1"/>
  <c r="A858" i="1"/>
  <c r="A859" i="1" s="1"/>
  <c r="AK858" i="1" l="1"/>
  <c r="AK859" i="1"/>
  <c r="A860" i="1"/>
  <c r="AK860" i="1" l="1"/>
  <c r="A861" i="1"/>
  <c r="AK861" i="1" l="1"/>
  <c r="A862" i="1"/>
  <c r="A863" i="1" s="1"/>
  <c r="AK862" i="1" l="1"/>
  <c r="AK863" i="1"/>
  <c r="A864" i="1"/>
  <c r="AK864" i="1" l="1"/>
  <c r="A865" i="1"/>
  <c r="AK865" i="1" l="1"/>
  <c r="A866" i="1"/>
  <c r="A867" i="1" s="1"/>
  <c r="AK866" i="1" l="1"/>
  <c r="AK867" i="1"/>
  <c r="A868" i="1"/>
  <c r="AK868" i="1" l="1"/>
  <c r="A869" i="1"/>
  <c r="AK869" i="1" l="1"/>
  <c r="A870" i="1"/>
  <c r="AK870" i="1" l="1"/>
  <c r="A871" i="1"/>
  <c r="A872" i="1"/>
  <c r="AK871" i="1" l="1"/>
  <c r="AK872" i="1"/>
  <c r="A873" i="1"/>
  <c r="AK873" i="1" l="1"/>
  <c r="A874" i="1"/>
  <c r="AK874" i="1" l="1"/>
  <c r="A875" i="1"/>
  <c r="A876" i="1"/>
  <c r="AK875" i="1" l="1"/>
  <c r="AK876" i="1"/>
  <c r="A877" i="1"/>
  <c r="AK877" i="1" l="1"/>
  <c r="A878" i="1"/>
  <c r="AK878" i="1" l="1"/>
  <c r="A879" i="1"/>
  <c r="A880" i="1"/>
  <c r="AK879" i="1" l="1"/>
  <c r="AK880" i="1"/>
  <c r="A881" i="1"/>
  <c r="AK881" i="1" l="1"/>
  <c r="A882" i="1"/>
  <c r="AK882" i="1" l="1"/>
  <c r="A883" i="1"/>
  <c r="A884" i="1"/>
  <c r="AK883" i="1" l="1"/>
  <c r="AK884" i="1"/>
  <c r="A885" i="1"/>
  <c r="AK885" i="1" l="1"/>
  <c r="A886" i="1"/>
  <c r="A887" i="1"/>
  <c r="AK886" i="1" l="1"/>
  <c r="AK887" i="1"/>
  <c r="A888" i="1"/>
  <c r="AK888" i="1" l="1"/>
  <c r="A889" i="1"/>
  <c r="AK889" i="1" l="1"/>
  <c r="A890" i="1"/>
  <c r="AK890" i="1" l="1"/>
  <c r="A891" i="1"/>
  <c r="A892" i="1"/>
  <c r="AK891" i="1" l="1"/>
  <c r="AK892" i="1"/>
  <c r="A893" i="1"/>
  <c r="AK893" i="1" l="1"/>
  <c r="A894" i="1"/>
  <c r="A895" i="1"/>
  <c r="AK894" i="1" l="1"/>
  <c r="AK895" i="1"/>
  <c r="A896" i="1"/>
  <c r="AK896" i="1" l="1"/>
  <c r="A897" i="1"/>
  <c r="AK897" i="1" l="1"/>
  <c r="A898" i="1"/>
  <c r="AK898" i="1" l="1"/>
  <c r="A899" i="1"/>
  <c r="A900" i="1"/>
  <c r="AK899" i="1" l="1"/>
  <c r="AK900" i="1"/>
  <c r="A901" i="1"/>
  <c r="AK901" i="1" l="1"/>
  <c r="A902" i="1"/>
  <c r="AK902" i="1" l="1"/>
  <c r="A903" i="1"/>
  <c r="A904" i="1"/>
  <c r="AK903" i="1" l="1"/>
  <c r="AK904" i="1"/>
  <c r="A905" i="1"/>
  <c r="AK905" i="1" l="1"/>
  <c r="A906" i="1"/>
  <c r="AK906" i="1" l="1"/>
  <c r="A907" i="1"/>
  <c r="A908" i="1"/>
  <c r="AK907" i="1" l="1"/>
  <c r="AK908" i="1"/>
  <c r="A909" i="1"/>
  <c r="AK909" i="1" l="1"/>
  <c r="A910" i="1"/>
  <c r="A911" i="1" s="1"/>
  <c r="AK910" i="1" l="1"/>
  <c r="AK911" i="1"/>
  <c r="A912" i="1"/>
  <c r="AK912" i="1" l="1"/>
  <c r="A913" i="1"/>
  <c r="AK913" i="1" l="1"/>
  <c r="A914" i="1"/>
  <c r="AK914" i="1" l="1"/>
  <c r="A915" i="1"/>
  <c r="A916" i="1"/>
  <c r="AK915" i="1" l="1"/>
  <c r="AK916" i="1"/>
  <c r="A917" i="1"/>
  <c r="AK917" i="1" l="1"/>
  <c r="A918" i="1"/>
  <c r="AK918" i="1" l="1"/>
  <c r="A919" i="1"/>
  <c r="A920" i="1"/>
  <c r="AK919" i="1" l="1"/>
  <c r="AK920" i="1"/>
  <c r="B1" i="3"/>
  <c r="B2" i="3" s="1"/>
  <c r="A3" i="2"/>
  <c r="A4" i="2"/>
  <c r="G4" i="2" l="1"/>
  <c r="R4" i="2"/>
  <c r="R3" i="2"/>
  <c r="G3" i="2"/>
  <c r="A5" i="2"/>
  <c r="F4" i="2"/>
  <c r="J4" i="2"/>
  <c r="B3" i="2"/>
  <c r="F3" i="2"/>
  <c r="I3" i="2"/>
  <c r="B4" i="2"/>
  <c r="H4" i="2"/>
  <c r="I4" i="2"/>
  <c r="C4" i="2"/>
  <c r="C3" i="2"/>
  <c r="A6" i="2"/>
  <c r="H3" i="2"/>
  <c r="J3" i="2"/>
  <c r="R5" i="2" l="1"/>
  <c r="G5" i="2"/>
  <c r="K3" i="2"/>
  <c r="E3" i="2"/>
  <c r="L3" i="2"/>
  <c r="L4" i="2"/>
  <c r="E4" i="2"/>
  <c r="K4" i="2"/>
  <c r="G6" i="2"/>
  <c r="R6" i="2"/>
  <c r="B4" i="4"/>
  <c r="J5" i="2"/>
  <c r="H6" i="2"/>
  <c r="C5" i="2"/>
  <c r="B5" i="2"/>
  <c r="F6" i="2"/>
  <c r="H5" i="2"/>
  <c r="B6" i="2"/>
  <c r="C6" i="2"/>
  <c r="A7" i="2"/>
  <c r="I5" i="2"/>
  <c r="B5" i="4"/>
  <c r="N3" i="2"/>
  <c r="I6" i="2"/>
  <c r="J6" i="2"/>
  <c r="N4" i="2"/>
  <c r="F5" i="2"/>
  <c r="M4" i="2" l="1"/>
  <c r="O4" i="2" s="1"/>
  <c r="P4" i="2" s="1"/>
  <c r="Q4" i="2" s="1"/>
  <c r="E5" i="2"/>
  <c r="K5" i="2"/>
  <c r="L5" i="2"/>
  <c r="M3" i="2"/>
  <c r="O3" i="2" s="1"/>
  <c r="P3" i="2" s="1"/>
  <c r="Q3" i="2" s="1"/>
  <c r="E6" i="2"/>
  <c r="L6" i="2"/>
  <c r="K6" i="2"/>
  <c r="G7" i="2"/>
  <c r="R7" i="2"/>
  <c r="H5" i="4"/>
  <c r="A8" i="2"/>
  <c r="D5" i="4"/>
  <c r="G4" i="4"/>
  <c r="B7" i="2"/>
  <c r="F4" i="4"/>
  <c r="N6" i="2"/>
  <c r="D4" i="4"/>
  <c r="J4" i="4"/>
  <c r="E5" i="4"/>
  <c r="F5" i="4"/>
  <c r="I7" i="2"/>
  <c r="I4" i="4"/>
  <c r="J7" i="2"/>
  <c r="C4" i="4"/>
  <c r="E4" i="4"/>
  <c r="H4" i="4"/>
  <c r="C7" i="2"/>
  <c r="J5" i="4"/>
  <c r="C5" i="4"/>
  <c r="G5" i="4"/>
  <c r="H7" i="2"/>
  <c r="B6" i="4"/>
  <c r="N5" i="2"/>
  <c r="I5" i="4"/>
  <c r="F7" i="2"/>
  <c r="M5" i="2" l="1"/>
  <c r="O5" i="2" s="1"/>
  <c r="P5" i="2" s="1"/>
  <c r="Q5" i="2" s="1"/>
  <c r="K4" i="4"/>
  <c r="A4" i="4"/>
  <c r="N4" i="4"/>
  <c r="K5" i="4"/>
  <c r="N5" i="4"/>
  <c r="A5" i="4"/>
  <c r="L4" i="4"/>
  <c r="R8" i="2"/>
  <c r="G8" i="2"/>
  <c r="E7" i="2"/>
  <c r="K7" i="2"/>
  <c r="L7" i="2"/>
  <c r="M6" i="2"/>
  <c r="O6" i="2" s="1"/>
  <c r="P6" i="2" s="1"/>
  <c r="Q6" i="2" s="1"/>
  <c r="B8" i="2"/>
  <c r="A9" i="2"/>
  <c r="G6" i="4"/>
  <c r="F8" i="2"/>
  <c r="F6" i="4"/>
  <c r="E6" i="4"/>
  <c r="D6" i="4"/>
  <c r="H6" i="4"/>
  <c r="I6" i="4"/>
  <c r="C6" i="4"/>
  <c r="C8" i="2"/>
  <c r="J6" i="4"/>
  <c r="B7" i="4"/>
  <c r="H8" i="2"/>
  <c r="J8" i="2"/>
  <c r="N7" i="2"/>
  <c r="I8" i="2"/>
  <c r="K6" i="4" l="1"/>
  <c r="N6" i="4"/>
  <c r="A6" i="4"/>
  <c r="L5" i="4"/>
  <c r="M4" i="4"/>
  <c r="G9" i="2"/>
  <c r="R9" i="2"/>
  <c r="E8" i="2"/>
  <c r="K8" i="2"/>
  <c r="L8" i="2"/>
  <c r="M7" i="2"/>
  <c r="O7" i="2" s="1"/>
  <c r="P7" i="2" s="1"/>
  <c r="Q7" i="2" s="1"/>
  <c r="B8" i="4"/>
  <c r="H7" i="4"/>
  <c r="N8" i="2"/>
  <c r="C9" i="2"/>
  <c r="F9" i="2"/>
  <c r="H9" i="2"/>
  <c r="J7" i="4"/>
  <c r="D7" i="4"/>
  <c r="B9" i="4"/>
  <c r="E7" i="4"/>
  <c r="J9" i="2"/>
  <c r="B9" i="2"/>
  <c r="G7" i="4"/>
  <c r="F7" i="4"/>
  <c r="C7" i="4"/>
  <c r="I7" i="4"/>
  <c r="I9" i="2"/>
  <c r="A10" i="2"/>
  <c r="A7" i="4" l="1"/>
  <c r="N7" i="4"/>
  <c r="K7" i="4"/>
  <c r="L6" i="4"/>
  <c r="M5" i="4"/>
  <c r="G10" i="2"/>
  <c r="R10" i="2"/>
  <c r="E9" i="2"/>
  <c r="K9" i="2"/>
  <c r="L9" i="2"/>
  <c r="L7" i="4"/>
  <c r="M8" i="2"/>
  <c r="O8" i="2" s="1"/>
  <c r="P8" i="2" s="1"/>
  <c r="Q8" i="2" s="1"/>
  <c r="I3" i="14"/>
  <c r="K3" i="14" s="1"/>
  <c r="C8" i="4"/>
  <c r="F8" i="4"/>
  <c r="I8" i="4"/>
  <c r="E8" i="4"/>
  <c r="I9" i="4"/>
  <c r="H9" i="4"/>
  <c r="C9" i="4"/>
  <c r="G9" i="4"/>
  <c r="B10" i="4"/>
  <c r="D9" i="4"/>
  <c r="J9" i="4"/>
  <c r="E9" i="4"/>
  <c r="F9" i="4"/>
  <c r="H10" i="2"/>
  <c r="I10" i="2"/>
  <c r="B10" i="2"/>
  <c r="N9" i="2"/>
  <c r="C10" i="2"/>
  <c r="J10" i="2"/>
  <c r="F10" i="2"/>
  <c r="A11" i="2"/>
  <c r="J8" i="4"/>
  <c r="H8" i="4"/>
  <c r="D8" i="4"/>
  <c r="G8" i="4"/>
  <c r="K8" i="4" l="1"/>
  <c r="L8" i="4" s="1"/>
  <c r="N8" i="4"/>
  <c r="A8" i="4"/>
  <c r="M6" i="4"/>
  <c r="G11" i="2"/>
  <c r="R11" i="2"/>
  <c r="E10" i="2"/>
  <c r="L10" i="2"/>
  <c r="K10" i="2"/>
  <c r="M9" i="2"/>
  <c r="O9" i="2" s="1"/>
  <c r="P9" i="2" s="1"/>
  <c r="Q9" i="2" s="1"/>
  <c r="K9" i="4"/>
  <c r="A9" i="4"/>
  <c r="N9" i="4"/>
  <c r="M7" i="4"/>
  <c r="L3" i="14"/>
  <c r="M3" i="14" s="1"/>
  <c r="I11" i="2"/>
  <c r="H11" i="2"/>
  <c r="J10" i="4"/>
  <c r="G10" i="4"/>
  <c r="C10" i="4"/>
  <c r="I10" i="4"/>
  <c r="E10" i="4"/>
  <c r="D10" i="4"/>
  <c r="B11" i="4"/>
  <c r="F10" i="4"/>
  <c r="C11" i="2"/>
  <c r="A12" i="2"/>
  <c r="N10" i="2"/>
  <c r="J11" i="2"/>
  <c r="F11" i="2"/>
  <c r="B11" i="2"/>
  <c r="H10" i="4"/>
  <c r="R12" i="2" l="1"/>
  <c r="G12" i="2"/>
  <c r="L11" i="2"/>
  <c r="K11" i="2"/>
  <c r="E11" i="2"/>
  <c r="M10" i="2"/>
  <c r="O10" i="2" s="1"/>
  <c r="P10" i="2" s="1"/>
  <c r="Q10" i="2" s="1"/>
  <c r="N10" i="4"/>
  <c r="A10" i="4"/>
  <c r="K10" i="4"/>
  <c r="M8" i="4"/>
  <c r="L9" i="4"/>
  <c r="A13" i="2"/>
  <c r="G11" i="4"/>
  <c r="N11" i="2"/>
  <c r="A14" i="2"/>
  <c r="J12" i="2"/>
  <c r="I12" i="2"/>
  <c r="I11" i="4"/>
  <c r="E11" i="4"/>
  <c r="F12" i="2"/>
  <c r="C12" i="2"/>
  <c r="B12" i="4"/>
  <c r="J11" i="4"/>
  <c r="D11" i="4"/>
  <c r="H12" i="2"/>
  <c r="C11" i="4"/>
  <c r="H11" i="4"/>
  <c r="F11" i="4"/>
  <c r="B12" i="2"/>
  <c r="E12" i="2" l="1"/>
  <c r="L12" i="2"/>
  <c r="K12" i="2"/>
  <c r="R13" i="2"/>
  <c r="G13" i="2"/>
  <c r="M11" i="2"/>
  <c r="O11" i="2" s="1"/>
  <c r="P11" i="2" s="1"/>
  <c r="Q11" i="2" s="1"/>
  <c r="A11" i="4"/>
  <c r="N11" i="4"/>
  <c r="K11" i="4"/>
  <c r="L10" i="4"/>
  <c r="M9" i="4"/>
  <c r="R14" i="2"/>
  <c r="G14" i="2"/>
  <c r="I13" i="2"/>
  <c r="J12" i="4"/>
  <c r="J13" i="2"/>
  <c r="E12" i="4"/>
  <c r="C12" i="4"/>
  <c r="G12" i="4"/>
  <c r="H12" i="4"/>
  <c r="I14" i="2"/>
  <c r="F13" i="2"/>
  <c r="F14" i="2"/>
  <c r="B14" i="2"/>
  <c r="B13" i="4"/>
  <c r="J14" i="2"/>
  <c r="A15" i="2"/>
  <c r="H13" i="2"/>
  <c r="H14" i="2"/>
  <c r="I12" i="4"/>
  <c r="N12" i="2"/>
  <c r="D12" i="4"/>
  <c r="C13" i="2"/>
  <c r="C14" i="2"/>
  <c r="B13" i="2"/>
  <c r="F12" i="4"/>
  <c r="M12" i="2" l="1"/>
  <c r="E13" i="2"/>
  <c r="K13" i="2"/>
  <c r="L13" i="2"/>
  <c r="O12" i="2"/>
  <c r="P12" i="2" s="1"/>
  <c r="Q12" i="2" s="1"/>
  <c r="K12" i="4"/>
  <c r="A12" i="4"/>
  <c r="N12" i="4"/>
  <c r="L11" i="4"/>
  <c r="L12" i="4"/>
  <c r="M10" i="4"/>
  <c r="E14" i="2"/>
  <c r="K14" i="2"/>
  <c r="L14" i="2"/>
  <c r="G15" i="2"/>
  <c r="R15" i="2"/>
  <c r="J13" i="4"/>
  <c r="H15" i="2"/>
  <c r="D13" i="4"/>
  <c r="B3" i="5"/>
  <c r="B15" i="2"/>
  <c r="N14" i="2"/>
  <c r="B14" i="4"/>
  <c r="N13" i="2"/>
  <c r="I13" i="4"/>
  <c r="F15" i="2"/>
  <c r="F13" i="4"/>
  <c r="I15" i="2"/>
  <c r="J15" i="2"/>
  <c r="C13" i="4"/>
  <c r="C15" i="2"/>
  <c r="E13" i="4"/>
  <c r="H13" i="4"/>
  <c r="G13" i="4"/>
  <c r="A16" i="2"/>
  <c r="G16" i="2" l="1"/>
  <c r="R16" i="2"/>
  <c r="K13" i="4"/>
  <c r="A13" i="4"/>
  <c r="N13" i="4"/>
  <c r="M13" i="2"/>
  <c r="O13" i="2" s="1"/>
  <c r="P13" i="2" s="1"/>
  <c r="Q13" i="2" s="1"/>
  <c r="M12" i="4"/>
  <c r="L13" i="4"/>
  <c r="M11" i="4"/>
  <c r="E15" i="2"/>
  <c r="L15" i="2"/>
  <c r="J5" i="13" s="1"/>
  <c r="K15" i="2"/>
  <c r="J3" i="5"/>
  <c r="M14" i="2"/>
  <c r="A4" i="10"/>
  <c r="I14" i="4"/>
  <c r="J14" i="4"/>
  <c r="C14" i="4"/>
  <c r="E14" i="4"/>
  <c r="F16" i="2"/>
  <c r="B4" i="5"/>
  <c r="G3" i="5"/>
  <c r="I16" i="2"/>
  <c r="H3" i="5"/>
  <c r="F3" i="5"/>
  <c r="J16" i="2"/>
  <c r="E3" i="5"/>
  <c r="C3" i="5"/>
  <c r="C16" i="2"/>
  <c r="B16" i="2"/>
  <c r="N15" i="2"/>
  <c r="D3" i="5"/>
  <c r="H16" i="2"/>
  <c r="F14" i="4"/>
  <c r="H14" i="4"/>
  <c r="D14" i="4"/>
  <c r="G14" i="4"/>
  <c r="A14" i="4" l="1"/>
  <c r="N14" i="4"/>
  <c r="K14" i="4"/>
  <c r="K16" i="2"/>
  <c r="E16" i="2"/>
  <c r="L16" i="2"/>
  <c r="J3" i="13" s="1"/>
  <c r="I3" i="13" s="1"/>
  <c r="L3" i="13" s="1"/>
  <c r="M3" i="13" s="1"/>
  <c r="N3" i="13" s="1"/>
  <c r="M13" i="4"/>
  <c r="M15" i="2"/>
  <c r="I4" i="5" s="1"/>
  <c r="J4" i="5"/>
  <c r="A3" i="5"/>
  <c r="I3" i="5"/>
  <c r="O14" i="2"/>
  <c r="P14" i="2" s="1"/>
  <c r="Q14" i="2" s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4" i="5"/>
  <c r="E4" i="5"/>
  <c r="F4" i="5"/>
  <c r="C4" i="5"/>
  <c r="N16" i="2"/>
  <c r="B5" i="5"/>
  <c r="H4" i="5"/>
  <c r="D4" i="5"/>
  <c r="L14" i="4" l="1"/>
  <c r="M16" i="2"/>
  <c r="O16" i="2" s="1"/>
  <c r="P16" i="2" s="1"/>
  <c r="Q16" i="2" s="1"/>
  <c r="J5" i="5"/>
  <c r="A4" i="5"/>
  <c r="O15" i="2"/>
  <c r="P15" i="2" s="1"/>
  <c r="Q15" i="2" s="1"/>
  <c r="K4" i="5"/>
  <c r="K3" i="5"/>
  <c r="I5" i="5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C5" i="5"/>
  <c r="F5" i="5"/>
  <c r="H5" i="5"/>
  <c r="E5" i="5"/>
  <c r="G5" i="5"/>
  <c r="D5" i="5"/>
  <c r="M14" i="4" l="1"/>
  <c r="A5" i="5"/>
  <c r="L4" i="5"/>
  <c r="K5" i="5"/>
  <c r="L3" i="5"/>
  <c r="L4" i="7"/>
  <c r="M4" i="7" s="1"/>
  <c r="M4" i="5" l="1"/>
  <c r="M3" i="5"/>
  <c r="L5" i="5"/>
  <c r="AU22" i="1"/>
  <c r="M5" i="5" l="1"/>
  <c r="AV22" i="1"/>
  <c r="AX22" i="1" l="1"/>
  <c r="AW22" i="1"/>
  <c r="A17" i="2"/>
  <c r="R17" i="2" l="1"/>
  <c r="I17" i="2"/>
  <c r="B17" i="2"/>
  <c r="F17" i="2"/>
  <c r="J17" i="2"/>
  <c r="C17" i="2"/>
  <c r="A18" i="2"/>
  <c r="K17" i="2" l="1"/>
  <c r="E17" i="2"/>
  <c r="L17" i="2"/>
  <c r="R18" i="2"/>
  <c r="G18" i="2"/>
  <c r="G17" i="2"/>
  <c r="A19" i="2"/>
  <c r="B18" i="2"/>
  <c r="N17" i="2"/>
  <c r="C18" i="2"/>
  <c r="I18" i="2"/>
  <c r="F18" i="2"/>
  <c r="H18" i="2"/>
  <c r="H17" i="2"/>
  <c r="B6" i="5"/>
  <c r="J18" i="2"/>
  <c r="G19" i="2" l="1"/>
  <c r="R19" i="2"/>
  <c r="E18" i="2"/>
  <c r="K18" i="2"/>
  <c r="L18" i="2"/>
  <c r="J6" i="5"/>
  <c r="M17" i="2"/>
  <c r="E6" i="5"/>
  <c r="C6" i="5"/>
  <c r="F6" i="5"/>
  <c r="C19" i="2"/>
  <c r="F19" i="2"/>
  <c r="B19" i="2"/>
  <c r="J19" i="2"/>
  <c r="I19" i="2"/>
  <c r="N18" i="2"/>
  <c r="H19" i="2"/>
  <c r="A20" i="2"/>
  <c r="G6" i="5"/>
  <c r="D6" i="5"/>
  <c r="H6" i="5"/>
  <c r="B7" i="5"/>
  <c r="A6" i="5" l="1"/>
  <c r="G20" i="2"/>
  <c r="R20" i="2"/>
  <c r="K19" i="2"/>
  <c r="E19" i="2"/>
  <c r="L19" i="2"/>
  <c r="J7" i="5"/>
  <c r="I6" i="5"/>
  <c r="O17" i="2"/>
  <c r="P17" i="2" s="1"/>
  <c r="Q17" i="2" s="1"/>
  <c r="M18" i="2"/>
  <c r="C7" i="5"/>
  <c r="H7" i="5"/>
  <c r="E7" i="5"/>
  <c r="A21" i="2"/>
  <c r="F20" i="2"/>
  <c r="N19" i="2"/>
  <c r="C20" i="2"/>
  <c r="J20" i="2"/>
  <c r="B20" i="2"/>
  <c r="I20" i="2"/>
  <c r="H20" i="2"/>
  <c r="B8" i="5"/>
  <c r="D7" i="5"/>
  <c r="G7" i="5"/>
  <c r="F7" i="5"/>
  <c r="G21" i="2" l="1"/>
  <c r="R21" i="2"/>
  <c r="L20" i="2"/>
  <c r="K20" i="2"/>
  <c r="E20" i="2"/>
  <c r="M19" i="2"/>
  <c r="O19" i="2" s="1"/>
  <c r="P19" i="2" s="1"/>
  <c r="Q19" i="2" s="1"/>
  <c r="A7" i="5"/>
  <c r="J8" i="5"/>
  <c r="I7" i="5"/>
  <c r="O18" i="2"/>
  <c r="P18" i="2" s="1"/>
  <c r="Q18" i="2" s="1"/>
  <c r="K6" i="5"/>
  <c r="E8" i="5"/>
  <c r="H8" i="5"/>
  <c r="F8" i="5"/>
  <c r="N20" i="2"/>
  <c r="D8" i="5"/>
  <c r="B21" i="2"/>
  <c r="C21" i="2"/>
  <c r="G8" i="5"/>
  <c r="J21" i="2"/>
  <c r="F21" i="2"/>
  <c r="H21" i="2"/>
  <c r="A22" i="2"/>
  <c r="B9" i="5"/>
  <c r="C8" i="5"/>
  <c r="I21" i="2"/>
  <c r="R22" i="2" l="1"/>
  <c r="G22" i="2"/>
  <c r="L21" i="2"/>
  <c r="E21" i="2"/>
  <c r="K21" i="2"/>
  <c r="M20" i="2"/>
  <c r="I9" i="5" s="1"/>
  <c r="I8" i="5"/>
  <c r="A8" i="5"/>
  <c r="J9" i="5"/>
  <c r="L6" i="5"/>
  <c r="K7" i="5"/>
  <c r="A23" i="2"/>
  <c r="H22" i="2"/>
  <c r="I22" i="2"/>
  <c r="B3" i="17"/>
  <c r="C22" i="2"/>
  <c r="G9" i="5"/>
  <c r="H9" i="5"/>
  <c r="N21" i="2"/>
  <c r="D9" i="5"/>
  <c r="B22" i="2"/>
  <c r="J22" i="2"/>
  <c r="F22" i="2"/>
  <c r="E9" i="5"/>
  <c r="C9" i="5"/>
  <c r="F9" i="5"/>
  <c r="G23" i="2" l="1"/>
  <c r="R23" i="2"/>
  <c r="K22" i="2"/>
  <c r="L22" i="2"/>
  <c r="E22" i="2"/>
  <c r="K8" i="5"/>
  <c r="A9" i="5"/>
  <c r="M21" i="2"/>
  <c r="I3" i="17" s="1"/>
  <c r="K9" i="5"/>
  <c r="O20" i="2"/>
  <c r="P20" i="2" s="1"/>
  <c r="Q20" i="2" s="1"/>
  <c r="J3" i="17"/>
  <c r="M6" i="5"/>
  <c r="L7" i="5"/>
  <c r="B3" i="9"/>
  <c r="J23" i="2"/>
  <c r="F23" i="2"/>
  <c r="H23" i="2"/>
  <c r="N22" i="2"/>
  <c r="F3" i="17"/>
  <c r="E3" i="17"/>
  <c r="A24" i="2"/>
  <c r="C23" i="2"/>
  <c r="I23" i="2"/>
  <c r="B23" i="2"/>
  <c r="G3" i="17"/>
  <c r="C3" i="17"/>
  <c r="B15" i="4"/>
  <c r="D3" i="17"/>
  <c r="H3" i="17"/>
  <c r="A25" i="2"/>
  <c r="A26" i="2"/>
  <c r="A27" i="2"/>
  <c r="G26" i="2" l="1"/>
  <c r="R26" i="2"/>
  <c r="G25" i="2"/>
  <c r="R25" i="2"/>
  <c r="L23" i="2"/>
  <c r="K23" i="2"/>
  <c r="E23" i="2"/>
  <c r="R24" i="2"/>
  <c r="G24" i="2"/>
  <c r="M22" i="2"/>
  <c r="O22" i="2" s="1"/>
  <c r="P22" i="2" s="1"/>
  <c r="Q22" i="2" s="1"/>
  <c r="L8" i="5"/>
  <c r="A3" i="17"/>
  <c r="O21" i="2"/>
  <c r="P21" i="2" s="1"/>
  <c r="Q21" i="2" s="1"/>
  <c r="L9" i="5"/>
  <c r="K3" i="17"/>
  <c r="R27" i="2"/>
  <c r="G27" i="2"/>
  <c r="M7" i="5"/>
  <c r="M8" i="5"/>
  <c r="I26" i="2"/>
  <c r="J26" i="2"/>
  <c r="J25" i="2"/>
  <c r="I25" i="2"/>
  <c r="B25" i="2"/>
  <c r="J24" i="2"/>
  <c r="F24" i="2"/>
  <c r="C24" i="2"/>
  <c r="D3" i="9"/>
  <c r="I3" i="9"/>
  <c r="J3" i="9"/>
  <c r="B26" i="2"/>
  <c r="H26" i="2"/>
  <c r="F26" i="2"/>
  <c r="C26" i="2"/>
  <c r="C25" i="2"/>
  <c r="F25" i="2"/>
  <c r="H25" i="2"/>
  <c r="N23" i="2"/>
  <c r="B24" i="2"/>
  <c r="H24" i="2"/>
  <c r="I24" i="2"/>
  <c r="G3" i="9"/>
  <c r="C3" i="9"/>
  <c r="E3" i="9"/>
  <c r="H3" i="9"/>
  <c r="C15" i="4"/>
  <c r="D15" i="4"/>
  <c r="J27" i="2"/>
  <c r="A28" i="2"/>
  <c r="C27" i="2"/>
  <c r="J15" i="4"/>
  <c r="E15" i="4"/>
  <c r="I15" i="4"/>
  <c r="F3" i="9"/>
  <c r="B16" i="4"/>
  <c r="B17" i="4" s="1"/>
  <c r="I27" i="2"/>
  <c r="A3" i="10"/>
  <c r="G15" i="4"/>
  <c r="F15" i="4"/>
  <c r="H15" i="4"/>
  <c r="F27" i="2"/>
  <c r="B27" i="2"/>
  <c r="H27" i="2"/>
  <c r="M23" i="2" l="1"/>
  <c r="A3" i="9"/>
  <c r="E24" i="2"/>
  <c r="L24" i="2"/>
  <c r="K24" i="2"/>
  <c r="E26" i="2"/>
  <c r="L26" i="2"/>
  <c r="K26" i="2"/>
  <c r="K3" i="9"/>
  <c r="E25" i="2"/>
  <c r="K25" i="2"/>
  <c r="L25" i="2"/>
  <c r="O23" i="2"/>
  <c r="P23" i="2" s="1"/>
  <c r="Q23" i="2" s="1"/>
  <c r="A15" i="4"/>
  <c r="N15" i="4"/>
  <c r="K15" i="4"/>
  <c r="L3" i="9"/>
  <c r="M9" i="5"/>
  <c r="L3" i="17"/>
  <c r="M3" i="10"/>
  <c r="L27" i="2"/>
  <c r="E27" i="2"/>
  <c r="K27" i="2"/>
  <c r="R28" i="2"/>
  <c r="G28" i="2"/>
  <c r="M26" i="2"/>
  <c r="N24" i="2"/>
  <c r="D16" i="4"/>
  <c r="J16" i="4"/>
  <c r="B3" i="10"/>
  <c r="I28" i="2"/>
  <c r="H3" i="10"/>
  <c r="C17" i="4"/>
  <c r="F28" i="2"/>
  <c r="I17" i="4"/>
  <c r="C16" i="4"/>
  <c r="E16" i="4"/>
  <c r="C3" i="10"/>
  <c r="F17" i="4"/>
  <c r="C28" i="2"/>
  <c r="J17" i="4"/>
  <c r="D17" i="4"/>
  <c r="H28" i="2"/>
  <c r="B28" i="2"/>
  <c r="N26" i="2"/>
  <c r="N25" i="2"/>
  <c r="G16" i="4"/>
  <c r="I16" i="4"/>
  <c r="F3" i="10"/>
  <c r="E3" i="10"/>
  <c r="J28" i="2"/>
  <c r="H17" i="4"/>
  <c r="G17" i="4"/>
  <c r="H16" i="4"/>
  <c r="F16" i="4"/>
  <c r="D3" i="10"/>
  <c r="N27" i="2"/>
  <c r="G3" i="10"/>
  <c r="B18" i="4"/>
  <c r="A29" i="2"/>
  <c r="E17" i="4"/>
  <c r="A30" i="2"/>
  <c r="M24" i="2" l="1"/>
  <c r="N3" i="10"/>
  <c r="I3" i="10" s="1"/>
  <c r="K1" i="10" s="1"/>
  <c r="O26" i="2"/>
  <c r="P26" i="2" s="1"/>
  <c r="Q26" i="2" s="1"/>
  <c r="M25" i="2"/>
  <c r="O25" i="2" s="1"/>
  <c r="P25" i="2" s="1"/>
  <c r="Q25" i="2" s="1"/>
  <c r="O24" i="2"/>
  <c r="P24" i="2" s="1"/>
  <c r="Q24" i="2" s="1"/>
  <c r="L15" i="4"/>
  <c r="K16" i="4"/>
  <c r="A16" i="4"/>
  <c r="N16" i="4"/>
  <c r="M3" i="9"/>
  <c r="R29" i="2"/>
  <c r="G29" i="2"/>
  <c r="A17" i="4"/>
  <c r="N17" i="4"/>
  <c r="K17" i="4"/>
  <c r="M3" i="17"/>
  <c r="M27" i="2"/>
  <c r="O27" i="2" s="1"/>
  <c r="P27" i="2" s="1"/>
  <c r="Q27" i="2" s="1"/>
  <c r="G30" i="2"/>
  <c r="R30" i="2"/>
  <c r="J3" i="10"/>
  <c r="E28" i="2"/>
  <c r="L28" i="2"/>
  <c r="K28" i="2"/>
  <c r="I18" i="4"/>
  <c r="H30" i="2"/>
  <c r="I29" i="2"/>
  <c r="J18" i="4"/>
  <c r="F18" i="4"/>
  <c r="N28" i="2"/>
  <c r="C18" i="4"/>
  <c r="E18" i="4"/>
  <c r="I30" i="2"/>
  <c r="F29" i="2"/>
  <c r="D18" i="4"/>
  <c r="F30" i="2"/>
  <c r="C29" i="2"/>
  <c r="G18" i="4"/>
  <c r="B30" i="2"/>
  <c r="H29" i="2"/>
  <c r="A31" i="2"/>
  <c r="H18" i="4"/>
  <c r="B29" i="2"/>
  <c r="J29" i="2"/>
  <c r="B10" i="5"/>
  <c r="J30" i="2"/>
  <c r="C30" i="2"/>
  <c r="M15" i="4" l="1"/>
  <c r="L16" i="4"/>
  <c r="L17" i="4"/>
  <c r="R31" i="2"/>
  <c r="G31" i="2"/>
  <c r="L29" i="2"/>
  <c r="E29" i="2"/>
  <c r="K29" i="2"/>
  <c r="K3" i="10"/>
  <c r="K30" i="2"/>
  <c r="L30" i="2"/>
  <c r="E30" i="2"/>
  <c r="A18" i="4"/>
  <c r="N18" i="4"/>
  <c r="K18" i="4"/>
  <c r="M28" i="2"/>
  <c r="I10" i="5" s="1"/>
  <c r="J10" i="5"/>
  <c r="H10" i="5"/>
  <c r="D10" i="5"/>
  <c r="F10" i="5"/>
  <c r="E10" i="5"/>
  <c r="A32" i="2"/>
  <c r="H31" i="2"/>
  <c r="J31" i="2"/>
  <c r="B11" i="5"/>
  <c r="B31" i="2"/>
  <c r="N29" i="2"/>
  <c r="I31" i="2"/>
  <c r="F31" i="2"/>
  <c r="G10" i="5"/>
  <c r="C10" i="5"/>
  <c r="N30" i="2"/>
  <c r="B12" i="5"/>
  <c r="C31" i="2"/>
  <c r="M17" i="4" l="1"/>
  <c r="M16" i="4"/>
  <c r="G32" i="2"/>
  <c r="R32" i="2"/>
  <c r="M29" i="2"/>
  <c r="I11" i="5" s="1"/>
  <c r="L31" i="2"/>
  <c r="E31" i="2"/>
  <c r="K31" i="2"/>
  <c r="J11" i="5"/>
  <c r="O28" i="2"/>
  <c r="P28" i="2" s="1"/>
  <c r="Q28" i="2" s="1"/>
  <c r="L3" i="10"/>
  <c r="K10" i="5"/>
  <c r="M30" i="2"/>
  <c r="I12" i="5" s="1"/>
  <c r="L18" i="4"/>
  <c r="J12" i="5"/>
  <c r="A10" i="5"/>
  <c r="I32" i="2"/>
  <c r="F11" i="5"/>
  <c r="F12" i="5"/>
  <c r="H32" i="2"/>
  <c r="D11" i="5"/>
  <c r="C12" i="5"/>
  <c r="C32" i="2"/>
  <c r="D12" i="5"/>
  <c r="E11" i="5"/>
  <c r="B13" i="5"/>
  <c r="E12" i="5"/>
  <c r="A33" i="2"/>
  <c r="G11" i="5"/>
  <c r="J32" i="2"/>
  <c r="H11" i="5"/>
  <c r="G12" i="5"/>
  <c r="B32" i="2"/>
  <c r="N31" i="2"/>
  <c r="C11" i="5"/>
  <c r="F32" i="2"/>
  <c r="H12" i="5"/>
  <c r="B3" i="8"/>
  <c r="A34" i="2"/>
  <c r="R33" i="2" l="1"/>
  <c r="G33" i="2"/>
  <c r="O29" i="2"/>
  <c r="P29" i="2" s="1"/>
  <c r="Q29" i="2" s="1"/>
  <c r="K11" i="5"/>
  <c r="E32" i="2"/>
  <c r="K32" i="2"/>
  <c r="L32" i="2"/>
  <c r="K12" i="5"/>
  <c r="M31" i="2"/>
  <c r="I13" i="5" s="1"/>
  <c r="J13" i="5"/>
  <c r="A11" i="5"/>
  <c r="A12" i="5"/>
  <c r="G34" i="2"/>
  <c r="R34" i="2"/>
  <c r="O30" i="2"/>
  <c r="P30" i="2" s="1"/>
  <c r="Q30" i="2" s="1"/>
  <c r="L11" i="5"/>
  <c r="L10" i="5"/>
  <c r="M18" i="4"/>
  <c r="B33" i="2"/>
  <c r="H33" i="2"/>
  <c r="J33" i="2"/>
  <c r="I33" i="2"/>
  <c r="C33" i="2"/>
  <c r="F33" i="2"/>
  <c r="H13" i="5"/>
  <c r="F3" i="8"/>
  <c r="D3" i="8"/>
  <c r="C34" i="2"/>
  <c r="B14" i="5"/>
  <c r="N32" i="2"/>
  <c r="H3" i="8"/>
  <c r="C3" i="8"/>
  <c r="J34" i="2"/>
  <c r="G3" i="8"/>
  <c r="B34" i="2"/>
  <c r="H34" i="2"/>
  <c r="J3" i="8"/>
  <c r="G13" i="5"/>
  <c r="C13" i="5"/>
  <c r="I3" i="8"/>
  <c r="A35" i="2"/>
  <c r="A36" i="2" s="1"/>
  <c r="E3" i="8"/>
  <c r="A37" i="2"/>
  <c r="F13" i="5"/>
  <c r="D13" i="5"/>
  <c r="I34" i="2"/>
  <c r="E13" i="5"/>
  <c r="F34" i="2"/>
  <c r="M32" i="2" l="1"/>
  <c r="K33" i="2"/>
  <c r="E33" i="2"/>
  <c r="L33" i="2"/>
  <c r="M33" i="2" s="1"/>
  <c r="M11" i="5"/>
  <c r="G35" i="2"/>
  <c r="R35" i="2"/>
  <c r="O32" i="2"/>
  <c r="P32" i="2" s="1"/>
  <c r="Q32" i="2" s="1"/>
  <c r="O31" i="2"/>
  <c r="P31" i="2" s="1"/>
  <c r="Q31" i="2" s="1"/>
  <c r="L12" i="5"/>
  <c r="K13" i="5"/>
  <c r="L13" i="5" s="1"/>
  <c r="K3" i="8"/>
  <c r="A13" i="5"/>
  <c r="A3" i="8"/>
  <c r="G36" i="2"/>
  <c r="R36" i="2"/>
  <c r="R37" i="2"/>
  <c r="G37" i="2"/>
  <c r="E34" i="2"/>
  <c r="L34" i="2"/>
  <c r="K34" i="2"/>
  <c r="M10" i="5"/>
  <c r="I35" i="2"/>
  <c r="C35" i="2"/>
  <c r="J35" i="2"/>
  <c r="J36" i="2"/>
  <c r="D14" i="5"/>
  <c r="E14" i="5"/>
  <c r="B36" i="2"/>
  <c r="F37" i="2"/>
  <c r="B15" i="5"/>
  <c r="H36" i="2"/>
  <c r="C36" i="2"/>
  <c r="F14" i="5"/>
  <c r="J37" i="2"/>
  <c r="N33" i="2"/>
  <c r="B35" i="2"/>
  <c r="H35" i="2"/>
  <c r="F35" i="2"/>
  <c r="C14" i="5"/>
  <c r="A38" i="2"/>
  <c r="I36" i="2"/>
  <c r="B37" i="2"/>
  <c r="H14" i="5"/>
  <c r="H37" i="2"/>
  <c r="I37" i="2"/>
  <c r="G14" i="5"/>
  <c r="C37" i="2"/>
  <c r="F36" i="2"/>
  <c r="N34" i="2"/>
  <c r="J14" i="5" l="1"/>
  <c r="O33" i="2"/>
  <c r="P33" i="2" s="1"/>
  <c r="Q33" i="2" s="1"/>
  <c r="K35" i="2"/>
  <c r="E35" i="2"/>
  <c r="L35" i="2"/>
  <c r="M12" i="5"/>
  <c r="L3" i="8"/>
  <c r="E36" i="2"/>
  <c r="K36" i="2"/>
  <c r="L36" i="2"/>
  <c r="L37" i="2"/>
  <c r="E37" i="2"/>
  <c r="K37" i="2"/>
  <c r="R38" i="2"/>
  <c r="G38" i="2"/>
  <c r="A14" i="5"/>
  <c r="I14" i="5"/>
  <c r="M34" i="2"/>
  <c r="I15" i="5" s="1"/>
  <c r="J15" i="5"/>
  <c r="M13" i="5"/>
  <c r="B16" i="5"/>
  <c r="C38" i="2"/>
  <c r="G15" i="5"/>
  <c r="I38" i="2"/>
  <c r="N35" i="2"/>
  <c r="C15" i="5"/>
  <c r="J38" i="2"/>
  <c r="E15" i="5"/>
  <c r="F38" i="2"/>
  <c r="B19" i="4"/>
  <c r="H15" i="5"/>
  <c r="A39" i="2"/>
  <c r="D15" i="5"/>
  <c r="N37" i="2"/>
  <c r="A40" i="2"/>
  <c r="F15" i="5"/>
  <c r="H38" i="2"/>
  <c r="B17" i="5"/>
  <c r="N36" i="2"/>
  <c r="B38" i="2"/>
  <c r="M35" i="2" l="1"/>
  <c r="K14" i="5"/>
  <c r="O34" i="2"/>
  <c r="P34" i="2" s="1"/>
  <c r="Q34" i="2" s="1"/>
  <c r="O35" i="2"/>
  <c r="P35" i="2" s="1"/>
  <c r="Q35" i="2" s="1"/>
  <c r="A15" i="5"/>
  <c r="M36" i="2"/>
  <c r="I16" i="5" s="1"/>
  <c r="M37" i="2"/>
  <c r="I17" i="5" s="1"/>
  <c r="M3" i="8"/>
  <c r="R40" i="2"/>
  <c r="G40" i="2"/>
  <c r="G39" i="2"/>
  <c r="R39" i="2"/>
  <c r="J16" i="5"/>
  <c r="E38" i="2"/>
  <c r="L38" i="2"/>
  <c r="K38" i="2"/>
  <c r="J17" i="5"/>
  <c r="K15" i="5"/>
  <c r="O37" i="2"/>
  <c r="P37" i="2" s="1"/>
  <c r="Q37" i="2" s="1"/>
  <c r="O36" i="2"/>
  <c r="P36" i="2" s="1"/>
  <c r="Q36" i="2" s="1"/>
  <c r="L14" i="5"/>
  <c r="G19" i="4"/>
  <c r="D19" i="4"/>
  <c r="E19" i="4"/>
  <c r="C19" i="4"/>
  <c r="F19" i="4"/>
  <c r="J19" i="4"/>
  <c r="I19" i="4"/>
  <c r="H19" i="4"/>
  <c r="B40" i="2"/>
  <c r="F17" i="5"/>
  <c r="D17" i="5"/>
  <c r="B18" i="5"/>
  <c r="G16" i="5"/>
  <c r="B39" i="2"/>
  <c r="E16" i="5"/>
  <c r="F39" i="2"/>
  <c r="C40" i="2"/>
  <c r="H39" i="2"/>
  <c r="F40" i="2"/>
  <c r="F16" i="5"/>
  <c r="D16" i="5"/>
  <c r="A41" i="2"/>
  <c r="A42" i="2" s="1"/>
  <c r="H16" i="5"/>
  <c r="I40" i="2"/>
  <c r="C39" i="2"/>
  <c r="E17" i="5"/>
  <c r="N38" i="2"/>
  <c r="G17" i="5"/>
  <c r="J40" i="2"/>
  <c r="H40" i="2"/>
  <c r="C17" i="5"/>
  <c r="C16" i="5"/>
  <c r="J39" i="2"/>
  <c r="H17" i="5"/>
  <c r="I39" i="2"/>
  <c r="K19" i="4" l="1"/>
  <c r="N19" i="4"/>
  <c r="A19" i="4"/>
  <c r="K17" i="5"/>
  <c r="K16" i="5"/>
  <c r="G42" i="2"/>
  <c r="R42" i="2"/>
  <c r="A16" i="5"/>
  <c r="E39" i="2"/>
  <c r="L39" i="2"/>
  <c r="K39" i="2"/>
  <c r="A17" i="5"/>
  <c r="E40" i="2"/>
  <c r="L40" i="2"/>
  <c r="K40" i="2"/>
  <c r="G41" i="2"/>
  <c r="R41" i="2"/>
  <c r="M38" i="2"/>
  <c r="I18" i="5" s="1"/>
  <c r="J18" i="5"/>
  <c r="O38" i="2"/>
  <c r="P38" i="2" s="1"/>
  <c r="Q38" i="2" s="1"/>
  <c r="L15" i="5"/>
  <c r="L17" i="5"/>
  <c r="M14" i="5"/>
  <c r="A43" i="2"/>
  <c r="F18" i="5"/>
  <c r="I41" i="2"/>
  <c r="B42" i="2"/>
  <c r="G18" i="5"/>
  <c r="F42" i="2"/>
  <c r="J41" i="2"/>
  <c r="F41" i="2"/>
  <c r="J42" i="2"/>
  <c r="H41" i="2"/>
  <c r="I42" i="2"/>
  <c r="C41" i="2"/>
  <c r="B19" i="5"/>
  <c r="B41" i="2"/>
  <c r="H18" i="5"/>
  <c r="N40" i="2"/>
  <c r="E18" i="5"/>
  <c r="N39" i="2"/>
  <c r="C42" i="2"/>
  <c r="C18" i="5"/>
  <c r="B4" i="8"/>
  <c r="D18" i="5"/>
  <c r="H42" i="2"/>
  <c r="A44" i="2"/>
  <c r="L19" i="4" l="1"/>
  <c r="R44" i="2"/>
  <c r="G44" i="2"/>
  <c r="G43" i="2"/>
  <c r="R43" i="2"/>
  <c r="M40" i="2"/>
  <c r="O40" i="2" s="1"/>
  <c r="P40" i="2" s="1"/>
  <c r="Q40" i="2" s="1"/>
  <c r="L16" i="5"/>
  <c r="E41" i="2"/>
  <c r="K41" i="2"/>
  <c r="L41" i="2"/>
  <c r="J19" i="5"/>
  <c r="E42" i="2"/>
  <c r="L42" i="2"/>
  <c r="K42" i="2"/>
  <c r="M39" i="2"/>
  <c r="K18" i="5"/>
  <c r="A18" i="5"/>
  <c r="M15" i="5"/>
  <c r="M17" i="5"/>
  <c r="H44" i="2"/>
  <c r="F44" i="2"/>
  <c r="E19" i="5"/>
  <c r="C19" i="5"/>
  <c r="F43" i="2"/>
  <c r="B44" i="2"/>
  <c r="F19" i="5"/>
  <c r="J43" i="2"/>
  <c r="B43" i="2"/>
  <c r="G4" i="8"/>
  <c r="D4" i="8"/>
  <c r="B20" i="4"/>
  <c r="N42" i="2"/>
  <c r="N41" i="2"/>
  <c r="C4" i="8"/>
  <c r="H4" i="8"/>
  <c r="A45" i="2"/>
  <c r="A46" i="2" s="1"/>
  <c r="I44" i="2"/>
  <c r="C44" i="2"/>
  <c r="G19" i="5"/>
  <c r="H43" i="2"/>
  <c r="J44" i="2"/>
  <c r="D19" i="5"/>
  <c r="H19" i="5"/>
  <c r="I43" i="2"/>
  <c r="C43" i="2"/>
  <c r="I4" i="8"/>
  <c r="E4" i="8"/>
  <c r="B20" i="5"/>
  <c r="F4" i="8"/>
  <c r="J4" i="8"/>
  <c r="A47" i="2"/>
  <c r="A48" i="2" s="1"/>
  <c r="M19" i="4" l="1"/>
  <c r="G47" i="2"/>
  <c r="R47" i="2"/>
  <c r="G46" i="2"/>
  <c r="R46" i="2"/>
  <c r="E43" i="2"/>
  <c r="L43" i="2"/>
  <c r="K43" i="2"/>
  <c r="L44" i="2"/>
  <c r="E44" i="2"/>
  <c r="K44" i="2"/>
  <c r="A19" i="5"/>
  <c r="G45" i="2"/>
  <c r="R45" i="2"/>
  <c r="M44" i="2"/>
  <c r="M41" i="2"/>
  <c r="I20" i="5" s="1"/>
  <c r="M16" i="5"/>
  <c r="A4" i="8"/>
  <c r="K4" i="8"/>
  <c r="J20" i="5"/>
  <c r="O39" i="2"/>
  <c r="P39" i="2" s="1"/>
  <c r="Q39" i="2" s="1"/>
  <c r="I19" i="5"/>
  <c r="M42" i="2"/>
  <c r="L18" i="5"/>
  <c r="R48" i="2"/>
  <c r="G48" i="2"/>
  <c r="A49" i="2"/>
  <c r="I47" i="2"/>
  <c r="J47" i="2"/>
  <c r="C47" i="2"/>
  <c r="I46" i="2"/>
  <c r="N43" i="2"/>
  <c r="H45" i="2"/>
  <c r="E20" i="5"/>
  <c r="C20" i="4"/>
  <c r="B48" i="2"/>
  <c r="J48" i="2"/>
  <c r="G20" i="4"/>
  <c r="J46" i="2"/>
  <c r="C46" i="2"/>
  <c r="J45" i="2"/>
  <c r="F45" i="2"/>
  <c r="E20" i="4"/>
  <c r="A50" i="2"/>
  <c r="C48" i="2"/>
  <c r="D20" i="5"/>
  <c r="H20" i="4"/>
  <c r="F48" i="2"/>
  <c r="B21" i="5"/>
  <c r="F47" i="2"/>
  <c r="B47" i="2"/>
  <c r="H47" i="2"/>
  <c r="F46" i="2"/>
  <c r="B3" i="7" s="1"/>
  <c r="B46" i="2"/>
  <c r="C45" i="2"/>
  <c r="B45" i="2"/>
  <c r="C20" i="5"/>
  <c r="F20" i="4"/>
  <c r="G20" i="5"/>
  <c r="D20" i="4"/>
  <c r="H46" i="2"/>
  <c r="N44" i="2"/>
  <c r="I45" i="2"/>
  <c r="F20" i="5"/>
  <c r="J20" i="4"/>
  <c r="I48" i="2"/>
  <c r="H48" i="2"/>
  <c r="H20" i="5"/>
  <c r="B21" i="4"/>
  <c r="I20" i="4"/>
  <c r="B22" i="4"/>
  <c r="B22" i="5"/>
  <c r="M43" i="2" l="1"/>
  <c r="J21" i="5"/>
  <c r="G49" i="2"/>
  <c r="R49" i="2"/>
  <c r="E45" i="2"/>
  <c r="L45" i="2"/>
  <c r="K45" i="2"/>
  <c r="E46" i="2"/>
  <c r="K46" i="2"/>
  <c r="L46" i="2"/>
  <c r="E47" i="2"/>
  <c r="K47" i="2"/>
  <c r="L47" i="2"/>
  <c r="O43" i="2"/>
  <c r="P43" i="2" s="1"/>
  <c r="Q43" i="2" s="1"/>
  <c r="O44" i="2"/>
  <c r="P44" i="2" s="1"/>
  <c r="Q44" i="2" s="1"/>
  <c r="K20" i="4"/>
  <c r="L20" i="4" s="1"/>
  <c r="A20" i="4"/>
  <c r="N20" i="4"/>
  <c r="A20" i="5"/>
  <c r="O41" i="2"/>
  <c r="P41" i="2" s="1"/>
  <c r="Q41" i="2" s="1"/>
  <c r="K20" i="5"/>
  <c r="K19" i="5"/>
  <c r="L4" i="8"/>
  <c r="I21" i="5"/>
  <c r="O42" i="2"/>
  <c r="P42" i="2" s="1"/>
  <c r="Q42" i="2" s="1"/>
  <c r="M18" i="5"/>
  <c r="E48" i="2"/>
  <c r="L48" i="2"/>
  <c r="K48" i="2"/>
  <c r="R50" i="2"/>
  <c r="G50" i="2"/>
  <c r="M20" i="4"/>
  <c r="C21" i="5"/>
  <c r="E21" i="5"/>
  <c r="D21" i="5"/>
  <c r="B49" i="2"/>
  <c r="F49" i="2"/>
  <c r="H49" i="2"/>
  <c r="I49" i="2"/>
  <c r="F21" i="4"/>
  <c r="F50" i="2"/>
  <c r="I22" i="4"/>
  <c r="J21" i="4"/>
  <c r="H50" i="2"/>
  <c r="F22" i="5"/>
  <c r="H22" i="4"/>
  <c r="G3" i="7"/>
  <c r="G21" i="5"/>
  <c r="F21" i="5"/>
  <c r="H21" i="5"/>
  <c r="C49" i="2"/>
  <c r="J49" i="2"/>
  <c r="D22" i="5"/>
  <c r="G22" i="5"/>
  <c r="G22" i="4"/>
  <c r="G21" i="4"/>
  <c r="J22" i="4"/>
  <c r="E21" i="4"/>
  <c r="H3" i="7"/>
  <c r="F3" i="7"/>
  <c r="B23" i="5"/>
  <c r="B50" i="2"/>
  <c r="D21" i="4"/>
  <c r="F22" i="4"/>
  <c r="E3" i="7"/>
  <c r="A51" i="2"/>
  <c r="E22" i="5"/>
  <c r="C22" i="5"/>
  <c r="N46" i="2"/>
  <c r="H21" i="4"/>
  <c r="D3" i="7"/>
  <c r="C50" i="2"/>
  <c r="H22" i="5"/>
  <c r="N47" i="2"/>
  <c r="D22" i="4"/>
  <c r="C22" i="4"/>
  <c r="I21" i="4"/>
  <c r="J50" i="2"/>
  <c r="N48" i="2"/>
  <c r="B24" i="5"/>
  <c r="E22" i="4"/>
  <c r="I50" i="2"/>
  <c r="N45" i="2"/>
  <c r="C21" i="4"/>
  <c r="C3" i="7"/>
  <c r="M47" i="2" l="1"/>
  <c r="I3" i="7" s="1"/>
  <c r="K49" i="2"/>
  <c r="E49" i="2"/>
  <c r="L49" i="2"/>
  <c r="A21" i="5"/>
  <c r="J22" i="5"/>
  <c r="A22" i="5"/>
  <c r="J3" i="7"/>
  <c r="K3" i="7" s="1"/>
  <c r="O47" i="2"/>
  <c r="P47" i="2" s="1"/>
  <c r="Q47" i="2" s="1"/>
  <c r="M45" i="2"/>
  <c r="O45" i="2" s="1"/>
  <c r="P45" i="2" s="1"/>
  <c r="Q45" i="2" s="1"/>
  <c r="M46" i="2"/>
  <c r="K21" i="4"/>
  <c r="N21" i="4"/>
  <c r="A21" i="4"/>
  <c r="N22" i="4"/>
  <c r="A22" i="4"/>
  <c r="K22" i="4"/>
  <c r="L22" i="4" s="1"/>
  <c r="L20" i="5"/>
  <c r="M48" i="2"/>
  <c r="O48" i="2" s="1"/>
  <c r="P48" i="2" s="1"/>
  <c r="Q48" i="2" s="1"/>
  <c r="M4" i="8"/>
  <c r="K21" i="5"/>
  <c r="L19" i="5"/>
  <c r="A3" i="7"/>
  <c r="J23" i="5"/>
  <c r="L50" i="2"/>
  <c r="E50" i="2"/>
  <c r="K50" i="2"/>
  <c r="G51" i="2"/>
  <c r="R51" i="2"/>
  <c r="I30" i="5"/>
  <c r="K30" i="5" s="1"/>
  <c r="L30" i="5" s="1"/>
  <c r="M30" i="5" s="1"/>
  <c r="AT311" i="1"/>
  <c r="AU311" i="1" s="1"/>
  <c r="AT265" i="1"/>
  <c r="AU265" i="1" s="1"/>
  <c r="AT308" i="1"/>
  <c r="AU308" i="1" s="1"/>
  <c r="AT313" i="1"/>
  <c r="AU313" i="1" s="1"/>
  <c r="AT109" i="1"/>
  <c r="AU109" i="1" s="1"/>
  <c r="AT111" i="1"/>
  <c r="AU111" i="1" s="1"/>
  <c r="AT310" i="1"/>
  <c r="AU310" i="1" s="1"/>
  <c r="AT306" i="1"/>
  <c r="AU306" i="1" s="1"/>
  <c r="AT309" i="1"/>
  <c r="AU309" i="1" s="1"/>
  <c r="AT307" i="1"/>
  <c r="AU307" i="1" s="1"/>
  <c r="N49" i="2"/>
  <c r="C23" i="5"/>
  <c r="D24" i="5"/>
  <c r="E23" i="5"/>
  <c r="B51" i="2"/>
  <c r="N50" i="2"/>
  <c r="J51" i="2"/>
  <c r="C51" i="2"/>
  <c r="B23" i="4"/>
  <c r="H23" i="5"/>
  <c r="F51" i="2"/>
  <c r="F24" i="5"/>
  <c r="G23" i="5"/>
  <c r="A52" i="2"/>
  <c r="H24" i="5"/>
  <c r="I51" i="2"/>
  <c r="G24" i="5"/>
  <c r="D23" i="5"/>
  <c r="E24" i="5"/>
  <c r="H51" i="2"/>
  <c r="C24" i="5"/>
  <c r="F23" i="5"/>
  <c r="M49" i="2" l="1"/>
  <c r="J24" i="5"/>
  <c r="I22" i="5"/>
  <c r="O46" i="2"/>
  <c r="P46" i="2" s="1"/>
  <c r="Q46" i="2" s="1"/>
  <c r="L21" i="5"/>
  <c r="M21" i="5" s="1"/>
  <c r="M20" i="5"/>
  <c r="L21" i="4"/>
  <c r="I23" i="5"/>
  <c r="M19" i="5"/>
  <c r="A23" i="5"/>
  <c r="M50" i="2"/>
  <c r="O50" i="2" s="1"/>
  <c r="P50" i="2" s="1"/>
  <c r="Q50" i="2" s="1"/>
  <c r="M22" i="4"/>
  <c r="E51" i="2"/>
  <c r="K51" i="2"/>
  <c r="L51" i="2"/>
  <c r="R52" i="2"/>
  <c r="G52" i="2"/>
  <c r="A24" i="5"/>
  <c r="L3" i="7"/>
  <c r="I24" i="5"/>
  <c r="O49" i="2"/>
  <c r="P49" i="2" s="1"/>
  <c r="Q49" i="2" s="1"/>
  <c r="AV109" i="1"/>
  <c r="AW109" i="1"/>
  <c r="AV313" i="1"/>
  <c r="AW313" i="1"/>
  <c r="AW308" i="1"/>
  <c r="AV308" i="1"/>
  <c r="AW307" i="1"/>
  <c r="AV307" i="1"/>
  <c r="AW309" i="1"/>
  <c r="AV309" i="1"/>
  <c r="AW306" i="1"/>
  <c r="AV306" i="1"/>
  <c r="AV310" i="1"/>
  <c r="AW310" i="1"/>
  <c r="AV111" i="1"/>
  <c r="AW111" i="1"/>
  <c r="AW265" i="1"/>
  <c r="AV265" i="1"/>
  <c r="AW311" i="1"/>
  <c r="AV311" i="1"/>
  <c r="B24" i="4"/>
  <c r="J23" i="4"/>
  <c r="E23" i="4"/>
  <c r="F52" i="2"/>
  <c r="C23" i="4"/>
  <c r="B52" i="2"/>
  <c r="A53" i="2"/>
  <c r="G23" i="4"/>
  <c r="N51" i="2"/>
  <c r="J52" i="2"/>
  <c r="H52" i="2"/>
  <c r="C52" i="2"/>
  <c r="F23" i="4"/>
  <c r="D23" i="4"/>
  <c r="H23" i="4"/>
  <c r="I52" i="2"/>
  <c r="I23" i="4"/>
  <c r="K22" i="5" l="1"/>
  <c r="K23" i="5"/>
  <c r="M21" i="4"/>
  <c r="K23" i="4"/>
  <c r="A23" i="4"/>
  <c r="N23" i="4"/>
  <c r="E52" i="2"/>
  <c r="L52" i="2"/>
  <c r="K52" i="2"/>
  <c r="R53" i="2"/>
  <c r="G53" i="2"/>
  <c r="M51" i="2"/>
  <c r="O51" i="2" s="1"/>
  <c r="P51" i="2" s="1"/>
  <c r="Q51" i="2" s="1"/>
  <c r="K24" i="5"/>
  <c r="M3" i="7"/>
  <c r="B25" i="4"/>
  <c r="A54" i="2"/>
  <c r="B53" i="2"/>
  <c r="I53" i="2"/>
  <c r="I24" i="4"/>
  <c r="J24" i="4"/>
  <c r="F24" i="4"/>
  <c r="C53" i="2"/>
  <c r="F53" i="2"/>
  <c r="H24" i="4"/>
  <c r="N52" i="2"/>
  <c r="G24" i="4"/>
  <c r="J53" i="2"/>
  <c r="C24" i="4"/>
  <c r="E24" i="4"/>
  <c r="D24" i="4"/>
  <c r="H53" i="2"/>
  <c r="L23" i="5" l="1"/>
  <c r="L22" i="5"/>
  <c r="N24" i="4"/>
  <c r="A24" i="4"/>
  <c r="K24" i="4"/>
  <c r="L23" i="4"/>
  <c r="L24" i="5"/>
  <c r="M52" i="2"/>
  <c r="O52" i="2" s="1"/>
  <c r="P52" i="2" s="1"/>
  <c r="Q52" i="2" s="1"/>
  <c r="E53" i="2"/>
  <c r="K53" i="2"/>
  <c r="L53" i="2"/>
  <c r="R54" i="2"/>
  <c r="G54" i="2"/>
  <c r="N53" i="2"/>
  <c r="B54" i="2"/>
  <c r="D25" i="4"/>
  <c r="J25" i="4"/>
  <c r="I25" i="4"/>
  <c r="C25" i="4"/>
  <c r="E25" i="4"/>
  <c r="G25" i="4"/>
  <c r="H25" i="4"/>
  <c r="F25" i="4"/>
  <c r="F54" i="2"/>
  <c r="J54" i="2"/>
  <c r="B25" i="5"/>
  <c r="A55" i="2"/>
  <c r="C54" i="2"/>
  <c r="H54" i="2"/>
  <c r="I54" i="2"/>
  <c r="M23" i="5" l="1"/>
  <c r="M22" i="5"/>
  <c r="L24" i="4"/>
  <c r="A79" i="2"/>
  <c r="N25" i="4"/>
  <c r="A25" i="4"/>
  <c r="K25" i="4"/>
  <c r="M24" i="5"/>
  <c r="M23" i="4"/>
  <c r="E54" i="2"/>
  <c r="K54" i="2"/>
  <c r="L54" i="2"/>
  <c r="J25" i="5"/>
  <c r="G55" i="2"/>
  <c r="R55" i="2"/>
  <c r="M53" i="2"/>
  <c r="C25" i="5"/>
  <c r="D25" i="5"/>
  <c r="B26" i="5"/>
  <c r="F25" i="5"/>
  <c r="E25" i="5"/>
  <c r="A56" i="2"/>
  <c r="G25" i="5"/>
  <c r="N54" i="2"/>
  <c r="C55" i="2"/>
  <c r="J55" i="2"/>
  <c r="H55" i="2"/>
  <c r="H25" i="5"/>
  <c r="F55" i="2"/>
  <c r="I55" i="2"/>
  <c r="B55" i="2"/>
  <c r="J79" i="2"/>
  <c r="A25" i="5" l="1"/>
  <c r="G56" i="2"/>
  <c r="R56" i="2"/>
  <c r="L25" i="4"/>
  <c r="M24" i="4"/>
  <c r="R79" i="2"/>
  <c r="H79" i="2"/>
  <c r="I79" i="2"/>
  <c r="F79" i="2"/>
  <c r="B79" i="2"/>
  <c r="G79" i="2"/>
  <c r="C79" i="2"/>
  <c r="K79" i="2"/>
  <c r="N79" i="2"/>
  <c r="L79" i="2"/>
  <c r="J26" i="5"/>
  <c r="E55" i="2"/>
  <c r="L55" i="2"/>
  <c r="K55" i="2"/>
  <c r="O53" i="2"/>
  <c r="P53" i="2" s="1"/>
  <c r="Q53" i="2" s="1"/>
  <c r="I25" i="5"/>
  <c r="M54" i="2"/>
  <c r="F26" i="5"/>
  <c r="B56" i="2"/>
  <c r="A57" i="2"/>
  <c r="C56" i="2"/>
  <c r="H56" i="2"/>
  <c r="N55" i="2"/>
  <c r="F56" i="2"/>
  <c r="I56" i="2"/>
  <c r="J56" i="2"/>
  <c r="E26" i="5"/>
  <c r="H26" i="5"/>
  <c r="G26" i="5"/>
  <c r="D26" i="5"/>
  <c r="B26" i="4"/>
  <c r="C26" i="5"/>
  <c r="E56" i="2" l="1"/>
  <c r="K56" i="2"/>
  <c r="L56" i="2"/>
  <c r="R57" i="2"/>
  <c r="G57" i="2"/>
  <c r="M25" i="4"/>
  <c r="M79" i="2"/>
  <c r="O79" i="2" s="1"/>
  <c r="P79" i="2" s="1"/>
  <c r="Q79" i="2" s="1"/>
  <c r="E79" i="2"/>
  <c r="K25" i="5"/>
  <c r="A26" i="5"/>
  <c r="I26" i="5"/>
  <c r="O54" i="2"/>
  <c r="P54" i="2" s="1"/>
  <c r="Q54" i="2" s="1"/>
  <c r="M55" i="2"/>
  <c r="O55" i="2" s="1"/>
  <c r="P55" i="2" s="1"/>
  <c r="Q55" i="2" s="1"/>
  <c r="B27" i="4"/>
  <c r="B57" i="2"/>
  <c r="A58" i="2"/>
  <c r="C57" i="2"/>
  <c r="N56" i="2"/>
  <c r="I57" i="2"/>
  <c r="G26" i="4"/>
  <c r="E26" i="4"/>
  <c r="D26" i="4"/>
  <c r="I26" i="4"/>
  <c r="C26" i="4"/>
  <c r="F26" i="4"/>
  <c r="J26" i="4"/>
  <c r="H26" i="4"/>
  <c r="F57" i="2"/>
  <c r="J57" i="2"/>
  <c r="H57" i="2"/>
  <c r="M56" i="2" l="1"/>
  <c r="O56" i="2" s="1"/>
  <c r="P56" i="2" s="1"/>
  <c r="Q56" i="2" s="1"/>
  <c r="E57" i="2"/>
  <c r="K57" i="2"/>
  <c r="L57" i="2"/>
  <c r="G58" i="2"/>
  <c r="R58" i="2"/>
  <c r="K26" i="5"/>
  <c r="L25" i="5"/>
  <c r="A26" i="4"/>
  <c r="N26" i="4"/>
  <c r="K26" i="4"/>
  <c r="J27" i="4"/>
  <c r="N57" i="2"/>
  <c r="E27" i="4"/>
  <c r="B28" i="4"/>
  <c r="I27" i="4"/>
  <c r="F27" i="4"/>
  <c r="H58" i="2"/>
  <c r="C27" i="4"/>
  <c r="D27" i="4"/>
  <c r="I58" i="2"/>
  <c r="B58" i="2"/>
  <c r="J58" i="2"/>
  <c r="F58" i="2"/>
  <c r="A59" i="2"/>
  <c r="G27" i="4"/>
  <c r="C58" i="2"/>
  <c r="H27" i="4"/>
  <c r="E58" i="2" l="1"/>
  <c r="K58" i="2"/>
  <c r="L58" i="2"/>
  <c r="B29" i="4"/>
  <c r="G59" i="2"/>
  <c r="R59" i="2"/>
  <c r="K27" i="4"/>
  <c r="N27" i="4"/>
  <c r="A27" i="4"/>
  <c r="M57" i="2"/>
  <c r="O57" i="2" s="1"/>
  <c r="P57" i="2" s="1"/>
  <c r="Q57" i="2" s="1"/>
  <c r="L26" i="5"/>
  <c r="M25" i="5"/>
  <c r="L26" i="4"/>
  <c r="B27" i="5"/>
  <c r="J28" i="4"/>
  <c r="H28" i="4"/>
  <c r="D28" i="4"/>
  <c r="G28" i="4"/>
  <c r="H59" i="2"/>
  <c r="A60" i="2"/>
  <c r="I59" i="2"/>
  <c r="F28" i="4"/>
  <c r="N58" i="2"/>
  <c r="J59" i="2"/>
  <c r="C59" i="2"/>
  <c r="F59" i="2"/>
  <c r="I28" i="4"/>
  <c r="B59" i="2"/>
  <c r="C28" i="4"/>
  <c r="E28" i="4"/>
  <c r="M58" i="2" l="1"/>
  <c r="I27" i="5" s="1"/>
  <c r="L27" i="4"/>
  <c r="A61" i="2"/>
  <c r="R60" i="2"/>
  <c r="G60" i="2"/>
  <c r="K28" i="4"/>
  <c r="E59" i="2"/>
  <c r="K59" i="2"/>
  <c r="L59" i="2"/>
  <c r="N28" i="4"/>
  <c r="A28" i="4"/>
  <c r="J27" i="5"/>
  <c r="B30" i="4"/>
  <c r="G29" i="4"/>
  <c r="F29" i="4"/>
  <c r="I29" i="4"/>
  <c r="E29" i="4"/>
  <c r="C29" i="4"/>
  <c r="D29" i="4"/>
  <c r="H29" i="4"/>
  <c r="J29" i="4"/>
  <c r="M26" i="5"/>
  <c r="M26" i="4"/>
  <c r="C27" i="5"/>
  <c r="G27" i="5"/>
  <c r="C60" i="2"/>
  <c r="F60" i="2"/>
  <c r="E27" i="5"/>
  <c r="I60" i="2"/>
  <c r="N59" i="2"/>
  <c r="B28" i="5"/>
  <c r="F27" i="5"/>
  <c r="H27" i="5"/>
  <c r="D27" i="5"/>
  <c r="J60" i="2"/>
  <c r="B60" i="2"/>
  <c r="H60" i="2"/>
  <c r="A27" i="5" l="1"/>
  <c r="O58" i="2"/>
  <c r="P58" i="2" s="1"/>
  <c r="Q58" i="2" s="1"/>
  <c r="K27" i="5"/>
  <c r="L28" i="4"/>
  <c r="M27" i="4"/>
  <c r="J28" i="5"/>
  <c r="E60" i="2"/>
  <c r="L60" i="2"/>
  <c r="K60" i="2"/>
  <c r="A29" i="4"/>
  <c r="K29" i="4"/>
  <c r="H30" i="4"/>
  <c r="F30" i="4"/>
  <c r="J30" i="4"/>
  <c r="D30" i="4"/>
  <c r="E30" i="4"/>
  <c r="C30" i="4"/>
  <c r="I30" i="4"/>
  <c r="G30" i="4"/>
  <c r="M59" i="2"/>
  <c r="G61" i="2"/>
  <c r="H61" i="2"/>
  <c r="C61" i="2"/>
  <c r="R61" i="2"/>
  <c r="B61" i="2"/>
  <c r="F61" i="2"/>
  <c r="I61" i="2"/>
  <c r="K61" i="2"/>
  <c r="L61" i="2"/>
  <c r="N61" i="2"/>
  <c r="AR514" i="1"/>
  <c r="AR526" i="1"/>
  <c r="AT526" i="1" s="1"/>
  <c r="AU526" i="1" s="1"/>
  <c r="AR534" i="1"/>
  <c r="AT534" i="1" s="1"/>
  <c r="AU534" i="1" s="1"/>
  <c r="AR552" i="1"/>
  <c r="AR561" i="1"/>
  <c r="AT561" i="1" s="1"/>
  <c r="AU561" i="1" s="1"/>
  <c r="AR578" i="1"/>
  <c r="AR592" i="1"/>
  <c r="AR604" i="1"/>
  <c r="AR521" i="1"/>
  <c r="AT521" i="1" s="1"/>
  <c r="AU521" i="1" s="1"/>
  <c r="AR547" i="1"/>
  <c r="AR579" i="1"/>
  <c r="AT579" i="1" s="1"/>
  <c r="AU579" i="1" s="1"/>
  <c r="AR589" i="1"/>
  <c r="AR605" i="1"/>
  <c r="AR518" i="1"/>
  <c r="AR524" i="1"/>
  <c r="AR532" i="1"/>
  <c r="AT532" i="1" s="1"/>
  <c r="AU532" i="1" s="1"/>
  <c r="AR541" i="1"/>
  <c r="AR553" i="1"/>
  <c r="AT553" i="1" s="1"/>
  <c r="AU553" i="1" s="1"/>
  <c r="AR563" i="1"/>
  <c r="AR567" i="1"/>
  <c r="AT567" i="1" s="1"/>
  <c r="AU567" i="1" s="1"/>
  <c r="AR586" i="1"/>
  <c r="AR602" i="1"/>
  <c r="AR543" i="1"/>
  <c r="AR575" i="1"/>
  <c r="AT575" i="1" s="1"/>
  <c r="AU575" i="1" s="1"/>
  <c r="AR591" i="1"/>
  <c r="AR599" i="1"/>
  <c r="AT599" i="1" s="1"/>
  <c r="AU599" i="1" s="1"/>
  <c r="AR560" i="1"/>
  <c r="AT560" i="1" s="1"/>
  <c r="AU560" i="1" s="1"/>
  <c r="AR559" i="1"/>
  <c r="AT559" i="1" s="1"/>
  <c r="AU559" i="1" s="1"/>
  <c r="AR523" i="1"/>
  <c r="AR540" i="1"/>
  <c r="AR572" i="1"/>
  <c r="AT572" i="1" s="1"/>
  <c r="AU572" i="1" s="1"/>
  <c r="AR556" i="1"/>
  <c r="AT556" i="1" s="1"/>
  <c r="AU556" i="1" s="1"/>
  <c r="AR566" i="1"/>
  <c r="AT566" i="1" s="1"/>
  <c r="AU566" i="1" s="1"/>
  <c r="AR576" i="1"/>
  <c r="AR574" i="1"/>
  <c r="AT574" i="1" s="1"/>
  <c r="AU574" i="1" s="1"/>
  <c r="AR538" i="1"/>
  <c r="AR502" i="1"/>
  <c r="AT502" i="1" s="1"/>
  <c r="AU502" i="1" s="1"/>
  <c r="AR482" i="1"/>
  <c r="AR500" i="1"/>
  <c r="AT500" i="1" s="1"/>
  <c r="AU500" i="1" s="1"/>
  <c r="AR513" i="1"/>
  <c r="AR493" i="1"/>
  <c r="AR442" i="1"/>
  <c r="AT442" i="1" s="1"/>
  <c r="AU442" i="1" s="1"/>
  <c r="AR506" i="1"/>
  <c r="AR512" i="1"/>
  <c r="AR496" i="1"/>
  <c r="AR511" i="1"/>
  <c r="AR503" i="1"/>
  <c r="AT503" i="1" s="1"/>
  <c r="AU503" i="1" s="1"/>
  <c r="AR475" i="1"/>
  <c r="AT475" i="1" s="1"/>
  <c r="AU475" i="1" s="1"/>
  <c r="AR445" i="1"/>
  <c r="AT445" i="1" s="1"/>
  <c r="AU445" i="1" s="1"/>
  <c r="AR454" i="1"/>
  <c r="AR464" i="1"/>
  <c r="AT464" i="1" s="1"/>
  <c r="AU464" i="1" s="1"/>
  <c r="AR457" i="1"/>
  <c r="AR491" i="1"/>
  <c r="AR490" i="1"/>
  <c r="AR439" i="1"/>
  <c r="AT439" i="1" s="1"/>
  <c r="AU439" i="1" s="1"/>
  <c r="AR461" i="1"/>
  <c r="AR484" i="1"/>
  <c r="AR497" i="1"/>
  <c r="AR458" i="1"/>
  <c r="AR448" i="1"/>
  <c r="AR449" i="1"/>
  <c r="AR487" i="1"/>
  <c r="AT487" i="1" s="1"/>
  <c r="AU487" i="1" s="1"/>
  <c r="AR434" i="1"/>
  <c r="AT434" i="1" s="1"/>
  <c r="AU434" i="1" s="1"/>
  <c r="AR441" i="1"/>
  <c r="AT441" i="1" s="1"/>
  <c r="AU441" i="1" s="1"/>
  <c r="AR456" i="1"/>
  <c r="AR446" i="1"/>
  <c r="AR435" i="1"/>
  <c r="AR438" i="1"/>
  <c r="AT438" i="1" s="1"/>
  <c r="AU438" i="1" s="1"/>
  <c r="AR123" i="1"/>
  <c r="AR117" i="1"/>
  <c r="AR224" i="1"/>
  <c r="AT224" i="1" s="1"/>
  <c r="AU224" i="1" s="1"/>
  <c r="AR319" i="1"/>
  <c r="AT319" i="1" s="1"/>
  <c r="AU319" i="1" s="1"/>
  <c r="AR301" i="1"/>
  <c r="AR332" i="1"/>
  <c r="AR377" i="1"/>
  <c r="AT377" i="1" s="1"/>
  <c r="AU377" i="1" s="1"/>
  <c r="AR102" i="1"/>
  <c r="AR76" i="1"/>
  <c r="AR116" i="1"/>
  <c r="AR423" i="1"/>
  <c r="AT423" i="1" s="1"/>
  <c r="AU423" i="1" s="1"/>
  <c r="AR378" i="1"/>
  <c r="AT378" i="1" s="1"/>
  <c r="AU378" i="1" s="1"/>
  <c r="AR314" i="1"/>
  <c r="AT314" i="1" s="1"/>
  <c r="AU314" i="1" s="1"/>
  <c r="AR228" i="1"/>
  <c r="AT228" i="1" s="1"/>
  <c r="AU228" i="1" s="1"/>
  <c r="AR109" i="1"/>
  <c r="AR254" i="1"/>
  <c r="AT254" i="1" s="1"/>
  <c r="AU254" i="1" s="1"/>
  <c r="AR207" i="1"/>
  <c r="AR289" i="1"/>
  <c r="AT289" i="1" s="1"/>
  <c r="AU289" i="1" s="1"/>
  <c r="AR71" i="1"/>
  <c r="AT71" i="1" s="1"/>
  <c r="AU71" i="1" s="1"/>
  <c r="AR374" i="1"/>
  <c r="AT374" i="1" s="1"/>
  <c r="AU374" i="1" s="1"/>
  <c r="AR424" i="1"/>
  <c r="AT424" i="1" s="1"/>
  <c r="AU424" i="1" s="1"/>
  <c r="AR58" i="1"/>
  <c r="AR284" i="1"/>
  <c r="AT284" i="1" s="1"/>
  <c r="AU284" i="1" s="1"/>
  <c r="AR57" i="1"/>
  <c r="AR32" i="1"/>
  <c r="AR191" i="1"/>
  <c r="AR18" i="1"/>
  <c r="AR38" i="1"/>
  <c r="AR383" i="1"/>
  <c r="AR425" i="1"/>
  <c r="AT425" i="1" s="1"/>
  <c r="AU425" i="1" s="1"/>
  <c r="AR170" i="1"/>
  <c r="AR222" i="1"/>
  <c r="AR70" i="1"/>
  <c r="AT70" i="1" s="1"/>
  <c r="AU70" i="1" s="1"/>
  <c r="AR42" i="1"/>
  <c r="AR233" i="1"/>
  <c r="AT233" i="1" s="1"/>
  <c r="AU233" i="1" s="1"/>
  <c r="AR328" i="1"/>
  <c r="AR103" i="1"/>
  <c r="AT103" i="1" s="1"/>
  <c r="AU103" i="1" s="1"/>
  <c r="AR419" i="1"/>
  <c r="AT419" i="1" s="1"/>
  <c r="AU419" i="1" s="1"/>
  <c r="AR389" i="1"/>
  <c r="AT389" i="1" s="1"/>
  <c r="AU389" i="1" s="1"/>
  <c r="AR271" i="1"/>
  <c r="AR283" i="1"/>
  <c r="AR3" i="1"/>
  <c r="AR320" i="1"/>
  <c r="AR317" i="1"/>
  <c r="AR33" i="1"/>
  <c r="AR112" i="1"/>
  <c r="AR294" i="1"/>
  <c r="AR158" i="1"/>
  <c r="AR152" i="1"/>
  <c r="AR149" i="1"/>
  <c r="AR164" i="1"/>
  <c r="AT164" i="1" s="1"/>
  <c r="AU164" i="1" s="1"/>
  <c r="AR13" i="1"/>
  <c r="AR128" i="1"/>
  <c r="AR52" i="1"/>
  <c r="AR430" i="1"/>
  <c r="AT430" i="1" s="1"/>
  <c r="AU430" i="1" s="1"/>
  <c r="AR348" i="1"/>
  <c r="AT348" i="1" s="1"/>
  <c r="AU348" i="1" s="1"/>
  <c r="AR218" i="1"/>
  <c r="AR311" i="1"/>
  <c r="AR159" i="1"/>
  <c r="AR101" i="1"/>
  <c r="AR257" i="1"/>
  <c r="AT257" i="1" s="1"/>
  <c r="AU257" i="1" s="1"/>
  <c r="AR160" i="1"/>
  <c r="AT160" i="1" s="1"/>
  <c r="AU160" i="1" s="1"/>
  <c r="AR31" i="1"/>
  <c r="AR376" i="1"/>
  <c r="AT376" i="1" s="1"/>
  <c r="AU376" i="1" s="1"/>
  <c r="AR333" i="1"/>
  <c r="AT333" i="1" s="1"/>
  <c r="AU333" i="1" s="1"/>
  <c r="AR405" i="1"/>
  <c r="AR259" i="1"/>
  <c r="AT259" i="1" s="1"/>
  <c r="AU259" i="1" s="1"/>
  <c r="AR189" i="1"/>
  <c r="AR126" i="1"/>
  <c r="AR263" i="1"/>
  <c r="AT263" i="1" s="1"/>
  <c r="AU263" i="1" s="1"/>
  <c r="AR298" i="1"/>
  <c r="AT298" i="1" s="1"/>
  <c r="AU298" i="1" s="1"/>
  <c r="AR48" i="1"/>
  <c r="AR414" i="1"/>
  <c r="AT414" i="1" s="1"/>
  <c r="AU414" i="1" s="1"/>
  <c r="AR426" i="1"/>
  <c r="AT426" i="1" s="1"/>
  <c r="AU426" i="1" s="1"/>
  <c r="AR35" i="1"/>
  <c r="AR205" i="1"/>
  <c r="AT205" i="1" s="1"/>
  <c r="AU205" i="1" s="1"/>
  <c r="AR287" i="1"/>
  <c r="AT287" i="1" s="1"/>
  <c r="AU287" i="1" s="1"/>
  <c r="AR45" i="1"/>
  <c r="AR316" i="1"/>
  <c r="AR198" i="1"/>
  <c r="AR6" i="1"/>
  <c r="AR428" i="1"/>
  <c r="AT428" i="1" s="1"/>
  <c r="AU428" i="1" s="1"/>
  <c r="AR402" i="1"/>
  <c r="AR82" i="1"/>
  <c r="AT82" i="1" s="1"/>
  <c r="AU82" i="1" s="1"/>
  <c r="AR141" i="1"/>
  <c r="AR10" i="1"/>
  <c r="AR238" i="1"/>
  <c r="AR268" i="1"/>
  <c r="AT268" i="1" s="1"/>
  <c r="AU268" i="1" s="1"/>
  <c r="AR147" i="1"/>
  <c r="AT147" i="1" s="1"/>
  <c r="AU147" i="1" s="1"/>
  <c r="AR221" i="1"/>
  <c r="AR122" i="1"/>
  <c r="AR114" i="1"/>
  <c r="AR200" i="1"/>
  <c r="AR236" i="1"/>
  <c r="AT236" i="1" s="1"/>
  <c r="AU236" i="1" s="1"/>
  <c r="AR385" i="1"/>
  <c r="AT385" i="1" s="1"/>
  <c r="AU385" i="1" s="1"/>
  <c r="AR140" i="1"/>
  <c r="AR427" i="1"/>
  <c r="AT427" i="1" s="1"/>
  <c r="AU427" i="1" s="1"/>
  <c r="AR34" i="1"/>
  <c r="AT34" i="1" s="1"/>
  <c r="AU34" i="1" s="1"/>
  <c r="AR135" i="1"/>
  <c r="AR56" i="1"/>
  <c r="AT56" i="1" s="1"/>
  <c r="AU56" i="1" s="1"/>
  <c r="AR398" i="1"/>
  <c r="AT398" i="1" s="1"/>
  <c r="AU398" i="1" s="1"/>
  <c r="AR179" i="1"/>
  <c r="AR196" i="1"/>
  <c r="AT196" i="1" s="1"/>
  <c r="AU196" i="1" s="1"/>
  <c r="AR248" i="1"/>
  <c r="AT248" i="1" s="1"/>
  <c r="AU248" i="1" s="1"/>
  <c r="AR89" i="1"/>
  <c r="AR24" i="1"/>
  <c r="AT24" i="1" s="1"/>
  <c r="AU24" i="1" s="1"/>
  <c r="AR241" i="1"/>
  <c r="AR146" i="1"/>
  <c r="AR68" i="1"/>
  <c r="AR351" i="1"/>
  <c r="AR181" i="1"/>
  <c r="AR373" i="1"/>
  <c r="AT373" i="1" s="1"/>
  <c r="AU373" i="1" s="1"/>
  <c r="AR209" i="1"/>
  <c r="AR155" i="1"/>
  <c r="AR90" i="1"/>
  <c r="AR245" i="1"/>
  <c r="AR157" i="1"/>
  <c r="AR124" i="1"/>
  <c r="AR180" i="1"/>
  <c r="AR394" i="1"/>
  <c r="AT394" i="1" s="1"/>
  <c r="AU394" i="1" s="1"/>
  <c r="AR307" i="1"/>
  <c r="AR167" i="1"/>
  <c r="AT167" i="1" s="1"/>
  <c r="AU167" i="1" s="1"/>
  <c r="AR173" i="1"/>
  <c r="AR40" i="1"/>
  <c r="AT40" i="1" s="1"/>
  <c r="AU40" i="1" s="1"/>
  <c r="AR269" i="1"/>
  <c r="AR276" i="1"/>
  <c r="AR47" i="1"/>
  <c r="AT47" i="1" s="1"/>
  <c r="AU47" i="1" s="1"/>
  <c r="AR392" i="1"/>
  <c r="AR370" i="1"/>
  <c r="AT370" i="1" s="1"/>
  <c r="AU370" i="1" s="1"/>
  <c r="AR139" i="1"/>
  <c r="AR309" i="1"/>
  <c r="AR127" i="1"/>
  <c r="AR166" i="1"/>
  <c r="AR214" i="1"/>
  <c r="AR66" i="1"/>
  <c r="AR107" i="1"/>
  <c r="AR120" i="1"/>
  <c r="AR347" i="1"/>
  <c r="AT347" i="1" s="1"/>
  <c r="AU347" i="1" s="1"/>
  <c r="AR212" i="1"/>
  <c r="AR281" i="1"/>
  <c r="AR396" i="1"/>
  <c r="AT396" i="1" s="1"/>
  <c r="AU396" i="1" s="1"/>
  <c r="AR275" i="1"/>
  <c r="AT275" i="1" s="1"/>
  <c r="AU275" i="1" s="1"/>
  <c r="AR60" i="1"/>
  <c r="AT60" i="1" s="1"/>
  <c r="AU60" i="1" s="1"/>
  <c r="AR37" i="1"/>
  <c r="AR69" i="1"/>
  <c r="AR375" i="1"/>
  <c r="AT375" i="1" s="1"/>
  <c r="AU375" i="1" s="1"/>
  <c r="AR260" i="1"/>
  <c r="AR213" i="1"/>
  <c r="AR300" i="1"/>
  <c r="AT300" i="1" s="1"/>
  <c r="AU300" i="1" s="1"/>
  <c r="AR98" i="1"/>
  <c r="AT98" i="1" s="1"/>
  <c r="AU98" i="1" s="1"/>
  <c r="AR186" i="1"/>
  <c r="AR230" i="1"/>
  <c r="AT230" i="1" s="1"/>
  <c r="AU230" i="1" s="1"/>
  <c r="AR74" i="1"/>
  <c r="AR88" i="1"/>
  <c r="AR379" i="1"/>
  <c r="AT379" i="1" s="1"/>
  <c r="AU379" i="1" s="1"/>
  <c r="AR401" i="1"/>
  <c r="AR202" i="1"/>
  <c r="AR162" i="1"/>
  <c r="AT162" i="1" s="1"/>
  <c r="AU162" i="1" s="1"/>
  <c r="AR51" i="1"/>
  <c r="AR210" i="1"/>
  <c r="AR188" i="1"/>
  <c r="AR8" i="1"/>
  <c r="AR368" i="1"/>
  <c r="AT368" i="1" s="1"/>
  <c r="AU368" i="1" s="1"/>
  <c r="AR344" i="1"/>
  <c r="AT344" i="1" s="1"/>
  <c r="AU344" i="1" s="1"/>
  <c r="AR381" i="1"/>
  <c r="AT381" i="1" s="1"/>
  <c r="AU381" i="1" s="1"/>
  <c r="AR239" i="1"/>
  <c r="AT239" i="1" s="1"/>
  <c r="AU239" i="1" s="1"/>
  <c r="AR80" i="1"/>
  <c r="AR106" i="1"/>
  <c r="AR226" i="1"/>
  <c r="AT226" i="1" s="1"/>
  <c r="AU226" i="1" s="1"/>
  <c r="AR323" i="1"/>
  <c r="AR129" i="1"/>
  <c r="AR4" i="1"/>
  <c r="AR177" i="1"/>
  <c r="AT177" i="1" s="1"/>
  <c r="AU177" i="1" s="1"/>
  <c r="AR280" i="1"/>
  <c r="AT280" i="1" s="1"/>
  <c r="AU280" i="1" s="1"/>
  <c r="AR217" i="1"/>
  <c r="AR133" i="1"/>
  <c r="AR92" i="1"/>
  <c r="AT92" i="1" s="1"/>
  <c r="AU92" i="1" s="1"/>
  <c r="AR220" i="1"/>
  <c r="AT220" i="1" s="1"/>
  <c r="AU220" i="1" s="1"/>
  <c r="AR519" i="1"/>
  <c r="AT519" i="1" s="1"/>
  <c r="AU519" i="1" s="1"/>
  <c r="AR530" i="1"/>
  <c r="AT530" i="1" s="1"/>
  <c r="AU530" i="1" s="1"/>
  <c r="AR549" i="1"/>
  <c r="AR554" i="1"/>
  <c r="AT554" i="1" s="1"/>
  <c r="AU554" i="1" s="1"/>
  <c r="AR573" i="1"/>
  <c r="AT573" i="1" s="1"/>
  <c r="AU573" i="1" s="1"/>
  <c r="AR584" i="1"/>
  <c r="AR600" i="1"/>
  <c r="AT600" i="1" s="1"/>
  <c r="AU600" i="1" s="1"/>
  <c r="AR608" i="1"/>
  <c r="AR529" i="1"/>
  <c r="AT529" i="1" s="1"/>
  <c r="AU529" i="1" s="1"/>
  <c r="AR555" i="1"/>
  <c r="AT555" i="1" s="1"/>
  <c r="AU555" i="1" s="1"/>
  <c r="AR585" i="1"/>
  <c r="AR597" i="1"/>
  <c r="AR515" i="1"/>
  <c r="AR520" i="1"/>
  <c r="AT520" i="1" s="1"/>
  <c r="AU520" i="1" s="1"/>
  <c r="AR527" i="1"/>
  <c r="AT527" i="1" s="1"/>
  <c r="AU527" i="1" s="1"/>
  <c r="AR536" i="1"/>
  <c r="AT536" i="1" s="1"/>
  <c r="AU536" i="1" s="1"/>
  <c r="AR545" i="1"/>
  <c r="AT545" i="1" s="1"/>
  <c r="AU545" i="1" s="1"/>
  <c r="AR558" i="1"/>
  <c r="AR577" i="1"/>
  <c r="AT577" i="1" s="1"/>
  <c r="AU577" i="1" s="1"/>
  <c r="AR594" i="1"/>
  <c r="AR525" i="1"/>
  <c r="AT525" i="1" s="1"/>
  <c r="AU525" i="1" s="1"/>
  <c r="AR551" i="1"/>
  <c r="AR587" i="1"/>
  <c r="AR595" i="1"/>
  <c r="AR607" i="1"/>
  <c r="AR581" i="1"/>
  <c r="AT581" i="1" s="1"/>
  <c r="AU581" i="1" s="1"/>
  <c r="AR535" i="1"/>
  <c r="AR582" i="1"/>
  <c r="AR569" i="1"/>
  <c r="AR562" i="1"/>
  <c r="AT562" i="1" s="1"/>
  <c r="AU562" i="1" s="1"/>
  <c r="AR528" i="1"/>
  <c r="AT528" i="1" s="1"/>
  <c r="AU528" i="1" s="1"/>
  <c r="AR570" i="1"/>
  <c r="AT570" i="1" s="1"/>
  <c r="AU570" i="1" s="1"/>
  <c r="AR564" i="1"/>
  <c r="AT564" i="1" s="1"/>
  <c r="AU564" i="1" s="1"/>
  <c r="AR517" i="1"/>
  <c r="AT517" i="1" s="1"/>
  <c r="AU517" i="1" s="1"/>
  <c r="AR510" i="1"/>
  <c r="AR508" i="1"/>
  <c r="AR488" i="1"/>
  <c r="AT488" i="1" s="1"/>
  <c r="AU488" i="1" s="1"/>
  <c r="AR509" i="1"/>
  <c r="AR465" i="1"/>
  <c r="AT465" i="1" s="1"/>
  <c r="AU465" i="1" s="1"/>
  <c r="AR450" i="1"/>
  <c r="AR470" i="1"/>
  <c r="AT470" i="1" s="1"/>
  <c r="AU470" i="1" s="1"/>
  <c r="AR504" i="1"/>
  <c r="AT504" i="1" s="1"/>
  <c r="AU504" i="1" s="1"/>
  <c r="AR472" i="1"/>
  <c r="AT472" i="1" s="1"/>
  <c r="AU472" i="1" s="1"/>
  <c r="AR507" i="1"/>
  <c r="AR499" i="1"/>
  <c r="AT499" i="1" s="1"/>
  <c r="AU499" i="1" s="1"/>
  <c r="AR436" i="1"/>
  <c r="AT436" i="1" s="1"/>
  <c r="AU436" i="1" s="1"/>
  <c r="AR474" i="1"/>
  <c r="AT474" i="1" s="1"/>
  <c r="AU474" i="1" s="1"/>
  <c r="AR494" i="1"/>
  <c r="AR477" i="1"/>
  <c r="AT477" i="1" s="1"/>
  <c r="AU477" i="1" s="1"/>
  <c r="AR460" i="1"/>
  <c r="AR447" i="1"/>
  <c r="AR462" i="1"/>
  <c r="AR481" i="1"/>
  <c r="AR444" i="1"/>
  <c r="AT444" i="1" s="1"/>
  <c r="AU444" i="1" s="1"/>
  <c r="AR459" i="1"/>
  <c r="AR455" i="1"/>
  <c r="AR495" i="1"/>
  <c r="AT495" i="1" s="1"/>
  <c r="AU495" i="1" s="1"/>
  <c r="AR485" i="1"/>
  <c r="AR443" i="1"/>
  <c r="AT443" i="1" s="1"/>
  <c r="AU443" i="1" s="1"/>
  <c r="AR451" i="1"/>
  <c r="AR466" i="1"/>
  <c r="AT466" i="1" s="1"/>
  <c r="AU466" i="1" s="1"/>
  <c r="AR433" i="1"/>
  <c r="AT433" i="1" s="1"/>
  <c r="AU433" i="1" s="1"/>
  <c r="AR453" i="1"/>
  <c r="AR468" i="1"/>
  <c r="AR479" i="1"/>
  <c r="AR110" i="1"/>
  <c r="AR121" i="1"/>
  <c r="AR359" i="1"/>
  <c r="AR350" i="1"/>
  <c r="AR267" i="1"/>
  <c r="AR420" i="1"/>
  <c r="AT420" i="1" s="1"/>
  <c r="AU420" i="1" s="1"/>
  <c r="AR145" i="1"/>
  <c r="AR46" i="1"/>
  <c r="AR100" i="1"/>
  <c r="AT100" i="1" s="1"/>
  <c r="AU100" i="1" s="1"/>
  <c r="AR416" i="1"/>
  <c r="AT416" i="1" s="1"/>
  <c r="AU416" i="1" s="1"/>
  <c r="AR357" i="1"/>
  <c r="AR270" i="1"/>
  <c r="AR195" i="1"/>
  <c r="AT195" i="1" s="1"/>
  <c r="AU195" i="1" s="1"/>
  <c r="AR197" i="1"/>
  <c r="AT197" i="1" s="1"/>
  <c r="AU197" i="1" s="1"/>
  <c r="AR21" i="1"/>
  <c r="AR279" i="1"/>
  <c r="AT279" i="1" s="1"/>
  <c r="AU279" i="1" s="1"/>
  <c r="AR78" i="1"/>
  <c r="AR53" i="1"/>
  <c r="AR388" i="1"/>
  <c r="AT388" i="1" s="1"/>
  <c r="AU388" i="1" s="1"/>
  <c r="AR363" i="1"/>
  <c r="AR362" i="1"/>
  <c r="AT362" i="1" s="1"/>
  <c r="AU362" i="1" s="1"/>
  <c r="AR296" i="1"/>
  <c r="AR291" i="1"/>
  <c r="AT291" i="1" s="1"/>
  <c r="AU291" i="1" s="1"/>
  <c r="AR27" i="1"/>
  <c r="AR313" i="1"/>
  <c r="AR324" i="1"/>
  <c r="AT324" i="1" s="1"/>
  <c r="AU324" i="1" s="1"/>
  <c r="AR16" i="1"/>
  <c r="AR400" i="1"/>
  <c r="AR360" i="1"/>
  <c r="AR337" i="1"/>
  <c r="AR223" i="1"/>
  <c r="AR308" i="1"/>
  <c r="AR15" i="1"/>
  <c r="AR329" i="1"/>
  <c r="AR258" i="1"/>
  <c r="AT258" i="1" s="1"/>
  <c r="AU258" i="1" s="1"/>
  <c r="AR93" i="1"/>
  <c r="AR372" i="1"/>
  <c r="AT372" i="1" s="1"/>
  <c r="AU372" i="1" s="1"/>
  <c r="AR364" i="1"/>
  <c r="AT364" i="1" s="1"/>
  <c r="AU364" i="1" s="1"/>
  <c r="AR232" i="1"/>
  <c r="AT232" i="1" s="1"/>
  <c r="AU232" i="1" s="1"/>
  <c r="AR264" i="1"/>
  <c r="AR104" i="1"/>
  <c r="AT104" i="1" s="1"/>
  <c r="AU104" i="1" s="1"/>
  <c r="AR14" i="1"/>
  <c r="AT14" i="1" s="1"/>
  <c r="AU14" i="1" s="1"/>
  <c r="AR203" i="1"/>
  <c r="AT203" i="1" s="1"/>
  <c r="AU203" i="1" s="1"/>
  <c r="AR169" i="1"/>
  <c r="AT169" i="1" s="1"/>
  <c r="AU169" i="1" s="1"/>
  <c r="AR99" i="1"/>
  <c r="AR118" i="1"/>
  <c r="AR240" i="1"/>
  <c r="AT240" i="1" s="1"/>
  <c r="AU240" i="1" s="1"/>
  <c r="AR352" i="1"/>
  <c r="AT352" i="1" s="1"/>
  <c r="AU352" i="1" s="1"/>
  <c r="AR154" i="1"/>
  <c r="AR175" i="1"/>
  <c r="AR305" i="1"/>
  <c r="AR50" i="1"/>
  <c r="AR9" i="1"/>
  <c r="AR130" i="1"/>
  <c r="AR407" i="1"/>
  <c r="AR365" i="1"/>
  <c r="AT365" i="1" s="1"/>
  <c r="AU365" i="1" s="1"/>
  <c r="AR265" i="1"/>
  <c r="AR282" i="1"/>
  <c r="AR43" i="1"/>
  <c r="AR194" i="1"/>
  <c r="AR171" i="1"/>
  <c r="AR183" i="1"/>
  <c r="AR86" i="1"/>
  <c r="AR431" i="1"/>
  <c r="AT431" i="1" s="1"/>
  <c r="AU431" i="1" s="1"/>
  <c r="AR418" i="1"/>
  <c r="AR327" i="1"/>
  <c r="AT327" i="1" s="1"/>
  <c r="AU327" i="1" s="1"/>
  <c r="AR234" i="1"/>
  <c r="AR39" i="1"/>
  <c r="AR335" i="1"/>
  <c r="AR295" i="1"/>
  <c r="AR131" i="1"/>
  <c r="AR7" i="1"/>
  <c r="AR367" i="1"/>
  <c r="AR345" i="1"/>
  <c r="AT345" i="1" s="1"/>
  <c r="AU345" i="1" s="1"/>
  <c r="AR277" i="1"/>
  <c r="AT277" i="1" s="1"/>
  <c r="AU277" i="1" s="1"/>
  <c r="AR244" i="1"/>
  <c r="AR49" i="1"/>
  <c r="AR293" i="1"/>
  <c r="AT293" i="1" s="1"/>
  <c r="AU293" i="1" s="1"/>
  <c r="AR215" i="1"/>
  <c r="AR161" i="1"/>
  <c r="AT161" i="1" s="1"/>
  <c r="AU161" i="1" s="1"/>
  <c r="AR136" i="1"/>
  <c r="AR403" i="1"/>
  <c r="AR353" i="1"/>
  <c r="AR251" i="1"/>
  <c r="AR165" i="1"/>
  <c r="AR61" i="1"/>
  <c r="AR253" i="1"/>
  <c r="AR334" i="1"/>
  <c r="AR36" i="1"/>
  <c r="AR285" i="1"/>
  <c r="AT285" i="1" s="1"/>
  <c r="AU285" i="1" s="1"/>
  <c r="AR59" i="1"/>
  <c r="AR119" i="1"/>
  <c r="AR303" i="1"/>
  <c r="AT303" i="1" s="1"/>
  <c r="AU303" i="1" s="1"/>
  <c r="AR356" i="1"/>
  <c r="AR336" i="1"/>
  <c r="AR79" i="1"/>
  <c r="AR84" i="1"/>
  <c r="AT84" i="1" s="1"/>
  <c r="AU84" i="1" s="1"/>
  <c r="AR54" i="1"/>
  <c r="AR29" i="1"/>
  <c r="AR137" i="1"/>
  <c r="AR391" i="1"/>
  <c r="AT391" i="1" s="1"/>
  <c r="AU391" i="1" s="1"/>
  <c r="AR338" i="1"/>
  <c r="AT338" i="1" s="1"/>
  <c r="AU338" i="1" s="1"/>
  <c r="AR247" i="1"/>
  <c r="AT247" i="1" s="1"/>
  <c r="AU247" i="1" s="1"/>
  <c r="AR326" i="1"/>
  <c r="AT326" i="1" s="1"/>
  <c r="AU326" i="1" s="1"/>
  <c r="AR63" i="1"/>
  <c r="AR156" i="1"/>
  <c r="AR278" i="1"/>
  <c r="AR153" i="1"/>
  <c r="AT153" i="1" s="1"/>
  <c r="AU153" i="1" s="1"/>
  <c r="AR96" i="1"/>
  <c r="AT96" i="1" s="1"/>
  <c r="AU96" i="1" s="1"/>
  <c r="AR411" i="1"/>
  <c r="AR386" i="1"/>
  <c r="AT386" i="1" s="1"/>
  <c r="AU386" i="1" s="1"/>
  <c r="AR262" i="1"/>
  <c r="AR168" i="1"/>
  <c r="AR72" i="1"/>
  <c r="AR266" i="1"/>
  <c r="AR242" i="1"/>
  <c r="AT242" i="1" s="1"/>
  <c r="AU242" i="1" s="1"/>
  <c r="AR95" i="1"/>
  <c r="AR380" i="1"/>
  <c r="AT380" i="1" s="1"/>
  <c r="AU380" i="1" s="1"/>
  <c r="AR341" i="1"/>
  <c r="AT341" i="1" s="1"/>
  <c r="AU341" i="1" s="1"/>
  <c r="AR413" i="1"/>
  <c r="AT413" i="1" s="1"/>
  <c r="AU413" i="1" s="1"/>
  <c r="AR255" i="1"/>
  <c r="AT255" i="1" s="1"/>
  <c r="AU255" i="1" s="1"/>
  <c r="AR325" i="1"/>
  <c r="AR25" i="1"/>
  <c r="AT25" i="1" s="1"/>
  <c r="AU25" i="1" s="1"/>
  <c r="AR274" i="1"/>
  <c r="AT274" i="1" s="1"/>
  <c r="AU274" i="1" s="1"/>
  <c r="AR199" i="1"/>
  <c r="AT199" i="1" s="1"/>
  <c r="AU199" i="1" s="1"/>
  <c r="AR142" i="1"/>
  <c r="AR19" i="1"/>
  <c r="AT19" i="1" s="1"/>
  <c r="AU19" i="1" s="1"/>
  <c r="AR349" i="1"/>
  <c r="AT349" i="1" s="1"/>
  <c r="AU349" i="1" s="1"/>
  <c r="AR292" i="1"/>
  <c r="AT292" i="1" s="1"/>
  <c r="AU292" i="1" s="1"/>
  <c r="AR235" i="1"/>
  <c r="AT235" i="1" s="1"/>
  <c r="AU235" i="1" s="1"/>
  <c r="AR81" i="1"/>
  <c r="AR132" i="1"/>
  <c r="AR237" i="1"/>
  <c r="AR306" i="1"/>
  <c r="AR144" i="1"/>
  <c r="AR115" i="1"/>
  <c r="AR208" i="1"/>
  <c r="AR250" i="1"/>
  <c r="AR369" i="1"/>
  <c r="AT369" i="1" s="1"/>
  <c r="AU369" i="1" s="1"/>
  <c r="AR342" i="1"/>
  <c r="AR409" i="1"/>
  <c r="AR97" i="1"/>
  <c r="AT97" i="1" s="1"/>
  <c r="AU97" i="1" s="1"/>
  <c r="AR67" i="1"/>
  <c r="AR62" i="1"/>
  <c r="AR366" i="1"/>
  <c r="AR404" i="1"/>
  <c r="AR321" i="1"/>
  <c r="AR192" i="1"/>
  <c r="AR75" i="1"/>
  <c r="AR315" i="1"/>
  <c r="AT315" i="1" s="1"/>
  <c r="AU315" i="1" s="1"/>
  <c r="AR225" i="1"/>
  <c r="AR310" i="1"/>
  <c r="AR87" i="1"/>
  <c r="AR406" i="1"/>
  <c r="AR355" i="1"/>
  <c r="AT355" i="1" s="1"/>
  <c r="AU355" i="1" s="1"/>
  <c r="AR340" i="1"/>
  <c r="AR185" i="1"/>
  <c r="AR77" i="1"/>
  <c r="AR11" i="1"/>
  <c r="AR229" i="1"/>
  <c r="AR111" i="1"/>
  <c r="AR134" i="1"/>
  <c r="AR415" i="1"/>
  <c r="AT415" i="1" s="1"/>
  <c r="AU415" i="1" s="1"/>
  <c r="AR354" i="1"/>
  <c r="AT354" i="1" s="1"/>
  <c r="AU354" i="1" s="1"/>
  <c r="AR148" i="1"/>
  <c r="AR272" i="1"/>
  <c r="AR151" i="1"/>
  <c r="AR65" i="1"/>
  <c r="AR249" i="1"/>
  <c r="AT249" i="1" s="1"/>
  <c r="AU249" i="1" s="1"/>
  <c r="AR290" i="1"/>
  <c r="AR20" i="1"/>
  <c r="AR422" i="1"/>
  <c r="AT422" i="1" s="1"/>
  <c r="AU422" i="1" s="1"/>
  <c r="AR361" i="1"/>
  <c r="AT361" i="1" s="1"/>
  <c r="AU361" i="1" s="1"/>
  <c r="AR318" i="1"/>
  <c r="AR330" i="1"/>
  <c r="AR91" i="1"/>
  <c r="AR143" i="1"/>
  <c r="AR85" i="1"/>
  <c r="G28" i="5"/>
  <c r="J61" i="2"/>
  <c r="F28" i="5"/>
  <c r="C28" i="5"/>
  <c r="D28" i="5"/>
  <c r="N60" i="2"/>
  <c r="B29" i="5"/>
  <c r="H28" i="5"/>
  <c r="E28" i="5"/>
  <c r="K30" i="4" l="1"/>
  <c r="L30" i="4" s="1"/>
  <c r="M30" i="4" s="1"/>
  <c r="L27" i="5"/>
  <c r="M60" i="2"/>
  <c r="O60" i="2" s="1"/>
  <c r="P60" i="2" s="1"/>
  <c r="Q60" i="2" s="1"/>
  <c r="A28" i="5"/>
  <c r="AT578" i="1"/>
  <c r="AU578" i="1" s="1"/>
  <c r="AV578" i="1" s="1"/>
  <c r="M28" i="4"/>
  <c r="AT569" i="1"/>
  <c r="AU569" i="1" s="1"/>
  <c r="AV569" i="1" s="1"/>
  <c r="M27" i="5"/>
  <c r="M61" i="2"/>
  <c r="O61" i="2" s="1"/>
  <c r="P61" i="2" s="1"/>
  <c r="Q61" i="2" s="1"/>
  <c r="J29" i="5"/>
  <c r="E61" i="2"/>
  <c r="O59" i="2"/>
  <c r="P59" i="2" s="1"/>
  <c r="Q59" i="2" s="1"/>
  <c r="I28" i="5"/>
  <c r="N49" i="4"/>
  <c r="N46" i="4"/>
  <c r="N40" i="4"/>
  <c r="N44" i="4"/>
  <c r="N52" i="4"/>
  <c r="N39" i="4"/>
  <c r="N36" i="4"/>
  <c r="N41" i="4"/>
  <c r="N47" i="4"/>
  <c r="N48" i="4"/>
  <c r="N34" i="4"/>
  <c r="A30" i="4"/>
  <c r="N30" i="4"/>
  <c r="L29" i="4"/>
  <c r="M29" i="4" s="1"/>
  <c r="N29" i="4"/>
  <c r="N43" i="4"/>
  <c r="N51" i="4"/>
  <c r="N35" i="4"/>
  <c r="N45" i="4"/>
  <c r="N42" i="4"/>
  <c r="N38" i="4"/>
  <c r="N33" i="4"/>
  <c r="N37" i="4"/>
  <c r="N32" i="4"/>
  <c r="N31" i="4"/>
  <c r="N50" i="4"/>
  <c r="AT576" i="1"/>
  <c r="AU576" i="1" s="1"/>
  <c r="AW576" i="1" s="1"/>
  <c r="AT85" i="1"/>
  <c r="AU85" i="1" s="1"/>
  <c r="AT91" i="1"/>
  <c r="AU91" i="1" s="1"/>
  <c r="AT318" i="1"/>
  <c r="AU318" i="1" s="1"/>
  <c r="AV422" i="1"/>
  <c r="AW422" i="1"/>
  <c r="AT65" i="1"/>
  <c r="AU65" i="1" s="1"/>
  <c r="AT272" i="1"/>
  <c r="AU272" i="1" s="1"/>
  <c r="AV354" i="1"/>
  <c r="AW354" i="1"/>
  <c r="AT134" i="1"/>
  <c r="AU134" i="1" s="1"/>
  <c r="AT229" i="1"/>
  <c r="AU229" i="1" s="1"/>
  <c r="AT77" i="1"/>
  <c r="AU77" i="1" s="1"/>
  <c r="AT340" i="1"/>
  <c r="AU340" i="1" s="1"/>
  <c r="AW315" i="1"/>
  <c r="AV315" i="1"/>
  <c r="AT62" i="1"/>
  <c r="AU62" i="1" s="1"/>
  <c r="AV97" i="1"/>
  <c r="AW97" i="1"/>
  <c r="AT342" i="1"/>
  <c r="AU342" i="1" s="1"/>
  <c r="AT132" i="1"/>
  <c r="AU132" i="1" s="1"/>
  <c r="AW235" i="1"/>
  <c r="AV235" i="1"/>
  <c r="AV349" i="1"/>
  <c r="AW349" i="1"/>
  <c r="AT142" i="1"/>
  <c r="AU142" i="1" s="1"/>
  <c r="AW274" i="1"/>
  <c r="AV274" i="1"/>
  <c r="AT325" i="1"/>
  <c r="AU325" i="1" s="1"/>
  <c r="AW413" i="1"/>
  <c r="AV413" i="1"/>
  <c r="AV380" i="1"/>
  <c r="AW380" i="1"/>
  <c r="AV242" i="1"/>
  <c r="AW242" i="1"/>
  <c r="AT72" i="1"/>
  <c r="AU72" i="1" s="1"/>
  <c r="AT262" i="1"/>
  <c r="AU262" i="1" s="1"/>
  <c r="AW153" i="1"/>
  <c r="AV153" i="1"/>
  <c r="AT156" i="1"/>
  <c r="AU156" i="1" s="1"/>
  <c r="AV326" i="1"/>
  <c r="AW326" i="1"/>
  <c r="AV338" i="1"/>
  <c r="AW338" i="1"/>
  <c r="AT137" i="1"/>
  <c r="AU137" i="1" s="1"/>
  <c r="AT54" i="1"/>
  <c r="AU54" i="1" s="1"/>
  <c r="AT79" i="1"/>
  <c r="AU79" i="1" s="1"/>
  <c r="AW285" i="1"/>
  <c r="AV285" i="1"/>
  <c r="AT334" i="1"/>
  <c r="AU334" i="1" s="1"/>
  <c r="AT61" i="1"/>
  <c r="AU61" i="1" s="1"/>
  <c r="AV161" i="1"/>
  <c r="AW161" i="1"/>
  <c r="AW293" i="1"/>
  <c r="AV293" i="1"/>
  <c r="AV345" i="1"/>
  <c r="AW345" i="1"/>
  <c r="AT7" i="1"/>
  <c r="AU7" i="1" s="1"/>
  <c r="AT39" i="1"/>
  <c r="AU39" i="1" s="1"/>
  <c r="AV327" i="1"/>
  <c r="AW327" i="1"/>
  <c r="AV431" i="1"/>
  <c r="AW431" i="1"/>
  <c r="AT282" i="1"/>
  <c r="AU282" i="1" s="1"/>
  <c r="AV365" i="1"/>
  <c r="AW365" i="1"/>
  <c r="AT130" i="1"/>
  <c r="AU130" i="1" s="1"/>
  <c r="AT50" i="1"/>
  <c r="AU50" i="1" s="1"/>
  <c r="AV352" i="1"/>
  <c r="AW352" i="1"/>
  <c r="AV169" i="1"/>
  <c r="AW169" i="1"/>
  <c r="AV14" i="1"/>
  <c r="AW14" i="1"/>
  <c r="AT264" i="1"/>
  <c r="AU264" i="1" s="1"/>
  <c r="AV364" i="1"/>
  <c r="AW364" i="1"/>
  <c r="AT93" i="1"/>
  <c r="AU93" i="1" s="1"/>
  <c r="AT329" i="1"/>
  <c r="AU329" i="1" s="1"/>
  <c r="AT337" i="1"/>
  <c r="AU337" i="1" s="1"/>
  <c r="AV324" i="1"/>
  <c r="AW324" i="1"/>
  <c r="AT363" i="1"/>
  <c r="AU363" i="1" s="1"/>
  <c r="AT53" i="1"/>
  <c r="AU53" i="1" s="1"/>
  <c r="AV279" i="1"/>
  <c r="AW279" i="1"/>
  <c r="AV197" i="1"/>
  <c r="AW197" i="1"/>
  <c r="AT270" i="1"/>
  <c r="AU270" i="1" s="1"/>
  <c r="AV416" i="1"/>
  <c r="AW416" i="1"/>
  <c r="AT46" i="1"/>
  <c r="AU46" i="1" s="1"/>
  <c r="AW420" i="1"/>
  <c r="AV420" i="1"/>
  <c r="AT350" i="1"/>
  <c r="AU350" i="1" s="1"/>
  <c r="AT453" i="1"/>
  <c r="AU453" i="1" s="1"/>
  <c r="AV466" i="1"/>
  <c r="AW466" i="1"/>
  <c r="AV443" i="1"/>
  <c r="AW443" i="1"/>
  <c r="AV495" i="1"/>
  <c r="AW495" i="1"/>
  <c r="AT459" i="1"/>
  <c r="AU459" i="1" s="1"/>
  <c r="AT447" i="1"/>
  <c r="AU447" i="1" s="1"/>
  <c r="AV477" i="1"/>
  <c r="AW477" i="1"/>
  <c r="AW474" i="1"/>
  <c r="AV474" i="1"/>
  <c r="AV499" i="1"/>
  <c r="AW499" i="1"/>
  <c r="AV472" i="1"/>
  <c r="AW472" i="1"/>
  <c r="AW470" i="1"/>
  <c r="AV470" i="1"/>
  <c r="AW465" i="1"/>
  <c r="AV465" i="1"/>
  <c r="AW488" i="1"/>
  <c r="AV488" i="1"/>
  <c r="AW564" i="1"/>
  <c r="AV564" i="1"/>
  <c r="AV528" i="1"/>
  <c r="AW528" i="1"/>
  <c r="AW581" i="1"/>
  <c r="AV581" i="1"/>
  <c r="AT551" i="1"/>
  <c r="AU551" i="1" s="1"/>
  <c r="AW545" i="1"/>
  <c r="AV545" i="1"/>
  <c r="AV527" i="1"/>
  <c r="AW527" i="1"/>
  <c r="AW555" i="1"/>
  <c r="AV555" i="1"/>
  <c r="AV519" i="1"/>
  <c r="AW519" i="1"/>
  <c r="AV92" i="1"/>
  <c r="AW92" i="1"/>
  <c r="AW177" i="1"/>
  <c r="AV177" i="1"/>
  <c r="AT129" i="1"/>
  <c r="AU129" i="1" s="1"/>
  <c r="AV226" i="1"/>
  <c r="AW226" i="1"/>
  <c r="AT80" i="1"/>
  <c r="AU80" i="1" s="1"/>
  <c r="AW381" i="1"/>
  <c r="AV381" i="1"/>
  <c r="AV368" i="1"/>
  <c r="AW368" i="1"/>
  <c r="AT51" i="1"/>
  <c r="AU51" i="1" s="1"/>
  <c r="AV379" i="1"/>
  <c r="AW379" i="1"/>
  <c r="AT74" i="1"/>
  <c r="AU74" i="1" s="1"/>
  <c r="AW300" i="1"/>
  <c r="AV300" i="1"/>
  <c r="AT260" i="1"/>
  <c r="AU260" i="1" s="1"/>
  <c r="AT69" i="1"/>
  <c r="AU69" i="1" s="1"/>
  <c r="AV60" i="1"/>
  <c r="AW60" i="1"/>
  <c r="AV396" i="1"/>
  <c r="AW396" i="1"/>
  <c r="AT66" i="1"/>
  <c r="AU66" i="1" s="1"/>
  <c r="AT166" i="1"/>
  <c r="AU166" i="1" s="1"/>
  <c r="AV370" i="1"/>
  <c r="AW370" i="1"/>
  <c r="AV47" i="1"/>
  <c r="AW47" i="1"/>
  <c r="AT269" i="1"/>
  <c r="AU269" i="1" s="1"/>
  <c r="AT157" i="1"/>
  <c r="AU157" i="1" s="1"/>
  <c r="AT90" i="1"/>
  <c r="AU90" i="1" s="1"/>
  <c r="AT68" i="1"/>
  <c r="AU68" i="1" s="1"/>
  <c r="AT241" i="1"/>
  <c r="AU241" i="1" s="1"/>
  <c r="AT89" i="1"/>
  <c r="AU89" i="1" s="1"/>
  <c r="AW196" i="1"/>
  <c r="AV196" i="1"/>
  <c r="AV398" i="1"/>
  <c r="AW398" i="1"/>
  <c r="AT135" i="1"/>
  <c r="AU135" i="1" s="1"/>
  <c r="AV427" i="1"/>
  <c r="AW427" i="1"/>
  <c r="AV385" i="1"/>
  <c r="AW385" i="1"/>
  <c r="AW147" i="1"/>
  <c r="AV147" i="1"/>
  <c r="AT238" i="1"/>
  <c r="AU238" i="1" s="1"/>
  <c r="AT141" i="1"/>
  <c r="AU141" i="1" s="1"/>
  <c r="AT6" i="1"/>
  <c r="AU6" i="1" s="1"/>
  <c r="AT316" i="1"/>
  <c r="AU316" i="1" s="1"/>
  <c r="AW287" i="1"/>
  <c r="AV287" i="1"/>
  <c r="AT35" i="1"/>
  <c r="AU35" i="1" s="1"/>
  <c r="AW414" i="1"/>
  <c r="AV414" i="1"/>
  <c r="AV298" i="1"/>
  <c r="AW298" i="1"/>
  <c r="AT126" i="1"/>
  <c r="AU126" i="1" s="1"/>
  <c r="AV259" i="1"/>
  <c r="AW259" i="1"/>
  <c r="AV333" i="1"/>
  <c r="AW333" i="1"/>
  <c r="AT31" i="1"/>
  <c r="AU31" i="1" s="1"/>
  <c r="AW257" i="1"/>
  <c r="AV257" i="1"/>
  <c r="AT159" i="1"/>
  <c r="AU159" i="1" s="1"/>
  <c r="AW430" i="1"/>
  <c r="AV430" i="1"/>
  <c r="AT128" i="1"/>
  <c r="AU128" i="1" s="1"/>
  <c r="AW164" i="1"/>
  <c r="AV164" i="1"/>
  <c r="AT152" i="1"/>
  <c r="AU152" i="1" s="1"/>
  <c r="AT33" i="1"/>
  <c r="AU33" i="1" s="1"/>
  <c r="AT320" i="1"/>
  <c r="AU320" i="1" s="1"/>
  <c r="AT283" i="1"/>
  <c r="AU283" i="1" s="1"/>
  <c r="AW389" i="1"/>
  <c r="AV389" i="1"/>
  <c r="AW103" i="1"/>
  <c r="AV103" i="1"/>
  <c r="AW233" i="1"/>
  <c r="AV233" i="1"/>
  <c r="AV70" i="1"/>
  <c r="AW70" i="1"/>
  <c r="AT170" i="1"/>
  <c r="AU170" i="1" s="1"/>
  <c r="AT18" i="1"/>
  <c r="AU18" i="1" s="1"/>
  <c r="AT32" i="1"/>
  <c r="AU32" i="1" s="1"/>
  <c r="AW284" i="1"/>
  <c r="AV284" i="1"/>
  <c r="AW424" i="1"/>
  <c r="AV424" i="1"/>
  <c r="AV71" i="1"/>
  <c r="AW71" i="1"/>
  <c r="AV314" i="1"/>
  <c r="AW314" i="1"/>
  <c r="AV423" i="1"/>
  <c r="AW423" i="1"/>
  <c r="AT76" i="1"/>
  <c r="AU76" i="1" s="1"/>
  <c r="AW377" i="1"/>
  <c r="AV377" i="1"/>
  <c r="AV224" i="1"/>
  <c r="AW224" i="1"/>
  <c r="AV438" i="1"/>
  <c r="AW438" i="1"/>
  <c r="AT446" i="1"/>
  <c r="AU446" i="1" s="1"/>
  <c r="AV441" i="1"/>
  <c r="AW441" i="1"/>
  <c r="AV487" i="1"/>
  <c r="AW487" i="1"/>
  <c r="AT448" i="1"/>
  <c r="AU448" i="1" s="1"/>
  <c r="AT461" i="1"/>
  <c r="AU461" i="1" s="1"/>
  <c r="AT457" i="1"/>
  <c r="AU457" i="1" s="1"/>
  <c r="AT454" i="1"/>
  <c r="AU454" i="1" s="1"/>
  <c r="AW475" i="1"/>
  <c r="AV475" i="1"/>
  <c r="AW442" i="1"/>
  <c r="AV442" i="1"/>
  <c r="AV574" i="1"/>
  <c r="AW574" i="1"/>
  <c r="AW566" i="1"/>
  <c r="AV566" i="1"/>
  <c r="AW556" i="1"/>
  <c r="AV556" i="1"/>
  <c r="AV572" i="1"/>
  <c r="AW572" i="1"/>
  <c r="AW559" i="1"/>
  <c r="AV559" i="1"/>
  <c r="AW599" i="1"/>
  <c r="AV599" i="1"/>
  <c r="AV575" i="1"/>
  <c r="AW575" i="1"/>
  <c r="AW567" i="1"/>
  <c r="AV567" i="1"/>
  <c r="AV553" i="1"/>
  <c r="AW553" i="1"/>
  <c r="AW532" i="1"/>
  <c r="AV532" i="1"/>
  <c r="AT518" i="1"/>
  <c r="AU518" i="1" s="1"/>
  <c r="AV521" i="1"/>
  <c r="AW521" i="1"/>
  <c r="AT552" i="1"/>
  <c r="AU552" i="1" s="1"/>
  <c r="AV526" i="1"/>
  <c r="AW526" i="1"/>
  <c r="AT330" i="1"/>
  <c r="AU330" i="1" s="1"/>
  <c r="AW361" i="1"/>
  <c r="AV361" i="1"/>
  <c r="AT20" i="1"/>
  <c r="AU20" i="1" s="1"/>
  <c r="AW249" i="1"/>
  <c r="AV249" i="1"/>
  <c r="AT151" i="1"/>
  <c r="AU151" i="1" s="1"/>
  <c r="AT148" i="1"/>
  <c r="AU148" i="1" s="1"/>
  <c r="AV415" i="1"/>
  <c r="AW415" i="1"/>
  <c r="AT11" i="1"/>
  <c r="AU11" i="1" s="1"/>
  <c r="AW355" i="1"/>
  <c r="AV355" i="1"/>
  <c r="AT87" i="1"/>
  <c r="AU87" i="1" s="1"/>
  <c r="AT225" i="1"/>
  <c r="AU225" i="1" s="1"/>
  <c r="AT75" i="1"/>
  <c r="AU75" i="1" s="1"/>
  <c r="AT321" i="1"/>
  <c r="AU321" i="1" s="1"/>
  <c r="AT366" i="1"/>
  <c r="AU366" i="1" s="1"/>
  <c r="AT67" i="1"/>
  <c r="AU67" i="1" s="1"/>
  <c r="AW369" i="1"/>
  <c r="AV369" i="1"/>
  <c r="AT237" i="1"/>
  <c r="AU237" i="1" s="1"/>
  <c r="AT81" i="1"/>
  <c r="AU81" i="1" s="1"/>
  <c r="AW292" i="1"/>
  <c r="AV292" i="1"/>
  <c r="AV19" i="1"/>
  <c r="AW19" i="1"/>
  <c r="AV199" i="1"/>
  <c r="AW199" i="1"/>
  <c r="AW25" i="1"/>
  <c r="AV25" i="1"/>
  <c r="AV255" i="1"/>
  <c r="AW255" i="1"/>
  <c r="AV341" i="1"/>
  <c r="AW341" i="1"/>
  <c r="AT95" i="1"/>
  <c r="AU95" i="1" s="1"/>
  <c r="AT266" i="1"/>
  <c r="AU266" i="1" s="1"/>
  <c r="AT168" i="1"/>
  <c r="AU168" i="1" s="1"/>
  <c r="AV386" i="1"/>
  <c r="AW386" i="1"/>
  <c r="AV96" i="1"/>
  <c r="AW96" i="1"/>
  <c r="AT278" i="1"/>
  <c r="AU278" i="1" s="1"/>
  <c r="AT63" i="1"/>
  <c r="AU63" i="1" s="1"/>
  <c r="AW247" i="1"/>
  <c r="AV247" i="1"/>
  <c r="AW391" i="1"/>
  <c r="AV391" i="1"/>
  <c r="AW84" i="1"/>
  <c r="AV84" i="1"/>
  <c r="AT336" i="1"/>
  <c r="AU336" i="1" s="1"/>
  <c r="AV303" i="1"/>
  <c r="AW303" i="1"/>
  <c r="AT59" i="1"/>
  <c r="AU59" i="1" s="1"/>
  <c r="AT36" i="1"/>
  <c r="AU36" i="1" s="1"/>
  <c r="AT253" i="1"/>
  <c r="AU253" i="1" s="1"/>
  <c r="AT165" i="1"/>
  <c r="AU165" i="1" s="1"/>
  <c r="AT353" i="1"/>
  <c r="AU353" i="1" s="1"/>
  <c r="AT136" i="1"/>
  <c r="AU136" i="1" s="1"/>
  <c r="AT49" i="1"/>
  <c r="AU49" i="1" s="1"/>
  <c r="AV277" i="1"/>
  <c r="AW277" i="1"/>
  <c r="AT367" i="1"/>
  <c r="AU367" i="1" s="1"/>
  <c r="AT131" i="1"/>
  <c r="AU131" i="1" s="1"/>
  <c r="AT335" i="1"/>
  <c r="AU335" i="1" s="1"/>
  <c r="AT234" i="1"/>
  <c r="AU234" i="1" s="1"/>
  <c r="AT86" i="1"/>
  <c r="AU86" i="1" s="1"/>
  <c r="AT171" i="1"/>
  <c r="AU171" i="1" s="1"/>
  <c r="AT43" i="1"/>
  <c r="AU43" i="1" s="1"/>
  <c r="AT9" i="1"/>
  <c r="AU9" i="1" s="1"/>
  <c r="AT154" i="1"/>
  <c r="AU154" i="1" s="1"/>
  <c r="AV240" i="1"/>
  <c r="AW240" i="1"/>
  <c r="AT99" i="1"/>
  <c r="AU99" i="1" s="1"/>
  <c r="AV203" i="1"/>
  <c r="AW203" i="1"/>
  <c r="AV104" i="1"/>
  <c r="AW104" i="1"/>
  <c r="AV232" i="1"/>
  <c r="AW232" i="1"/>
  <c r="AW372" i="1"/>
  <c r="AV372" i="1"/>
  <c r="AW258" i="1"/>
  <c r="AV258" i="1"/>
  <c r="AT15" i="1"/>
  <c r="AU15" i="1" s="1"/>
  <c r="AT223" i="1"/>
  <c r="AU223" i="1" s="1"/>
  <c r="AT360" i="1"/>
  <c r="AU360" i="1" s="1"/>
  <c r="AT16" i="1"/>
  <c r="AU16" i="1" s="1"/>
  <c r="AW291" i="1"/>
  <c r="AV291" i="1"/>
  <c r="AV362" i="1"/>
  <c r="AW362" i="1"/>
  <c r="AV388" i="1"/>
  <c r="AW388" i="1"/>
  <c r="AT78" i="1"/>
  <c r="AU78" i="1" s="1"/>
  <c r="AT21" i="1"/>
  <c r="AU21" i="1" s="1"/>
  <c r="AW195" i="1"/>
  <c r="AV195" i="1"/>
  <c r="AT357" i="1"/>
  <c r="AU357" i="1" s="1"/>
  <c r="AW100" i="1"/>
  <c r="AV100" i="1"/>
  <c r="AT267" i="1"/>
  <c r="AU267" i="1" s="1"/>
  <c r="AT359" i="1"/>
  <c r="AU359" i="1" s="1"/>
  <c r="AT468" i="1"/>
  <c r="AU468" i="1" s="1"/>
  <c r="AW433" i="1"/>
  <c r="AV433" i="1"/>
  <c r="AT451" i="1"/>
  <c r="AU451" i="1" s="1"/>
  <c r="AT455" i="1"/>
  <c r="AU455" i="1" s="1"/>
  <c r="AV444" i="1"/>
  <c r="AW444" i="1"/>
  <c r="AT462" i="1"/>
  <c r="AU462" i="1" s="1"/>
  <c r="AT460" i="1"/>
  <c r="AU460" i="1" s="1"/>
  <c r="AW436" i="1"/>
  <c r="AV436" i="1"/>
  <c r="AW504" i="1"/>
  <c r="AV504" i="1"/>
  <c r="AT450" i="1"/>
  <c r="AU450" i="1" s="1"/>
  <c r="AV517" i="1"/>
  <c r="AW517" i="1"/>
  <c r="AV570" i="1"/>
  <c r="AW570" i="1"/>
  <c r="AV562" i="1"/>
  <c r="AW562" i="1"/>
  <c r="AT535" i="1"/>
  <c r="AU535" i="1" s="1"/>
  <c r="AV525" i="1"/>
  <c r="AW525" i="1"/>
  <c r="AV577" i="1"/>
  <c r="AW577" i="1"/>
  <c r="AT558" i="1"/>
  <c r="AU558" i="1" s="1"/>
  <c r="AW536" i="1"/>
  <c r="AV536" i="1"/>
  <c r="AW520" i="1"/>
  <c r="AV520" i="1"/>
  <c r="AV529" i="1"/>
  <c r="AW529" i="1"/>
  <c r="AV600" i="1"/>
  <c r="AW600" i="1"/>
  <c r="AW573" i="1"/>
  <c r="AV573" i="1"/>
  <c r="AW554" i="1"/>
  <c r="AV554" i="1"/>
  <c r="AW530" i="1"/>
  <c r="AV530" i="1"/>
  <c r="AV220" i="1"/>
  <c r="AW220" i="1"/>
  <c r="AT133" i="1"/>
  <c r="AU133" i="1" s="1"/>
  <c r="AV280" i="1"/>
  <c r="AW280" i="1"/>
  <c r="AT4" i="1"/>
  <c r="AU4" i="1" s="1"/>
  <c r="AT323" i="1"/>
  <c r="AU323" i="1" s="1"/>
  <c r="AW239" i="1"/>
  <c r="AV239" i="1"/>
  <c r="AW344" i="1"/>
  <c r="AV344" i="1"/>
  <c r="AT8" i="1"/>
  <c r="AU8" i="1" s="1"/>
  <c r="AW162" i="1"/>
  <c r="AV162" i="1"/>
  <c r="AT88" i="1"/>
  <c r="AU88" i="1" s="1"/>
  <c r="AW230" i="1"/>
  <c r="AV230" i="1"/>
  <c r="AW98" i="1"/>
  <c r="AV98" i="1"/>
  <c r="AV375" i="1"/>
  <c r="AW375" i="1"/>
  <c r="AT37" i="1"/>
  <c r="AU37" i="1" s="1"/>
  <c r="AV275" i="1"/>
  <c r="AW275" i="1"/>
  <c r="AT281" i="1"/>
  <c r="AU281" i="1" s="1"/>
  <c r="AW347" i="1"/>
  <c r="AV347" i="1"/>
  <c r="AT127" i="1"/>
  <c r="AU127" i="1" s="1"/>
  <c r="AT139" i="1"/>
  <c r="AU139" i="1" s="1"/>
  <c r="AT276" i="1"/>
  <c r="AU276" i="1" s="1"/>
  <c r="AW40" i="1"/>
  <c r="AV40" i="1"/>
  <c r="AV167" i="1"/>
  <c r="AW167" i="1"/>
  <c r="AV394" i="1"/>
  <c r="AW394" i="1"/>
  <c r="AT245" i="1"/>
  <c r="AU245" i="1" s="1"/>
  <c r="AT155" i="1"/>
  <c r="AU155" i="1" s="1"/>
  <c r="AW373" i="1"/>
  <c r="AV373" i="1"/>
  <c r="AT351" i="1"/>
  <c r="AU351" i="1" s="1"/>
  <c r="AT146" i="1"/>
  <c r="AU146" i="1" s="1"/>
  <c r="AV24" i="1"/>
  <c r="AW24" i="1"/>
  <c r="AV248" i="1"/>
  <c r="AW248" i="1"/>
  <c r="AV56" i="1"/>
  <c r="AW56" i="1"/>
  <c r="AV34" i="1"/>
  <c r="AW34" i="1"/>
  <c r="AT140" i="1"/>
  <c r="AU140" i="1" s="1"/>
  <c r="AV236" i="1"/>
  <c r="AW236" i="1"/>
  <c r="AT221" i="1"/>
  <c r="AU221" i="1" s="1"/>
  <c r="AV268" i="1"/>
  <c r="AW268" i="1"/>
  <c r="AT10" i="1"/>
  <c r="AU10" i="1" s="1"/>
  <c r="AV82" i="1"/>
  <c r="AW82" i="1"/>
  <c r="AV428" i="1"/>
  <c r="AW428" i="1"/>
  <c r="AT45" i="1"/>
  <c r="AU45" i="1" s="1"/>
  <c r="AW205" i="1"/>
  <c r="AV205" i="1"/>
  <c r="AW426" i="1"/>
  <c r="AV426" i="1"/>
  <c r="AT48" i="1"/>
  <c r="AU48" i="1" s="1"/>
  <c r="AW263" i="1"/>
  <c r="AV263" i="1"/>
  <c r="AW376" i="1"/>
  <c r="AV376" i="1"/>
  <c r="AV160" i="1"/>
  <c r="AW160" i="1"/>
  <c r="AT101" i="1"/>
  <c r="AU101" i="1" s="1"/>
  <c r="AW348" i="1"/>
  <c r="AV348" i="1"/>
  <c r="AT52" i="1"/>
  <c r="AU52" i="1" s="1"/>
  <c r="AT13" i="1"/>
  <c r="AU13" i="1" s="1"/>
  <c r="AT149" i="1"/>
  <c r="AU149" i="1" s="1"/>
  <c r="AT158" i="1"/>
  <c r="AU158" i="1" s="1"/>
  <c r="AT317" i="1"/>
  <c r="AU317" i="1" s="1"/>
  <c r="AT3" i="1"/>
  <c r="AU3" i="1" s="1"/>
  <c r="AT271" i="1"/>
  <c r="AU271" i="1" s="1"/>
  <c r="AV419" i="1"/>
  <c r="AW419" i="1"/>
  <c r="AT328" i="1"/>
  <c r="AU328" i="1" s="1"/>
  <c r="AT42" i="1"/>
  <c r="AU42" i="1" s="1"/>
  <c r="AT222" i="1"/>
  <c r="AU222" i="1" s="1"/>
  <c r="AV425" i="1"/>
  <c r="AW425" i="1"/>
  <c r="AT38" i="1"/>
  <c r="AU38" i="1" s="1"/>
  <c r="AT57" i="1"/>
  <c r="AU57" i="1" s="1"/>
  <c r="AT58" i="1"/>
  <c r="AU58" i="1" s="1"/>
  <c r="AW374" i="1"/>
  <c r="AV374" i="1"/>
  <c r="AV289" i="1"/>
  <c r="AW289" i="1"/>
  <c r="AV254" i="1"/>
  <c r="AW254" i="1"/>
  <c r="AV228" i="1"/>
  <c r="AW228" i="1"/>
  <c r="AW378" i="1"/>
  <c r="AV378" i="1"/>
  <c r="AT102" i="1"/>
  <c r="AU102" i="1" s="1"/>
  <c r="AT332" i="1"/>
  <c r="AU332" i="1" s="1"/>
  <c r="AW319" i="1"/>
  <c r="AV319" i="1"/>
  <c r="AT435" i="1"/>
  <c r="AU435" i="1" s="1"/>
  <c r="AT456" i="1"/>
  <c r="AU456" i="1" s="1"/>
  <c r="AW434" i="1"/>
  <c r="AV434" i="1"/>
  <c r="AT449" i="1"/>
  <c r="AU449" i="1" s="1"/>
  <c r="AT458" i="1"/>
  <c r="AU458" i="1" s="1"/>
  <c r="AV439" i="1"/>
  <c r="AW439" i="1"/>
  <c r="AV464" i="1"/>
  <c r="AW464" i="1"/>
  <c r="AW445" i="1"/>
  <c r="AV445" i="1"/>
  <c r="AW503" i="1"/>
  <c r="AV503" i="1"/>
  <c r="AV500" i="1"/>
  <c r="AW500" i="1"/>
  <c r="AW502" i="1"/>
  <c r="AV502" i="1"/>
  <c r="AT523" i="1"/>
  <c r="AU523" i="1" s="1"/>
  <c r="AW560" i="1"/>
  <c r="AV560" i="1"/>
  <c r="AT563" i="1"/>
  <c r="AU563" i="1" s="1"/>
  <c r="AT524" i="1"/>
  <c r="AU524" i="1" s="1"/>
  <c r="AW579" i="1"/>
  <c r="AV579" i="1"/>
  <c r="AV561" i="1"/>
  <c r="AW561" i="1"/>
  <c r="AV534" i="1"/>
  <c r="AW534" i="1"/>
  <c r="C29" i="5"/>
  <c r="F29" i="5"/>
  <c r="H29" i="5"/>
  <c r="E29" i="5"/>
  <c r="G29" i="5"/>
  <c r="D29" i="5"/>
  <c r="AW578" i="1" l="1"/>
  <c r="AV576" i="1"/>
  <c r="AW569" i="1"/>
  <c r="I29" i="5"/>
  <c r="A29" i="5"/>
  <c r="K28" i="5"/>
  <c r="AW449" i="1"/>
  <c r="AV449" i="1"/>
  <c r="AV435" i="1"/>
  <c r="AW435" i="1"/>
  <c r="AV102" i="1"/>
  <c r="AW102" i="1"/>
  <c r="AV57" i="1"/>
  <c r="AW57" i="1"/>
  <c r="AW222" i="1"/>
  <c r="AV222" i="1"/>
  <c r="AV328" i="1"/>
  <c r="AW328" i="1"/>
  <c r="AW3" i="1"/>
  <c r="AV3" i="1"/>
  <c r="AW149" i="1"/>
  <c r="AV149" i="1"/>
  <c r="AV101" i="1"/>
  <c r="AW101" i="1"/>
  <c r="AV45" i="1"/>
  <c r="AW45" i="1"/>
  <c r="AW140" i="1"/>
  <c r="AV140" i="1"/>
  <c r="AV146" i="1"/>
  <c r="AW146" i="1"/>
  <c r="AV155" i="1"/>
  <c r="AW155" i="1"/>
  <c r="AW276" i="1"/>
  <c r="AV276" i="1"/>
  <c r="AW127" i="1"/>
  <c r="AV127" i="1"/>
  <c r="AV37" i="1"/>
  <c r="AW37" i="1"/>
  <c r="AW8" i="1"/>
  <c r="AV8" i="1"/>
  <c r="AW133" i="1"/>
  <c r="AV133" i="1"/>
  <c r="AV462" i="1"/>
  <c r="AW462" i="1"/>
  <c r="AV451" i="1"/>
  <c r="AW451" i="1"/>
  <c r="AW267" i="1"/>
  <c r="AV267" i="1"/>
  <c r="AW78" i="1"/>
  <c r="AV78" i="1"/>
  <c r="AW524" i="1"/>
  <c r="AV524" i="1"/>
  <c r="AV563" i="1"/>
  <c r="AW563" i="1"/>
  <c r="AW523" i="1"/>
  <c r="AV523" i="1"/>
  <c r="AW158" i="1"/>
  <c r="AV158" i="1"/>
  <c r="AW52" i="1"/>
  <c r="AV52" i="1"/>
  <c r="AV48" i="1"/>
  <c r="AW48" i="1"/>
  <c r="AW558" i="1"/>
  <c r="AV558" i="1"/>
  <c r="AW535" i="1"/>
  <c r="AV535" i="1"/>
  <c r="AW450" i="1"/>
  <c r="AV450" i="1"/>
  <c r="AV49" i="1"/>
  <c r="AW49" i="1"/>
  <c r="AW148" i="1"/>
  <c r="AV148" i="1"/>
  <c r="AV552" i="1"/>
  <c r="AW552" i="1"/>
  <c r="AW518" i="1"/>
  <c r="AV518" i="1"/>
  <c r="AW448" i="1"/>
  <c r="AV448" i="1"/>
  <c r="AV76" i="1"/>
  <c r="AW76" i="1"/>
  <c r="AW32" i="1"/>
  <c r="AV32" i="1"/>
  <c r="AV18" i="1"/>
  <c r="AW18" i="1"/>
  <c r="AW170" i="1"/>
  <c r="AV170" i="1"/>
  <c r="AV283" i="1"/>
  <c r="AW283" i="1"/>
  <c r="AV320" i="1"/>
  <c r="AW320" i="1"/>
  <c r="AW33" i="1"/>
  <c r="AV33" i="1"/>
  <c r="AV152" i="1"/>
  <c r="AW152" i="1"/>
  <c r="AV128" i="1"/>
  <c r="AW128" i="1"/>
  <c r="AV159" i="1"/>
  <c r="AW159" i="1"/>
  <c r="AW31" i="1"/>
  <c r="AV31" i="1"/>
  <c r="AV126" i="1"/>
  <c r="AW126" i="1"/>
  <c r="AV35" i="1"/>
  <c r="AW35" i="1"/>
  <c r="AV316" i="1"/>
  <c r="AW316" i="1"/>
  <c r="AV6" i="1"/>
  <c r="AW6" i="1"/>
  <c r="AV141" i="1"/>
  <c r="AW141" i="1"/>
  <c r="AV238" i="1"/>
  <c r="AW238" i="1"/>
  <c r="AV135" i="1"/>
  <c r="AW135" i="1"/>
  <c r="AV89" i="1"/>
  <c r="AW89" i="1"/>
  <c r="AV241" i="1"/>
  <c r="AW241" i="1"/>
  <c r="AV68" i="1"/>
  <c r="AW68" i="1"/>
  <c r="AV90" i="1"/>
  <c r="AW90" i="1"/>
  <c r="AW157" i="1"/>
  <c r="AV157" i="1"/>
  <c r="AW166" i="1"/>
  <c r="AV166" i="1"/>
  <c r="AV66" i="1"/>
  <c r="AW66" i="1"/>
  <c r="AW69" i="1"/>
  <c r="AV69" i="1"/>
  <c r="AV260" i="1"/>
  <c r="AW260" i="1"/>
  <c r="AW74" i="1"/>
  <c r="AV74" i="1"/>
  <c r="AV80" i="1"/>
  <c r="AW80" i="1"/>
  <c r="AW129" i="1"/>
  <c r="AV129" i="1"/>
  <c r="AV459" i="1"/>
  <c r="AW459" i="1"/>
  <c r="AW453" i="1"/>
  <c r="AV453" i="1"/>
  <c r="AW350" i="1"/>
  <c r="AV350" i="1"/>
  <c r="AW46" i="1"/>
  <c r="AV46" i="1"/>
  <c r="AW270" i="1"/>
  <c r="AV270" i="1"/>
  <c r="AV363" i="1"/>
  <c r="AW363" i="1"/>
  <c r="AW337" i="1"/>
  <c r="AV337" i="1"/>
  <c r="AV329" i="1"/>
  <c r="AW329" i="1"/>
  <c r="AV93" i="1"/>
  <c r="AW93" i="1"/>
  <c r="AW264" i="1"/>
  <c r="AV264" i="1"/>
  <c r="AV130" i="1"/>
  <c r="AW130" i="1"/>
  <c r="AW282" i="1"/>
  <c r="AV282" i="1"/>
  <c r="AW39" i="1"/>
  <c r="AV39" i="1"/>
  <c r="AW7" i="1"/>
  <c r="AV7" i="1"/>
  <c r="AV61" i="1"/>
  <c r="AW61" i="1"/>
  <c r="AW334" i="1"/>
  <c r="AV334" i="1"/>
  <c r="AV79" i="1"/>
  <c r="AW79" i="1"/>
  <c r="AV54" i="1"/>
  <c r="AW54" i="1"/>
  <c r="AW137" i="1"/>
  <c r="AV137" i="1"/>
  <c r="AV156" i="1"/>
  <c r="AW156" i="1"/>
  <c r="AV262" i="1"/>
  <c r="AW262" i="1"/>
  <c r="AV72" i="1"/>
  <c r="AW72" i="1"/>
  <c r="AW325" i="1"/>
  <c r="AV325" i="1"/>
  <c r="AV142" i="1"/>
  <c r="AW142" i="1"/>
  <c r="AV132" i="1"/>
  <c r="AW132" i="1"/>
  <c r="AW62" i="1"/>
  <c r="AV62" i="1"/>
  <c r="AV340" i="1"/>
  <c r="AW340" i="1"/>
  <c r="AV77" i="1"/>
  <c r="AW77" i="1"/>
  <c r="AW229" i="1"/>
  <c r="AV229" i="1"/>
  <c r="AV134" i="1"/>
  <c r="AW134" i="1"/>
  <c r="AW272" i="1"/>
  <c r="AV272" i="1"/>
  <c r="AV65" i="1"/>
  <c r="AW65" i="1"/>
  <c r="AW318" i="1"/>
  <c r="AV318" i="1"/>
  <c r="AW91" i="1"/>
  <c r="AV91" i="1"/>
  <c r="AW85" i="1"/>
  <c r="AV85" i="1"/>
  <c r="AV458" i="1"/>
  <c r="AW458" i="1"/>
  <c r="AV456" i="1"/>
  <c r="AW456" i="1"/>
  <c r="AV332" i="1"/>
  <c r="AW332" i="1"/>
  <c r="AV58" i="1"/>
  <c r="AW58" i="1"/>
  <c r="AV38" i="1"/>
  <c r="AW38" i="1"/>
  <c r="AW42" i="1"/>
  <c r="AV42" i="1"/>
  <c r="AV271" i="1"/>
  <c r="AW271" i="1"/>
  <c r="AV317" i="1"/>
  <c r="AW317" i="1"/>
  <c r="AW13" i="1"/>
  <c r="AV13" i="1"/>
  <c r="AV10" i="1"/>
  <c r="AW10" i="1"/>
  <c r="AV221" i="1"/>
  <c r="AW221" i="1"/>
  <c r="AV351" i="1"/>
  <c r="AW351" i="1"/>
  <c r="AV245" i="1"/>
  <c r="AW245" i="1"/>
  <c r="AW139" i="1"/>
  <c r="AV139" i="1"/>
  <c r="AW281" i="1"/>
  <c r="AV281" i="1"/>
  <c r="AV88" i="1"/>
  <c r="AW88" i="1"/>
  <c r="AW323" i="1"/>
  <c r="AV323" i="1"/>
  <c r="AW4" i="1"/>
  <c r="AV4" i="1"/>
  <c r="AW460" i="1"/>
  <c r="AV460" i="1"/>
  <c r="AW455" i="1"/>
  <c r="AV455" i="1"/>
  <c r="AV468" i="1"/>
  <c r="AW468" i="1"/>
  <c r="AW359" i="1"/>
  <c r="AV359" i="1"/>
  <c r="AV357" i="1"/>
  <c r="AW357" i="1"/>
  <c r="AW21" i="1"/>
  <c r="AV21" i="1"/>
  <c r="AW16" i="1"/>
  <c r="AV16" i="1"/>
  <c r="AW360" i="1"/>
  <c r="AV360" i="1"/>
  <c r="AV223" i="1"/>
  <c r="AW223" i="1"/>
  <c r="AV15" i="1"/>
  <c r="AW15" i="1"/>
  <c r="AW99" i="1"/>
  <c r="AV99" i="1"/>
  <c r="AV154" i="1"/>
  <c r="AW154" i="1"/>
  <c r="AV9" i="1"/>
  <c r="AW9" i="1"/>
  <c r="AW43" i="1"/>
  <c r="AV43" i="1"/>
  <c r="AV171" i="1"/>
  <c r="AW171" i="1"/>
  <c r="AW86" i="1"/>
  <c r="AV86" i="1"/>
  <c r="AW234" i="1"/>
  <c r="AV234" i="1"/>
  <c r="AV335" i="1"/>
  <c r="AW335" i="1"/>
  <c r="AV131" i="1"/>
  <c r="AW131" i="1"/>
  <c r="AV367" i="1"/>
  <c r="AW367" i="1"/>
  <c r="AV136" i="1"/>
  <c r="AW136" i="1"/>
  <c r="AV353" i="1"/>
  <c r="AW353" i="1"/>
  <c r="AV165" i="1"/>
  <c r="AW165" i="1"/>
  <c r="AW253" i="1"/>
  <c r="AV253" i="1"/>
  <c r="AV36" i="1"/>
  <c r="AW36" i="1"/>
  <c r="AV59" i="1"/>
  <c r="AW59" i="1"/>
  <c r="AW336" i="1"/>
  <c r="AV336" i="1"/>
  <c r="AV63" i="1"/>
  <c r="AW63" i="1"/>
  <c r="AV278" i="1"/>
  <c r="AW278" i="1"/>
  <c r="AW168" i="1"/>
  <c r="AV168" i="1"/>
  <c r="AW266" i="1"/>
  <c r="AV266" i="1"/>
  <c r="AW95" i="1"/>
  <c r="AV95" i="1"/>
  <c r="AW81" i="1"/>
  <c r="AV81" i="1"/>
  <c r="AW237" i="1"/>
  <c r="AV237" i="1"/>
  <c r="AW67" i="1"/>
  <c r="AV67" i="1"/>
  <c r="AW366" i="1"/>
  <c r="AV366" i="1"/>
  <c r="AV321" i="1"/>
  <c r="AW321" i="1"/>
  <c r="AV75" i="1"/>
  <c r="AW75" i="1"/>
  <c r="AV225" i="1"/>
  <c r="AW225" i="1"/>
  <c r="AV87" i="1"/>
  <c r="AW87" i="1"/>
  <c r="AV11" i="1"/>
  <c r="AW11" i="1"/>
  <c r="AV151" i="1"/>
  <c r="AW151" i="1"/>
  <c r="AW20" i="1"/>
  <c r="AV20" i="1"/>
  <c r="AV330" i="1"/>
  <c r="AW330" i="1"/>
  <c r="AV454" i="1"/>
  <c r="AW454" i="1"/>
  <c r="AW457" i="1"/>
  <c r="AV457" i="1"/>
  <c r="AV461" i="1"/>
  <c r="AW461" i="1"/>
  <c r="AV446" i="1"/>
  <c r="AW446" i="1"/>
  <c r="AV269" i="1"/>
  <c r="AW269" i="1"/>
  <c r="AV51" i="1"/>
  <c r="AW51" i="1"/>
  <c r="AV551" i="1"/>
  <c r="AW551" i="1"/>
  <c r="AV447" i="1"/>
  <c r="AW447" i="1"/>
  <c r="AW53" i="1"/>
  <c r="AV53" i="1"/>
  <c r="AW50" i="1"/>
  <c r="AV50" i="1"/>
  <c r="AV342" i="1"/>
  <c r="AW342" i="1"/>
  <c r="L28" i="5" l="1"/>
  <c r="K29" i="5"/>
  <c r="M28" i="5" l="1"/>
  <c r="L29" i="5"/>
  <c r="M29" i="5" l="1"/>
  <c r="D63" i="2" l="1"/>
  <c r="D64" i="2"/>
  <c r="D65" i="2"/>
  <c r="D67" i="2"/>
  <c r="D68" i="2"/>
  <c r="D69" i="2"/>
  <c r="D81" i="2"/>
  <c r="D86" i="2"/>
  <c r="D82" i="2"/>
  <c r="D85" i="2"/>
  <c r="D92" i="2"/>
  <c r="D90" i="2"/>
  <c r="D88" i="2"/>
  <c r="D70" i="2"/>
  <c r="D73" i="2"/>
  <c r="D91" i="2"/>
  <c r="D71" i="2"/>
  <c r="D62" i="2"/>
  <c r="D77" i="2"/>
  <c r="D78" i="2"/>
  <c r="D66" i="2"/>
  <c r="D80" i="2"/>
  <c r="D75" i="2"/>
  <c r="D76" i="2"/>
  <c r="D87" i="2"/>
  <c r="D83" i="2"/>
  <c r="D84" i="2"/>
  <c r="D93" i="2"/>
  <c r="D89" i="2"/>
  <c r="D74" i="2"/>
  <c r="D72" i="2"/>
  <c r="D79" i="2"/>
  <c r="D61" i="2"/>
  <c r="D51" i="2" l="1"/>
  <c r="D50" i="2"/>
  <c r="D3" i="2"/>
  <c r="D12" i="2"/>
  <c r="D25" i="2"/>
  <c r="D11" i="2"/>
  <c r="D23" i="2"/>
  <c r="D55" i="2"/>
  <c r="D9" i="2"/>
  <c r="D24" i="2"/>
  <c r="D4" i="2"/>
  <c r="D7" i="2"/>
  <c r="D35" i="2"/>
  <c r="D54" i="2"/>
  <c r="D16" i="2"/>
  <c r="D53" i="2"/>
  <c r="D15" i="2"/>
  <c r="D18" i="2"/>
  <c r="D49" i="2"/>
  <c r="D34" i="2"/>
  <c r="D38" i="2"/>
  <c r="D48" i="2"/>
  <c r="D41" i="2"/>
  <c r="D56" i="2"/>
  <c r="D17" i="2"/>
  <c r="D30" i="2"/>
  <c r="D58" i="2"/>
  <c r="D40" i="2"/>
  <c r="D47" i="2"/>
  <c r="D26" i="2"/>
  <c r="D22" i="2"/>
  <c r="D52" i="2"/>
  <c r="D8" i="2"/>
  <c r="D43" i="2"/>
  <c r="D5" i="2"/>
  <c r="D13" i="2"/>
  <c r="D44" i="2"/>
  <c r="D2" i="2"/>
  <c r="D6" i="2"/>
  <c r="D45" i="2"/>
  <c r="D10" i="2"/>
  <c r="D27" i="2"/>
  <c r="D39" i="2"/>
  <c r="D33" i="2"/>
  <c r="D14" i="2"/>
  <c r="D19" i="2"/>
  <c r="D42" i="2"/>
  <c r="D37" i="2"/>
  <c r="D36" i="2"/>
  <c r="D29" i="2"/>
  <c r="D31" i="2"/>
  <c r="D46" i="2"/>
  <c r="D20" i="2"/>
  <c r="D28" i="2"/>
  <c r="D57" i="2"/>
  <c r="D59" i="2"/>
  <c r="D32" i="2"/>
  <c r="D60" i="2"/>
  <c r="D21" i="2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<sst xmlns="http://schemas.openxmlformats.org/spreadsheetml/2006/main" count="1665" uniqueCount="735">
  <si>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</si>
  <si>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</si>
  <si>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</si>
  <si>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</si>
  <si>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</si>
  <si>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</si>
  <si>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</si>
  <si>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</si>
  <si>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</si>
  <si>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</si>
  <si>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</si>
  <si>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</si>
  <si>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</si>
  <si>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</si>
  <si>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</si>
  <si>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</si>
  <si>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</si>
  <si>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</si>
  <si>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</si>
  <si>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</si>
  <si>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</si>
  <si>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</si>
  <si>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</si>
  <si>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</si>
  <si>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</si>
  <si>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</si>
  <si>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</si>
  <si>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</si>
  <si>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</si>
  <si>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</si>
  <si>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</si>
  <si>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</si>
  <si>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</si>
  <si>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</si>
  <si>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</si>
  <si>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</si>
  <si>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</si>
  <si>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</si>
  <si>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</si>
  <si>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</si>
  <si>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</si>
  <si>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</si>
  <si>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</si>
  <si>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</si>
  <si>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</si>
  <si>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</si>
  <si>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</si>
  <si>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</si>
  <si>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</si>
  <si>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</si>
  <si>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</si>
  <si>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</si>
  <si>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</si>
  <si>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</si>
  <si>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</si>
  <si>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</si>
  <si>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</si>
  <si>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</si>
  <si>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</si>
  <si>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</si>
  <si>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</si>
  <si>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</si>
  <si>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</si>
  <si>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</si>
  <si>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</si>
  <si>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</si>
  <si>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</si>
  <si>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</si>
  <si>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</si>
  <si>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</si>
  <si>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</si>
  <si>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</si>
  <si>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</si>
  <si>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</si>
  <si>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</si>
  <si>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</si>
  <si>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</si>
  <si>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</si>
  <si>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</si>
  <si>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</si>
  <si>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</si>
  <si>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</si>
  <si>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</si>
  <si>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</si>
  <si>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</si>
  <si>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</si>
  <si>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</si>
  <si>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</si>
  <si>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</si>
  <si>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</si>
  <si>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</si>
  <si>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</si>
  <si>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</si>
  <si>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</si>
  <si>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</si>
  <si>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</si>
  <si>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</si>
  <si>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</si>
  <si>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</si>
  <si>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</si>
  <si>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</si>
  <si>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</si>
  <si>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KENKO CUTTER L 500 18MM BLADE</t>
  </si>
  <si>
    <t>KENKO GEL PEN HI TECH H 0.28MM BLUE</t>
  </si>
  <si>
    <t>KENKO STAPLER HD-10</t>
  </si>
  <si>
    <t>KENKO STAPLER HD-50</t>
  </si>
  <si>
    <t>KENKO BINDER CLIP NO.260</t>
  </si>
  <si>
    <t>KENKO LOOSE LEAF A5-LL 50-2070</t>
  </si>
  <si>
    <t>KENKO CUTTER BLADE L-150 18 MM</t>
  </si>
  <si>
    <t>KENKO GEL PEN EASY GEL BLACK</t>
  </si>
  <si>
    <t>KENKO 12 COLOR PENCIL CP 12 F CLASSIC</t>
  </si>
  <si>
    <t>CV PARAMA CREATIVINDO</t>
  </si>
  <si>
    <t>23090036</t>
  </si>
  <si>
    <t>23090252</t>
  </si>
  <si>
    <t>KENKO TAPE DISPENSER TD-323 1" &amp; 3" CORE</t>
  </si>
  <si>
    <t>KENKO BINDER CLIP NO.280 6 PCS / BOX</t>
  </si>
  <si>
    <t>23090082</t>
  </si>
  <si>
    <t>KENKO GEL PEN WINJELLER KE 600 BLACK</t>
  </si>
  <si>
    <t>23090138</t>
  </si>
  <si>
    <t>KENKO GEL PEN FUN GEL BLACK</t>
  </si>
  <si>
    <t>KENKO TAPE DISPENSER TD-321 1" &amp; 3" CORE</t>
  </si>
  <si>
    <t>Column4</t>
  </si>
  <si>
    <t>HANSA</t>
  </si>
  <si>
    <t>UNTANA</t>
  </si>
  <si>
    <t>HN092023113</t>
  </si>
  <si>
    <t>MALAM SHINTOENG K 6-12W</t>
  </si>
  <si>
    <t>PCS</t>
  </si>
  <si>
    <t>MALAM SHINTOENG TG 6-12W</t>
  </si>
  <si>
    <t>SEJATI STATIONERY</t>
  </si>
  <si>
    <t>2023/09/0058</t>
  </si>
  <si>
    <t xml:space="preserve">PAPER CASE 110N/120 (5CC) (X12ST) SIMBALION </t>
  </si>
  <si>
    <t>WATER COLOR OSAMA</t>
  </si>
  <si>
    <t>SET</t>
  </si>
  <si>
    <t>DISC 3</t>
  </si>
  <si>
    <t>DISC 3-</t>
  </si>
  <si>
    <t>COMBI</t>
  </si>
  <si>
    <t>0011</t>
  </si>
  <si>
    <t>PC B128</t>
  </si>
  <si>
    <t>LSN</t>
  </si>
  <si>
    <t>144 SET</t>
  </si>
  <si>
    <t>32 LSN</t>
  </si>
  <si>
    <t>23090701</t>
  </si>
  <si>
    <t>KENKO CORRECTION TAPE CT 903 12M X 5 MM</t>
  </si>
  <si>
    <t>KENKO SCISSOR SC-838N</t>
  </si>
  <si>
    <t>KENKO TAPE DISPENSER TD-323 1"&amp;3" CORE</t>
  </si>
  <si>
    <t>KENKO SCISSOR SC-828</t>
  </si>
  <si>
    <t>KENKO GLUE STICK 8 GR SMALL</t>
  </si>
  <si>
    <t>KENKO GLUE STICK 15 GR MEDIUM</t>
  </si>
  <si>
    <t>KENKO GLUE STICK 25 GR LARGE</t>
  </si>
  <si>
    <t>KENKO COLOR PENCIL CP 12 HALF CLASSIC</t>
  </si>
  <si>
    <t>KENKO CORRECTION FLUID KE-01</t>
  </si>
  <si>
    <t>23090747</t>
  </si>
  <si>
    <t>KENKO ERASER ERB 40 SQ BLACK</t>
  </si>
  <si>
    <t>KENKO ERASER ERB 20 SQ BLACK</t>
  </si>
  <si>
    <t>23090817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</si>
  <si>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</si>
  <si>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</si>
  <si>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</si>
  <si>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</si>
  <si>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</si>
  <si>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48 COLOR OIL PASTEL TI P 48 S</t>
  </si>
  <si>
    <t>TITI 55 COLOR OIL PASTEL TI P 55 S</t>
  </si>
  <si>
    <t>KENKO GEL PEN KE 303 T GEL TRIANGULAR BLACK</t>
  </si>
  <si>
    <t>23090463</t>
  </si>
  <si>
    <t>KENKO TAPE DISPENSER TD-323 1" &amp; 3"CORE</t>
  </si>
  <si>
    <t>KENKO STAPLER HD 10 D</t>
  </si>
  <si>
    <t>KENKO PUNCH NO.85</t>
  </si>
  <si>
    <t>KENKO CUTTER BLADE L 150 18 MM</t>
  </si>
  <si>
    <t>KENKO GEL PEN EASY GEL BLUE</t>
  </si>
  <si>
    <t>KENKO GEL PEN HI TECH H 0.28MM BLACK</t>
  </si>
  <si>
    <t>KENKO CORRECTION FLUID KE 823M</t>
  </si>
  <si>
    <t>KENKO PUNCH NO.85 XL</t>
  </si>
  <si>
    <t>23090468</t>
  </si>
  <si>
    <t>KENKO CORRECTION TAPE CT 809 8M X 5MM</t>
  </si>
  <si>
    <t>KENKO CORRECTION TAPE CT 902 12M X 5 MM</t>
  </si>
  <si>
    <t>KENKO CORRECTION TAPE CT 902 CL 12M X 5 MM</t>
  </si>
  <si>
    <t>KENKO CORRECTION TAPE CT 902 P 12 M X 5 MM</t>
  </si>
  <si>
    <t>KENKO SCISSOR SC 828</t>
  </si>
  <si>
    <t>KENKO SCISSOR SC 838 N</t>
  </si>
  <si>
    <t xml:space="preserve">KENKO SCISSOR SC 848 N </t>
  </si>
  <si>
    <t>KENKO CORRECTION TAPE CT 309 12M X 5MM</t>
  </si>
  <si>
    <t>23090971</t>
  </si>
  <si>
    <t>KENKO COLOR CLIP 3100</t>
  </si>
  <si>
    <t>BOX</t>
  </si>
  <si>
    <t>KENKO HIGHLIGHTER HL 100 PINK</t>
  </si>
  <si>
    <t>KENKO HIGHLIGHTER HL 100 YELLOW</t>
  </si>
  <si>
    <t>KENKO HEAVY DUTY STAPLER HD-12N/24</t>
  </si>
  <si>
    <t>KENKO STAMP PAD NO.0</t>
  </si>
  <si>
    <t>KENKO CORRECTION FLUID KE 01</t>
  </si>
  <si>
    <t>KENKO HIGHLIGHTER HL 100 GREEN</t>
  </si>
  <si>
    <t>KENKO HIGHLIGHTER HL 100 PURPLE</t>
  </si>
  <si>
    <t>KENKO 18 BI COLOR PENCIL CP 18 FBC CLASSIC</t>
  </si>
  <si>
    <t>23090968</t>
  </si>
  <si>
    <t>KENKO GEL PEN KE 100 BLACK</t>
  </si>
  <si>
    <t>KENKO GEL PEN K 1 BLACK</t>
  </si>
  <si>
    <t>KENKO ERASER ERW 20SQ WHITE</t>
  </si>
  <si>
    <t>KENKO PUNCH NO.30</t>
  </si>
  <si>
    <t>KENKO PUNCH NO.30 XL</t>
  </si>
  <si>
    <t>KENKO HEAVY DUTY STAPLER HD-12N/13</t>
  </si>
  <si>
    <t>KENKO PUSH PIN PN 30 COLOR</t>
  </si>
  <si>
    <t>KENKO GEL PEN K-1 RED</t>
  </si>
  <si>
    <t>KENKO CUTTER A300 9MM BLADE</t>
  </si>
  <si>
    <t>KENKO GEL PEN HI TECH H 0.28 MM BLACK</t>
  </si>
  <si>
    <t>KENKO LOOSE LEAF A5 LL 50 2070</t>
  </si>
  <si>
    <t>KENKO LOOSE LEAF A5 LL 100 2070</t>
  </si>
  <si>
    <t>KENKO LOOSE LEAF B5 LL 100 2670</t>
  </si>
  <si>
    <t>KENKO JUMBO CLIP NO.5</t>
  </si>
  <si>
    <t>SA230915860</t>
  </si>
  <si>
    <t>CRAYON PUTAR TWCR 12 S JK</t>
  </si>
  <si>
    <t>CRAYON PUTAR TWCR 12 MINI JK</t>
  </si>
  <si>
    <t>SA230915846</t>
  </si>
  <si>
    <t>BINDER CLIP 260 JK</t>
  </si>
  <si>
    <t>GRS</t>
  </si>
  <si>
    <t>5 GRS</t>
  </si>
  <si>
    <t>BALLPEN BP 349 12 VOKUS TRANS BLACK JK BONUS</t>
  </si>
  <si>
    <t>12 LSN</t>
  </si>
  <si>
    <t>144 LSN</t>
  </si>
  <si>
    <t>72 PCS</t>
  </si>
  <si>
    <t>SA230915845</t>
  </si>
  <si>
    <t>GLUE STICK GS-25 JK</t>
  </si>
  <si>
    <t>PENCIL P 88 2B JK</t>
  </si>
  <si>
    <t>30 GRS</t>
  </si>
  <si>
    <t>BINDER A5 TSCL M401 COLLEGE JK U</t>
  </si>
  <si>
    <t>BINDER A5 TSC L M 474 COLLEGE JK U</t>
  </si>
  <si>
    <t>BINDER A5 TSDS M440 DISCOVERY JK U</t>
  </si>
  <si>
    <t>TAPE CUTTER TD-103 JK</t>
  </si>
  <si>
    <t>24 PCS</t>
  </si>
  <si>
    <t>GLUE STICK GS-09 8 GRAM JK</t>
  </si>
  <si>
    <t>36 LSN</t>
  </si>
  <si>
    <t>64 LSN</t>
  </si>
  <si>
    <t>BINDER A5 TSAC M477 ACADEMY JK U</t>
  </si>
  <si>
    <t>BINDER A5 TSC L M491 COLLEGE JK U</t>
  </si>
  <si>
    <t>BINDER A5-TSIM-M478 (IMAGINTN) JK-U</t>
  </si>
  <si>
    <t>SA230915844</t>
  </si>
  <si>
    <t>SCISSORS SC 828 JK</t>
  </si>
  <si>
    <t>SCISSORS SC 838 JK</t>
  </si>
  <si>
    <t>SCISSORS SC-848 JK</t>
  </si>
  <si>
    <t>OIL PASTEL OP 55 S PP CASE SEA WORLD JK</t>
  </si>
  <si>
    <t>LABEL LB 2 RL 1 BARIS JK</t>
  </si>
  <si>
    <t>ROL</t>
  </si>
  <si>
    <t>CORRECTION TAPE CT 522 JK</t>
  </si>
  <si>
    <t>HIGHLIGHTER HL 1 YELLOW JK</t>
  </si>
  <si>
    <t>HIGHLIGHTER HL 4 PINK JK</t>
  </si>
  <si>
    <t>HIGHLIGHTER HL 5 ORANGE JK</t>
  </si>
  <si>
    <t>BRUSH BR 5 JK</t>
  </si>
  <si>
    <t>OIL PASTEL OP 48 S PP CASE SEA WORLD JK</t>
  </si>
  <si>
    <t>HIGHLIGHTER HL 3 BLUE JK</t>
  </si>
  <si>
    <t>SA230915843</t>
  </si>
  <si>
    <t>PENCIL CASE PC 0719 PSTL 35 BLUE JK</t>
  </si>
  <si>
    <t>PENCIL CASE PC 0719 PSTL 35 GREEN JK</t>
  </si>
  <si>
    <t>PENCIL CASE PC 0719 PSTL 35 PINK JK</t>
  </si>
  <si>
    <t>PENCIL CASE PC 0719 PSTL 35 PURPLE JK</t>
  </si>
  <si>
    <t>SHARPENER B 82 (BEAR) JK</t>
  </si>
  <si>
    <t>60 BOX (24 PCS)</t>
  </si>
  <si>
    <t>LABEL LB P2LN (2 BARIS) JK</t>
  </si>
  <si>
    <t>STAPLER HD 10 JK</t>
  </si>
  <si>
    <t>CUTTER BLADE L 150 AM L JK</t>
  </si>
  <si>
    <t>BINDER CLIP 280 JK</t>
  </si>
  <si>
    <t>3 GRS</t>
  </si>
  <si>
    <t>SA230915894</t>
  </si>
  <si>
    <t>COLOR PENCIL CP 103 JK</t>
  </si>
  <si>
    <t>COLOR PENCIL CP 104  JK</t>
  </si>
  <si>
    <t>PUNCH NO,85 JK</t>
  </si>
  <si>
    <t>BRUSH BR 1 JK</t>
  </si>
  <si>
    <t>PUNCH 40 XL JK</t>
  </si>
  <si>
    <t>STAMP PAD NO. 0 JK</t>
  </si>
  <si>
    <t>STAMP PAD NO.1 JK</t>
  </si>
  <si>
    <t>GEL PEN GP 266 ITECH 2 BLACK JK</t>
  </si>
  <si>
    <t>BINDER A5 TSCL M474 COLLEGE JK U</t>
  </si>
  <si>
    <t>LABEL LB 2RL 1 BARIS JK</t>
  </si>
  <si>
    <t>SA230915895</t>
  </si>
  <si>
    <t>BINDER A5 TSUN M473 UNIVERSITY JK U</t>
  </si>
  <si>
    <t>BINDER A5 TSFC M480 FACULTY JK U</t>
  </si>
  <si>
    <t>BINDER A5 TSIM M478 IMAGINTN JK U</t>
  </si>
  <si>
    <t>BINDER A5 TSED M476 EDUCATION JK U</t>
  </si>
  <si>
    <t>BINDER A5 TSCL M491 COLLEGE JK U</t>
  </si>
  <si>
    <t>BINDER A5 TSSR M498 SPIRIT JK U</t>
  </si>
  <si>
    <t>BINDER A5 TSTP 513 TEMPORARY JK U</t>
  </si>
  <si>
    <t>NATURAL CAHAYA LESTARI</t>
  </si>
  <si>
    <t>NCL-R2309000010</t>
  </si>
  <si>
    <t>BALON MACARON 1022 20 X 5 LKM 2200</t>
  </si>
  <si>
    <t>LPG</t>
  </si>
  <si>
    <t>60 LPG</t>
  </si>
  <si>
    <t>L109035</t>
  </si>
  <si>
    <t>0709/2023</t>
  </si>
  <si>
    <t>ISI GW NO 10</t>
  </si>
  <si>
    <t>PAK</t>
  </si>
  <si>
    <t>100 PAK</t>
  </si>
  <si>
    <t>0913</t>
  </si>
  <si>
    <t>DOC RET OPTIMA</t>
  </si>
  <si>
    <t>PPW</t>
  </si>
  <si>
    <t>0067/HW/IX/23</t>
  </si>
  <si>
    <t>BT 30 CM</t>
  </si>
  <si>
    <t>100 LSN</t>
  </si>
  <si>
    <t xml:space="preserve">SEGITIGA BT NO 6 </t>
  </si>
  <si>
    <t>16 LSN</t>
  </si>
  <si>
    <t>SEGITIGA BT NO 10</t>
  </si>
  <si>
    <t>DB STATIONERY</t>
  </si>
  <si>
    <t>JUI158/23</t>
  </si>
  <si>
    <t>GEL 1.0 TG 340 BI BIRU</t>
  </si>
  <si>
    <t>96 LSN</t>
  </si>
  <si>
    <t>ETJ</t>
  </si>
  <si>
    <t>158.23</t>
  </si>
  <si>
    <t>TINTA MOTEX 1 LINE 20 MM</t>
  </si>
  <si>
    <t>2000 PCS</t>
  </si>
  <si>
    <t>Q68.23</t>
  </si>
  <si>
    <t>ENTER 30CM 675</t>
  </si>
  <si>
    <t>200 LSN</t>
  </si>
  <si>
    <t>KOJIKO ABSENSI D/ MERAH</t>
  </si>
  <si>
    <t>GUNINDO</t>
  </si>
  <si>
    <t>2309056</t>
  </si>
  <si>
    <t>WB ERASER 803</t>
  </si>
  <si>
    <t>30 LSN</t>
  </si>
  <si>
    <t xml:space="preserve">CUTTER A 18 TRANS </t>
  </si>
  <si>
    <t>60 LSN</t>
  </si>
  <si>
    <t>PUTR SURYA MANDIRI</t>
  </si>
  <si>
    <t>PSM-R2309000027</t>
  </si>
  <si>
    <t>BALON SMILE WARNA 20 X 5 LKS 3200 SW</t>
  </si>
  <si>
    <t>48 LPG</t>
  </si>
  <si>
    <t>BALON SMILE KUNING 20 X 5 LKS 3200 SK</t>
  </si>
  <si>
    <t>BALON METALIK HB 1228 20 X 5 LMS 2800 HB</t>
  </si>
  <si>
    <t>BALON FS HB WARNA 20 X 5 LKF 3200 HBW</t>
  </si>
  <si>
    <t>40 LPG</t>
  </si>
  <si>
    <t>BALON FS HB 1232 20 X 5 LKF 3200 HB</t>
  </si>
  <si>
    <t>BALON MACARON 1228 20 X 5 LKM 2800</t>
  </si>
  <si>
    <t>50 LPG</t>
  </si>
  <si>
    <t>SBS</t>
  </si>
  <si>
    <t>VJ0084B1</t>
  </si>
  <si>
    <t>PERUNCING DY-393B/1H/HAMSTER</t>
  </si>
  <si>
    <t>DSP</t>
  </si>
  <si>
    <t>PERUNCING DY-395B/1H/RABBIT</t>
  </si>
  <si>
    <t>DSO</t>
  </si>
  <si>
    <t>180 DSP (12 PCS)</t>
  </si>
  <si>
    <t>HN092023137</t>
  </si>
  <si>
    <t>MALAM SHINTOENG B 6-12 W</t>
  </si>
  <si>
    <t>GLORY</t>
  </si>
  <si>
    <t>FP23090004</t>
  </si>
  <si>
    <t>BK MWRN DOT TO DOT IF</t>
  </si>
  <si>
    <t>800 PCS</t>
  </si>
  <si>
    <t>BK MWRN JUMBO ABJD ANGKA</t>
  </si>
  <si>
    <t>600 PCS</t>
  </si>
  <si>
    <t>BK MWRN 4 SERIE JUMBO IF</t>
  </si>
  <si>
    <t>BK MWRN JUMBO POND IF</t>
  </si>
  <si>
    <t>FP23090005</t>
  </si>
  <si>
    <t>ORIGAMI SUKUNG BOX 12 X 12</t>
  </si>
  <si>
    <t>1200 PCS</t>
  </si>
  <si>
    <t xml:space="preserve">ORIGAMI SUKUNG BOX 14 X 14 </t>
  </si>
  <si>
    <t>900 PCS</t>
  </si>
  <si>
    <t>HONGSIAN</t>
  </si>
  <si>
    <t>6175</t>
  </si>
  <si>
    <t>DOC HD 53</t>
  </si>
  <si>
    <t>8 LSN</t>
  </si>
  <si>
    <t>DOC HD 62</t>
  </si>
  <si>
    <t>23091177</t>
  </si>
  <si>
    <t>KENKO LIQUID GLUE LG-35 (35ML)</t>
  </si>
  <si>
    <t>KENKO LIQUID GLUE LG-50 (50ML)</t>
  </si>
  <si>
    <t>KENKO BUKU TAMU BT-3224-01 KEMBANG</t>
  </si>
  <si>
    <t>KENKO TRIGONAL CLIP NO. 1</t>
  </si>
  <si>
    <t>23091114</t>
  </si>
  <si>
    <t>KENKO ERASER ERW 40 SQ WHITE</t>
  </si>
  <si>
    <t>23091140</t>
  </si>
  <si>
    <t>KENKO PRICE LABEL 6001-2R 1 LINE @ 10 ROL</t>
  </si>
  <si>
    <t>KENKO STAPLER HD-10D</t>
  </si>
  <si>
    <t>KENKO PENCIL CASE PC0719 TK</t>
  </si>
  <si>
    <t>KENKO HAND TALLY COUNTER HT-302 10PCS / BOX</t>
  </si>
  <si>
    <t>KENKO PUNCH NO.40 XL</t>
  </si>
  <si>
    <t>KENKO HEAVY DUTY STAPLER HD-12 N/13</t>
  </si>
  <si>
    <t>KENKO LIQUID GLUE LG 35 35 ML</t>
  </si>
  <si>
    <t>KENKO LIQUID GLUE LG-50 50ML</t>
  </si>
  <si>
    <t>SINV99-230900000198</t>
  </si>
  <si>
    <t>SDI STAPLER 1123</t>
  </si>
  <si>
    <t>20 LSN</t>
  </si>
  <si>
    <t>JUI253/23</t>
  </si>
  <si>
    <t>MEK PENSIL 2.0 TM01800</t>
  </si>
  <si>
    <t>MEK PENSIL 2.0 TIZO TM01800-A</t>
  </si>
  <si>
    <t>MEK PENSIL 2.0 TIZO TM30-G</t>
  </si>
  <si>
    <t>MEK PENSIL 24 PCS G09309</t>
  </si>
  <si>
    <t>MEK PENSIL 24 PCS G09307</t>
  </si>
  <si>
    <t>72 LSN</t>
  </si>
  <si>
    <t>23091397</t>
  </si>
  <si>
    <t>KENKO LAMINATING FILM LF 100-2234 FC @ 100 PCS</t>
  </si>
  <si>
    <t>SA230916213</t>
  </si>
  <si>
    <t>STAMP PAD NO.0 JK</t>
  </si>
  <si>
    <t>KING JELLER JK 100 BLACK JK</t>
  </si>
  <si>
    <t>BRUSH BR-1 JK</t>
  </si>
  <si>
    <t>SA230916235</t>
  </si>
  <si>
    <t>ERASER 526 B40 P JK</t>
  </si>
  <si>
    <t>GEL PEN GP 330 BLACK JK</t>
  </si>
  <si>
    <t>BALLPEN BP 250 BRIZ BLACK JK</t>
  </si>
  <si>
    <t>OIL PASTEL OP 12 S PP CASE SEA WORLD JK</t>
  </si>
  <si>
    <t>SCISSORS SC-828 JK</t>
  </si>
  <si>
    <t>TAPE CUTTER TD-2H JK</t>
  </si>
  <si>
    <t>CORRECTION FLUID CF-S209A JK</t>
  </si>
  <si>
    <t>LABEL LB-3 2 BARIS YELLOW FLUOR JK</t>
  </si>
  <si>
    <t>CORRECTION FLUID CF-S205PT JK</t>
  </si>
  <si>
    <t>GEL PEN GP-346 MY TEAM (BLACK) JK</t>
  </si>
  <si>
    <t>SA230916212</t>
  </si>
  <si>
    <t>LABEL LB P2LN 2 BARIS JK</t>
  </si>
  <si>
    <t>OIL PASTEL OP 36 S PP CASE SEA WORLD JK</t>
  </si>
  <si>
    <t>OIL PASTEL OP 72 S PP CASE SEA WORLD JK</t>
  </si>
  <si>
    <t>LABEL LB 3 2 BARIS YELLOW FLUOR JK</t>
  </si>
  <si>
    <t>ERASER 526 B20 JK</t>
  </si>
  <si>
    <t>ERASER ER-B20BL JK</t>
  </si>
  <si>
    <t>GLUE GL R35 JK</t>
  </si>
  <si>
    <t>LABEL LB2RL 1 BARIS JK</t>
  </si>
  <si>
    <t>SA230916290</t>
  </si>
  <si>
    <t>HM/256/09-23H</t>
  </si>
  <si>
    <t>72 SET</t>
  </si>
  <si>
    <t>ACRYLIC COLOUR TF-AC-005 P (12 X 6 ML) PASTEL</t>
  </si>
  <si>
    <t>ACRYLIC COLOUR TF-AC-004 N (12 X 6 ML) NEON</t>
  </si>
  <si>
    <t>ACRYLIC COLOUR TF-AC-006 M (12 X 6 ML) METALIC</t>
  </si>
  <si>
    <t>BALLPEN PROMOSI HM 2220 U/ BONUS</t>
  </si>
  <si>
    <t>BRUSH MARKER PEN WB TF 1050 (12WR)</t>
  </si>
  <si>
    <t>STICK NOTE TF-0246/400</t>
  </si>
  <si>
    <t>108 PCS</t>
  </si>
  <si>
    <t>STICK NOTE TF-654-5C MIX</t>
  </si>
  <si>
    <t>STICK NOTE TF-654-SC-M/100</t>
  </si>
  <si>
    <t>BONUS</t>
  </si>
  <si>
    <t>DUTA BUANA</t>
  </si>
  <si>
    <t>BINTANG SAUDARA</t>
  </si>
  <si>
    <t>SO2023090082236</t>
  </si>
  <si>
    <t>KERTAS CRAPE POT KREASI KOALA MIX</t>
  </si>
  <si>
    <t>270 PAK</t>
  </si>
  <si>
    <t>SO2023090082168</t>
  </si>
  <si>
    <t>ACRYLIC NT 7 X 10CM</t>
  </si>
  <si>
    <t>ACRYLIC SISIPAN KERTAS A4 T (30 X 21 CM)</t>
  </si>
  <si>
    <t>40 PCS</t>
  </si>
  <si>
    <t>SO2023090082179</t>
  </si>
  <si>
    <t>ACRYLIC NT 7 X 10 CM</t>
  </si>
  <si>
    <t>JL-16553</t>
  </si>
  <si>
    <t>PENGGARIS SET ZX-6116 (PVC)</t>
  </si>
  <si>
    <t>PENGGARIS SET PS-9810 (PVC)</t>
  </si>
  <si>
    <t>PENGGARIS SET ZO-239 (PVC)</t>
  </si>
  <si>
    <t>PENGGARIS SET HZ-5013 (PVC)</t>
  </si>
  <si>
    <t>PENGGARIS SET HZ-5012 (PVC)</t>
  </si>
  <si>
    <t>HIGHLIGHTER HL-521 (12) VANCO</t>
  </si>
  <si>
    <t>192 LSN</t>
  </si>
  <si>
    <t>640 SET</t>
  </si>
  <si>
    <t>GEL PEN EG-V (MIKA) (EG-225)</t>
  </si>
  <si>
    <t>SA230916347</t>
  </si>
  <si>
    <t>STAPLER HD-10 JK</t>
  </si>
  <si>
    <t>LAMINATING FILM LF 100-2234 F4 JK</t>
  </si>
  <si>
    <t>CUTTER BLADE L-150 M (MH) JK</t>
  </si>
  <si>
    <t>BINDER CLIP 155 JK</t>
  </si>
  <si>
    <t>BINDER B5 TSIM M133 IMAGE JK U</t>
  </si>
  <si>
    <t>BINDER B5-TSCL-M125 COLLEGE JK U</t>
  </si>
  <si>
    <t>CUTTER A-300 SGJK</t>
  </si>
  <si>
    <t>SA230916381</t>
  </si>
  <si>
    <t>PAPER CLIP JUMBO NO.5 JK</t>
  </si>
  <si>
    <t>ERASER 526B40 P JK</t>
  </si>
  <si>
    <t>PUSH PIN PP 30 JK</t>
  </si>
  <si>
    <t>COLOR PENCIL CP 24 PB JK</t>
  </si>
  <si>
    <t>COLOR PENCIL CP 12 PB JK</t>
  </si>
  <si>
    <t>MECH PENCIL MP 19 JK</t>
  </si>
  <si>
    <t>12 BOX (12 PCS)</t>
  </si>
  <si>
    <t>23091481</t>
  </si>
  <si>
    <t>KENKO PENCIL 2B-6373 METALLIC</t>
  </si>
  <si>
    <t>KENKO PENCIL 2B-3181 HITAM CAP MERAH</t>
  </si>
  <si>
    <t>KENKO PENCIL 2B-6191 HIJAU CAP HITAM</t>
  </si>
  <si>
    <t>KENKO BUKU TAMU BT 3224 BTK (BATIK)</t>
  </si>
  <si>
    <t>KENKO CUTTER L-500 (18MM BLADE)</t>
  </si>
  <si>
    <t>KENKO PENCIL 2B-6181 BIRU CAP HITAM</t>
  </si>
  <si>
    <t>SA230916502</t>
  </si>
  <si>
    <t>STAPLER HD-50 JK</t>
  </si>
  <si>
    <t>CORRECTION FLUID JK-01 JK</t>
  </si>
  <si>
    <t>SA230916446</t>
  </si>
  <si>
    <t>CORRECTION TAPE CT-522 JK</t>
  </si>
  <si>
    <t>SA230916500</t>
  </si>
  <si>
    <t>ERASER 526-B20 JK</t>
  </si>
  <si>
    <t>SCISSORS SC-838 JK</t>
  </si>
  <si>
    <t>CUTTER L 500 JK</t>
  </si>
  <si>
    <t>OIL PASTEL OP 24 S PP CASE SEA WORLD JK</t>
  </si>
  <si>
    <t xml:space="preserve">30 GRS </t>
  </si>
  <si>
    <t>PENCIL LEAD PL-11 (2.0) JK</t>
  </si>
  <si>
    <t>SA230916501</t>
  </si>
  <si>
    <t>BALLPEN BP 338 VOCUS BLACK JK</t>
  </si>
  <si>
    <t>COLOR PENCIL CP S 24 JK</t>
  </si>
  <si>
    <t>CORRECTION TAPE CT 507 JK</t>
  </si>
  <si>
    <t>GLUE STICK GS 25 JK</t>
  </si>
  <si>
    <t>ERASER 526 B40 BL JK</t>
  </si>
  <si>
    <t>ERASER ER 30 W JK</t>
  </si>
  <si>
    <t>ERASER ER B20BL JK</t>
  </si>
  <si>
    <t>MSI</t>
  </si>
  <si>
    <t>23/IX/149</t>
  </si>
  <si>
    <t>GEL PEN VTR-238 (JUSTICE LEAGUE)</t>
  </si>
  <si>
    <t>GEL PEN VTR-238 (POP GIRLS)</t>
  </si>
  <si>
    <t>GEL PEN VTR-239 (AUSTRONAUT)</t>
  </si>
  <si>
    <t>GEL PEN VTR-231 (RESCUE BOTS)</t>
  </si>
  <si>
    <t>GEL PEN VTR-235 (MY MELODY)</t>
  </si>
  <si>
    <t>GEL PEN VTR-236 (POWER HEROES)</t>
  </si>
  <si>
    <t>GEL PEN VTR-225 (LITTLE PRINCESS)</t>
  </si>
  <si>
    <t>GEL PEN VTR-216 (DORAEMON)</t>
  </si>
  <si>
    <t>GEL PEN VTR-217 (HELLO KITTY)</t>
  </si>
  <si>
    <t>GEL PEN VTR-222 (SUPERHERO ADVENTURE)</t>
  </si>
  <si>
    <t>SURYA PRATAMA</t>
  </si>
  <si>
    <t>F23/000510</t>
  </si>
  <si>
    <t>TAS KARUNG 40 * 45 * 20</t>
  </si>
  <si>
    <t>HN092023183</t>
  </si>
  <si>
    <t>LILIN ANGKA SHINTOENG</t>
  </si>
  <si>
    <t>NO.1</t>
  </si>
  <si>
    <t>NO.6/ 7</t>
  </si>
  <si>
    <t>COMBI STATIOERY</t>
  </si>
  <si>
    <t>0920</t>
  </si>
  <si>
    <t>DOC RIT AUTENTIC DK 512</t>
  </si>
  <si>
    <t>DOC RIT OPTIMA</t>
  </si>
  <si>
    <t>F23/P000270</t>
  </si>
  <si>
    <t>ISOLASI GAMBAR FANCY(1.5 * 2M)</t>
  </si>
  <si>
    <t>200 PCS</t>
  </si>
  <si>
    <t>MAGIC BOARD TK-901 (RUMAH KECIL)</t>
  </si>
  <si>
    <t>144 PCS</t>
  </si>
  <si>
    <t>0188/HW/IX/23</t>
  </si>
  <si>
    <t>BT 20 CM</t>
  </si>
  <si>
    <t>0177/HW/IX/23</t>
  </si>
  <si>
    <t>0140/HW/IX/23</t>
  </si>
  <si>
    <t>SEGITIGA BT NO.12</t>
  </si>
  <si>
    <t>JL-16554</t>
  </si>
  <si>
    <t>160 PCS</t>
  </si>
  <si>
    <t>BUKU SPIRAL 016-19 (80L) (A5) PVC</t>
  </si>
  <si>
    <t>BUKU SPIRAL 016-21 (80L) (A5) PVC</t>
  </si>
  <si>
    <t>GEL PEN IPEN VC-8100 VANCO</t>
  </si>
  <si>
    <t>PEN 4W VC-6201 VANCO</t>
  </si>
  <si>
    <t>GEL PEN KLIK GP-96129 (9W/ PVC)</t>
  </si>
  <si>
    <t>256 SET</t>
  </si>
  <si>
    <t>96 PCS</t>
  </si>
  <si>
    <t>BK KANCING 32K1008-21 (A5)</t>
  </si>
  <si>
    <t>BUKU SPIRAL 016-20 (80L) (A5)</t>
  </si>
  <si>
    <t>BK KANCING 32K1008-22 (A5)</t>
  </si>
  <si>
    <t>SO2023090082317</t>
  </si>
  <si>
    <t>BINDER NOTE A5 ABSTRAK BN-1726</t>
  </si>
  <si>
    <t>JUI272/23</t>
  </si>
  <si>
    <t>MEK  TIZO 2.0 TM030-C</t>
  </si>
  <si>
    <t>TFS</t>
  </si>
  <si>
    <t>PK-230900119</t>
  </si>
  <si>
    <t>ZIPPER FILE CLEAR HOLDER 555 40 FILE GREEN</t>
  </si>
  <si>
    <t>ZIPPER FILE CLEAR HOLDER 555 40 FILE RED</t>
  </si>
  <si>
    <t>ZIPPER FILE CLEAR HOLDER 555 40 FILE YELLOW</t>
  </si>
  <si>
    <t>ZIPPER FILE CLEAR HOLDER 555 40 FILE BLUE</t>
  </si>
  <si>
    <t>SA230916629</t>
  </si>
  <si>
    <t>COLOR PENCIL CP-12PB JK</t>
  </si>
  <si>
    <t>SA230916590</t>
  </si>
  <si>
    <t>ERASER ER B 20 BL JK</t>
  </si>
  <si>
    <t>23091564</t>
  </si>
  <si>
    <t>KENKO GEL PEN HI-TECH-H 0.28MM BLACK</t>
  </si>
  <si>
    <t>NCL</t>
  </si>
  <si>
    <t>KENKO LOOSE LEAF A5-LL 50 2070</t>
  </si>
  <si>
    <t>BINDER A5 TSED M503 EDUCATION JK U</t>
  </si>
  <si>
    <t>BINDER B5 TSED M128 EDUCATION JK U</t>
  </si>
  <si>
    <t>BINDER B5 TSCL M125 COLLEGE JK U</t>
  </si>
  <si>
    <t>SDI P MARKER P500-VP BIRU</t>
  </si>
  <si>
    <t>23/09//2023</t>
  </si>
  <si>
    <t>23091884</t>
  </si>
  <si>
    <t>KENKO BINDER CLIP NO. 280 6 PCS/ BOX</t>
  </si>
  <si>
    <t>KENKO CORRECTION TAPE CT-906 12 M X 5MM</t>
  </si>
  <si>
    <t>KENKO CUTTER A 300 9MM BLADE</t>
  </si>
  <si>
    <t>23091769</t>
  </si>
  <si>
    <t>KENKO PENCIL 2B 6191 HIJAU CAP HITAM</t>
  </si>
  <si>
    <t>SA230916668</t>
  </si>
  <si>
    <t>PENCIL P 88 2BJK</t>
  </si>
  <si>
    <t>PENCIL CASE PC-0719 PL 32 BLUE JK</t>
  </si>
  <si>
    <t>PENCIL CASE PC-0719 PL 32 GREEN JK</t>
  </si>
  <si>
    <t>PENCIL CASE PC 0719 PL 32 RED JK</t>
  </si>
  <si>
    <t>PENCIL CASE PC 0719 PL 32 YELLOW JK</t>
  </si>
  <si>
    <t>PENCIL CASE PC 0719 AC 36 A/ F ANIMAL CALENDER JK</t>
  </si>
  <si>
    <t>PENCIL CASE PC 0719 TV 33 A / F TRAVEL JK</t>
  </si>
  <si>
    <t>SN23092177</t>
  </si>
  <si>
    <t>CALCULATOR JOYKO CC 37</t>
  </si>
  <si>
    <t>CALCULATOR JOYKO CC 38</t>
  </si>
  <si>
    <t>CALCULATOR JOYKO CC-800 CH</t>
  </si>
  <si>
    <t>CALCULATOR JOYKO CC 810 CH</t>
  </si>
  <si>
    <t>CALCULATOR JOYKO CC-8A</t>
  </si>
  <si>
    <t xml:space="preserve">CALCULATOR JOYKO CC-15 A </t>
  </si>
  <si>
    <t>CALCULATOR JOYKO CC 41</t>
  </si>
  <si>
    <t>CALCULATOR JOYKO CC-8CO BLUE</t>
  </si>
  <si>
    <t>CALCULATOR JOYKO CC-8CO GREEN</t>
  </si>
  <si>
    <t>CALCULATOR JOYKO CC-8CO ORANGE</t>
  </si>
  <si>
    <t>SA230916775</t>
  </si>
  <si>
    <t>LABEL LB P2 LN 2 BARIS JK</t>
  </si>
  <si>
    <t>SA230916817</t>
  </si>
  <si>
    <t>WATER COLOR WAC 6ML 12 SCREW TYPE JK</t>
  </si>
  <si>
    <t>F231000673</t>
  </si>
  <si>
    <t>BUKU MEWARNAI JUMBO FANCYY ANGKA &amp; HURUF</t>
  </si>
  <si>
    <t>GADING MURNI</t>
  </si>
  <si>
    <t>V.23017148</t>
  </si>
  <si>
    <t>V TEC EXPANDING FILE VT-EF 4511/ B5</t>
  </si>
  <si>
    <t>0929</t>
  </si>
  <si>
    <t xml:space="preserve">DOC RIT PRESTIGE </t>
  </si>
  <si>
    <t>DOC RIT INFINITY</t>
  </si>
  <si>
    <t>0924</t>
  </si>
  <si>
    <t>DOC RIT ABSOLUTE DK 519</t>
  </si>
  <si>
    <t>VJ0431B</t>
  </si>
  <si>
    <t>BINDER NOTE GASTA PP A5 HP 209T</t>
  </si>
  <si>
    <t>PSM</t>
  </si>
  <si>
    <t>PSM-R2309000060</t>
  </si>
  <si>
    <t>BALON FS 42 20 X 5 LKP 3200 HB4</t>
  </si>
  <si>
    <t>BALON JUMBO 12 X 3 LJ 1898</t>
  </si>
  <si>
    <t>LPH</t>
  </si>
  <si>
    <t>DUTA BAHAGIA</t>
  </si>
  <si>
    <t>DHM/12/09-23C</t>
  </si>
  <si>
    <t>BINDER NOTE FPHY 001-B5-60</t>
  </si>
  <si>
    <t>BINDER NOTE FPHY 001-A5-60</t>
  </si>
  <si>
    <t>HOMGSIAN</t>
  </si>
  <si>
    <t>6177</t>
  </si>
  <si>
    <t>DOC HD 51</t>
  </si>
  <si>
    <t>DOC HD 55</t>
  </si>
  <si>
    <t>JUI343/23</t>
  </si>
  <si>
    <t>80 LSN</t>
  </si>
  <si>
    <t>PENGGARIS 30CM DBP-072</t>
  </si>
  <si>
    <t>GEL INK TIANJIAO TZ-501</t>
  </si>
  <si>
    <t>MEK PENSIL 2.0 TM1800</t>
  </si>
  <si>
    <t>MEK PENSIL 2.0 TIZO TM 1800-A</t>
  </si>
  <si>
    <t>MEK PENSIL 2.0 TIZO TM 030-G</t>
  </si>
  <si>
    <t>MEK PENSIL 24 PCS G09397</t>
  </si>
  <si>
    <t>PELNA</t>
  </si>
  <si>
    <t>PELNA LAPTOP TABLE</t>
  </si>
  <si>
    <t>2309126</t>
  </si>
  <si>
    <t>GUNINDO FM COKLAT</t>
  </si>
  <si>
    <t>GUNINDO FL COKLAT</t>
  </si>
  <si>
    <t>JUI382/23</t>
  </si>
  <si>
    <t>MEK PENSIL 2.0 TIZO TM 030A-1</t>
  </si>
  <si>
    <t>MEK TIZO 2.0 TM 030-C</t>
  </si>
  <si>
    <t>MEK PENSIL 2.0 BATIK TM 030-D</t>
  </si>
  <si>
    <t>MEK PENSIL 2.0 TIZO TM 030-H</t>
  </si>
  <si>
    <t>MEK PENSIL 2.0 TIZO TM 030-F</t>
  </si>
  <si>
    <t>MEKANIK PENSIL TIZO TM 01500</t>
  </si>
  <si>
    <t>MEK PENSIL 2.0 TIZO TM 02930</t>
  </si>
  <si>
    <t>MEK PENSIL TIZO G-9000A</t>
  </si>
  <si>
    <t>MEK PENSIL TIZO G-9001A</t>
  </si>
  <si>
    <t>MEK PENSIL TIZO G-9003A</t>
  </si>
  <si>
    <t>23090583</t>
  </si>
  <si>
    <t>23092078</t>
  </si>
  <si>
    <t>kenko pencil lead pl 05 2b 0.5mm hi polymer</t>
  </si>
  <si>
    <t>23091995</t>
  </si>
  <si>
    <t>KENKO STAPLER HD-10D NEWCOLOR</t>
  </si>
  <si>
    <t>KENKO CORRECTION FLUID KE 107 M</t>
  </si>
  <si>
    <t>KENKO CUTTER A 300 9 MM BLADE</t>
  </si>
  <si>
    <t>KENKO GEL PEN K-1 BLACK</t>
  </si>
  <si>
    <t>23092008</t>
  </si>
  <si>
    <t>SA230916837</t>
  </si>
  <si>
    <t>PENCIL LEAD PL 05 2B JK</t>
  </si>
  <si>
    <t>ERA JAYA</t>
  </si>
  <si>
    <t>AC 005839/ V/ 22</t>
  </si>
  <si>
    <t xml:space="preserve">CLIP BOARD KAYU PHOENIX </t>
  </si>
  <si>
    <t>KOTAK CLIP KUNING</t>
  </si>
  <si>
    <t>0290/HW/IX/23</t>
  </si>
  <si>
    <t>SEGITIGA BT NO.10</t>
  </si>
  <si>
    <t>2309164</t>
  </si>
  <si>
    <t>OSS GUNINDO</t>
  </si>
  <si>
    <t>HN092023251</t>
  </si>
  <si>
    <t>NO.1/ 5 @ 2LSN</t>
  </si>
  <si>
    <t>HM/266/09-23H</t>
  </si>
  <si>
    <t>BALLPEN GEL TF-3115 0.3MM HIGHTECH KNOCK</t>
  </si>
  <si>
    <t>S</t>
  </si>
  <si>
    <t>079601</t>
  </si>
  <si>
    <t>SULING YAMAHA</t>
  </si>
  <si>
    <t>50 PCS</t>
  </si>
  <si>
    <t>SA230916941</t>
  </si>
  <si>
    <t>HIGHLIGHTER HL 2 GREEN JK</t>
  </si>
  <si>
    <t>23092171</t>
  </si>
  <si>
    <t>KENKO BINDER CLIP NO.200</t>
  </si>
  <si>
    <t>BALLPEN BP 349-12 VOKUS TRANS BLACK JK bonus</t>
  </si>
  <si>
    <t>CUTTER BLADE L-150 M (MH) JK bonus</t>
  </si>
  <si>
    <t>BALLPEN BP-349-12 VOKUS TRANS (BLACK) JK (bonus)</t>
  </si>
  <si>
    <t>BALLPEN BP-349-12 VOKUS TRANS BLACK Jk bonus</t>
  </si>
  <si>
    <t>23092311</t>
  </si>
  <si>
    <t>23092214</t>
  </si>
  <si>
    <t>KENKO GEL PEN K1 BLUE</t>
  </si>
  <si>
    <t>KENKO SCISSOR SC-848 N</t>
  </si>
  <si>
    <t>SA230917133</t>
  </si>
  <si>
    <t>TAPE CUTTER TC-111 JK</t>
  </si>
  <si>
    <t>GEL PEN GPC 309S DIAMOND ART JK</t>
  </si>
  <si>
    <t>SA230917106</t>
  </si>
  <si>
    <t>12 BOX (24 SET)</t>
  </si>
  <si>
    <t>WIN*S SENTOSA</t>
  </si>
  <si>
    <t>SI-2023/09-0281/LGS</t>
  </si>
  <si>
    <t>18 X  36</t>
  </si>
  <si>
    <t>20 X 40</t>
  </si>
  <si>
    <t>25 X 50</t>
  </si>
  <si>
    <t>CANDLE YH 332 PAPERMINT</t>
  </si>
  <si>
    <t>576 PCS</t>
  </si>
  <si>
    <t>112 PCS</t>
  </si>
  <si>
    <t>140 PCS</t>
  </si>
  <si>
    <t>TAS KARUNG</t>
  </si>
  <si>
    <t>2309203</t>
  </si>
  <si>
    <t xml:space="preserve">OLL GUNINDO </t>
  </si>
  <si>
    <t>JUJ013/23</t>
  </si>
  <si>
    <t>GEL PEN TIZO 1.0 TG 340</t>
  </si>
  <si>
    <t>1001</t>
  </si>
  <si>
    <t>DOC RIT BRILLIANT</t>
  </si>
  <si>
    <t>5 LSN</t>
  </si>
  <si>
    <t>AC 004849/18/23</t>
  </si>
  <si>
    <t>10 LSLN</t>
  </si>
  <si>
    <t>SO2023090082444</t>
  </si>
  <si>
    <t>PAPER BAG COKLAT BESAR TEBAL</t>
  </si>
  <si>
    <t xml:space="preserve">PAPER BAG COKLAT TG TEBAL </t>
  </si>
  <si>
    <t>2O2023090082438</t>
  </si>
  <si>
    <t>SHOPPING BAG BRANDED KECIL 115</t>
  </si>
  <si>
    <t>50 LSN</t>
  </si>
  <si>
    <t>2809222</t>
  </si>
  <si>
    <t>BINTANG JAYA</t>
  </si>
  <si>
    <t>SI.2023.09.00569</t>
  </si>
  <si>
    <t>CLIPBOARD + WB HOLO SQ-CLPHL</t>
  </si>
  <si>
    <t>CLIPBOARD KAYU KOTAK SQ-CLPKY</t>
  </si>
  <si>
    <t>COLOR PENCIL CP-812 JK</t>
  </si>
  <si>
    <t>KENKO CLOTH TAPE 36MM RED CORE SQ BLACK</t>
  </si>
  <si>
    <t>SA230917238</t>
  </si>
  <si>
    <t>OIL PASTEL OP 18 S PP CASE SEA WORLD JK</t>
  </si>
  <si>
    <t>CALCULATOR JOYKO CC-37</t>
  </si>
  <si>
    <t>Rp 28.828,83 x 160</t>
  </si>
  <si>
    <t>Potongan Harga : Rp 838.635,32</t>
  </si>
  <si>
    <t>2 3.963.963,97</t>
  </si>
  <si>
    <t>CALCULATOR JOYKO CC-38</t>
  </si>
  <si>
    <t>Rp 24.774,77 x 160</t>
  </si>
  <si>
    <t>Potongan Harga : Rp 720.702,24</t>
  </si>
  <si>
    <t>3 4.270.270,27</t>
  </si>
  <si>
    <t>CALCULATOR JOYKO CC-800CH</t>
  </si>
  <si>
    <t>Rp 71.171,17 x 60</t>
  </si>
  <si>
    <t>Potongan Harga : Rp 776.392,86</t>
  </si>
  <si>
    <t>4 4.432.432,43</t>
  </si>
  <si>
    <t>CALCULATOR JOYKO CC-810CH</t>
  </si>
  <si>
    <t>Rp 73.873,87 x 60</t>
  </si>
  <si>
    <t>Potongan Harga : Rp 805.876,13</t>
  </si>
  <si>
    <t>5 5.081.081,08</t>
  </si>
  <si>
    <t>Rp 42.342,34 x 120</t>
  </si>
  <si>
    <t>Potongan Harga : Rp 923.809,22</t>
  </si>
  <si>
    <t>6 5.081.081,08</t>
  </si>
  <si>
    <t>CALCULATOR JOYKO CC-15A</t>
  </si>
  <si>
    <t>7 4.000.000,00</t>
  </si>
  <si>
    <t>CALCULATOR JOYKO CC-41</t>
  </si>
  <si>
    <t>Rp 66.666,67 x 60</t>
  </si>
  <si>
    <t>Potongan Harga : Rp 727.254,07</t>
  </si>
  <si>
    <t>8 1.693.693,69</t>
  </si>
  <si>
    <t>Rp 42.342,34 x 40</t>
  </si>
  <si>
    <t>Potongan Harga : Rp 307.936,41</t>
  </si>
  <si>
    <t>9 1.693.693,69</t>
  </si>
  <si>
    <t>10 1.693.693,69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</si>
</sst>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NOTA" displayName="NOTA" ref="A2:AX920" headerRowDxfId="310" dataDxfId="309" totalsRowDxfId="308">
  <autoFilter ref="A2:AX920"/>
  <sortState ref="A3:AV910">
    <sortCondition ref="AH2:AH910"/>
  </sortState>
  <tableColumns count="50">
    <tableColumn id="36" name="ID" totalsRowLabel="Total" dataDxfId="307" totalsRowDxfId="30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305" totalsRowDxfId="30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303" totalsRowDxfId="302">
      <calculatedColumnFormula>IF(NOTA[[#This Row],[ID_P]]="","",MATCH(NOTA[[#This Row],[ID_P]],[1]!B_MSK[N_ID],0))</calculatedColumnFormula>
    </tableColumn>
    <tableColumn id="37" name="ID_H" dataDxfId="301" totalsRowDxfId="30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99"/>
    <tableColumn id="3" name="SUPPLIER" dataDxfId="298" totalsRowDxfId="297"/>
    <tableColumn id="4" name="FAKTUR" dataDxfId="296" totalsRowDxfId="295"/>
    <tableColumn id="5" name="NO.NOTA" dataDxfId="294" totalsRowDxfId="293"/>
    <tableColumn id="6" name="NO.SJ" dataDxfId="292" totalsRowDxfId="291"/>
    <tableColumn id="7" name="TGL.NOTA" dataDxfId="290" totalsRowDxfId="289"/>
    <tableColumn id="8" name="B" dataDxfId="288" totalsRowDxfId="287"/>
    <tableColumn id="9" name="NAMA BARANG" dataDxfId="286" totalsRowDxfId="285"/>
    <tableColumn id="10" name="C" dataDxfId="284" totalsRowDxfId="283"/>
    <tableColumn id="12" name="QTY" dataDxfId="282" totalsRowDxfId="281"/>
    <tableColumn id="13" name="STN" dataDxfId="280" totalsRowDxfId="279"/>
    <tableColumn id="14" name="HARGA SATUAN" dataDxfId="278" totalsRowDxfId="277"/>
    <tableColumn id="16" name="HARGA/ CTN" dataDxfId="276" totalsRowDxfId="275"/>
    <tableColumn id="17" name="QTY/ CTN" dataDxfId="274" totalsRowDxfId="273"/>
    <tableColumn id="18" name="DISC 1" dataDxfId="272" totalsRowDxfId="271"/>
    <tableColumn id="19" name="DISC 2" dataDxfId="270" totalsRowDxfId="269"/>
    <tableColumn id="50" name="DISC 3" dataDxfId="268" totalsRowDxfId="267"/>
    <tableColumn id="11" name="DISC DLL" dataDxfId="266" totalsRowDxfId="265"/>
    <tableColumn id="31" name="KETERANGAN" dataDxfId="264" totalsRowDxfId="263"/>
    <tableColumn id="20" name="JUMLAH" dataDxfId="262" totalsRowDxfId="26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60" totalsRowDxfId="259">
      <calculatedColumnFormula>IF(NOTA[[#This Row],[JUMLAH]]="","",NOTA[[#This Row],[JUMLAH]]*NOTA[[#This Row],[DISC 1]])</calculatedColumnFormula>
    </tableColumn>
    <tableColumn id="22" name="DISC 2-" dataDxfId="258" totalsRowDxfId="257">
      <calculatedColumnFormula>IF(NOTA[[#This Row],[JUMLAH]]="","",(NOTA[[#This Row],[JUMLAH]]-NOTA[[#This Row],[DISC 1-]])*NOTA[[#This Row],[DISC 2]])</calculatedColumnFormula>
    </tableColumn>
    <tableColumn id="51" name="DISC 3-" dataDxfId="256" totalsRowDxfId="255">
      <calculatedColumnFormula>IF(NOTA[[#This Row],[JUMLAH]]="","",(NOTA[[#This Row],[JUMLAH]]-NOTA[[#This Row],[DISC 1-]]-NOTA[[#This Row],[DISC 2-]])*NOTA[[#This Row],[DISC 3]])</calculatedColumnFormula>
    </tableColumn>
    <tableColumn id="25" name="DISC" dataDxfId="254" totalsRowDxfId="253">
      <calculatedColumnFormula>IF(NOTA[[#This Row],[JUMLAH]]="","",NOTA[[#This Row],[DISC 1-]]+NOTA[[#This Row],[DISC 2-]]+NOTA[[#This Row],[DISC 3-]])</calculatedColumnFormula>
    </tableColumn>
    <tableColumn id="26" name="TOTAL" dataDxfId="252" totalsRowDxfId="251">
      <calculatedColumnFormula>IF(NOTA[[#This Row],[JUMLAH]]="","",NOTA[[#This Row],[JUMLAH]]-NOTA[[#This Row],[DISC]])</calculatedColumnFormula>
    </tableColumn>
    <tableColumn id="33" name="DISC TOTAL" dataDxfId="250" totalsRowDxfId="24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8" totalsRowDxfId="24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6" totalsRowDxfId="245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44" totalsRowDxfId="243">
      <calculatedColumnFormula>IF(OR(NOTA[[#This Row],[QTY]]="",NOTA[[#This Row],[HARGA SATUAN]]="",),"",NOTA[[#This Row],[QTY]]*NOTA[[#This Row],[HARGA SATUAN]])</calculatedColumnFormula>
    </tableColumn>
    <tableColumn id="27" name="TGL_H" dataDxfId="242" totalsRowDxfId="241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40" totalsRowDxfId="239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8" totalsRowDxfId="237">
      <calculatedColumnFormula>IF(NOTA[[#This Row],[ID_H]]="","",IF(NOTA[[#This Row],[FAKTUR]]="",INDIRECT(ADDRESS(ROW()-1,COLUMN())),NOTA[[#This Row],[FAKTUR]]))</calculatedColumnFormula>
    </tableColumn>
    <tableColumn id="30" name="qb" dataDxfId="236">
      <calculatedColumnFormula>IF(NOTA[[#This Row],[ID]]="","",COUNTIF(NOTA[ID_H],NOTA[[#This Row],[ID_H]]))</calculatedColumnFormula>
    </tableColumn>
    <tableColumn id="29" name="Column1" dataDxfId="235">
      <calculatedColumnFormula>IF(NOTA[[#This Row],[TGL.NOTA]]="",IF(NOTA[[#This Row],[SUPPLIER_H]]="","",AL2),MONTH(NOTA[[#This Row],[TGL.NOTA]]))</calculatedColumnFormula>
    </tableColumn>
    <tableColumn id="38" name="CONCAT1" dataDxfId="234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33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32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31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30">
      <calculatedColumnFormula>IF(NOTA[[#This Row],[CONCAT4]]="","",_xlfn.IFNA(MATCH(NOTA[[#This Row],[CONCAT4]],[2]!RAW[CONCAT_H],0),FALSE))</calculatedColumnFormula>
    </tableColumn>
    <tableColumn id="39" name="//DB" dataDxfId="229">
      <calculatedColumnFormula>IF(NOTA[[#This Row],[CONCAT1]]="","",MATCH(NOTA[[#This Row],[CONCAT1]],[3]!db[NB NOTA_C],0))</calculatedColumnFormula>
    </tableColumn>
    <tableColumn id="47" name="Column3" dataDxfId="228">
      <calculatedColumnFormula>IF(NOTA[[#This Row],[QTY/ CTN]]="","",TRUE)</calculatedColumnFormula>
    </tableColumn>
    <tableColumn id="44" name="QTY/ CTN_H" dataDxfId="227" totalsRowDxfId="226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25" totalsRowDxfId="224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23" totalsRowDxfId="222">
      <calculatedColumnFormula>IF(NOTA[[#This Row],[ID_H]]="","",MATCH(NOTA[[#This Row],[NB NOTA_C_QTY]],[4]!db[NB NOTA_C_QTY+F],0))</calculatedColumnFormula>
    </tableColumn>
    <tableColumn id="48" name="ID BARANG" dataDxfId="221" totalsRowDxfId="220">
      <calculatedColumnFormula>IF(NOTA[[#This Row],[NB NOTA_C_QTY]]="","",ROW()-2)</calculatedColumnFormula>
    </tableColumn>
    <tableColumn id="49" name="Column4" dataDxfId="219" totalsRowDxfId="21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8" name="MGN" displayName="MGN" ref="A2:M25" totalsRowShown="0" headerRowDxfId="109">
  <autoFilter ref="A2:M25"/>
  <tableColumns count="13">
    <tableColumn id="1" name="//NOTA``" dataDxfId="10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0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5">
      <calculatedColumnFormula>IF(MGN[[#This Row],[//PAJAK]]="","",INDEX(INDIRECT("PAJAK["&amp;MGN[#Headers]&amp;"]"),MGN[[#This Row],[//PAJAK]]-1))</calculatedColumnFormula>
    </tableColumn>
    <tableColumn id="5" name="TGL.MASUK" dataDxfId="104">
      <calculatedColumnFormula>IF(MGN[[#This Row],[//PAJAK]]="","",INDEX(INDIRECT("PAJAK["&amp;MGN[#Headers]&amp;"]"),MGN[[#This Row],[//PAJAK]]-1))</calculatedColumnFormula>
    </tableColumn>
    <tableColumn id="6" name="TGL.NOTA" dataDxfId="103">
      <calculatedColumnFormula>IF(MGN[[#This Row],[//PAJAK]]="","",INDEX(INDIRECT("PAJAK["&amp;MGN[#Headers]&amp;"]"),MGN[[#This Row],[//PAJAK]]-1))</calculatedColumnFormula>
    </tableColumn>
    <tableColumn id="7" name="NO.NOTA" dataDxfId="102">
      <calculatedColumnFormula>IF(MGN[[#This Row],[//PAJAK]]="","",INDEX(INDIRECT("PAJAK["&amp;MGN[#Headers]&amp;"]"),MGN[[#This Row],[//PAJAK]]-1))</calculatedColumnFormula>
    </tableColumn>
    <tableColumn id="8" name="NO.SJ" dataDxfId="101">
      <calculatedColumnFormula>IF(MGN[[#This Row],[//PAJAK]]="","",INDEX(INDIRECT("PAJAK["&amp;MGN[#Headers]&amp;"]"),MGN[[#This Row],[//PAJAK]]-1))</calculatedColumnFormula>
    </tableColumn>
    <tableColumn id="9" name="SUB TOTAL" dataDxfId="100">
      <calculatedColumnFormula>IF(MGN[[#This Row],[//PAJAK]]="","",INDEX(INDIRECT("PAJAK["&amp;MGN[#Headers]&amp;"]"),MGN[[#This Row],[//PAJAK]]-1))</calculatedColumnFormula>
    </tableColumn>
    <tableColumn id="10" name="DISKON" dataDxfId="99">
      <calculatedColumnFormula>IF(MGN[[#This Row],[//PAJAK]]="","",INDEX(INDIRECT("PAJAK["&amp;MGN[#Headers]&amp;"]"),MGN[[#This Row],[//PAJAK]]-1))</calculatedColumnFormula>
    </tableColumn>
    <tableColumn id="11" name="DPP" dataDxfId="98">
      <calculatedColumnFormula>(MGN[[#This Row],[SUB TOTAL]]-MGN[[#This Row],[DISKON]])/1.11</calculatedColumnFormula>
    </tableColumn>
    <tableColumn id="12" name="PPN (11%)" dataDxfId="97">
      <calculatedColumnFormula>MGN[[#This Row],[DPP]]*11%</calculatedColumnFormula>
    </tableColumn>
    <tableColumn id="13" name="TOTAL" dataDxfId="9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LIE" displayName="LIE" ref="A2:M6" totalsRowShown="0" headerRowDxfId="95">
  <autoFilter ref="A2:M6"/>
  <tableColumns count="13">
    <tableColumn id="1" name="//NOTA" dataDxfId="9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9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91">
      <calculatedColumnFormula>IF(LIE[[#This Row],[//PAJAK]]="","",INDEX(INDIRECT("PAJAK["&amp;LIE[#Headers]&amp;"]"),LIE[[#This Row],[//PAJAK]]-1))</calculatedColumnFormula>
    </tableColumn>
    <tableColumn id="5" name="TGL.MASUK" dataDxfId="90">
      <calculatedColumnFormula>IF(LIE[[#This Row],[//PAJAK]]="","",INDEX(INDIRECT("PAJAK["&amp;LIE[#Headers]&amp;"]"),LIE[[#This Row],[//PAJAK]]-1))</calculatedColumnFormula>
    </tableColumn>
    <tableColumn id="6" name="TGL.NOTA" dataDxfId="89">
      <calculatedColumnFormula>IF(LIE[[#This Row],[//PAJAK]]="","",INDEX(INDIRECT("PAJAK["&amp;LIE[#Headers]&amp;"]"),LIE[[#This Row],[//PAJAK]]-1))</calculatedColumnFormula>
    </tableColumn>
    <tableColumn id="7" name="NO.NOTA" dataDxfId="88">
      <calculatedColumnFormula>IF(LIE[[#This Row],[//PAJAK]]="","",INDEX(INDIRECT("PAJAK["&amp;LIE[#Headers]&amp;"]"),LIE[[#This Row],[//PAJAK]]-1))</calculatedColumnFormula>
    </tableColumn>
    <tableColumn id="8" name="NO.SJ" dataDxfId="87">
      <calculatedColumnFormula>IF(LIE[[#This Row],[//PAJAK]]="","",INDEX(INDIRECT("PAJAK["&amp;LIE[#Headers]&amp;"]"),LIE[[#This Row],[//PAJAK]]-1))</calculatedColumnFormula>
    </tableColumn>
    <tableColumn id="9" name="SUB TOTAL" dataDxfId="86">
      <calculatedColumnFormula>IF(LIE[[#This Row],[//PAJAK]]="","",INDEX(PAJAK[SUB T-DISC],LIE[[#This Row],[//PAJAK]]-1)*1.11)</calculatedColumnFormula>
    </tableColumn>
    <tableColumn id="10" name="DISKON" dataDxfId="85">
      <calculatedColumnFormula>IF(LIE[[#This Row],[//PAJAK]]="","",INDEX(PAJAK[DISC DLL],LIE[[#This Row],[//PAJAK]]-1))</calculatedColumnFormula>
    </tableColumn>
    <tableColumn id="11" name="DPP" dataDxfId="84">
      <calculatedColumnFormula>(LIE[[#This Row],[SUB TOTAL]]-LIE[[#This Row],[DISKON]])/1.11</calculatedColumnFormula>
    </tableColumn>
    <tableColumn id="12" name="PPN (11%)" dataDxfId="83">
      <calculatedColumnFormula>LIE[[#This Row],[DPP]]*11%</calculatedColumnFormula>
    </tableColumn>
    <tableColumn id="13" name="TOTAL" dataDxfId="8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LMA" displayName="LMA" ref="A2:M8" totalsRowShown="0" headerRowDxfId="81">
  <autoFilter ref="A2:M8"/>
  <tableColumns count="13">
    <tableColumn id="1" name="//NOTA" dataDxfId="8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7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77">
      <calculatedColumnFormula>IF(LMA[[#This Row],[//PAJAK]]="","",INDEX(INDIRECT("PAJAK["&amp;LMA[#Headers]&amp;"]"),LMA[[#This Row],[//PAJAK]]-1))</calculatedColumnFormula>
    </tableColumn>
    <tableColumn id="5" name="TGL.MASUK" dataDxfId="76">
      <calculatedColumnFormula>IF(LMA[[#This Row],[//PAJAK]]="","",INDEX(INDIRECT("PAJAK["&amp;LMA[#Headers]&amp;"]"),LMA[[#This Row],[//PAJAK]]-1))</calculatedColumnFormula>
    </tableColumn>
    <tableColumn id="6" name="TGL.NOTA" dataDxfId="75">
      <calculatedColumnFormula>IF(LMA[[#This Row],[//PAJAK]]="","",INDEX(INDIRECT("PAJAK["&amp;LMA[#Headers]&amp;"]"),LMA[[#This Row],[//PAJAK]]-1))</calculatedColumnFormula>
    </tableColumn>
    <tableColumn id="7" name="NO.NOTA" dataDxfId="74">
      <calculatedColumnFormula>IF(LMA[[#This Row],[//PAJAK]]="","",INDEX(INDIRECT("PAJAK["&amp;LMA[#Headers]&amp;"]"),LMA[[#This Row],[//PAJAK]]-1))</calculatedColumnFormula>
    </tableColumn>
    <tableColumn id="8" name="NO.SJ" dataDxfId="73">
      <calculatedColumnFormula>IF(LMA[[#This Row],[//PAJAK]]="","",INDEX(INDIRECT("PAJAK["&amp;LMA[#Headers]&amp;"]"),LMA[[#This Row],[//PAJAK]]-1))</calculatedColumnFormula>
    </tableColumn>
    <tableColumn id="9" name="SUB TOTAL" dataDxfId="72">
      <calculatedColumnFormula>IF(LMA[[#This Row],[//PAJAK]]="","",INDEX(PAJAK[SUB T-DISC],LMA[[#This Row],[//PAJAK]]-1)-LMA[[#This Row],[DISKON]])*1.11</calculatedColumnFormula>
    </tableColumn>
    <tableColumn id="10" name="DISKON" dataDxfId="71">
      <calculatedColumnFormula>IF(LMA[[#This Row],[//PAJAK]]="","",INDEX(PAJAK[DISC DLL],LMA[[#This Row],[//PAJAK]]-1))</calculatedColumnFormula>
    </tableColumn>
    <tableColumn id="11" name="DPP" dataDxfId="70">
      <calculatedColumnFormula>(LMA[[#This Row],[SUB TOTAL]]/1.11)</calculatedColumnFormula>
    </tableColumn>
    <tableColumn id="12" name="PPN (11%)" dataDxfId="69">
      <calculatedColumnFormula>LMA[[#This Row],[DPP]]*11%</calculatedColumnFormula>
    </tableColumn>
    <tableColumn id="13" name="TOTAL" dataDxfId="6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PARAMA" displayName="PARAMA" ref="A2:N50" totalsRowShown="0" headerRowDxfId="67">
  <autoFilter ref="A2:N50"/>
  <tableColumns count="14">
    <tableColumn id="1" name="//NOTA" dataDxfId="66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65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4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63">
      <calculatedColumnFormula>IF(PARAMA[[#This Row],[//PAJAK]]="","",INDEX(INDIRECT("PAJAK["&amp;PARAMA[#Headers]&amp;"]"),PARAMA[[#This Row],[//PAJAK]]-1))</calculatedColumnFormula>
    </tableColumn>
    <tableColumn id="5" name="TGL.MASUK" dataDxfId="62">
      <calculatedColumnFormula>IF(PARAMA[[#This Row],[//PAJAK]]="","",INDEX(INDIRECT("PAJAK["&amp;PARAMA[#Headers]&amp;"]"),PARAMA[[#This Row],[//PAJAK]]-1))</calculatedColumnFormula>
    </tableColumn>
    <tableColumn id="6" name="TGL.NOTA" dataDxfId="61">
      <calculatedColumnFormula>IF(PARAMA[[#This Row],[//PAJAK]]="","",INDEX(INDIRECT("PAJAK["&amp;PARAMA[#Headers]&amp;"]"),PARAMA[[#This Row],[//PAJAK]]-1))</calculatedColumnFormula>
    </tableColumn>
    <tableColumn id="7" name="NO.NOTA" dataDxfId="60">
      <calculatedColumnFormula>IF(PARAMA[[#This Row],[//PAJAK]]="","",INDEX(INDIRECT("PAJAK["&amp;PARAMA[#Headers]&amp;"]"),PARAMA[[#This Row],[//PAJAK]]-1))</calculatedColumnFormula>
    </tableColumn>
    <tableColumn id="8" name="NO.SJ" dataDxfId="59">
      <calculatedColumnFormula>IF(PARAMA[[#This Row],[//PAJAK]]="","",INDEX(INDIRECT("PAJAK["&amp;PARAMA[#Headers]&amp;"]"),PARAMA[[#This Row],[//PAJAK]]-1))</calculatedColumnFormula>
    </tableColumn>
    <tableColumn id="9" name="SUB TOTAL" dataDxfId="58">
      <calculatedColumnFormula>IF(PARAMA[[#This Row],[//PAJAK]]="","",INDEX(PAJAK[SUB TOTAL],PARAMA[[#This Row],[//PAJAK]]-1)-PARAMA[[#This Row],[DISKON_H]])</calculatedColumnFormula>
    </tableColumn>
    <tableColumn id="14" name="DISKON_H" dataDxfId="57">
      <calculatedColumnFormula>IF(PARAMA[[#This Row],[//PAJAK]]="","",INDEX(PAJAK[DISKON],PARAMA[[#This Row],[//PAJAK]]-1))</calculatedColumnFormula>
    </tableColumn>
    <tableColumn id="10" name="DISKON" dataDxfId="56"/>
    <tableColumn id="11" name="DPP" dataDxfId="55">
      <calculatedColumnFormula>(PARAMA[[#This Row],[SUB TOTAL]]-PARAMA[[#This Row],[DISKON]])/1.11</calculatedColumnFormula>
    </tableColumn>
    <tableColumn id="12" name="PPN (11%)" dataDxfId="54">
      <calculatedColumnFormula>PARAMA[[#This Row],[DPP]]*11%</calculatedColumnFormula>
    </tableColumn>
    <tableColumn id="13" name="TOTAL" dataDxfId="5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RAP" displayName="RAP" ref="A2:M22" totalsRowShown="0" headerRowDxfId="52">
  <autoFilter ref="A2:M22"/>
  <tableColumns count="13">
    <tableColumn id="1" name="//NOTA" dataDxfId="5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5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48">
      <calculatedColumnFormula>IF(RAP[[#This Row],[//PAJAK]]="","",INDEX(INDIRECT("PAJAK["&amp;RAP[#Headers]&amp;"]"),RAP[[#This Row],[//PAJAK]]-1))</calculatedColumnFormula>
    </tableColumn>
    <tableColumn id="5" name="TGL.MASUK" dataDxfId="47">
      <calculatedColumnFormula>IF(RAP[[#This Row],[//PAJAK]]="","",INDEX(INDIRECT("PAJAK["&amp;RAP[#Headers]&amp;"]"),RAP[[#This Row],[//PAJAK]]-1))</calculatedColumnFormula>
    </tableColumn>
    <tableColumn id="6" name="TGL.NOTA" dataDxfId="46">
      <calculatedColumnFormula>IF(RAP[[#This Row],[//PAJAK]]="","",INDEX(INDIRECT("PAJAK["&amp;RAP[#Headers]&amp;"]"),RAP[[#This Row],[//PAJAK]]-1))</calculatedColumnFormula>
    </tableColumn>
    <tableColumn id="7" name="NO.NOTA" dataDxfId="45">
      <calculatedColumnFormula>IF(RAP[[#This Row],[//PAJAK]]="","",INDEX(INDIRECT("PAJAK["&amp;RAP[#Headers]&amp;"]"),RAP[[#This Row],[//PAJAK]]-1))</calculatedColumnFormula>
    </tableColumn>
    <tableColumn id="8" name="NO.SJ" dataDxfId="44">
      <calculatedColumnFormula>IF(RAP[[#This Row],[//PAJAK]]="","",INDEX(INDIRECT("PAJAK["&amp;RAP[#Headers]&amp;"]"),RAP[[#This Row],[//PAJAK]]-1))</calculatedColumnFormula>
    </tableColumn>
    <tableColumn id="9" name="SUB TOTAL" dataDxfId="43">
      <calculatedColumnFormula>IF(RAP[[#This Row],[//PAJAK]]="","",INDEX(PAJAK[SUB T-DISC],RAP[[#This Row],[//PAJAK]]-1))</calculatedColumnFormula>
    </tableColumn>
    <tableColumn id="10" name="DISKON" dataDxfId="42">
      <calculatedColumnFormula>IF(RAP[[#This Row],[//PAJAK]]="","",INDEX(PAJAK[DISC DLL],RAP[[#This Row],[//PAJAK]]-1))</calculatedColumnFormula>
    </tableColumn>
    <tableColumn id="11" name="DPP" dataDxfId="41">
      <calculatedColumnFormula>(RAP[[#This Row],[SUB TOTAL]]-RAP[[#This Row],[DISKON]])/1.11</calculatedColumnFormula>
    </tableColumn>
    <tableColumn id="12" name="PPN (11%)" dataDxfId="40">
      <calculatedColumnFormula>RAP[[#This Row],[DPP]]*11%</calculatedColumnFormula>
    </tableColumn>
    <tableColumn id="13" name="TOTAL" dataDxfId="3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NCL" displayName="NCL" ref="A2:M22" totalsRowShown="0" headerRowDxfId="38">
  <autoFilter ref="A2:M22"/>
  <tableColumns count="13">
    <tableColumn id="1" name="//NOTA" dataDxfId="37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6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5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34">
      <calculatedColumnFormula>IF(NCL[[#This Row],[//PAJAK]]="","",INDEX(INDIRECT("PAJAK["&amp;NCL[#Headers]&amp;"]"),NCL[[#This Row],[//PAJAK]]-1))</calculatedColumnFormula>
    </tableColumn>
    <tableColumn id="5" name="TGL.MASUK" dataDxfId="33">
      <calculatedColumnFormula>IF(NCL[[#This Row],[//PAJAK]]="","",INDEX(INDIRECT("PAJAK["&amp;NCL[#Headers]&amp;"]"),NCL[[#This Row],[//PAJAK]]-1))</calculatedColumnFormula>
    </tableColumn>
    <tableColumn id="6" name="TGL.NOTA" dataDxfId="32">
      <calculatedColumnFormula>IF(NCL[[#This Row],[//PAJAK]]="","",INDEX(INDIRECT("PAJAK["&amp;NCL[#Headers]&amp;"]"),NCL[[#This Row],[//PAJAK]]-1))</calculatedColumnFormula>
    </tableColumn>
    <tableColumn id="7" name="NO.NOTA" dataDxfId="31">
      <calculatedColumnFormula>IF(NCL[[#This Row],[//PAJAK]]="","",INDEX(INDIRECT("PAJAK["&amp;NCL[#Headers]&amp;"]"),NCL[[#This Row],[//PAJAK]]-1))</calculatedColumnFormula>
    </tableColumn>
    <tableColumn id="8" name="NO.SJ" dataDxfId="30">
      <calculatedColumnFormula>IF(NCL[[#This Row],[//PAJAK]]="","",INDEX(INDIRECT("PAJAK["&amp;NCL[#Headers]&amp;"]"),NCL[[#This Row],[//PAJAK]]-1))</calculatedColumnFormula>
    </tableColumn>
    <tableColumn id="9" name="SUB TOTAL" dataDxfId="29">
      <calculatedColumnFormula>IF(NCL[[#This Row],[//PAJAK]]="","",INDEX(PAJAK[SUB T-DISC],NCL[[#This Row],[//PAJAK]]-1)*1.11)</calculatedColumnFormula>
    </tableColumn>
    <tableColumn id="10" name="DISKON" dataDxfId="28">
      <calculatedColumnFormula>IF(NCL[[#This Row],[//PAJAK]]="","",INDEX(PAJAK[DISC DLL],NCL[[#This Row],[//PAJAK]]-1))</calculatedColumnFormula>
    </tableColumn>
    <tableColumn id="11" name="DPP" dataDxfId="27">
      <calculatedColumnFormula>(NCL[[#This Row],[SUB TOTAL]]-NCL[[#This Row],[DISKON]])/1.11</calculatedColumnFormula>
    </tableColumn>
    <tableColumn id="12" name="PPN (11%)" dataDxfId="26">
      <calculatedColumnFormula>NCL[[#This Row],[DPP]]*11%</calculatedColumnFormula>
    </tableColumn>
    <tableColumn id="13" name="TOTAL" dataDxfId="25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24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PAJAK" displayName="PAJAK" ref="A1:R93" totalsRowShown="0" headerRowDxfId="217" dataDxfId="216">
  <autoFilter ref="A1:R93"/>
  <sortState ref="A14:R39">
    <sortCondition ref="I1:I93"/>
  </sortState>
  <tableColumns count="18">
    <tableColumn id="1" name="//" dataDxfId="21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1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13">
      <calculatedColumnFormula>IF(PAJAK[[#This Row],[//]]="","",INDEX(INDIRECT("NOTA["&amp;PAJAK[#Headers]&amp;"]"),PAJAK[[#This Row],[//]]-2))</calculatedColumnFormula>
    </tableColumn>
    <tableColumn id="14" name="Column1" dataDxfId="212">
      <calculatedColumnFormula>MATCH(PAJAK[[#This Row],[ID]],[6]!Table1[ID],0)</calculatedColumnFormula>
    </tableColumn>
    <tableColumn id="17" name="QB" dataDxfId="211" totalsRowDxfId="210">
      <calculatedColumnFormula>IF(PAJAK[[#This Row],[ID]]="","",COUNTIF(NOTA[ID_H],PAJAK[[#This Row],[ID]]))</calculatedColumnFormula>
    </tableColumn>
    <tableColumn id="2" name="SUPPLIER" dataDxfId="209">
      <calculatedColumnFormula>IF(PAJAK[[#This Row],[//]]="","",INDEX(CONV[2],MATCH(INDEX(INDIRECT("NOTA["&amp;PAJAK[#Headers]&amp;"]"),PAJAK[[#This Row],[//]]-2),CONV[1],0),0))</calculatedColumnFormula>
    </tableColumn>
    <tableColumn id="3" name="TGL.MASUK" dataDxfId="208">
      <calculatedColumnFormula>IF(PAJAK[[#This Row],[//]]="","",INDEX(NOTA[TGL_H],PAJAK[[#This Row],[//]]-2))</calculatedColumnFormula>
    </tableColumn>
    <tableColumn id="4" name="TGL.NOTA" dataDxfId="207">
      <calculatedColumnFormula>IF(PAJAK[[#This Row],[//]]="","",INDEX(INDIRECT("NOTA["&amp;PAJAK[#Headers]&amp;"]"),PAJAK[[#This Row],[//]]-2))</calculatedColumnFormula>
    </tableColumn>
    <tableColumn id="5" name="NO.NOTA" dataDxfId="206" totalsRowDxfId="205">
      <calculatedColumnFormula>IF(PAJAK[[#This Row],[//]]="","",INDEX(INDIRECT("NOTA["&amp;PAJAK[#Headers]&amp;"]"),PAJAK[[#This Row],[//]]-2))</calculatedColumnFormula>
    </tableColumn>
    <tableColumn id="6" name="NO.SJ" dataDxfId="20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203">
      <calculatedColumnFormula>IF(PAJAK[[#This Row],[//]]="","",SUMIF(NOTA[ID_H],PAJAK[[#This Row],[ID]],NOTA[JUMLAH]))</calculatedColumnFormula>
    </tableColumn>
    <tableColumn id="8" name="DISKON" dataDxfId="202">
      <calculatedColumnFormula>IF(PAJAK[[#This Row],[//]]="","",SUMIF(NOTA[ID_H],PAJAK[[#This Row],[ID]],NOTA[DISC]))</calculatedColumnFormula>
    </tableColumn>
    <tableColumn id="9" name="SUB T-DISC" dataDxfId="201">
      <calculatedColumnFormula>PAJAK[[#This Row],[SUB TOTAL]]-PAJAK[[#This Row],[DISKON]]</calculatedColumnFormula>
    </tableColumn>
    <tableColumn id="10" name="DISC DLL" dataDxfId="200">
      <calculatedColumnFormula>IF(PAJAK[[#This Row],[//]]="","",INDEX(INDIRECT("NOTA["&amp;PAJAK[#Headers]&amp;"]"),PAJAK[[#This Row],[//]]-2+PAJAK[[#This Row],[QB]]-1))</calculatedColumnFormula>
    </tableColumn>
    <tableColumn id="11" name="DPP" dataDxfId="199">
      <calculatedColumnFormula>(PAJAK[[#This Row],[SUB T-DISC]]-PAJAK[[#This Row],[DISC DLL]])/111%</calculatedColumnFormula>
    </tableColumn>
    <tableColumn id="12" name="PPN 11%" dataDxfId="198">
      <calculatedColumnFormula>PAJAK[[#This Row],[DPP]]*PAJAK[[#This Row],[PPN]]</calculatedColumnFormula>
    </tableColumn>
    <tableColumn id="13" name="TOTAL" dataDxfId="197">
      <calculatedColumnFormula>PAJAK[[#This Row],[DPP]]+PAJAK[[#This Row],[PPN 11%]]</calculatedColumnFormula>
    </tableColumn>
    <tableColumn id="18" name="PPN" dataDxfId="19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95">
  <autoFilter ref="A2:N52"/>
  <sortState ref="A3:N52">
    <sortCondition ref="F2:F52"/>
  </sortState>
  <tableColumns count="14">
    <tableColumn id="17" name="//NOTA" dataDxfId="19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9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9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91">
      <calculatedColumnFormula>IF(KENKO[[#This Row],[//PAJAK]]="","",INDEX(INDIRECT("PAJAK["&amp;KENKO[#Headers]&amp;"]"),KENKO[[#This Row],[//PAJAK]]-1))</calculatedColumnFormula>
    </tableColumn>
    <tableColumn id="4" name="TGL.MASUK" dataDxfId="190">
      <calculatedColumnFormula>IF(KENKO[[#This Row],[//PAJAK]]="","",INDEX(INDIRECT("PAJAK["&amp;KENKO[#Headers]&amp;"]"),KENKO[[#This Row],[//PAJAK]]-1))</calculatedColumnFormula>
    </tableColumn>
    <tableColumn id="5" name="TGL.NOTA" dataDxfId="189">
      <calculatedColumnFormula>IF(KENKO[[#This Row],[//PAJAK]]="","",INDEX(INDIRECT("PAJAK["&amp;KENKO[#Headers]&amp;"]"),KENKO[[#This Row],[//PAJAK]]-1))</calculatedColumnFormula>
    </tableColumn>
    <tableColumn id="6" name="NO.NOTA" dataDxfId="188">
      <calculatedColumnFormula>IF(KENKO[[#This Row],[//PAJAK]]="","",INDEX(INDIRECT("PAJAK["&amp;KENKO[#Headers]&amp;"]"),KENKO[[#This Row],[//PAJAK]]-1))</calculatedColumnFormula>
    </tableColumn>
    <tableColumn id="7" name="NO.SJ" dataDxfId="187">
      <calculatedColumnFormula>IF(KENKO[[#This Row],[//PAJAK]]="","",INDEX(INDIRECT("PAJAK["&amp;KENKO[#Headers]&amp;"]"),KENKO[[#This Row],[//PAJAK]]-1))</calculatedColumnFormula>
    </tableColumn>
    <tableColumn id="8" name="SUB TOTAL" dataDxfId="186">
      <calculatedColumnFormula>IF(KENKO[[#This Row],[//PAJAK]]="","",INDEX(INDIRECT("PAJAK["&amp;KENKO[#Headers]&amp;"]"),KENKO[[#This Row],[//PAJAK]]-1))</calculatedColumnFormula>
    </tableColumn>
    <tableColumn id="9" name="DISKON" dataDxfId="185">
      <calculatedColumnFormula>IF(KENKO[[#This Row],[//PAJAK]]="","",INDEX(INDIRECT("PAJAK["&amp;KENKO[#Headers]&amp;"]"),KENKO[[#This Row],[//PAJAK]]-1))</calculatedColumnFormula>
    </tableColumn>
    <tableColumn id="10" name="DPP" dataDxfId="184">
      <calculatedColumnFormula>(KENKO[[#This Row],[SUB TOTAL]]-KENKO[[#This Row],[DISKON]])/1.11</calculatedColumnFormula>
    </tableColumn>
    <tableColumn id="11" name="PPN (11%)" dataDxfId="183">
      <calculatedColumnFormula>KENKO[[#This Row],[DPP]]*11%</calculatedColumnFormula>
    </tableColumn>
    <tableColumn id="12" name="TOTAL" dataDxfId="182">
      <calculatedColumnFormula>KENKO[[#This Row],[DPP]]+KENKO[[#This Row],[PPN (11%)]]</calculatedColumnFormula>
    </tableColumn>
    <tableColumn id="13" name="Column1" dataDxfId="18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80">
  <autoFilter ref="A2:M32"/>
  <tableColumns count="13">
    <tableColumn id="1" name="//NOTA" dataDxfId="17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7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76">
      <calculatedColumnFormula>IF(KALINDO[[#This Row],[//PAJAK]]="","",INDEX(INDIRECT("PAJAK["&amp;KALINDO[#Headers]&amp;"]"),KALINDO[[#This Row],[//PAJAK]]-1))</calculatedColumnFormula>
    </tableColumn>
    <tableColumn id="5" name="TGL.MASUK" dataDxfId="175">
      <calculatedColumnFormula>IF(KALINDO[[#This Row],[//PAJAK]]="","",INDEX(INDIRECT("PAJAK["&amp;KALINDO[#Headers]&amp;"]"),KALINDO[[#This Row],[//PAJAK]]-1))</calculatedColumnFormula>
    </tableColumn>
    <tableColumn id="6" name="TGL.NOTA" dataDxfId="174">
      <calculatedColumnFormula>IF(KALINDO[[#This Row],[//PAJAK]]="","",INDEX(INDIRECT("PAJAK["&amp;KALINDO[#Headers]&amp;"]"),KALINDO[[#This Row],[//PAJAK]]-1))</calculatedColumnFormula>
    </tableColumn>
    <tableColumn id="7" name="NO.NOTA" dataDxfId="173">
      <calculatedColumnFormula>IF(KALINDO[[#This Row],[//PAJAK]]="","",INDEX(INDIRECT("PAJAK["&amp;KALINDO[#Headers]&amp;"]"),KALINDO[[#This Row],[//PAJAK]]-1))</calculatedColumnFormula>
    </tableColumn>
    <tableColumn id="8" name="NO.SJ" dataDxfId="172">
      <calculatedColumnFormula>IF(KALINDO[[#This Row],[//PAJAK]]="","",INDEX(INDIRECT("PAJAK["&amp;KALINDO[#Headers]&amp;"]"),KALINDO[[#This Row],[//PAJAK]]-1))</calculatedColumnFormula>
    </tableColumn>
    <tableColumn id="9" name="SUB TOTAL" dataDxfId="171">
      <calculatedColumnFormula>IF(KALINDO[[#This Row],[//PAJAK]]="","",INDEX(PAJAK[SUB T-DISC],KALINDO[[#This Row],[//PAJAK]]-1))</calculatedColumnFormula>
    </tableColumn>
    <tableColumn id="10" name="DISKON" dataDxfId="170">
      <calculatedColumnFormula>IF(KALINDO[[#This Row],[//PAJAK]]="","",INDEX(PAJAK[DISC DLL],KALINDO[[#This Row],[//PAJAK]]-1))</calculatedColumnFormula>
    </tableColumn>
    <tableColumn id="11" name="DPP" dataDxfId="169">
      <calculatedColumnFormula>(KALINDO[[#This Row],[SUB TOTAL]]-KALINDO[[#This Row],[DISKON]])/1.11</calculatedColumnFormula>
    </tableColumn>
    <tableColumn id="12" name="PPN (11%)" dataDxfId="168">
      <calculatedColumnFormula>KALINDO[[#This Row],[DPP]]*11%</calculatedColumnFormula>
    </tableColumn>
    <tableColumn id="13" name="TOTAL" dataDxfId="16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ATALI" displayName="ATALI" ref="A2:M50" totalsRowShown="0" headerRowDxfId="166">
  <autoFilter ref="A2:M50"/>
  <tableColumns count="13">
    <tableColumn id="1" name="//NOTA" dataDxfId="16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6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62">
      <calculatedColumnFormula>IF(ATALI[[#This Row],[//PAJAK]]="","",INDEX(INDIRECT("PAJAK["&amp;ATALI[#Headers]&amp;"]"),ATALI[[#This Row],[//PAJAK]]-1))</calculatedColumnFormula>
    </tableColumn>
    <tableColumn id="5" name="TGL.MASUK" dataDxfId="161">
      <calculatedColumnFormula>IF(ATALI[[#This Row],[//PAJAK]]="","",INDEX(INDIRECT("PAJAK["&amp;ATALI[#Headers]&amp;"]"),ATALI[[#This Row],[//PAJAK]]-1))</calculatedColumnFormula>
    </tableColumn>
    <tableColumn id="6" name="TGL.NOTA" dataDxfId="160">
      <calculatedColumnFormula>IF(ATALI[[#This Row],[//PAJAK]]="","",INDEX(INDIRECT("PAJAK["&amp;ATALI[#Headers]&amp;"]"),ATALI[[#This Row],[//PAJAK]]-1))</calculatedColumnFormula>
    </tableColumn>
    <tableColumn id="7" name="NO.NOTA" dataDxfId="159">
      <calculatedColumnFormula>IF(ATALI[[#This Row],[//PAJAK]]="","",INDEX(INDIRECT("PAJAK["&amp;ATALI[#Headers]&amp;"]"),ATALI[[#This Row],[//PAJAK]]-1))</calculatedColumnFormula>
    </tableColumn>
    <tableColumn id="8" name="NO.SJ" dataDxfId="158">
      <calculatedColumnFormula>IF(ATALI[[#This Row],[//PAJAK]]="","",INDEX(INDIRECT("PAJAK["&amp;ATALI[#Headers]&amp;"]"),ATALI[[#This Row],[//PAJAK]]-1))</calculatedColumnFormula>
    </tableColumn>
    <tableColumn id="9" name="SUB TOTAL" dataDxfId="157">
      <calculatedColumnFormula>IF(ATALI[[#This Row],[//PAJAK]]="","",INDEX(PAJAK[SUB T-DISC],ATALI[[#This Row],[//PAJAK]]-1))</calculatedColumnFormula>
    </tableColumn>
    <tableColumn id="10" name="DISKON" dataDxfId="156">
      <calculatedColumnFormula>IF(ATALI[[#This Row],[//PAJAK]]="","",INDEX(PAJAK[DISC DLL],ATALI[[#This Row],[//PAJAK]]-1))</calculatedColumnFormula>
    </tableColumn>
    <tableColumn id="11" name="DPP" dataDxfId="155">
      <calculatedColumnFormula>(ATALI[[#This Row],[SUB TOTAL]]-ATALI[[#This Row],[DISKON]])/1.11</calculatedColumnFormula>
    </tableColumn>
    <tableColumn id="12" name="PPN (11%)" dataDxfId="154">
      <calculatedColumnFormula>ATALI[[#This Row],[DPP]]*11%</calculatedColumnFormula>
    </tableColumn>
    <tableColumn id="13" name="TOTAL" dataDxfId="15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5" name="J_UTAMA" displayName="J_UTAMA" ref="A2:M22" totalsRowShown="0" headerRowDxfId="152">
  <autoFilter ref="A2:M22"/>
  <tableColumns count="13">
    <tableColumn id="1" name="//NOTA" dataDxfId="15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5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48">
      <calculatedColumnFormula>IF(J_UTAMA[[#This Row],[//PAJAK]]="","",INDEX(INDIRECT("PAJAK["&amp;J_UTAMA[#Headers]&amp;"]"),J_UTAMA[[#This Row],[//PAJAK]]-1))</calculatedColumnFormula>
    </tableColumn>
    <tableColumn id="5" name="TGL.MASUK" dataDxfId="147">
      <calculatedColumnFormula>IF(J_UTAMA[[#This Row],[//PAJAK]]="","",INDEX(INDIRECT("PAJAK["&amp;J_UTAMA[#Headers]&amp;"]"),J_UTAMA[[#This Row],[//PAJAK]]-1))</calculatedColumnFormula>
    </tableColumn>
    <tableColumn id="6" name="TGL.NOTA" dataDxfId="146">
      <calculatedColumnFormula>IF(J_UTAMA[[#This Row],[//PAJAK]]="","",INDEX(INDIRECT("PAJAK["&amp;J_UTAMA[#Headers]&amp;"]"),J_UTAMA[[#This Row],[//PAJAK]]-1))</calculatedColumnFormula>
    </tableColumn>
    <tableColumn id="7" name="NO.NOTA" dataDxfId="145">
      <calculatedColumnFormula>IF(J_UTAMA[[#This Row],[//PAJAK]]="","",INDEX(INDIRECT("PAJAK["&amp;J_UTAMA[#Headers]&amp;"]"),J_UTAMA[[#This Row],[//PAJAK]]-1))</calculatedColumnFormula>
    </tableColumn>
    <tableColumn id="8" name="NO.SJ" dataDxfId="144">
      <calculatedColumnFormula>IF(J_UTAMA[[#This Row],[//PAJAK]]="","",INDEX(INDIRECT("PAJAK["&amp;J_UTAMA[#Headers]&amp;"]"),J_UTAMA[[#This Row],[//PAJAK]]-1))</calculatedColumnFormula>
    </tableColumn>
    <tableColumn id="9" name="SUB TOTAL" dataDxfId="143">
      <calculatedColumnFormula>IF(J_UTAMA[[#This Row],[//PAJAK]]="","",INDEX(PAJAK[SUB T-DISC],J_UTAMA[[#This Row],[//PAJAK]]-1))</calculatedColumnFormula>
    </tableColumn>
    <tableColumn id="10" name="DISKON" dataDxfId="142">
      <calculatedColumnFormula>IF(J_UTAMA[[#This Row],[//PAJAK]]="","",INDEX(PAJAK[DISC DLL],J_UTAMA[[#This Row],[//PAJAK]]-1))</calculatedColumnFormula>
    </tableColumn>
    <tableColumn id="11" name="DPP" dataDxfId="141">
      <calculatedColumnFormula>(J_UTAMA[[#This Row],[SUB TOTAL]]-J_UTAMA[[#This Row],[DISKON]])/1.11</calculatedColumnFormula>
    </tableColumn>
    <tableColumn id="12" name="PPN (11%)" dataDxfId="140">
      <calculatedColumnFormula>J_UTAMA[[#This Row],[DPP]]*11%</calculatedColumnFormula>
    </tableColumn>
    <tableColumn id="13" name="TOTAL" dataDxfId="13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0" name="SDI" displayName="SDI" ref="A2:N11" totalsRowShown="0" headerRowDxfId="138">
  <autoFilter ref="A2:N11"/>
  <tableColumns count="14">
    <tableColumn id="1" name="//PAJAK" dataDxfId="13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3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35">
      <calculatedColumnFormula>IF(SDI[[#This Row],[//PAJAK]]="","",INDEX(INDIRECT("PAJAK["&amp;SDI[#Headers]&amp;"]"),SDI[[#This Row],[//PAJAK]]-1))</calculatedColumnFormula>
    </tableColumn>
    <tableColumn id="4" name="TGL.MASUK" dataDxfId="134">
      <calculatedColumnFormula>IF(SDI[[#This Row],[//PAJAK]]="","",INDEX(INDIRECT("PAJAK["&amp;SDI[#Headers]&amp;"]"),SDI[[#This Row],[//PAJAK]]-1))</calculatedColumnFormula>
    </tableColumn>
    <tableColumn id="5" name="TGL.NOTA" dataDxfId="133">
      <calculatedColumnFormula>IF(SDI[[#This Row],[//PAJAK]]="","",INDEX(INDIRECT("PAJAK["&amp;SDI[#Headers]&amp;"]"),SDI[[#This Row],[//PAJAK]]-1))</calculatedColumnFormula>
    </tableColumn>
    <tableColumn id="6" name="NO.NOTA" dataDxfId="132">
      <calculatedColumnFormula>IF(SDI[[#This Row],[//PAJAK]]="","",INDEX(INDIRECT("PAJAK["&amp;SDI[#Headers]&amp;"]"),SDI[[#This Row],[//PAJAK]]-1))</calculatedColumnFormula>
    </tableColumn>
    <tableColumn id="7" name="NO.SJ" dataDxfId="131">
      <calculatedColumnFormula>IF(SDI[[#This Row],[//PAJAK]]="","",INDEX(INDIRECT("PAJAK["&amp;SDI[#Headers]&amp;"]"),SDI[[#This Row],[//PAJAK]]-1))</calculatedColumnFormula>
    </tableColumn>
    <tableColumn id="8" name="SUB TOTAL" dataDxfId="130">
      <calculatedColumnFormula>IF(SDI[[#This Row],[//PAJAK]]="","",(INDEX(INDIRECT("PAJAK["&amp;SDI[#Headers]&amp;"]"),SDI[[#This Row],[//PAJAK]]-1))-SDI[[#This Row],[H_DISKON]])</calculatedColumnFormula>
    </tableColumn>
    <tableColumn id="9" name="DISKON" dataDxfId="129">
      <calculatedColumnFormula>IF(SDI[[#This Row],[//PAJAK]]="","",SDI[[#This Row],[H_DISC DLL]])</calculatedColumnFormula>
    </tableColumn>
    <tableColumn id="10" name="DPP" dataDxfId="128">
      <calculatedColumnFormula>(SDI[[#This Row],[SUB TOTAL]])/1.11</calculatedColumnFormula>
    </tableColumn>
    <tableColumn id="11" name="PPN (11%)" dataDxfId="127">
      <calculatedColumnFormula>SDI[[#This Row],[DPP]]*11%</calculatedColumnFormula>
    </tableColumn>
    <tableColumn id="12" name="TOTAL" dataDxfId="126">
      <calculatedColumnFormula>SDI[[#This Row],[DPP]]+SDI[[#This Row],[PPN (11%)]]</calculatedColumnFormula>
    </tableColumn>
    <tableColumn id="14" name="H_DISKON" dataDxfId="125">
      <calculatedColumnFormula>IF(SDI[[#This Row],[//PAJAK]]="","",INDEX(PAJAK[DISKON],SDI[[#This Row],[//PAJAK]]-1))</calculatedColumnFormula>
    </tableColumn>
    <tableColumn id="15" name="H_DISC DLL" dataDxfId="12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SAJ" displayName="SAJ" ref="A2:M25" totalsRowShown="0" headerRowDxfId="123">
  <autoFilter ref="A2:M25"/>
  <tableColumns count="13">
    <tableColumn id="1" name="//NOTA``" dataDxfId="12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2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19">
      <calculatedColumnFormula>IF(SAJ[[#This Row],[//PAJAK]]="","",INDEX(INDIRECT("PAJAK["&amp;SAJ[#Headers]&amp;"]"),SAJ[[#This Row],[//PAJAK]]-1))</calculatedColumnFormula>
    </tableColumn>
    <tableColumn id="5" name="TGL.MASUK" dataDxfId="118">
      <calculatedColumnFormula>IF(SAJ[[#This Row],[//PAJAK]]="","",INDEX(INDIRECT("PAJAK["&amp;SAJ[#Headers]&amp;"]"),SAJ[[#This Row],[//PAJAK]]-1))</calculatedColumnFormula>
    </tableColumn>
    <tableColumn id="6" name="TGL.NOTA" dataDxfId="117">
      <calculatedColumnFormula>IF(SAJ[[#This Row],[//PAJAK]]="","",INDEX(INDIRECT("PAJAK["&amp;SAJ[#Headers]&amp;"]"),SAJ[[#This Row],[//PAJAK]]-1))</calculatedColumnFormula>
    </tableColumn>
    <tableColumn id="7" name="NO.NOTA" dataDxfId="116">
      <calculatedColumnFormula>IF(SAJ[[#This Row],[//PAJAK]]="","",INDEX(INDIRECT("PAJAK["&amp;SAJ[#Headers]&amp;"]"),SAJ[[#This Row],[//PAJAK]]-1))</calculatedColumnFormula>
    </tableColumn>
    <tableColumn id="8" name="NO.SJ" dataDxfId="115">
      <calculatedColumnFormula>IF(SAJ[[#This Row],[//PAJAK]]="","",INDEX(INDIRECT("PAJAK["&amp;SAJ[#Headers]&amp;"]"),SAJ[[#This Row],[//PAJAK]]-1))</calculatedColumnFormula>
    </tableColumn>
    <tableColumn id="9" name="SUB TOTAL" dataDxfId="114">
      <calculatedColumnFormula>IF(SAJ[[#This Row],[//PAJAK]]="","",INDEX(INDIRECT("PAJAK["&amp;SAJ[#Headers]&amp;"]"),SAJ[[#This Row],[//PAJAK]]-1))</calculatedColumnFormula>
    </tableColumn>
    <tableColumn id="10" name="DISKON" dataDxfId="113">
      <calculatedColumnFormula>IF(SAJ[[#This Row],[//PAJAK]]="","",INDEX(INDIRECT("PAJAK["&amp;SAJ[#Headers]&amp;"]"),SAJ[[#This Row],[//PAJAK]]-1))</calculatedColumnFormula>
    </tableColumn>
    <tableColumn id="11" name="DPP" dataDxfId="112">
      <calculatedColumnFormula>(SAJ[[#This Row],[SUB TOTAL]]-SAJ[[#This Row],[DISKON]])/1.11</calculatedColumnFormula>
    </tableColumn>
    <tableColumn id="12" name="PPN (11%)" dataDxfId="111">
      <calculatedColumnFormula>SAJ[[#This Row],[DPP]]*11%</calculatedColumnFormula>
    </tableColumn>
    <tableColumn id="13" name="TOTAL" dataDxfId="11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920"/>
  <sheetViews>
    <sheetView tabSelected="1" topLeftCell="Q432" zoomScale="70" zoomScaleNormal="70" zoomScaleSheetLayoutView="55" workbookViewId="0">
      <selection activeCell="V458" sqref="V458"/>
    </sheetView>
  </sheetViews>
  <sheetFormatPr defaultRowHeight="20.100000000000001" customHeight="1" outlineLevelCol="1" x14ac:dyDescent="0.25"/>
  <cols>
    <col min="1" max="1" width="2.5703125" style="37" customWidth="1"/>
    <col min="2" max="2" width="18.85546875" style="37" customWidth="1"/>
    <col min="3" max="3" width="7.140625" style="37" customWidth="1" outlineLevel="1"/>
    <col min="4" max="4" width="6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5.42578125" style="41" customWidth="1" outlineLevel="1"/>
    <col min="27" max="27" width="15.28515625" style="50" customWidth="1" outlineLevel="1"/>
    <col min="28" max="29" width="16.42578125" style="41" customWidth="1"/>
    <col min="30" max="30" width="16.42578125" style="52" customWidth="1"/>
    <col min="31" max="31" width="20.28515625" style="44" customWidth="1"/>
    <col min="32" max="32" width="12.42578125" style="41" customWidth="1"/>
    <col min="33" max="33" width="16.85546875" style="52" customWidth="1"/>
    <col min="34" max="34" width="12.42578125" style="41" customWidth="1"/>
    <col min="35" max="35" width="26.85546875" style="41" customWidth="1"/>
    <col min="36" max="36" width="13.85546875" style="41" customWidth="1"/>
    <col min="37" max="37" width="2.5703125" style="37" customWidth="1"/>
    <col min="38" max="38" width="10.7109375" style="37" customWidth="1"/>
    <col min="39" max="39" width="37.140625" style="52" customWidth="1"/>
    <col min="40" max="40" width="57.140625" style="52" customWidth="1"/>
    <col min="41" max="41" width="53.140625" style="52" customWidth="1"/>
    <col min="42" max="42" width="87.7109375" style="52" customWidth="1"/>
    <col min="43" max="44" width="7.140625" style="39" customWidth="1" outlineLevel="1"/>
    <col min="45" max="45" width="7.140625" style="37" customWidth="1" outlineLevel="1"/>
    <col min="46" max="46" width="16.42578125" style="37" customWidth="1" outlineLevel="1"/>
    <col min="47" max="47" width="58.140625" style="37" customWidth="1"/>
    <col min="48" max="48" width="7.140625" style="53" customWidth="1"/>
    <col min="49" max="50" width="7.140625" style="37" customWidth="1"/>
    <col min="51" max="16384" width="9.140625" style="37"/>
  </cols>
  <sheetData>
    <row r="1" spans="1:50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50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133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134</v>
      </c>
      <c r="AB2" s="41" t="s">
        <v>20</v>
      </c>
      <c r="AC2" s="41" t="s">
        <v>21</v>
      </c>
      <c r="AD2" s="41" t="s">
        <v>28</v>
      </c>
      <c r="AE2" s="41" t="s">
        <v>29</v>
      </c>
      <c r="AF2" s="37" t="s">
        <v>49</v>
      </c>
      <c r="AG2" s="41" t="s">
        <v>80</v>
      </c>
      <c r="AH2" s="39" t="s">
        <v>35</v>
      </c>
      <c r="AI2" s="37" t="s">
        <v>50</v>
      </c>
      <c r="AJ2" s="37" t="s">
        <v>85</v>
      </c>
      <c r="AK2" s="37" t="s">
        <v>79</v>
      </c>
      <c r="AL2" s="37" t="s">
        <v>52</v>
      </c>
      <c r="AM2" s="37" t="s">
        <v>87</v>
      </c>
      <c r="AN2" s="37" t="s">
        <v>86</v>
      </c>
      <c r="AO2" s="37" t="s">
        <v>91</v>
      </c>
      <c r="AP2" s="37" t="s">
        <v>92</v>
      </c>
      <c r="AQ2" s="37" t="s">
        <v>93</v>
      </c>
      <c r="AR2" s="37" t="s">
        <v>88</v>
      </c>
      <c r="AS2" s="37" t="s">
        <v>96</v>
      </c>
      <c r="AT2" s="37" t="s">
        <v>95</v>
      </c>
      <c r="AU2" s="37" t="s">
        <v>98</v>
      </c>
      <c r="AV2" s="37" t="s">
        <v>97</v>
      </c>
      <c r="AW2" s="53" t="s">
        <v>99</v>
      </c>
      <c r="AX2" s="37" t="s">
        <v>121</v>
      </c>
    </row>
    <row r="3" spans="1:50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45169</v>
      </c>
      <c r="F3" s="37" t="s">
        <v>22</v>
      </c>
      <c r="G3" s="37" t="s">
        <v>23</v>
      </c>
      <c r="H3" s="47" t="s">
        <v>112</v>
      </c>
      <c r="I3" s="37"/>
      <c r="J3" s="39">
        <v>45170</v>
      </c>
      <c r="K3" s="37"/>
      <c r="L3" s="37" t="s">
        <v>544</v>
      </c>
      <c r="M3" s="40">
        <v>10</v>
      </c>
      <c r="O3" s="37"/>
      <c r="P3" s="41"/>
      <c r="Q3" s="42">
        <v>844800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8448000</v>
      </c>
      <c r="Y3" s="50">
        <f>IF(NOTA[[#This Row],[JUMLAH]]="","",NOTA[[#This Row],[JUMLAH]]*NOTA[[#This Row],[DISC 1]])</f>
        <v>1436160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1436160</v>
      </c>
      <c r="AC3" s="50">
        <f>IF(NOTA[[#This Row],[JUMLAH]]="","",NOTA[[#This Row],[JUMLAH]]-NOTA[[#This Row],[DISC]])</f>
        <v>7011840</v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G3" s="50" t="str">
        <f>IF(OR(NOTA[[#This Row],[QTY]]="",NOTA[[#This Row],[HARGA SATUAN]]="",),"",NOTA[[#This Row],[QTY]]*NOTA[[#This Row],[HARGA SATUAN]])</f>
        <v/>
      </c>
      <c r="AH3" s="39">
        <f ca="1">IF(NOTA[ID_H]="","",INDEX(NOTA[TANGGAL],MATCH(,INDIRECT(ADDRESS(ROW(NOTA[TANGGAL]),COLUMN(NOTA[TANGGAL]))&amp;":"&amp;ADDRESS(ROW(),COLUMN(NOTA[TANGGAL]))),-1)))</f>
        <v>45169</v>
      </c>
      <c r="AI3" s="41" t="str">
        <f ca="1">IF(NOTA[[#This Row],[NAMA BARANG]]="","",INDEX(NOTA[SUPPLIER],MATCH(,INDIRECT(ADDRESS(ROW(NOTA[ID]),COLUMN(NOTA[ID]))&amp;":"&amp;ADDRESS(ROW(),COLUMN(NOTA[ID]))),-1)))</f>
        <v>KENKO SINAR INDONESIA</v>
      </c>
      <c r="AJ3" s="41" t="str">
        <f ca="1">IF(NOTA[[#This Row],[ID_H]]="","",IF(NOTA[[#This Row],[FAKTUR]]="",INDIRECT(ADDRESS(ROW()-1,COLUMN())),NOTA[[#This Row],[FAKTUR]]))</f>
        <v>ARTO MORO</v>
      </c>
      <c r="AK3" s="38">
        <f ca="1">IF(NOTA[[#This Row],[ID]]="","",COUNTIF(NOTA[ID_H],NOTA[[#This Row],[ID_H]]))</f>
        <v>2</v>
      </c>
      <c r="AL3" s="38">
        <f>IF(NOTA[[#This Row],[TGL.NOTA]]="",IF(NOTA[[#This Row],[SUPPLIER_H]]="","",AL2),MONTH(NOTA[[#This Row],[TGL.NOTA]]))</f>
        <v>9</v>
      </c>
      <c r="AM3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MORO2309003645170kenkolooseleafa5ll502070</v>
      </c>
      <c r="AQ3" s="38" t="e">
        <f>IF(NOTA[[#This Row],[CONCAT4]]="","",_xlfn.IFNA(MATCH(NOTA[[#This Row],[CONCAT4]],[2]!RAW[CONCAT_H],0),FALSE))</f>
        <v>#REF!</v>
      </c>
      <c r="AR3" s="38">
        <f>IF(NOTA[[#This Row],[CONCAT1]]="","",MATCH(NOTA[[#This Row],[CONCAT1]],[3]!db[NB NOTA_C],0))</f>
        <v>1476</v>
      </c>
      <c r="AS3" s="38" t="str">
        <f>IF(NOTA[[#This Row],[QTY/ CTN]]="","",TRUE)</f>
        <v/>
      </c>
      <c r="AT3" s="38" t="str">
        <f ca="1">IF(NOTA[[#This Row],[ID_H]]="","",IF(NOTA[[#This Row],[Column3]]=TRUE,NOTA[[#This Row],[QTY/ CTN]],INDEX([3]!db[QTY/ CTN],NOTA[[#This Row],[//DB]])))</f>
        <v>192 PCS</v>
      </c>
      <c r="AU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V3" s="38" t="e">
        <f ca="1">IF(NOTA[[#This Row],[ID_H]]="","",MATCH(NOTA[[#This Row],[NB NOTA_C_QTY]],[4]!db[NB NOTA_C_QTY+F],0))</f>
        <v>#REF!</v>
      </c>
      <c r="AW3" s="53">
        <f ca="1">IF(NOTA[[#This Row],[NB NOTA_C_QTY]]="","",ROW()-2)</f>
        <v>1</v>
      </c>
    </row>
    <row r="4" spans="1:50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102</v>
      </c>
      <c r="M4" s="40">
        <v>2</v>
      </c>
      <c r="O4" s="37"/>
      <c r="P4" s="41"/>
      <c r="Q4" s="42">
        <v>2952000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5904000</v>
      </c>
      <c r="Y4" s="50">
        <f>IF(NOTA[[#This Row],[JUMLAH]]="","",NOTA[[#This Row],[JUMLAH]]*NOTA[[#This Row],[DISC 1]])</f>
        <v>1003680.0000000001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1003680.0000000001</v>
      </c>
      <c r="AC4" s="50">
        <f>IF(NOTA[[#This Row],[JUMLAH]]="","",NOTA[[#This Row],[JUMLAH]]-NOTA[[#This Row],[DISC]])</f>
        <v>4900320</v>
      </c>
      <c r="AD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E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F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4" s="50" t="str">
        <f>IF(OR(NOTA[[#This Row],[QTY]]="",NOTA[[#This Row],[HARGA SATUAN]]="",),"",NOTA[[#This Row],[QTY]]*NOTA[[#This Row],[HARGA SATUAN]])</f>
        <v/>
      </c>
      <c r="AH4" s="39">
        <f ca="1">IF(NOTA[ID_H]="","",INDEX(NOTA[TANGGAL],MATCH(,INDIRECT(ADDRESS(ROW(NOTA[TANGGAL]),COLUMN(NOTA[TANGGAL]))&amp;":"&amp;ADDRESS(ROW(),COLUMN(NOTA[TANGGAL]))),-1)))</f>
        <v>45169</v>
      </c>
      <c r="AI4" s="41" t="str">
        <f ca="1">IF(NOTA[[#This Row],[NAMA BARANG]]="","",INDEX(NOTA[SUPPLIER],MATCH(,INDIRECT(ADDRESS(ROW(NOTA[ID]),COLUMN(NOTA[ID]))&amp;":"&amp;ADDRESS(ROW(),COLUMN(NOTA[ID]))),-1)))</f>
        <v>KENKO SINAR INDONESIA</v>
      </c>
      <c r="AJ4" s="41" t="str">
        <f ca="1">IF(NOTA[[#This Row],[ID_H]]="","",IF(NOTA[[#This Row],[FAKTUR]]="",INDIRECT(ADDRESS(ROW()-1,COLUMN())),NOTA[[#This Row],[FAKTUR]]))</f>
        <v>ARTO MORO</v>
      </c>
      <c r="AK4" s="38" t="str">
        <f ca="1">IF(NOTA[[#This Row],[ID]]="","",COUNTIF(NOTA[ID_H],NOTA[[#This Row],[ID_H]]))</f>
        <v/>
      </c>
      <c r="AL4" s="38">
        <f ca="1">IF(NOTA[[#This Row],[TGL.NOTA]]="",IF(NOTA[[#This Row],[SUPPLIER_H]]="","",AL3),MONTH(NOTA[[#This Row],[TGL.NOTA]]))</f>
        <v>9</v>
      </c>
      <c r="AM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38" t="str">
        <f>IF(NOTA[[#This Row],[CONCAT4]]="","",_xlfn.IFNA(MATCH(NOTA[[#This Row],[CONCAT4]],[2]!RAW[CONCAT_H],0),FALSE))</f>
        <v/>
      </c>
      <c r="AR4" s="38">
        <f>IF(NOTA[[#This Row],[CONCAT1]]="","",MATCH(NOTA[[#This Row],[CONCAT1]],[3]!db[NB NOTA_C],0))</f>
        <v>1385</v>
      </c>
      <c r="AS4" s="38" t="str">
        <f>IF(NOTA[[#This Row],[QTY/ CTN]]="","",TRUE)</f>
        <v/>
      </c>
      <c r="AT4" s="38" t="str">
        <f ca="1">IF(NOTA[[#This Row],[ID_H]]="","",IF(NOTA[[#This Row],[Column3]]=TRUE,NOTA[[#This Row],[QTY/ CTN]],INDEX([3]!db[QTY/ CTN],NOTA[[#This Row],[//DB]])))</f>
        <v>20 LSN</v>
      </c>
      <c r="AU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4" s="38" t="e">
        <f ca="1">IF(NOTA[[#This Row],[ID_H]]="","",MATCH(NOTA[[#This Row],[NB NOTA_C_QTY]],[4]!db[NB NOTA_C_QTY+F],0))</f>
        <v>#REF!</v>
      </c>
      <c r="AW4" s="53">
        <f ca="1">IF(NOTA[[#This Row],[NB NOTA_C_QTY]]="","",ROW()-2)</f>
        <v>2</v>
      </c>
    </row>
    <row r="5" spans="1:50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 t="str">
        <f ca="1">IF(NOTA[[#This Row],[NAMA BARANG]]="","",INDEX(NOTA[ID],MATCH(,INDIRECT(ADDRESS(ROW(NOTA[ID]),COLUMN(NOTA[ID]))&amp;":"&amp;ADDRESS(ROW(),COLUMN(NOTA[ID]))),-1)))</f>
        <v/>
      </c>
      <c r="E5" s="46"/>
      <c r="F5" s="37"/>
      <c r="G5" s="37"/>
      <c r="H5" s="47"/>
      <c r="I5" s="37"/>
      <c r="J5" s="39"/>
      <c r="K5" s="37"/>
      <c r="L5" s="37"/>
      <c r="M5" s="40"/>
      <c r="O5" s="37"/>
      <c r="P5" s="41"/>
      <c r="Q5" s="42"/>
      <c r="R5" s="48"/>
      <c r="S5" s="49"/>
      <c r="T5" s="44"/>
      <c r="U5" s="44"/>
      <c r="V5" s="50"/>
      <c r="W5" s="45"/>
      <c r="X5" s="50" t="str">
        <f>IF(NOTA[[#This Row],[HARGA/ CTN]]="",NOTA[[#This Row],[JUMLAH_H]],NOTA[[#This Row],[HARGA/ CTN]]*IF(NOTA[[#This Row],[C]]="",0,NOTA[[#This Row],[C]]))</f>
        <v/>
      </c>
      <c r="Y5" s="50" t="str">
        <f>IF(NOTA[[#This Row],[JUMLAH]]="","",NOTA[[#This Row],[JUMLAH]]*NOTA[[#This Row],[DISC 1]])</f>
        <v/>
      </c>
      <c r="Z5" s="50" t="str">
        <f>IF(NOTA[[#This Row],[JUMLAH]]="","",(NOTA[[#This Row],[JUMLAH]]-NOTA[[#This Row],[DISC 1-]])*NOTA[[#This Row],[DISC 2]])</f>
        <v/>
      </c>
      <c r="AA5" s="50" t="str">
        <f>IF(NOTA[[#This Row],[JUMLAH]]="","",(NOTA[[#This Row],[JUMLAH]]-NOTA[[#This Row],[DISC 1-]]-NOTA[[#This Row],[DISC 2-]])*NOTA[[#This Row],[DISC 3]])</f>
        <v/>
      </c>
      <c r="AB5" s="50" t="str">
        <f>IF(NOTA[[#This Row],[JUMLAH]]="","",NOTA[[#This Row],[DISC 1-]]+NOTA[[#This Row],[DISC 2-]]+NOTA[[#This Row],[DISC 3-]])</f>
        <v/>
      </c>
      <c r="AC5" s="50" t="str">
        <f>IF(NOTA[[#This Row],[JUMLAH]]="","",NOTA[[#This Row],[JUMLAH]]-NOTA[[#This Row],[DISC]])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" s="50" t="str">
        <f>IF(OR(NOTA[[#This Row],[QTY]]="",NOTA[[#This Row],[HARGA SATUAN]]="",),"",NOTA[[#This Row],[QTY]]*NOTA[[#This Row],[HARGA SATUAN]])</f>
        <v/>
      </c>
      <c r="AH5" s="39" t="str">
        <f ca="1">IF(NOTA[ID_H]="","",INDEX(NOTA[TANGGAL],MATCH(,INDIRECT(ADDRESS(ROW(NOTA[TANGGAL]),COLUMN(NOTA[TANGGAL]))&amp;":"&amp;ADDRESS(ROW(),COLUMN(NOTA[TANGGAL]))),-1)))</f>
        <v/>
      </c>
      <c r="AI5" s="41" t="str">
        <f ca="1">IF(NOTA[[#This Row],[NAMA BARANG]]="","",INDEX(NOTA[SUPPLIER],MATCH(,INDIRECT(ADDRESS(ROW(NOTA[ID]),COLUMN(NOTA[ID]))&amp;":"&amp;ADDRESS(ROW(),COLUMN(NOTA[ID]))),-1)))</f>
        <v/>
      </c>
      <c r="AJ5" s="41" t="str">
        <f ca="1">IF(NOTA[[#This Row],[ID_H]]="","",IF(NOTA[[#This Row],[FAKTUR]]="",INDIRECT(ADDRESS(ROW()-1,COLUMN())),NOTA[[#This Row],[FAKTUR]]))</f>
        <v/>
      </c>
      <c r="AK5" s="38" t="str">
        <f ca="1">IF(NOTA[[#This Row],[ID]]="","",COUNTIF(NOTA[ID_H],NOTA[[#This Row],[ID_H]]))</f>
        <v/>
      </c>
      <c r="AL5" s="38" t="str">
        <f ca="1">IF(NOTA[[#This Row],[TGL.NOTA]]="",IF(NOTA[[#This Row],[SUPPLIER_H]]="","",AL4),MONTH(NOTA[[#This Row],[TGL.NOTA]]))</f>
        <v/>
      </c>
      <c r="AM5" s="38" t="str">
        <f>LOWER(SUBSTITUTE(SUBSTITUTE(SUBSTITUTE(SUBSTITUTE(SUBSTITUTE(SUBSTITUTE(SUBSTITUTE(SUBSTITUTE(SUBSTITUTE(NOTA[NAMA BARANG]," ",),".",""),"-",""),"(",""),")",""),",",""),"/",""),"""",""),"+",""))</f>
        <v/>
      </c>
      <c r="AN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38" t="str">
        <f>IF(NOTA[[#This Row],[CONCAT4]]="","",_xlfn.IFNA(MATCH(NOTA[[#This Row],[CONCAT4]],[2]!RAW[CONCAT_H],0),FALSE))</f>
        <v/>
      </c>
      <c r="AR5" s="38" t="str">
        <f>IF(NOTA[[#This Row],[CONCAT1]]="","",MATCH(NOTA[[#This Row],[CONCAT1]],[3]!db[NB NOTA_C],0))</f>
        <v/>
      </c>
      <c r="AS5" s="38" t="str">
        <f>IF(NOTA[[#This Row],[QTY/ CTN]]="","",TRUE)</f>
        <v/>
      </c>
      <c r="AT5" s="38" t="str">
        <f ca="1">IF(NOTA[[#This Row],[ID_H]]="","",IF(NOTA[[#This Row],[Column3]]=TRUE,NOTA[[#This Row],[QTY/ CTN]],INDEX([3]!db[QTY/ CTN],NOTA[[#This Row],[//DB]])))</f>
        <v/>
      </c>
      <c r="AU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" s="38" t="str">
        <f ca="1">IF(NOTA[[#This Row],[ID_H]]="","",MATCH(NOTA[[#This Row],[NB NOTA_C_QTY]],[4]!db[NB NOTA_C_QTY+F],0))</f>
        <v/>
      </c>
      <c r="AW5" s="53" t="str">
        <f ca="1">IF(NOTA[[#This Row],[NB NOTA_C_QTY]]="","",ROW()-2)</f>
        <v/>
      </c>
    </row>
    <row r="6" spans="1:50" s="38" customFormat="1" ht="20.100000000000001" customHeight="1" x14ac:dyDescent="0.25">
      <c r="A6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KEN_0509_252-6</v>
      </c>
      <c r="C6" s="38" t="e">
        <f ca="1">IF(NOTA[[#This Row],[ID_P]]="","",MATCH(NOTA[[#This Row],[ID_P]],[1]!B_MSK[N_ID],0))</f>
        <v>#REF!</v>
      </c>
      <c r="D6" s="38">
        <f ca="1">IF(NOTA[[#This Row],[NAMA BARANG]]="","",INDEX(NOTA[ID],MATCH(,INDIRECT(ADDRESS(ROW(NOTA[ID]),COLUMN(NOTA[ID]))&amp;":"&amp;ADDRESS(ROW(),COLUMN(NOTA[ID]))),-1)))</f>
        <v>2</v>
      </c>
      <c r="E6" s="46">
        <v>45174</v>
      </c>
      <c r="F6" s="37" t="s">
        <v>22</v>
      </c>
      <c r="G6" s="37" t="s">
        <v>23</v>
      </c>
      <c r="H6" s="47" t="s">
        <v>113</v>
      </c>
      <c r="I6" s="37"/>
      <c r="J6" s="39">
        <v>45173</v>
      </c>
      <c r="K6" s="37"/>
      <c r="L6" s="37" t="s">
        <v>103</v>
      </c>
      <c r="M6" s="40">
        <v>1</v>
      </c>
      <c r="O6" s="37"/>
      <c r="P6" s="41"/>
      <c r="Q6" s="42">
        <v>5616000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5616000</v>
      </c>
      <c r="Y6" s="50">
        <f>IF(NOTA[[#This Row],[JUMLAH]]="","",NOTA[[#This Row],[JUMLAH]]*NOTA[[#This Row],[DISC 1]])</f>
        <v>954720.00000000012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954720.00000000012</v>
      </c>
      <c r="AC6" s="50">
        <f>IF(NOTA[[#This Row],[JUMLAH]]="","",NOTA[[#This Row],[JUMLAH]]-NOTA[[#This Row],[DISC]])</f>
        <v>4661280</v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6" s="50" t="str">
        <f>IF(OR(NOTA[[#This Row],[QTY]]="",NOTA[[#This Row],[HARGA SATUAN]]="",),"",NOTA[[#This Row],[QTY]]*NOTA[[#This Row],[HARGA SATUAN]])</f>
        <v/>
      </c>
      <c r="AH6" s="39">
        <f ca="1">IF(NOTA[ID_H]="","",INDEX(NOTA[TANGGAL],MATCH(,INDIRECT(ADDRESS(ROW(NOTA[TANGGAL]),COLUMN(NOTA[TANGGAL]))&amp;":"&amp;ADDRESS(ROW(),COLUMN(NOTA[TANGGAL]))),-1)))</f>
        <v>45174</v>
      </c>
      <c r="AI6" s="41" t="str">
        <f ca="1">IF(NOTA[[#This Row],[NAMA BARANG]]="","",INDEX(NOTA[SUPPLIER],MATCH(,INDIRECT(ADDRESS(ROW(NOTA[ID]),COLUMN(NOTA[ID]))&amp;":"&amp;ADDRESS(ROW(),COLUMN(NOTA[ID]))),-1)))</f>
        <v>KENKO SINAR INDONESIA</v>
      </c>
      <c r="AJ6" s="41" t="str">
        <f ca="1">IF(NOTA[[#This Row],[ID_H]]="","",IF(NOTA[[#This Row],[FAKTUR]]="",INDIRECT(ADDRESS(ROW()-1,COLUMN())),NOTA[[#This Row],[FAKTUR]]))</f>
        <v>ARTO MORO</v>
      </c>
      <c r="AK6" s="38">
        <f ca="1">IF(NOTA[[#This Row],[ID]]="","",COUNTIF(NOTA[ID_H],NOTA[[#This Row],[ID_H]]))</f>
        <v>6</v>
      </c>
      <c r="AL6" s="38">
        <f>IF(NOTA[[#This Row],[TGL.NOTA]]="",IF(NOTA[[#This Row],[SUPPLIER_H]]="","",AL5),MONTH(NOTA[[#This Row],[TGL.NOTA]]))</f>
        <v>9</v>
      </c>
      <c r="AM6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MORO2309025245173kenkogelpenhitechh028mmblue</v>
      </c>
      <c r="AQ6" s="38" t="e">
        <f>IF(NOTA[[#This Row],[CONCAT4]]="","",_xlfn.IFNA(MATCH(NOTA[[#This Row],[CONCAT4]],[2]!RAW[CONCAT_H],0),FALSE))</f>
        <v>#REF!</v>
      </c>
      <c r="AR6" s="38">
        <f>IF(NOTA[[#This Row],[CONCAT1]]="","",MATCH(NOTA[[#This Row],[CONCAT1]],[3]!db[NB NOTA_C],0))</f>
        <v>1407</v>
      </c>
      <c r="AS6" s="38" t="str">
        <f>IF(NOTA[[#This Row],[QTY/ CTN]]="","",TRUE)</f>
        <v/>
      </c>
      <c r="AT6" s="38" t="str">
        <f ca="1">IF(NOTA[[#This Row],[ID_H]]="","",IF(NOTA[[#This Row],[Column3]]=TRUE,NOTA[[#This Row],[QTY/ CTN]],INDEX([3]!db[QTY/ CTN],NOTA[[#This Row],[//DB]])))</f>
        <v>144 LSN</v>
      </c>
      <c r="AU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V6" s="38" t="e">
        <f ca="1">IF(NOTA[[#This Row],[ID_H]]="","",MATCH(NOTA[[#This Row],[NB NOTA_C_QTY]],[4]!db[NB NOTA_C_QTY+F],0))</f>
        <v>#REF!</v>
      </c>
      <c r="AW6" s="53">
        <f ca="1">IF(NOTA[[#This Row],[NB NOTA_C_QTY]]="","",ROW()-2)</f>
        <v>4</v>
      </c>
    </row>
    <row r="7" spans="1:50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6</v>
      </c>
      <c r="O7" s="37"/>
      <c r="P7" s="41"/>
      <c r="Q7" s="42">
        <v>462000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2772000</v>
      </c>
      <c r="Y7" s="50">
        <f>IF(NOTA[[#This Row],[JUMLAH]]="","",NOTA[[#This Row],[JUMLAH]]*NOTA[[#This Row],[DISC 1]])</f>
        <v>471240.00000000006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471240.00000000006</v>
      </c>
      <c r="AC7" s="50">
        <f>IF(NOTA[[#This Row],[JUMLAH]]="","",NOTA[[#This Row],[JUMLAH]]-NOTA[[#This Row],[DISC]])</f>
        <v>2300760</v>
      </c>
      <c r="AD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7" s="50" t="str">
        <f>IF(OR(NOTA[[#This Row],[QTY]]="",NOTA[[#This Row],[HARGA SATUAN]]="",),"",NOTA[[#This Row],[QTY]]*NOTA[[#This Row],[HARGA SATUAN]])</f>
        <v/>
      </c>
      <c r="AH7" s="39">
        <f ca="1">IF(NOTA[ID_H]="","",INDEX(NOTA[TANGGAL],MATCH(,INDIRECT(ADDRESS(ROW(NOTA[TANGGAL]),COLUMN(NOTA[TANGGAL]))&amp;":"&amp;ADDRESS(ROW(),COLUMN(NOTA[TANGGAL]))),-1)))</f>
        <v>45174</v>
      </c>
      <c r="AI7" s="41" t="str">
        <f ca="1">IF(NOTA[[#This Row],[NAMA BARANG]]="","",INDEX(NOTA[SUPPLIER],MATCH(,INDIRECT(ADDRESS(ROW(NOTA[ID]),COLUMN(NOTA[ID]))&amp;":"&amp;ADDRESS(ROW(),COLUMN(NOTA[ID]))),-1)))</f>
        <v>KENKO SINAR INDONESIA</v>
      </c>
      <c r="AJ7" s="41" t="str">
        <f ca="1">IF(NOTA[[#This Row],[ID_H]]="","",IF(NOTA[[#This Row],[FAKTUR]]="",INDIRECT(ADDRESS(ROW()-1,COLUMN())),NOTA[[#This Row],[FAKTUR]]))</f>
        <v>ARTO MORO</v>
      </c>
      <c r="AK7" s="38" t="str">
        <f ca="1">IF(NOTA[[#This Row],[ID]]="","",COUNTIF(NOTA[ID_H],NOTA[[#This Row],[ID_H]]))</f>
        <v/>
      </c>
      <c r="AL7" s="38">
        <f ca="1">IF(NOTA[[#This Row],[TGL.NOTA]]="",IF(NOTA[[#This Row],[SUPPLIER_H]]="","",AL6),MONTH(NOTA[[#This Row],[TGL.NOTA]]))</f>
        <v>9</v>
      </c>
      <c r="AM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38" t="str">
        <f>IF(NOTA[[#This Row],[CONCAT4]]="","",_xlfn.IFNA(MATCH(NOTA[[#This Row],[CONCAT4]],[2]!RAW[CONCAT_H],0),FALSE))</f>
        <v/>
      </c>
      <c r="AR7" s="38">
        <f>IF(NOTA[[#This Row],[CONCAT1]]="","",MATCH(NOTA[[#This Row],[CONCAT1]],[3]!db[NB NOTA_C],0))</f>
        <v>1575</v>
      </c>
      <c r="AS7" s="38" t="str">
        <f>IF(NOTA[[#This Row],[QTY/ CTN]]="","",TRUE)</f>
        <v/>
      </c>
      <c r="AT7" s="38" t="str">
        <f ca="1">IF(NOTA[[#This Row],[ID_H]]="","",IF(NOTA[[#This Row],[Column3]]=TRUE,NOTA[[#This Row],[QTY/ CTN]],INDEX([3]!db[QTY/ CTN],NOTA[[#This Row],[//DB]])))</f>
        <v>24 PCS</v>
      </c>
      <c r="AU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7" s="38" t="e">
        <f ca="1">IF(NOTA[[#This Row],[ID_H]]="","",MATCH(NOTA[[#This Row],[NB NOTA_C_QTY]],[4]!db[NB NOTA_C_QTY+F],0))</f>
        <v>#REF!</v>
      </c>
      <c r="AW7" s="53">
        <f ca="1">IF(NOTA[[#This Row],[NB NOTA_C_QTY]]="","",ROW()-2)</f>
        <v>5</v>
      </c>
    </row>
    <row r="8" spans="1:50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104</v>
      </c>
      <c r="M8" s="40">
        <v>5</v>
      </c>
      <c r="O8" s="37"/>
      <c r="P8" s="41"/>
      <c r="Q8" s="42">
        <v>1860000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9300000</v>
      </c>
      <c r="Y8" s="50">
        <f>IF(NOTA[[#This Row],[JUMLAH]]="","",NOTA[[#This Row],[JUMLAH]]*NOTA[[#This Row],[DISC 1]])</f>
        <v>1581000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1581000</v>
      </c>
      <c r="AC8" s="50">
        <f>IF(NOTA[[#This Row],[JUMLAH]]="","",NOTA[[#This Row],[JUMLAH]]-NOTA[[#This Row],[DISC]])</f>
        <v>7719000</v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8" s="50" t="str">
        <f>IF(OR(NOTA[[#This Row],[QTY]]="",NOTA[[#This Row],[HARGA SATUAN]]="",),"",NOTA[[#This Row],[QTY]]*NOTA[[#This Row],[HARGA SATUAN]])</f>
        <v/>
      </c>
      <c r="AH8" s="39">
        <f ca="1">IF(NOTA[ID_H]="","",INDEX(NOTA[TANGGAL],MATCH(,INDIRECT(ADDRESS(ROW(NOTA[TANGGAL]),COLUMN(NOTA[TANGGAL]))&amp;":"&amp;ADDRESS(ROW(),COLUMN(NOTA[TANGGAL]))),-1)))</f>
        <v>45174</v>
      </c>
      <c r="AI8" s="41" t="str">
        <f ca="1">IF(NOTA[[#This Row],[NAMA BARANG]]="","",INDEX(NOTA[SUPPLIER],MATCH(,INDIRECT(ADDRESS(ROW(NOTA[ID]),COLUMN(NOTA[ID]))&amp;":"&amp;ADDRESS(ROW(),COLUMN(NOTA[ID]))),-1)))</f>
        <v>KENKO SINAR INDONESIA</v>
      </c>
      <c r="AJ8" s="41" t="str">
        <f ca="1">IF(NOTA[[#This Row],[ID_H]]="","",IF(NOTA[[#This Row],[FAKTUR]]="",INDIRECT(ADDRESS(ROW()-1,COLUMN())),NOTA[[#This Row],[FAKTUR]]))</f>
        <v>ARTO MORO</v>
      </c>
      <c r="AK8" s="38" t="str">
        <f ca="1">IF(NOTA[[#This Row],[ID]]="","",COUNTIF(NOTA[ID_H],NOTA[[#This Row],[ID_H]]))</f>
        <v/>
      </c>
      <c r="AL8" s="38">
        <f ca="1">IF(NOTA[[#This Row],[TGL.NOTA]]="",IF(NOTA[[#This Row],[SUPPLIER_H]]="","",AL7),MONTH(NOTA[[#This Row],[TGL.NOTA]]))</f>
        <v>9</v>
      </c>
      <c r="AM8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N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38" t="str">
        <f>IF(NOTA[[#This Row],[CONCAT4]]="","",_xlfn.IFNA(MATCH(NOTA[[#This Row],[CONCAT4]],[2]!RAW[CONCAT_H],0),FALSE))</f>
        <v/>
      </c>
      <c r="AR8" s="38">
        <f>IF(NOTA[[#This Row],[CONCAT1]]="","",MATCH(NOTA[[#This Row],[CONCAT1]],[3]!db[NB NOTA_C],0))</f>
        <v>1559</v>
      </c>
      <c r="AS8" s="38" t="str">
        <f>IF(NOTA[[#This Row],[QTY/ CTN]]="","",TRUE)</f>
        <v/>
      </c>
      <c r="AT8" s="38" t="str">
        <f ca="1">IF(NOTA[[#This Row],[ID_H]]="","",IF(NOTA[[#This Row],[Column3]]=TRUE,NOTA[[#This Row],[QTY/ CTN]],INDEX([3]!db[QTY/ CTN],NOTA[[#This Row],[//DB]])))</f>
        <v>20 LSN</v>
      </c>
      <c r="AU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8" s="38" t="e">
        <f ca="1">IF(NOTA[[#This Row],[ID_H]]="","",MATCH(NOTA[[#This Row],[NB NOTA_C_QTY]],[4]!db[NB NOTA_C_QTY+F],0))</f>
        <v>#REF!</v>
      </c>
      <c r="AW8" s="53">
        <f ca="1">IF(NOTA[[#This Row],[NB NOTA_C_QTY]]="","",ROW()-2)</f>
        <v>6</v>
      </c>
    </row>
    <row r="9" spans="1:50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106</v>
      </c>
      <c r="M9" s="40">
        <v>1</v>
      </c>
      <c r="O9" s="37"/>
      <c r="P9" s="41"/>
      <c r="Q9" s="42">
        <v>900000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900000</v>
      </c>
      <c r="Y9" s="50">
        <f>IF(NOTA[[#This Row],[JUMLAH]]="","",NOTA[[#This Row],[JUMLAH]]*NOTA[[#This Row],[DISC 1]])</f>
        <v>153000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153000</v>
      </c>
      <c r="AC9" s="50">
        <f>IF(NOTA[[#This Row],[JUMLAH]]="","",NOTA[[#This Row],[JUMLAH]]-NOTA[[#This Row],[DISC]])</f>
        <v>747000</v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9" s="50" t="str">
        <f>IF(OR(NOTA[[#This Row],[QTY]]="",NOTA[[#This Row],[HARGA SATUAN]]="",),"",NOTA[[#This Row],[QTY]]*NOTA[[#This Row],[HARGA SATUAN]])</f>
        <v/>
      </c>
      <c r="AH9" s="39">
        <f ca="1">IF(NOTA[ID_H]="","",INDEX(NOTA[TANGGAL],MATCH(,INDIRECT(ADDRESS(ROW(NOTA[TANGGAL]),COLUMN(NOTA[TANGGAL]))&amp;":"&amp;ADDRESS(ROW(),COLUMN(NOTA[TANGGAL]))),-1)))</f>
        <v>45174</v>
      </c>
      <c r="AI9" s="41" t="str">
        <f ca="1">IF(NOTA[[#This Row],[NAMA BARANG]]="","",INDEX(NOTA[SUPPLIER],MATCH(,INDIRECT(ADDRESS(ROW(NOTA[ID]),COLUMN(NOTA[ID]))&amp;":"&amp;ADDRESS(ROW(),COLUMN(NOTA[ID]))),-1)))</f>
        <v>KENKO SINAR INDONESIA</v>
      </c>
      <c r="AJ9" s="41" t="str">
        <f ca="1">IF(NOTA[[#This Row],[ID_H]]="","",IF(NOTA[[#This Row],[FAKTUR]]="",INDIRECT(ADDRESS(ROW()-1,COLUMN())),NOTA[[#This Row],[FAKTUR]]))</f>
        <v>ARTO MORO</v>
      </c>
      <c r="AK9" s="38" t="str">
        <f ca="1">IF(NOTA[[#This Row],[ID]]="","",COUNTIF(NOTA[ID_H],NOTA[[#This Row],[ID_H]]))</f>
        <v/>
      </c>
      <c r="AL9" s="38">
        <f ca="1">IF(NOTA[[#This Row],[TGL.NOTA]]="",IF(NOTA[[#This Row],[SUPPLIER_H]]="","",AL8),MONTH(NOTA[[#This Row],[TGL.NOTA]]))</f>
        <v>9</v>
      </c>
      <c r="AM9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38" t="str">
        <f>IF(NOTA[[#This Row],[CONCAT4]]="","",_xlfn.IFNA(MATCH(NOTA[[#This Row],[CONCAT4]],[2]!RAW[CONCAT_H],0),FALSE))</f>
        <v/>
      </c>
      <c r="AR9" s="38">
        <f>IF(NOTA[[#This Row],[CONCAT1]]="","",MATCH(NOTA[[#This Row],[CONCAT1]],[3]!db[NB NOTA_C],0))</f>
        <v>1287</v>
      </c>
      <c r="AS9" s="38" t="str">
        <f>IF(NOTA[[#This Row],[QTY/ CTN]]="","",TRUE)</f>
        <v/>
      </c>
      <c r="AT9" s="38" t="str">
        <f ca="1">IF(NOTA[[#This Row],[ID_H]]="","",IF(NOTA[[#This Row],[Column3]]=TRUE,NOTA[[#This Row],[QTY/ CTN]],INDEX([3]!db[QTY/ CTN],NOTA[[#This Row],[//DB]])))</f>
        <v>5 GRS</v>
      </c>
      <c r="AU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9" s="38" t="e">
        <f ca="1">IF(NOTA[[#This Row],[ID_H]]="","",MATCH(NOTA[[#This Row],[NB NOTA_C_QTY]],[4]!db[NB NOTA_C_QTY+F],0))</f>
        <v>#REF!</v>
      </c>
      <c r="AW9" s="53">
        <f ca="1">IF(NOTA[[#This Row],[NB NOTA_C_QTY]]="","",ROW()-2)</f>
        <v>7</v>
      </c>
    </row>
    <row r="10" spans="1:50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115</v>
      </c>
      <c r="M10" s="40">
        <v>1</v>
      </c>
      <c r="O10" s="37"/>
      <c r="P10" s="41"/>
      <c r="Q10" s="42">
        <v>1548000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1548000</v>
      </c>
      <c r="Y10" s="50">
        <f>IF(NOTA[[#This Row],[JUMLAH]]="","",NOTA[[#This Row],[JUMLAH]]*NOTA[[#This Row],[DISC 1]])</f>
        <v>263160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263160</v>
      </c>
      <c r="AC10" s="50">
        <f>IF(NOTA[[#This Row],[JUMLAH]]="","",NOTA[[#This Row],[JUMLAH]]-NOTA[[#This Row],[DISC]])</f>
        <v>1284840</v>
      </c>
      <c r="AD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G10" s="50" t="str">
        <f>IF(OR(NOTA[[#This Row],[QTY]]="",NOTA[[#This Row],[HARGA SATUAN]]="",),"",NOTA[[#This Row],[QTY]]*NOTA[[#This Row],[HARGA SATUAN]])</f>
        <v/>
      </c>
      <c r="AH10" s="39">
        <f ca="1">IF(NOTA[ID_H]="","",INDEX(NOTA[TANGGAL],MATCH(,INDIRECT(ADDRESS(ROW(NOTA[TANGGAL]),COLUMN(NOTA[TANGGAL]))&amp;":"&amp;ADDRESS(ROW(),COLUMN(NOTA[TANGGAL]))),-1)))</f>
        <v>45174</v>
      </c>
      <c r="AI10" s="41" t="str">
        <f ca="1">IF(NOTA[[#This Row],[NAMA BARANG]]="","",INDEX(NOTA[SUPPLIER],MATCH(,INDIRECT(ADDRESS(ROW(NOTA[ID]),COLUMN(NOTA[ID]))&amp;":"&amp;ADDRESS(ROW(),COLUMN(NOTA[ID]))),-1)))</f>
        <v>KENKO SINAR INDONESIA</v>
      </c>
      <c r="AJ10" s="41" t="str">
        <f ca="1">IF(NOTA[[#This Row],[ID_H]]="","",IF(NOTA[[#This Row],[FAKTUR]]="",INDIRECT(ADDRESS(ROW()-1,COLUMN())),NOTA[[#This Row],[FAKTUR]]))</f>
        <v>ARTO MORO</v>
      </c>
      <c r="AK10" s="38" t="str">
        <f ca="1">IF(NOTA[[#This Row],[ID]]="","",COUNTIF(NOTA[ID_H],NOTA[[#This Row],[ID_H]]))</f>
        <v/>
      </c>
      <c r="AL10" s="38">
        <f ca="1">IF(NOTA[[#This Row],[TGL.NOTA]]="",IF(NOTA[[#This Row],[SUPPLIER_H]]="","",AL9),MONTH(NOTA[[#This Row],[TGL.NOTA]]))</f>
        <v>9</v>
      </c>
      <c r="AM10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38" t="str">
        <f>IF(NOTA[[#This Row],[CONCAT4]]="","",_xlfn.IFNA(MATCH(NOTA[[#This Row],[CONCAT4]],[2]!RAW[CONCAT_H],0),FALSE))</f>
        <v/>
      </c>
      <c r="AR10" s="38">
        <f>IF(NOTA[[#This Row],[CONCAT1]]="","",MATCH(NOTA[[#This Row],[CONCAT1]],[3]!db[NB NOTA_C],0))</f>
        <v>1289</v>
      </c>
      <c r="AS10" s="38" t="str">
        <f>IF(NOTA[[#This Row],[QTY/ CTN]]="","",TRUE)</f>
        <v/>
      </c>
      <c r="AT10" s="38" t="str">
        <f ca="1">IF(NOTA[[#This Row],[ID_H]]="","",IF(NOTA[[#This Row],[Column3]]=TRUE,NOTA[[#This Row],[QTY/ CTN]],INDEX([3]!db[QTY/ CTN],NOTA[[#This Row],[//DB]])))</f>
        <v>72 BOX (6 PCS)</v>
      </c>
      <c r="AU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V10" s="38" t="e">
        <f ca="1">IF(NOTA[[#This Row],[ID_H]]="","",MATCH(NOTA[[#This Row],[NB NOTA_C_QTY]],[4]!db[NB NOTA_C_QTY+F],0))</f>
        <v>#REF!</v>
      </c>
      <c r="AW10" s="53">
        <f ca="1">IF(NOTA[[#This Row],[NB NOTA_C_QTY]]="","",ROW()-2)</f>
        <v>8</v>
      </c>
    </row>
    <row r="11" spans="1:50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105</v>
      </c>
      <c r="M11" s="40">
        <v>1</v>
      </c>
      <c r="O11" s="37"/>
      <c r="P11" s="41"/>
      <c r="Q11" s="42">
        <v>2280000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2280000</v>
      </c>
      <c r="Y11" s="50">
        <f>IF(NOTA[[#This Row],[JUMLAH]]="","",NOTA[[#This Row],[JUMLAH]]*NOTA[[#This Row],[DISC 1]])</f>
        <v>387600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387600</v>
      </c>
      <c r="AC11" s="50">
        <f>IF(NOTA[[#This Row],[JUMLAH]]="","",NOTA[[#This Row],[JUMLAH]]-NOTA[[#This Row],[DISC]])</f>
        <v>1892400</v>
      </c>
      <c r="AD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3810720</v>
      </c>
      <c r="AE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18605280</v>
      </c>
      <c r="AF1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G11" s="50" t="str">
        <f>IF(OR(NOTA[[#This Row],[QTY]]="",NOTA[[#This Row],[HARGA SATUAN]]="",),"",NOTA[[#This Row],[QTY]]*NOTA[[#This Row],[HARGA SATUAN]])</f>
        <v/>
      </c>
      <c r="AH11" s="39">
        <f ca="1">IF(NOTA[ID_H]="","",INDEX(NOTA[TANGGAL],MATCH(,INDIRECT(ADDRESS(ROW(NOTA[TANGGAL]),COLUMN(NOTA[TANGGAL]))&amp;":"&amp;ADDRESS(ROW(),COLUMN(NOTA[TANGGAL]))),-1)))</f>
        <v>45174</v>
      </c>
      <c r="AI11" s="41" t="str">
        <f ca="1">IF(NOTA[[#This Row],[NAMA BARANG]]="","",INDEX(NOTA[SUPPLIER],MATCH(,INDIRECT(ADDRESS(ROW(NOTA[ID]),COLUMN(NOTA[ID]))&amp;":"&amp;ADDRESS(ROW(),COLUMN(NOTA[ID]))),-1)))</f>
        <v>KENKO SINAR INDONESIA</v>
      </c>
      <c r="AJ11" s="41" t="str">
        <f ca="1">IF(NOTA[[#This Row],[ID_H]]="","",IF(NOTA[[#This Row],[FAKTUR]]="",INDIRECT(ADDRESS(ROW()-1,COLUMN())),NOTA[[#This Row],[FAKTUR]]))</f>
        <v>ARTO MORO</v>
      </c>
      <c r="AK11" s="38" t="str">
        <f ca="1">IF(NOTA[[#This Row],[ID]]="","",COUNTIF(NOTA[ID_H],NOTA[[#This Row],[ID_H]]))</f>
        <v/>
      </c>
      <c r="AL11" s="38">
        <f ca="1">IF(NOTA[[#This Row],[TGL.NOTA]]="",IF(NOTA[[#This Row],[SUPPLIER_H]]="","",AL10),MONTH(NOTA[[#This Row],[TGL.NOTA]]))</f>
        <v>9</v>
      </c>
      <c r="AM1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N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38" t="str">
        <f>IF(NOTA[[#This Row],[CONCAT4]]="","",_xlfn.IFNA(MATCH(NOTA[[#This Row],[CONCAT4]],[2]!RAW[CONCAT_H],0),FALSE))</f>
        <v/>
      </c>
      <c r="AR11" s="38">
        <f>IF(NOTA[[#This Row],[CONCAT1]]="","",MATCH(NOTA[[#This Row],[CONCAT1]],[3]!db[NB NOTA_C],0))</f>
        <v>1565</v>
      </c>
      <c r="AS11" s="38" t="str">
        <f>IF(NOTA[[#This Row],[QTY/ CTN]]="","",TRUE)</f>
        <v/>
      </c>
      <c r="AT11" s="38" t="str">
        <f ca="1">IF(NOTA[[#This Row],[ID_H]]="","",IF(NOTA[[#This Row],[Column3]]=TRUE,NOTA[[#This Row],[QTY/ CTN]],INDEX([3]!db[QTY/ CTN],NOTA[[#This Row],[//DB]])))</f>
        <v>10 LSN</v>
      </c>
      <c r="AU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V11" s="38" t="e">
        <f ca="1">IF(NOTA[[#This Row],[ID_H]]="","",MATCH(NOTA[[#This Row],[NB NOTA_C_QTY]],[4]!db[NB NOTA_C_QTY+F],0))</f>
        <v>#REF!</v>
      </c>
      <c r="AW11" s="53">
        <f ca="1">IF(NOTA[[#This Row],[NB NOTA_C_QTY]]="","",ROW()-2)</f>
        <v>9</v>
      </c>
    </row>
    <row r="12" spans="1:50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 t="str">
        <f ca="1">IF(NOTA[[#This Row],[NAMA BARANG]]="","",INDEX(NOTA[ID],MATCH(,INDIRECT(ADDRESS(ROW(NOTA[ID]),COLUMN(NOTA[ID]))&amp;":"&amp;ADDRESS(ROW(),COLUMN(NOTA[ID]))),-1)))</f>
        <v/>
      </c>
      <c r="E12" s="46"/>
      <c r="F12" s="37"/>
      <c r="G12" s="37"/>
      <c r="H12" s="47"/>
      <c r="I12" s="37"/>
      <c r="J12" s="39"/>
      <c r="K12" s="37"/>
      <c r="L12" s="37"/>
      <c r="M12" s="40"/>
      <c r="O12" s="37"/>
      <c r="P12" s="41"/>
      <c r="Q12" s="42"/>
      <c r="R12" s="48"/>
      <c r="S12" s="49"/>
      <c r="T12" s="44"/>
      <c r="U12" s="44"/>
      <c r="V12" s="50"/>
      <c r="W12" s="45"/>
      <c r="X12" s="50" t="str">
        <f>IF(NOTA[[#This Row],[HARGA/ CTN]]="",NOTA[[#This Row],[JUMLAH_H]],NOTA[[#This Row],[HARGA/ CTN]]*IF(NOTA[[#This Row],[C]]="",0,NOTA[[#This Row],[C]]))</f>
        <v/>
      </c>
      <c r="Y12" s="50" t="str">
        <f>IF(NOTA[[#This Row],[JUMLAH]]="","",NOTA[[#This Row],[JUMLAH]]*NOTA[[#This Row],[DISC 1]])</f>
        <v/>
      </c>
      <c r="Z12" s="50" t="str">
        <f>IF(NOTA[[#This Row],[JUMLAH]]="","",(NOTA[[#This Row],[JUMLAH]]-NOTA[[#This Row],[DISC 1-]])*NOTA[[#This Row],[DISC 2]])</f>
        <v/>
      </c>
      <c r="AA12" s="50" t="str">
        <f>IF(NOTA[[#This Row],[JUMLAH]]="","",(NOTA[[#This Row],[JUMLAH]]-NOTA[[#This Row],[DISC 1-]]-NOTA[[#This Row],[DISC 2-]])*NOTA[[#This Row],[DISC 3]])</f>
        <v/>
      </c>
      <c r="AB12" s="50" t="str">
        <f>IF(NOTA[[#This Row],[JUMLAH]]="","",NOTA[[#This Row],[DISC 1-]]+NOTA[[#This Row],[DISC 2-]]+NOTA[[#This Row],[DISC 3-]])</f>
        <v/>
      </c>
      <c r="AC12" s="50" t="str">
        <f>IF(NOTA[[#This Row],[JUMLAH]]="","",NOTA[[#This Row],[JUMLAH]]-NOTA[[#This Row],[DISC]])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2" s="50" t="str">
        <f>IF(OR(NOTA[[#This Row],[QTY]]="",NOTA[[#This Row],[HARGA SATUAN]]="",),"",NOTA[[#This Row],[QTY]]*NOTA[[#This Row],[HARGA SATUAN]])</f>
        <v/>
      </c>
      <c r="AH12" s="39" t="str">
        <f ca="1">IF(NOTA[ID_H]="","",INDEX(NOTA[TANGGAL],MATCH(,INDIRECT(ADDRESS(ROW(NOTA[TANGGAL]),COLUMN(NOTA[TANGGAL]))&amp;":"&amp;ADDRESS(ROW(),COLUMN(NOTA[TANGGAL]))),-1)))</f>
        <v/>
      </c>
      <c r="AI12" s="41" t="str">
        <f ca="1">IF(NOTA[[#This Row],[NAMA BARANG]]="","",INDEX(NOTA[SUPPLIER],MATCH(,INDIRECT(ADDRESS(ROW(NOTA[ID]),COLUMN(NOTA[ID]))&amp;":"&amp;ADDRESS(ROW(),COLUMN(NOTA[ID]))),-1)))</f>
        <v/>
      </c>
      <c r="AJ12" s="41" t="str">
        <f ca="1">IF(NOTA[[#This Row],[ID_H]]="","",IF(NOTA[[#This Row],[FAKTUR]]="",INDIRECT(ADDRESS(ROW()-1,COLUMN())),NOTA[[#This Row],[FAKTUR]]))</f>
        <v/>
      </c>
      <c r="AK12" s="38" t="str">
        <f ca="1">IF(NOTA[[#This Row],[ID]]="","",COUNTIF(NOTA[ID_H],NOTA[[#This Row],[ID_H]]))</f>
        <v/>
      </c>
      <c r="AL12" s="38" t="str">
        <f ca="1">IF(NOTA[[#This Row],[TGL.NOTA]]="",IF(NOTA[[#This Row],[SUPPLIER_H]]="","",AL11),MONTH(NOTA[[#This Row],[TGL.NOTA]]))</f>
        <v/>
      </c>
      <c r="AM12" s="38" t="str">
        <f>LOWER(SUBSTITUTE(SUBSTITUTE(SUBSTITUTE(SUBSTITUTE(SUBSTITUTE(SUBSTITUTE(SUBSTITUTE(SUBSTITUTE(SUBSTITUTE(NOTA[NAMA BARANG]," ",),".",""),"-",""),"(",""),")",""),",",""),"/",""),"""",""),"+",""))</f>
        <v/>
      </c>
      <c r="AN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38" t="str">
        <f>IF(NOTA[[#This Row],[CONCAT4]]="","",_xlfn.IFNA(MATCH(NOTA[[#This Row],[CONCAT4]],[2]!RAW[CONCAT_H],0),FALSE))</f>
        <v/>
      </c>
      <c r="AR12" s="38" t="str">
        <f>IF(NOTA[[#This Row],[CONCAT1]]="","",MATCH(NOTA[[#This Row],[CONCAT1]],[3]!db[NB NOTA_C],0))</f>
        <v/>
      </c>
      <c r="AS12" s="38" t="str">
        <f>IF(NOTA[[#This Row],[QTY/ CTN]]="","",TRUE)</f>
        <v/>
      </c>
      <c r="AT12" s="38" t="str">
        <f ca="1">IF(NOTA[[#This Row],[ID_H]]="","",IF(NOTA[[#This Row],[Column3]]=TRUE,NOTA[[#This Row],[QTY/ CTN]],INDEX([3]!db[QTY/ CTN],NOTA[[#This Row],[//DB]])))</f>
        <v/>
      </c>
      <c r="AU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2" s="38" t="str">
        <f ca="1">IF(NOTA[[#This Row],[ID_H]]="","",MATCH(NOTA[[#This Row],[NB NOTA_C_QTY]],[4]!db[NB NOTA_C_QTY+F],0))</f>
        <v/>
      </c>
      <c r="AW12" s="53" t="str">
        <f ca="1">IF(NOTA[[#This Row],[NB NOTA_C_QTY]]="","",ROW()-2)</f>
        <v/>
      </c>
    </row>
    <row r="13" spans="1:50" s="38" customFormat="1" ht="20.100000000000001" customHeight="1" x14ac:dyDescent="0.25">
      <c r="A1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KEN_0209_082-4</v>
      </c>
      <c r="C13" s="38" t="e">
        <f ca="1">IF(NOTA[[#This Row],[ID_P]]="","",MATCH(NOTA[[#This Row],[ID_P]],[1]!B_MSK[N_ID],0))</f>
        <v>#REF!</v>
      </c>
      <c r="D13" s="38">
        <f ca="1">IF(NOTA[[#This Row],[NAMA BARANG]]="","",INDEX(NOTA[ID],MATCH(,INDIRECT(ADDRESS(ROW(NOTA[ID]),COLUMN(NOTA[ID]))&amp;":"&amp;ADDRESS(ROW(),COLUMN(NOTA[ID]))),-1)))</f>
        <v>3</v>
      </c>
      <c r="E13" s="46">
        <v>45171</v>
      </c>
      <c r="F13" s="37" t="s">
        <v>22</v>
      </c>
      <c r="G13" s="37" t="s">
        <v>23</v>
      </c>
      <c r="H13" s="47" t="s">
        <v>116</v>
      </c>
      <c r="I13" s="37"/>
      <c r="J13" s="39">
        <v>45170</v>
      </c>
      <c r="K13" s="37"/>
      <c r="L13" s="37" t="s">
        <v>110</v>
      </c>
      <c r="M13" s="40">
        <v>1</v>
      </c>
      <c r="O13" s="37"/>
      <c r="P13" s="41"/>
      <c r="Q13" s="42">
        <v>2980800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2980800</v>
      </c>
      <c r="Y13" s="50">
        <f>IF(NOTA[[#This Row],[JUMLAH]]="","",NOTA[[#This Row],[JUMLAH]]*NOTA[[#This Row],[DISC 1]])</f>
        <v>506736.00000000006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506736.00000000006</v>
      </c>
      <c r="AC13" s="50">
        <f>IF(NOTA[[#This Row],[JUMLAH]]="","",NOTA[[#This Row],[JUMLAH]]-NOTA[[#This Row],[DISC]])</f>
        <v>2474064</v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13" s="50" t="str">
        <f>IF(OR(NOTA[[#This Row],[QTY]]="",NOTA[[#This Row],[HARGA SATUAN]]="",),"",NOTA[[#This Row],[QTY]]*NOTA[[#This Row],[HARGA SATUAN]])</f>
        <v/>
      </c>
      <c r="AH13" s="39">
        <f ca="1">IF(NOTA[ID_H]="","",INDEX(NOTA[TANGGAL],MATCH(,INDIRECT(ADDRESS(ROW(NOTA[TANGGAL]),COLUMN(NOTA[TANGGAL]))&amp;":"&amp;ADDRESS(ROW(),COLUMN(NOTA[TANGGAL]))),-1)))</f>
        <v>45171</v>
      </c>
      <c r="AI13" s="41" t="str">
        <f ca="1">IF(NOTA[[#This Row],[NAMA BARANG]]="","",INDEX(NOTA[SUPPLIER],MATCH(,INDIRECT(ADDRESS(ROW(NOTA[ID]),COLUMN(NOTA[ID]))&amp;":"&amp;ADDRESS(ROW(),COLUMN(NOTA[ID]))),-1)))</f>
        <v>KENKO SINAR INDONESIA</v>
      </c>
      <c r="AJ13" s="41" t="str">
        <f ca="1">IF(NOTA[[#This Row],[ID_H]]="","",IF(NOTA[[#This Row],[FAKTUR]]="",INDIRECT(ADDRESS(ROW()-1,COLUMN())),NOTA[[#This Row],[FAKTUR]]))</f>
        <v>ARTO MORO</v>
      </c>
      <c r="AK13" s="38">
        <f ca="1">IF(NOTA[[#This Row],[ID]]="","",COUNTIF(NOTA[ID_H],NOTA[[#This Row],[ID_H]]))</f>
        <v>4</v>
      </c>
      <c r="AL13" s="38">
        <f>IF(NOTA[[#This Row],[TGL.NOTA]]="",IF(NOTA[[#This Row],[SUPPLIER_H]]="","",AL12),MONTH(NOTA[[#This Row],[TGL.NOTA]]))</f>
        <v>9</v>
      </c>
      <c r="AM1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MORO2309008245170kenko12colorpencilcp12fclassic</v>
      </c>
      <c r="AQ13" s="38" t="e">
        <f>IF(NOTA[[#This Row],[CONCAT4]]="","",_xlfn.IFNA(MATCH(NOTA[[#This Row],[CONCAT4]],[2]!RAW[CONCAT_H],0),FALSE))</f>
        <v>#REF!</v>
      </c>
      <c r="AR13" s="38">
        <f>IF(NOTA[[#This Row],[CONCAT1]]="","",MATCH(NOTA[[#This Row],[CONCAT1]],[3]!db[NB NOTA_C],0))</f>
        <v>1265</v>
      </c>
      <c r="AS13" s="38" t="str">
        <f>IF(NOTA[[#This Row],[QTY/ CTN]]="","",TRUE)</f>
        <v/>
      </c>
      <c r="AT13" s="38" t="str">
        <f ca="1">IF(NOTA[[#This Row],[ID_H]]="","",IF(NOTA[[#This Row],[Column3]]=TRUE,NOTA[[#This Row],[QTY/ CTN]],INDEX([3]!db[QTY/ CTN],NOTA[[#This Row],[//DB]])))</f>
        <v>24 LSN</v>
      </c>
      <c r="AU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13" s="38" t="e">
        <f ca="1">IF(NOTA[[#This Row],[ID_H]]="","",MATCH(NOTA[[#This Row],[NB NOTA_C_QTY]],[4]!db[NB NOTA_C_QTY+F],0))</f>
        <v>#REF!</v>
      </c>
      <c r="AW13" s="53">
        <f ca="1">IF(NOTA[[#This Row],[NB NOTA_C_QTY]]="","",ROW()-2)</f>
        <v>11</v>
      </c>
    </row>
    <row r="14" spans="1:50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F14" s="37"/>
      <c r="G14" s="37"/>
      <c r="H14" s="47"/>
      <c r="I14" s="37"/>
      <c r="J14" s="39"/>
      <c r="K14" s="37"/>
      <c r="L14" s="37" t="s">
        <v>103</v>
      </c>
      <c r="M14" s="40">
        <v>2</v>
      </c>
      <c r="O14" s="37"/>
      <c r="P14" s="41"/>
      <c r="Q14" s="42">
        <v>5616000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11232000</v>
      </c>
      <c r="Y14" s="50">
        <f>IF(NOTA[[#This Row],[JUMLAH]]="","",NOTA[[#This Row],[JUMLAH]]*NOTA[[#This Row],[DISC 1]])</f>
        <v>1909440.0000000002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1909440.0000000002</v>
      </c>
      <c r="AC14" s="50">
        <f>IF(NOTA[[#This Row],[JUMLAH]]="","",NOTA[[#This Row],[JUMLAH]]-NOTA[[#This Row],[DISC]])</f>
        <v>9322560</v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14" s="50" t="str">
        <f>IF(OR(NOTA[[#This Row],[QTY]]="",NOTA[[#This Row],[HARGA SATUAN]]="",),"",NOTA[[#This Row],[QTY]]*NOTA[[#This Row],[HARGA SATUAN]])</f>
        <v/>
      </c>
      <c r="AH14" s="39">
        <f ca="1">IF(NOTA[ID_H]="","",INDEX(NOTA[TANGGAL],MATCH(,INDIRECT(ADDRESS(ROW(NOTA[TANGGAL]),COLUMN(NOTA[TANGGAL]))&amp;":"&amp;ADDRESS(ROW(),COLUMN(NOTA[TANGGAL]))),-1)))</f>
        <v>45171</v>
      </c>
      <c r="AI14" s="41" t="str">
        <f ca="1">IF(NOTA[[#This Row],[NAMA BARANG]]="","",INDEX(NOTA[SUPPLIER],MATCH(,INDIRECT(ADDRESS(ROW(NOTA[ID]),COLUMN(NOTA[ID]))&amp;":"&amp;ADDRESS(ROW(),COLUMN(NOTA[ID]))),-1)))</f>
        <v>KENKO SINAR INDONESIA</v>
      </c>
      <c r="AJ14" s="41" t="str">
        <f ca="1">IF(NOTA[[#This Row],[ID_H]]="","",IF(NOTA[[#This Row],[FAKTUR]]="",INDIRECT(ADDRESS(ROW()-1,COLUMN())),NOTA[[#This Row],[FAKTUR]]))</f>
        <v>ARTO MORO</v>
      </c>
      <c r="AK14" s="38" t="str">
        <f ca="1">IF(NOTA[[#This Row],[ID]]="","",COUNTIF(NOTA[ID_H],NOTA[[#This Row],[ID_H]]))</f>
        <v/>
      </c>
      <c r="AL14" s="38">
        <f ca="1">IF(NOTA[[#This Row],[TGL.NOTA]]="",IF(NOTA[[#This Row],[SUPPLIER_H]]="","",AL13),MONTH(NOTA[[#This Row],[TGL.NOTA]]))</f>
        <v>9</v>
      </c>
      <c r="AM1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38" t="str">
        <f>IF(NOTA[[#This Row],[CONCAT4]]="","",_xlfn.IFNA(MATCH(NOTA[[#This Row],[CONCAT4]],[2]!RAW[CONCAT_H],0),FALSE))</f>
        <v/>
      </c>
      <c r="AR14" s="38">
        <f>IF(NOTA[[#This Row],[CONCAT1]]="","",MATCH(NOTA[[#This Row],[CONCAT1]],[3]!db[NB NOTA_C],0))</f>
        <v>1407</v>
      </c>
      <c r="AS14" s="38" t="str">
        <f>IF(NOTA[[#This Row],[QTY/ CTN]]="","",TRUE)</f>
        <v/>
      </c>
      <c r="AT14" s="38" t="str">
        <f ca="1">IF(NOTA[[#This Row],[ID_H]]="","",IF(NOTA[[#This Row],[Column3]]=TRUE,NOTA[[#This Row],[QTY/ CTN]],INDEX([3]!db[QTY/ CTN],NOTA[[#This Row],[//DB]])))</f>
        <v>144 LSN</v>
      </c>
      <c r="AU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V14" s="38" t="e">
        <f ca="1">IF(NOTA[[#This Row],[ID_H]]="","",MATCH(NOTA[[#This Row],[NB NOTA_C_QTY]],[4]!db[NB NOTA_C_QTY+F],0))</f>
        <v>#REF!</v>
      </c>
      <c r="AW14" s="53">
        <f ca="1">IF(NOTA[[#This Row],[NB NOTA_C_QTY]]="","",ROW()-2)</f>
        <v>12</v>
      </c>
    </row>
    <row r="15" spans="1:50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F15" s="37"/>
      <c r="G15" s="37"/>
      <c r="H15" s="47"/>
      <c r="I15" s="37"/>
      <c r="J15" s="39"/>
      <c r="K15" s="37"/>
      <c r="L15" s="37" t="s">
        <v>109</v>
      </c>
      <c r="M15" s="40">
        <v>2</v>
      </c>
      <c r="O15" s="37"/>
      <c r="P15" s="41"/>
      <c r="Q15" s="42">
        <v>3758400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7516800</v>
      </c>
      <c r="Y15" s="50">
        <f>IF(NOTA[[#This Row],[JUMLAH]]="","",NOTA[[#This Row],[JUMLAH]]*NOTA[[#This Row],[DISC 1]])</f>
        <v>1277856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1277856</v>
      </c>
      <c r="AC15" s="50">
        <f>IF(NOTA[[#This Row],[JUMLAH]]="","",NOTA[[#This Row],[JUMLAH]]-NOTA[[#This Row],[DISC]])</f>
        <v>6238944</v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G15" s="50" t="str">
        <f>IF(OR(NOTA[[#This Row],[QTY]]="",NOTA[[#This Row],[HARGA SATUAN]]="",),"",NOTA[[#This Row],[QTY]]*NOTA[[#This Row],[HARGA SATUAN]])</f>
        <v/>
      </c>
      <c r="AH15" s="39">
        <f ca="1">IF(NOTA[ID_H]="","",INDEX(NOTA[TANGGAL],MATCH(,INDIRECT(ADDRESS(ROW(NOTA[TANGGAL]),COLUMN(NOTA[TANGGAL]))&amp;":"&amp;ADDRESS(ROW(),COLUMN(NOTA[TANGGAL]))),-1)))</f>
        <v>45171</v>
      </c>
      <c r="AI15" s="41" t="str">
        <f ca="1">IF(NOTA[[#This Row],[NAMA BARANG]]="","",INDEX(NOTA[SUPPLIER],MATCH(,INDIRECT(ADDRESS(ROW(NOTA[ID]),COLUMN(NOTA[ID]))&amp;":"&amp;ADDRESS(ROW(),COLUMN(NOTA[ID]))),-1)))</f>
        <v>KENKO SINAR INDONESIA</v>
      </c>
      <c r="AJ15" s="41" t="str">
        <f ca="1">IF(NOTA[[#This Row],[ID_H]]="","",IF(NOTA[[#This Row],[FAKTUR]]="",INDIRECT(ADDRESS(ROW()-1,COLUMN())),NOTA[[#This Row],[FAKTUR]]))</f>
        <v>ARTO MORO</v>
      </c>
      <c r="AK15" s="38" t="str">
        <f ca="1">IF(NOTA[[#This Row],[ID]]="","",COUNTIF(NOTA[ID_H],NOTA[[#This Row],[ID_H]]))</f>
        <v/>
      </c>
      <c r="AL15" s="38">
        <f ca="1">IF(NOTA[[#This Row],[TGL.NOTA]]="",IF(NOTA[[#This Row],[SUPPLIER_H]]="","",AL14),MONTH(NOTA[[#This Row],[TGL.NOTA]]))</f>
        <v>9</v>
      </c>
      <c r="AM1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O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P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" s="38" t="str">
        <f>IF(NOTA[[#This Row],[CONCAT4]]="","",_xlfn.IFNA(MATCH(NOTA[[#This Row],[CONCAT4]],[2]!RAW[CONCAT_H],0),FALSE))</f>
        <v/>
      </c>
      <c r="AR15" s="38">
        <f>IF(NOTA[[#This Row],[CONCAT1]]="","",MATCH(NOTA[[#This Row],[CONCAT1]],[3]!db[NB NOTA_C],0))</f>
        <v>1400</v>
      </c>
      <c r="AS15" s="38" t="str">
        <f>IF(NOTA[[#This Row],[QTY/ CTN]]="","",TRUE)</f>
        <v/>
      </c>
      <c r="AT15" s="38" t="str">
        <f ca="1">IF(NOTA[[#This Row],[ID_H]]="","",IF(NOTA[[#This Row],[Column3]]=TRUE,NOTA[[#This Row],[QTY/ CTN]],INDEX([3]!db[QTY/ CTN],NOTA[[#This Row],[//DB]])))</f>
        <v>144 LSN</v>
      </c>
      <c r="AU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V15" s="38" t="e">
        <f ca="1">IF(NOTA[[#This Row],[ID_H]]="","",MATCH(NOTA[[#This Row],[NB NOTA_C_QTY]],[4]!db[NB NOTA_C_QTY+F],0))</f>
        <v>#REF!</v>
      </c>
      <c r="AW15" s="53">
        <f ca="1">IF(NOTA[[#This Row],[NB NOTA_C_QTY]]="","",ROW()-2)</f>
        <v>13</v>
      </c>
    </row>
    <row r="16" spans="1:50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/>
      <c r="G16" s="37"/>
      <c r="H16" s="47"/>
      <c r="I16" s="37"/>
      <c r="J16" s="39"/>
      <c r="K16" s="37"/>
      <c r="L16" s="37" t="s">
        <v>117</v>
      </c>
      <c r="M16" s="40">
        <v>1</v>
      </c>
      <c r="O16" s="37"/>
      <c r="P16" s="41"/>
      <c r="Q16" s="42">
        <v>3758400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3758400</v>
      </c>
      <c r="Y16" s="50">
        <f>IF(NOTA[[#This Row],[JUMLAH]]="","",NOTA[[#This Row],[JUMLAH]]*NOTA[[#This Row],[DISC 1]])</f>
        <v>638928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638928</v>
      </c>
      <c r="AC16" s="50">
        <f>IF(NOTA[[#This Row],[JUMLAH]]="","",NOTA[[#This Row],[JUMLAH]]-NOTA[[#This Row],[DISC]])</f>
        <v>3119472</v>
      </c>
      <c r="AD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4332960</v>
      </c>
      <c r="AE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21155040</v>
      </c>
      <c r="AF1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G16" s="50" t="str">
        <f>IF(OR(NOTA[[#This Row],[QTY]]="",NOTA[[#This Row],[HARGA SATUAN]]="",),"",NOTA[[#This Row],[QTY]]*NOTA[[#This Row],[HARGA SATUAN]])</f>
        <v/>
      </c>
      <c r="AH16" s="39">
        <f ca="1">IF(NOTA[ID_H]="","",INDEX(NOTA[TANGGAL],MATCH(,INDIRECT(ADDRESS(ROW(NOTA[TANGGAL]),COLUMN(NOTA[TANGGAL]))&amp;":"&amp;ADDRESS(ROW(),COLUMN(NOTA[TANGGAL]))),-1)))</f>
        <v>45171</v>
      </c>
      <c r="AI16" s="41" t="str">
        <f ca="1">IF(NOTA[[#This Row],[NAMA BARANG]]="","",INDEX(NOTA[SUPPLIER],MATCH(,INDIRECT(ADDRESS(ROW(NOTA[ID]),COLUMN(NOTA[ID]))&amp;":"&amp;ADDRESS(ROW(),COLUMN(NOTA[ID]))),-1)))</f>
        <v>KENKO SINAR INDONESIA</v>
      </c>
      <c r="AJ16" s="41" t="str">
        <f ca="1">IF(NOTA[[#This Row],[ID_H]]="","",IF(NOTA[[#This Row],[FAKTUR]]="",INDIRECT(ADDRESS(ROW()-1,COLUMN())),NOTA[[#This Row],[FAKTUR]]))</f>
        <v>ARTO MORO</v>
      </c>
      <c r="AK16" s="38" t="str">
        <f ca="1">IF(NOTA[[#This Row],[ID]]="","",COUNTIF(NOTA[ID_H],NOTA[[#This Row],[ID_H]]))</f>
        <v/>
      </c>
      <c r="AL16" s="38">
        <f ca="1">IF(NOTA[[#This Row],[TGL.NOTA]]="",IF(NOTA[[#This Row],[SUPPLIER_H]]="","",AL15),MONTH(NOTA[[#This Row],[TGL.NOTA]]))</f>
        <v>9</v>
      </c>
      <c r="AM16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38" t="str">
        <f>IF(NOTA[[#This Row],[CONCAT4]]="","",_xlfn.IFNA(MATCH(NOTA[[#This Row],[CONCAT4]],[2]!RAW[CONCAT_H],0),FALSE))</f>
        <v/>
      </c>
      <c r="AR16" s="38">
        <f>IF(NOTA[[#This Row],[CONCAT1]]="","",MATCH(NOTA[[#This Row],[CONCAT1]],[3]!db[NB NOTA_C],0))</f>
        <v>1443</v>
      </c>
      <c r="AS16" s="38" t="str">
        <f>IF(NOTA[[#This Row],[QTY/ CTN]]="","",TRUE)</f>
        <v/>
      </c>
      <c r="AT16" s="38" t="str">
        <f ca="1">IF(NOTA[[#This Row],[ID_H]]="","",IF(NOTA[[#This Row],[Column3]]=TRUE,NOTA[[#This Row],[QTY/ CTN]],INDEX([3]!db[QTY/ CTN],NOTA[[#This Row],[//DB]])))</f>
        <v>144 LSN</v>
      </c>
      <c r="AU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V16" s="38" t="e">
        <f ca="1">IF(NOTA[[#This Row],[ID_H]]="","",MATCH(NOTA[[#This Row],[NB NOTA_C_QTY]],[4]!db[NB NOTA_C_QTY+F],0))</f>
        <v>#REF!</v>
      </c>
      <c r="AW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 t="str">
        <f ca="1">IF(NOTA[[#This Row],[NAMA BARANG]]="","",INDEX(NOTA[ID],MATCH(,INDIRECT(ADDRESS(ROW(NOTA[ID]),COLUMN(NOTA[ID]))&amp;":"&amp;ADDRESS(ROW(),COLUMN(NOTA[ID]))),-1)))</f>
        <v/>
      </c>
      <c r="E17" s="46"/>
      <c r="F17" s="37"/>
      <c r="G17" s="37"/>
      <c r="H17" s="47"/>
      <c r="I17" s="37"/>
      <c r="J17" s="39"/>
      <c r="K17" s="37"/>
      <c r="L17" s="37"/>
      <c r="M17" s="40"/>
      <c r="O17" s="37"/>
      <c r="P17" s="41"/>
      <c r="Q17" s="42"/>
      <c r="R17" s="48"/>
      <c r="S17" s="49"/>
      <c r="T17" s="44"/>
      <c r="U17" s="44"/>
      <c r="V17" s="50"/>
      <c r="W17" s="45"/>
      <c r="X17" s="50" t="str">
        <f>IF(NOTA[[#This Row],[HARGA/ CTN]]="",NOTA[[#This Row],[JUMLAH_H]],NOTA[[#This Row],[HARGA/ CTN]]*IF(NOTA[[#This Row],[C]]="",0,NOTA[[#This Row],[C]]))</f>
        <v/>
      </c>
      <c r="Y17" s="50" t="str">
        <f>IF(NOTA[[#This Row],[JUMLAH]]="","",NOTA[[#This Row],[JUMLAH]]*NOTA[[#This Row],[DISC 1]])</f>
        <v/>
      </c>
      <c r="Z17" s="50" t="str">
        <f>IF(NOTA[[#This Row],[JUMLAH]]="","",(NOTA[[#This Row],[JUMLAH]]-NOTA[[#This Row],[DISC 1-]])*NOTA[[#This Row],[DISC 2]])</f>
        <v/>
      </c>
      <c r="AA17" s="50" t="str">
        <f>IF(NOTA[[#This Row],[JUMLAH]]="","",(NOTA[[#This Row],[JUMLAH]]-NOTA[[#This Row],[DISC 1-]]-NOTA[[#This Row],[DISC 2-]])*NOTA[[#This Row],[DISC 3]])</f>
        <v/>
      </c>
      <c r="AB17" s="50" t="str">
        <f>IF(NOTA[[#This Row],[JUMLAH]]="","",NOTA[[#This Row],[DISC 1-]]+NOTA[[#This Row],[DISC 2-]]+NOTA[[#This Row],[DISC 3-]])</f>
        <v/>
      </c>
      <c r="AC17" s="50" t="str">
        <f>IF(NOTA[[#This Row],[JUMLAH]]="","",NOTA[[#This Row],[JUMLAH]]-NOTA[[#This Row],[DISC]])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" s="50" t="str">
        <f>IF(OR(NOTA[[#This Row],[QTY]]="",NOTA[[#This Row],[HARGA SATUAN]]="",),"",NOTA[[#This Row],[QTY]]*NOTA[[#This Row],[HARGA SATUAN]])</f>
        <v/>
      </c>
      <c r="AH17" s="39" t="str">
        <f ca="1">IF(NOTA[ID_H]="","",INDEX(NOTA[TANGGAL],MATCH(,INDIRECT(ADDRESS(ROW(NOTA[TANGGAL]),COLUMN(NOTA[TANGGAL]))&amp;":"&amp;ADDRESS(ROW(),COLUMN(NOTA[TANGGAL]))),-1)))</f>
        <v/>
      </c>
      <c r="AI17" s="41" t="str">
        <f ca="1">IF(NOTA[[#This Row],[NAMA BARANG]]="","",INDEX(NOTA[SUPPLIER],MATCH(,INDIRECT(ADDRESS(ROW(NOTA[ID]),COLUMN(NOTA[ID]))&amp;":"&amp;ADDRESS(ROW(),COLUMN(NOTA[ID]))),-1)))</f>
        <v/>
      </c>
      <c r="AJ17" s="41" t="str">
        <f ca="1">IF(NOTA[[#This Row],[ID_H]]="","",IF(NOTA[[#This Row],[FAKTUR]]="",INDIRECT(ADDRESS(ROW()-1,COLUMN())),NOTA[[#This Row],[FAKTUR]]))</f>
        <v/>
      </c>
      <c r="AK17" s="38" t="str">
        <f ca="1">IF(NOTA[[#This Row],[ID]]="","",COUNTIF(NOTA[ID_H],NOTA[[#This Row],[ID_H]]))</f>
        <v/>
      </c>
      <c r="AL17" s="38" t="str">
        <f ca="1">IF(NOTA[[#This Row],[TGL.NOTA]]="",IF(NOTA[[#This Row],[SUPPLIER_H]]="","",AL16),MONTH(NOTA[[#This Row],[TGL.NOTA]]))</f>
        <v/>
      </c>
      <c r="AM17" s="38" t="str">
        <f>LOWER(SUBSTITUTE(SUBSTITUTE(SUBSTITUTE(SUBSTITUTE(SUBSTITUTE(SUBSTITUTE(SUBSTITUTE(SUBSTITUTE(SUBSTITUTE(NOTA[NAMA BARANG]," ",),".",""),"-",""),"(",""),")",""),",",""),"/",""),"""",""),"+",""))</f>
        <v/>
      </c>
      <c r="AN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38" t="str">
        <f>IF(NOTA[[#This Row],[CONCAT4]]="","",_xlfn.IFNA(MATCH(NOTA[[#This Row],[CONCAT4]],[2]!RAW[CONCAT_H],0),FALSE))</f>
        <v/>
      </c>
      <c r="AR17" s="38" t="str">
        <f>IF(NOTA[[#This Row],[CONCAT1]]="","",MATCH(NOTA[[#This Row],[CONCAT1]],[3]!db[NB NOTA_C],0))</f>
        <v/>
      </c>
      <c r="AS17" s="38" t="str">
        <f>IF(NOTA[[#This Row],[QTY/ CTN]]="","",TRUE)</f>
        <v/>
      </c>
      <c r="AT17" s="38" t="str">
        <f ca="1">IF(NOTA[[#This Row],[ID_H]]="","",IF(NOTA[[#This Row],[Column3]]=TRUE,NOTA[[#This Row],[QTY/ CTN]],INDEX([3]!db[QTY/ CTN],NOTA[[#This Row],[//DB]])))</f>
        <v/>
      </c>
      <c r="AU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" s="38" t="str">
        <f ca="1">IF(NOTA[[#This Row],[ID_H]]="","",MATCH(NOTA[[#This Row],[NB NOTA_C_QTY]],[4]!db[NB NOTA_C_QTY+F],0))</f>
        <v/>
      </c>
      <c r="AW17" s="53" t="str">
        <f ca="1">IF(NOTA[[#This Row],[NB NOTA_C_QTY]]="","",ROW()-2)</f>
        <v/>
      </c>
    </row>
    <row r="18" spans="1:50" s="38" customFormat="1" ht="20.100000000000001" customHeight="1" x14ac:dyDescent="0.25">
      <c r="A1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KEN_0209_138-5</v>
      </c>
      <c r="C18" s="38" t="e">
        <f ca="1">IF(NOTA[[#This Row],[ID_P]]="","",MATCH(NOTA[[#This Row],[ID_P]],[1]!B_MSK[N_ID],0))</f>
        <v>#REF!</v>
      </c>
      <c r="D18" s="38">
        <f ca="1">IF(NOTA[[#This Row],[NAMA BARANG]]="","",INDEX(NOTA[ID],MATCH(,INDIRECT(ADDRESS(ROW(NOTA[ID]),COLUMN(NOTA[ID]))&amp;":"&amp;ADDRESS(ROW(),COLUMN(NOTA[ID]))),-1)))</f>
        <v>4</v>
      </c>
      <c r="E18" s="46">
        <v>45171</v>
      </c>
      <c r="F18" s="37" t="s">
        <v>22</v>
      </c>
      <c r="G18" s="37" t="s">
        <v>23</v>
      </c>
      <c r="H18" s="47" t="s">
        <v>118</v>
      </c>
      <c r="I18" s="37"/>
      <c r="J18" s="39">
        <v>45170</v>
      </c>
      <c r="K18" s="37"/>
      <c r="L18" s="37" t="s">
        <v>108</v>
      </c>
      <c r="M18" s="40">
        <v>2</v>
      </c>
      <c r="O18" s="37"/>
      <c r="P18" s="41"/>
      <c r="Q18" s="42">
        <v>3888000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7776000</v>
      </c>
      <c r="Y18" s="50">
        <f>IF(NOTA[[#This Row],[JUMLAH]]="","",NOTA[[#This Row],[JUMLAH]]*NOTA[[#This Row],[DISC 1]])</f>
        <v>1321920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1321920</v>
      </c>
      <c r="AC18" s="50">
        <f>IF(NOTA[[#This Row],[JUMLAH]]="","",NOTA[[#This Row],[JUMLAH]]-NOTA[[#This Row],[DISC]])</f>
        <v>6454080</v>
      </c>
      <c r="AD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18" s="50" t="str">
        <f>IF(OR(NOTA[[#This Row],[QTY]]="",NOTA[[#This Row],[HARGA SATUAN]]="",),"",NOTA[[#This Row],[QTY]]*NOTA[[#This Row],[HARGA SATUAN]])</f>
        <v/>
      </c>
      <c r="AH18" s="39">
        <f ca="1">IF(NOTA[ID_H]="","",INDEX(NOTA[TANGGAL],MATCH(,INDIRECT(ADDRESS(ROW(NOTA[TANGGAL]),COLUMN(NOTA[TANGGAL]))&amp;":"&amp;ADDRESS(ROW(),COLUMN(NOTA[TANGGAL]))),-1)))</f>
        <v>45171</v>
      </c>
      <c r="AI18" s="41" t="str">
        <f ca="1">IF(NOTA[[#This Row],[NAMA BARANG]]="","",INDEX(NOTA[SUPPLIER],MATCH(,INDIRECT(ADDRESS(ROW(NOTA[ID]),COLUMN(NOTA[ID]))&amp;":"&amp;ADDRESS(ROW(),COLUMN(NOTA[ID]))),-1)))</f>
        <v>KENKO SINAR INDONESIA</v>
      </c>
      <c r="AJ18" s="41" t="str">
        <f ca="1">IF(NOTA[[#This Row],[ID_H]]="","",IF(NOTA[[#This Row],[FAKTUR]]="",INDIRECT(ADDRESS(ROW()-1,COLUMN())),NOTA[[#This Row],[FAKTUR]]))</f>
        <v>ARTO MORO</v>
      </c>
      <c r="AK18" s="38">
        <f ca="1">IF(NOTA[[#This Row],[ID]]="","",COUNTIF(NOTA[ID_H],NOTA[[#This Row],[ID_H]]))</f>
        <v>5</v>
      </c>
      <c r="AL18" s="38">
        <f>IF(NOTA[[#This Row],[TGL.NOTA]]="",IF(NOTA[[#This Row],[SUPPLIER_H]]="","",AL17),MONTH(NOTA[[#This Row],[TGL.NOTA]]))</f>
        <v>9</v>
      </c>
      <c r="AM18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1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MORO2309013845170kenkocutterbladel15018mm</v>
      </c>
      <c r="AQ18" s="38" t="e">
        <f>IF(NOTA[[#This Row],[CONCAT4]]="","",_xlfn.IFNA(MATCH(NOTA[[#This Row],[CONCAT4]],[2]!RAW[CONCAT_H],0),FALSE))</f>
        <v>#REF!</v>
      </c>
      <c r="AR18" s="38">
        <f>IF(NOTA[[#This Row],[CONCAT1]]="","",MATCH(NOTA[[#This Row],[CONCAT1]],[3]!db[NB NOTA_C],0))</f>
        <v>1382</v>
      </c>
      <c r="AS18" s="38" t="str">
        <f>IF(NOTA[[#This Row],[QTY/ CTN]]="","",TRUE)</f>
        <v/>
      </c>
      <c r="AT18" s="38" t="str">
        <f ca="1">IF(NOTA[[#This Row],[ID_H]]="","",IF(NOTA[[#This Row],[Column3]]=TRUE,NOTA[[#This Row],[QTY/ CTN]],INDEX([3]!db[QTY/ CTN],NOTA[[#This Row],[//DB]])))</f>
        <v>60 LSN</v>
      </c>
      <c r="AU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V18" s="38" t="e">
        <f ca="1">IF(NOTA[[#This Row],[ID_H]]="","",MATCH(NOTA[[#This Row],[NB NOTA_C_QTY]],[4]!db[NB NOTA_C_QTY+F],0))</f>
        <v>#REF!</v>
      </c>
      <c r="AW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4</v>
      </c>
      <c r="E19" s="46"/>
      <c r="F19" s="37"/>
      <c r="G19" s="37"/>
      <c r="H19" s="47"/>
      <c r="I19" s="37"/>
      <c r="J19" s="39"/>
      <c r="K19" s="37"/>
      <c r="L19" s="37" t="s">
        <v>107</v>
      </c>
      <c r="M19" s="40">
        <v>1</v>
      </c>
      <c r="O19" s="37"/>
      <c r="P19" s="41"/>
      <c r="Q19" s="42">
        <v>844800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844800</v>
      </c>
      <c r="Y19" s="50">
        <f>IF(NOTA[[#This Row],[JUMLAH]]="","",NOTA[[#This Row],[JUMLAH]]*NOTA[[#This Row],[DISC 1]])</f>
        <v>143616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143616</v>
      </c>
      <c r="AC19" s="50">
        <f>IF(NOTA[[#This Row],[JUMLAH]]="","",NOTA[[#This Row],[JUMLAH]]-NOTA[[#This Row],[DISC]])</f>
        <v>701184</v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G19" s="50" t="str">
        <f>IF(OR(NOTA[[#This Row],[QTY]]="",NOTA[[#This Row],[HARGA SATUAN]]="",),"",NOTA[[#This Row],[QTY]]*NOTA[[#This Row],[HARGA SATUAN]])</f>
        <v/>
      </c>
      <c r="AH19" s="39">
        <f ca="1">IF(NOTA[ID_H]="","",INDEX(NOTA[TANGGAL],MATCH(,INDIRECT(ADDRESS(ROW(NOTA[TANGGAL]),COLUMN(NOTA[TANGGAL]))&amp;":"&amp;ADDRESS(ROW(),COLUMN(NOTA[TANGGAL]))),-1)))</f>
        <v>45171</v>
      </c>
      <c r="AI19" s="41" t="str">
        <f ca="1">IF(NOTA[[#This Row],[NAMA BARANG]]="","",INDEX(NOTA[SUPPLIER],MATCH(,INDIRECT(ADDRESS(ROW(NOTA[ID]),COLUMN(NOTA[ID]))&amp;":"&amp;ADDRESS(ROW(),COLUMN(NOTA[ID]))),-1)))</f>
        <v>KENKO SINAR INDONESIA</v>
      </c>
      <c r="AJ19" s="41" t="str">
        <f ca="1">IF(NOTA[[#This Row],[ID_H]]="","",IF(NOTA[[#This Row],[FAKTUR]]="",INDIRECT(ADDRESS(ROW()-1,COLUMN())),NOTA[[#This Row],[FAKTUR]]))</f>
        <v>ARTO MORO</v>
      </c>
      <c r="AK19" s="38" t="str">
        <f ca="1">IF(NOTA[[#This Row],[ID]]="","",COUNTIF(NOTA[ID_H],NOTA[[#This Row],[ID_H]]))</f>
        <v/>
      </c>
      <c r="AL19" s="38">
        <f ca="1">IF(NOTA[[#This Row],[TGL.NOTA]]="",IF(NOTA[[#This Row],[SUPPLIER_H]]="","",AL18),MONTH(NOTA[[#This Row],[TGL.NOTA]]))</f>
        <v>9</v>
      </c>
      <c r="AM19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38" t="str">
        <f>IF(NOTA[[#This Row],[CONCAT4]]="","",_xlfn.IFNA(MATCH(NOTA[[#This Row],[CONCAT4]],[2]!RAW[CONCAT_H],0),FALSE))</f>
        <v/>
      </c>
      <c r="AR19" s="38">
        <f>IF(NOTA[[#This Row],[CONCAT1]]="","",MATCH(NOTA[[#This Row],[CONCAT1]],[3]!db[NB NOTA_C],0))</f>
        <v>1476</v>
      </c>
      <c r="AS19" s="38" t="str">
        <f>IF(NOTA[[#This Row],[QTY/ CTN]]="","",TRUE)</f>
        <v/>
      </c>
      <c r="AT19" s="38" t="str">
        <f ca="1">IF(NOTA[[#This Row],[ID_H]]="","",IF(NOTA[[#This Row],[Column3]]=TRUE,NOTA[[#This Row],[QTY/ CTN]],INDEX([3]!db[QTY/ CTN],NOTA[[#This Row],[//DB]])))</f>
        <v>192 PCS</v>
      </c>
      <c r="AU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V19" s="38" t="e">
        <f ca="1">IF(NOTA[[#This Row],[ID_H]]="","",MATCH(NOTA[[#This Row],[NB NOTA_C_QTY]],[4]!db[NB NOTA_C_QTY+F],0))</f>
        <v>#REF!</v>
      </c>
      <c r="AW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/>
      <c r="G20" s="37"/>
      <c r="H20" s="47"/>
      <c r="I20" s="37"/>
      <c r="J20" s="39"/>
      <c r="K20" s="37"/>
      <c r="L20" s="37" t="s">
        <v>119</v>
      </c>
      <c r="M20" s="40">
        <v>1</v>
      </c>
      <c r="O20" s="37"/>
      <c r="P20" s="41"/>
      <c r="Q20" s="42">
        <v>3628800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3628800</v>
      </c>
      <c r="Y20" s="50">
        <f>IF(NOTA[[#This Row],[JUMLAH]]="","",NOTA[[#This Row],[JUMLAH]]*NOTA[[#This Row],[DISC 1]])</f>
        <v>616896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616896</v>
      </c>
      <c r="AC20" s="50">
        <f>IF(NOTA[[#This Row],[JUMLAH]]="","",NOTA[[#This Row],[JUMLAH]]-NOTA[[#This Row],[DISC]])</f>
        <v>3011904</v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" s="41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G20" s="50" t="str">
        <f>IF(OR(NOTA[[#This Row],[QTY]]="",NOTA[[#This Row],[HARGA SATUAN]]="",),"",NOTA[[#This Row],[QTY]]*NOTA[[#This Row],[HARGA SATUAN]])</f>
        <v/>
      </c>
      <c r="AH20" s="39">
        <f ca="1">IF(NOTA[ID_H]="","",INDEX(NOTA[TANGGAL],MATCH(,INDIRECT(ADDRESS(ROW(NOTA[TANGGAL]),COLUMN(NOTA[TANGGAL]))&amp;":"&amp;ADDRESS(ROW(),COLUMN(NOTA[TANGGAL]))),-1)))</f>
        <v>45171</v>
      </c>
      <c r="AI20" s="41" t="str">
        <f ca="1">IF(NOTA[[#This Row],[NAMA BARANG]]="","",INDEX(NOTA[SUPPLIER],MATCH(,INDIRECT(ADDRESS(ROW(NOTA[ID]),COLUMN(NOTA[ID]))&amp;":"&amp;ADDRESS(ROW(),COLUMN(NOTA[ID]))),-1)))</f>
        <v>KENKO SINAR INDONESIA</v>
      </c>
      <c r="AJ20" s="41" t="str">
        <f ca="1">IF(NOTA[[#This Row],[ID_H]]="","",IF(NOTA[[#This Row],[FAKTUR]]="",INDIRECT(ADDRESS(ROW()-1,COLUMN())),NOTA[[#This Row],[FAKTUR]]))</f>
        <v>ARTO MORO</v>
      </c>
      <c r="AK20" s="38" t="str">
        <f ca="1">IF(NOTA[[#This Row],[ID]]="","",COUNTIF(NOTA[ID_H],NOTA[[#This Row],[ID_H]]))</f>
        <v/>
      </c>
      <c r="AL20" s="38">
        <f ca="1">IF(NOTA[[#This Row],[TGL.NOTA]]="",IF(NOTA[[#This Row],[SUPPLIER_H]]="","",AL19),MONTH(NOTA[[#This Row],[TGL.NOTA]]))</f>
        <v>9</v>
      </c>
      <c r="AM20" s="38" t="str">
        <f>LOWER(SUBSTITUTE(SUBSTITUTE(SUBSTITUTE(SUBSTITUTE(SUBSTITUTE(SUBSTITUTE(SUBSTITUTE(SUBSTITUTE(SUBSTITUTE(NOTA[NAMA BARANG]," ",),".",""),"-",""),"(",""),")",""),",",""),"/",""),"""",""),"+",""))</f>
        <v>kenkogelpenfungelblack</v>
      </c>
      <c r="AN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kenkogelpenfungelblack36288000.17</v>
      </c>
      <c r="AO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kenkogelpenfungelblack36288000.17</v>
      </c>
      <c r="AP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38" t="str">
        <f>IF(NOTA[[#This Row],[CONCAT4]]="","",_xlfn.IFNA(MATCH(NOTA[[#This Row],[CONCAT4]],[2]!RAW[CONCAT_H],0),FALSE))</f>
        <v/>
      </c>
      <c r="AR20" s="38">
        <f>IF(NOTA[[#This Row],[CONCAT1]]="","",MATCH(NOTA[[#This Row],[CONCAT1]],[3]!db[NB NOTA_C],0))</f>
        <v>1403</v>
      </c>
      <c r="AS20" s="38" t="str">
        <f>IF(NOTA[[#This Row],[QTY/ CTN]]="","",TRUE)</f>
        <v/>
      </c>
      <c r="AT20" s="38" t="str">
        <f ca="1">IF(NOTA[[#This Row],[ID_H]]="","",IF(NOTA[[#This Row],[Column3]]=TRUE,NOTA[[#This Row],[QTY/ CTN]],INDEX([3]!db[QTY/ CTN],NOTA[[#This Row],[//DB]])))</f>
        <v>144 LSN</v>
      </c>
      <c r="AU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kenkogelpenfungelblack144lsnartomoro</v>
      </c>
      <c r="AV20" s="38" t="e">
        <f ca="1">IF(NOTA[[#This Row],[ID_H]]="","",MATCH(NOTA[[#This Row],[NB NOTA_C_QTY]],[4]!db[NB NOTA_C_QTY+F],0))</f>
        <v>#REF!</v>
      </c>
      <c r="AW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F21" s="37"/>
      <c r="G21" s="37"/>
      <c r="H21" s="47"/>
      <c r="I21" s="37"/>
      <c r="J21" s="39"/>
      <c r="K21" s="37"/>
      <c r="L21" s="37" t="s">
        <v>120</v>
      </c>
      <c r="M21" s="40">
        <v>1</v>
      </c>
      <c r="O21" s="37"/>
      <c r="P21" s="41"/>
      <c r="Q21" s="42">
        <v>444000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444000</v>
      </c>
      <c r="Y21" s="50">
        <f>IF(NOTA[[#This Row],[JUMLAH]]="","",NOTA[[#This Row],[JUMLAH]]*NOTA[[#This Row],[DISC 1]])</f>
        <v>75480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75480</v>
      </c>
      <c r="AC21" s="50">
        <f>IF(NOTA[[#This Row],[JUMLAH]]="","",NOTA[[#This Row],[JUMLAH]]-NOTA[[#This Row],[DISC]])</f>
        <v>368520</v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G21" s="50" t="str">
        <f>IF(OR(NOTA[[#This Row],[QTY]]="",NOTA[[#This Row],[HARGA SATUAN]]="",),"",NOTA[[#This Row],[QTY]]*NOTA[[#This Row],[HARGA SATUAN]])</f>
        <v/>
      </c>
      <c r="AH21" s="39">
        <f ca="1">IF(NOTA[ID_H]="","",INDEX(NOTA[TANGGAL],MATCH(,INDIRECT(ADDRESS(ROW(NOTA[TANGGAL]),COLUMN(NOTA[TANGGAL]))&amp;":"&amp;ADDRESS(ROW(),COLUMN(NOTA[TANGGAL]))),-1)))</f>
        <v>45171</v>
      </c>
      <c r="AI21" s="41" t="str">
        <f ca="1">IF(NOTA[[#This Row],[NAMA BARANG]]="","",INDEX(NOTA[SUPPLIER],MATCH(,INDIRECT(ADDRESS(ROW(NOTA[ID]),COLUMN(NOTA[ID]))&amp;":"&amp;ADDRESS(ROW(),COLUMN(NOTA[ID]))),-1)))</f>
        <v>KENKO SINAR INDONESIA</v>
      </c>
      <c r="AJ21" s="41" t="str">
        <f ca="1">IF(NOTA[[#This Row],[ID_H]]="","",IF(NOTA[[#This Row],[FAKTUR]]="",INDIRECT(ADDRESS(ROW()-1,COLUMN())),NOTA[[#This Row],[FAKTUR]]))</f>
        <v>ARTO MORO</v>
      </c>
      <c r="AK21" s="38" t="str">
        <f ca="1">IF(NOTA[[#This Row],[ID]]="","",COUNTIF(NOTA[ID_H],NOTA[[#This Row],[ID_H]]))</f>
        <v/>
      </c>
      <c r="AL21" s="38">
        <f ca="1">IF(NOTA[[#This Row],[TGL.NOTA]]="",IF(NOTA[[#This Row],[SUPPLIER_H]]="","",AL20),MONTH(NOTA[[#This Row],[TGL.NOTA]]))</f>
        <v>9</v>
      </c>
      <c r="AM21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N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O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38" t="str">
        <f>IF(NOTA[[#This Row],[CONCAT4]]="","",_xlfn.IFNA(MATCH(NOTA[[#This Row],[CONCAT4]],[2]!RAW[CONCAT_H],0),FALSE))</f>
        <v/>
      </c>
      <c r="AR21" s="38">
        <f>IF(NOTA[[#This Row],[CONCAT1]]="","",MATCH(NOTA[[#This Row],[CONCAT1]],[3]!db[NB NOTA_C],0))</f>
        <v>1573</v>
      </c>
      <c r="AS21" s="38" t="str">
        <f>IF(NOTA[[#This Row],[QTY/ CTN]]="","",TRUE)</f>
        <v/>
      </c>
      <c r="AT21" s="38" t="str">
        <f ca="1">IF(NOTA[[#This Row],[ID_H]]="","",IF(NOTA[[#This Row],[Column3]]=TRUE,NOTA[[#This Row],[QTY/ CTN]],INDEX([3]!db[QTY/ CTN],NOTA[[#This Row],[//DB]])))</f>
        <v>24 PCS</v>
      </c>
      <c r="AU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V21" s="38" t="e">
        <f ca="1">IF(NOTA[[#This Row],[ID_H]]="","",MATCH(NOTA[[#This Row],[NB NOTA_C_QTY]],[4]!db[NB NOTA_C_QTY+F],0))</f>
        <v>#REF!</v>
      </c>
      <c r="AW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2" s="38" t="e">
        <f>IF([5]!NOTA[[#This Row],[ID_P]]="","",MATCH([5]!NOTA[[#This Row],[ID_P]],[1]!B_MSK[N_ID],0))</f>
        <v>#REF!</v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114</v>
      </c>
      <c r="M22" s="40">
        <v>10</v>
      </c>
      <c r="O22" s="37"/>
      <c r="P22" s="41"/>
      <c r="Q22" s="42">
        <v>462000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4620000</v>
      </c>
      <c r="Y22" s="50">
        <f>IF(NOTA[[#This Row],[JUMLAH]]="","",NOTA[[#This Row],[JUMLAH]]*NOTA[[#This Row],[DISC 1]])</f>
        <v>785400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785400</v>
      </c>
      <c r="AC22" s="50">
        <f>IF(NOTA[[#This Row],[JUMLAH]]="","",NOTA[[#This Row],[JUMLAH]]-NOTA[[#This Row],[DISC]])</f>
        <v>3834600</v>
      </c>
      <c r="AD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2943312</v>
      </c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14370288</v>
      </c>
      <c r="AF22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22" s="50" t="str">
        <f>IF(OR(NOTA[[#This Row],[QTY]]="",NOTA[[#This Row],[HARGA SATUAN]]="",),"",NOTA[[#This Row],[QTY]]*NOTA[[#This Row],[HARGA SATUAN]])</f>
        <v/>
      </c>
      <c r="AH22" s="39">
        <f ca="1">IF(NOTA[ID_H]="","",INDEX(NOTA[TANGGAL],MATCH(,INDIRECT(ADDRESS(ROW(NOTA[TANGGAL]),COLUMN(NOTA[TANGGAL]))&amp;":"&amp;ADDRESS(ROW(),COLUMN(NOTA[TANGGAL]))),-1)))</f>
        <v>45171</v>
      </c>
      <c r="AI22" s="39" t="str">
        <f ca="1">IF(NOTA[[#This Row],[NAMA BARANG]]="","",INDEX(NOTA[SUPPLIER],MATCH(,INDIRECT(ADDRESS(ROW(NOTA[ID]),COLUMN(NOTA[ID]))&amp;":"&amp;ADDRESS(ROW(),COLUMN(NOTA[ID]))),-1)))</f>
        <v>KENKO SINAR INDONESIA</v>
      </c>
      <c r="AJ22" s="41" t="str">
        <f ca="1">IF(NOTA[[#This Row],[ID_H]]="","",IF(NOTA[[#This Row],[FAKTUR]]="",INDIRECT(ADDRESS(ROW()-1,COLUMN())),NOTA[[#This Row],[FAKTUR]]))</f>
        <v>ARTO MORO</v>
      </c>
      <c r="AK22" s="41" t="str">
        <f ca="1">IF(NOTA[[#This Row],[ID]]="","",COUNTIF(NOTA[ID_H],NOTA[[#This Row],[ID_H]]))</f>
        <v/>
      </c>
      <c r="AL22" s="38">
        <f ca="1">IF(NOTA[[#This Row],[TGL.NOTA]]="",IF(NOTA[[#This Row],[SUPPLIER_H]]="","",AL21),MONTH(NOTA[[#This Row],[TGL.NOTA]]))</f>
        <v>9</v>
      </c>
      <c r="AM22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38" t="str">
        <f>IF(NOTA[[#This Row],[CONCAT4]]="","",_xlfn.IFNA(MATCH(NOTA[[#This Row],[CONCAT4]],[2]!RAW[CONCAT_H],0),FALSE))</f>
        <v/>
      </c>
      <c r="AR22" s="38" t="e">
        <f>IF([5]!NOTA[[#This Row],[CONCAT4]]="","",_xlfn.IFNA(MATCH([5]!NOTA[[#This Row],[CONCAT4]],[2]!RAW[CONCAT_H],0),FALSE))</f>
        <v>#REF!</v>
      </c>
      <c r="AS22" s="38" t="e">
        <f>IF([5]!NOTA[[#This Row],[CONCAT1]]="","",MATCH([5]!NOTA[[#This Row],[CONCAT1]],[3]!db[NB NOTA_C],0))</f>
        <v>#REF!</v>
      </c>
      <c r="AT22" s="38" t="e">
        <f>IF([5]!NOTA[[#This Row],[QTY/ CTN]]="","",TRUE)</f>
        <v>#REF!</v>
      </c>
      <c r="AU22" s="38" t="e">
        <f>IF([5]!NOTA[[#This Row],[ID_H]]="","",IF([5]!NOTA[[#This Row],[Column3]]=TRUE,[5]!NOTA[[#This Row],[QTY/ CTN]],INDEX([3]!db[QTY/ CTN],[5]!NOTA[[#This Row],[//DB]])))</f>
        <v>#REF!</v>
      </c>
      <c r="AV22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W22" s="38" t="e">
        <f>IF([5]!NOTA[[#This Row],[ID_H]]="","",MATCH([5]!NOTA[[#This Row],[NB NOTA_C_QTY]],[4]!db[NB NOTA_C_QTY+F],0))</f>
        <v>#REF!</v>
      </c>
      <c r="AX22" s="38" t="e">
        <f>IF([5]!NOTA[[#This Row],[NB NOTA_C_QTY]]="","",ROW()-2)</f>
        <v>#REF!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3" s="50" t="str">
        <f>IF(OR(NOTA[[#This Row],[QTY]]="",NOTA[[#This Row],[HARGA SATUAN]]="",),"",NOTA[[#This Row],[QTY]]*NOTA[[#This Row],[HARGA SATUAN]])</f>
        <v/>
      </c>
      <c r="AH23" s="39" t="str">
        <f ca="1">IF(NOTA[ID_H]="","",INDEX(NOTA[TANGGAL],MATCH(,INDIRECT(ADDRESS(ROW(NOTA[TANGGAL]),COLUMN(NOTA[TANGGAL]))&amp;":"&amp;ADDRESS(ROW(),COLUMN(NOTA[TANGGAL]))),-1)))</f>
        <v/>
      </c>
      <c r="AI23" s="39" t="str">
        <f ca="1">IF(NOTA[[#This Row],[NAMA BARANG]]="","",INDEX(NOTA[SUPPLIER],MATCH(,INDIRECT(ADDRESS(ROW(NOTA[ID]),COLUMN(NOTA[ID]))&amp;":"&amp;ADDRESS(ROW(),COLUMN(NOTA[ID]))),-1)))</f>
        <v/>
      </c>
      <c r="AJ23" s="41" t="str">
        <f ca="1">IF(NOTA[[#This Row],[ID_H]]="","",IF(NOTA[[#This Row],[FAKTUR]]="",INDIRECT(ADDRESS(ROW()-1,COLUMN())),NOTA[[#This Row],[FAKTUR]]))</f>
        <v/>
      </c>
      <c r="AK23" s="41" t="str">
        <f ca="1">IF(NOTA[[#This Row],[ID]]="","",COUNTIF(NOTA[ID_H],NOTA[[#This Row],[ID_H]]))</f>
        <v/>
      </c>
      <c r="AL23" s="38" t="str">
        <f ca="1">IF(NOTA[[#This Row],[TGL.NOTA]]="",IF(NOTA[[#This Row],[SUPPLIER_H]]="","",AL22),MONTH(NOTA[[#This Row],[TGL.NOTA]]))</f>
        <v/>
      </c>
      <c r="AM23" s="38" t="str">
        <f>LOWER(SUBSTITUTE(SUBSTITUTE(SUBSTITUTE(SUBSTITUTE(SUBSTITUTE(SUBSTITUTE(SUBSTITUTE(SUBSTITUTE(SUBSTITUTE(NOTA[NAMA BARANG]," ",),".",""),"-",""),"(",""),")",""),",",""),"/",""),"""",""),"+",""))</f>
        <v/>
      </c>
      <c r="AN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38" t="str">
        <f>IF(NOTA[[#This Row],[CONCAT4]]="","",_xlfn.IFNA(MATCH(NOTA[[#This Row],[CONCAT4]],[2]!RAW[CONCAT_H],0),FALSE))</f>
        <v/>
      </c>
      <c r="AR23" s="38" t="str">
        <f>IF(NOTA[[#This Row],[CONCAT1]]="","",MATCH(NOTA[[#This Row],[CONCAT1]],[3]!db[NB NOTA_C],0))</f>
        <v/>
      </c>
      <c r="AS23" s="38" t="str">
        <f>IF(NOTA[[#This Row],[QTY/ CTN]]="","",TRUE)</f>
        <v/>
      </c>
      <c r="AT23" s="38" t="str">
        <f ca="1">IF(NOTA[[#This Row],[ID_H]]="","",IF(NOTA[[#This Row],[Column3]]=TRUE,NOTA[[#This Row],[QTY/ CTN]],INDEX([3]!db[QTY/ CTN],NOTA[[#This Row],[//DB]])))</f>
        <v/>
      </c>
      <c r="AU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3" s="38" t="str">
        <f ca="1">IF(NOTA[[#This Row],[ID_H]]="","",MATCH(NOTA[[#This Row],[NB NOTA_C_QTY]],[4]!db[NB NOTA_C_QTY+F],0))</f>
        <v/>
      </c>
      <c r="AW23" s="38" t="str">
        <f ca="1">IF(NOTA[[#This Row],[NB NOTA_C_QTY]]="","",ROW()-2)</f>
        <v/>
      </c>
    </row>
    <row r="24" spans="1:50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HAN_0909_113-2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45178</v>
      </c>
      <c r="F24" s="37" t="s">
        <v>122</v>
      </c>
      <c r="G24" s="37" t="s">
        <v>123</v>
      </c>
      <c r="H24" s="47" t="s">
        <v>124</v>
      </c>
      <c r="I24" s="37"/>
      <c r="J24" s="39">
        <v>45178</v>
      </c>
      <c r="K24" s="37"/>
      <c r="L24" s="37" t="s">
        <v>125</v>
      </c>
      <c r="M24" s="40"/>
      <c r="N24" s="38">
        <v>60</v>
      </c>
      <c r="O24" s="37" t="s">
        <v>126</v>
      </c>
      <c r="P24" s="41">
        <v>1600</v>
      </c>
      <c r="Q24" s="42"/>
      <c r="R24" s="48"/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96000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96000</v>
      </c>
      <c r="AD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" s="41">
        <f>IF(NOTA[[#This Row],[NAMA BARANG]]="","",IF(NOTA[[#This Row],[JUMLAH_H]]="",NOTA[[#This Row],[HARGA/ CTN]],NOTA[[#This Row],[QTY]]*NOTA[[#This Row],[HARGA SATUAN]]/IF(ISNUMBER(NOTA[[#This Row],[C]]),NOTA[[#This Row],[C]],1)))</f>
        <v>96000</v>
      </c>
      <c r="AG24" s="50">
        <f>IF(OR(NOTA[[#This Row],[QTY]]="",NOTA[[#This Row],[HARGA SATUAN]]="",),"",NOTA[[#This Row],[QTY]]*NOTA[[#This Row],[HARGA SATUAN]])</f>
        <v>96000</v>
      </c>
      <c r="AH24" s="39">
        <f ca="1">IF(NOTA[ID_H]="","",INDEX(NOTA[TANGGAL],MATCH(,INDIRECT(ADDRESS(ROW(NOTA[TANGGAL]),COLUMN(NOTA[TANGGAL]))&amp;":"&amp;ADDRESS(ROW(),COLUMN(NOTA[TANGGAL]))),-1)))</f>
        <v>45178</v>
      </c>
      <c r="AI24" s="41" t="str">
        <f ca="1">IF(NOTA[[#This Row],[NAMA BARANG]]="","",INDEX(NOTA[SUPPLIER],MATCH(,INDIRECT(ADDRESS(ROW(NOTA[ID]),COLUMN(NOTA[ID]))&amp;":"&amp;ADDRESS(ROW(),COLUMN(NOTA[ID]))),-1)))</f>
        <v>HANSA</v>
      </c>
      <c r="AJ24" s="41" t="str">
        <f ca="1">IF(NOTA[[#This Row],[ID_H]]="","",IF(NOTA[[#This Row],[FAKTUR]]="",INDIRECT(ADDRESS(ROW()-1,COLUMN())),NOTA[[#This Row],[FAKTUR]]))</f>
        <v>UNTANA</v>
      </c>
      <c r="AK24" s="38">
        <f ca="1">IF(NOTA[[#This Row],[ID]]="","",COUNTIF(NOTA[ID_H],NOTA[[#This Row],[ID_H]]))</f>
        <v>2</v>
      </c>
      <c r="AL24" s="38">
        <f>IF(NOTA[[#This Row],[TGL.NOTA]]="",IF(NOTA[[#This Row],[SUPPLIER_H]]="","",AL23),MONTH(NOTA[[#This Row],[TGL.NOTA]]))</f>
        <v>9</v>
      </c>
      <c r="AM2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malamshintoengk612w96000</v>
      </c>
      <c r="AO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HANSAUNTANAHN09202311345178malamshintoengk612w</v>
      </c>
      <c r="AQ24" s="38" t="e">
        <f>IF(NOTA[[#This Row],[CONCAT4]]="","",_xlfn.IFNA(MATCH(NOTA[[#This Row],[CONCAT4]],[2]!RAW[CONCAT_H],0),FALSE))</f>
        <v>#REF!</v>
      </c>
      <c r="AR24" s="38">
        <f>IF(NOTA[[#This Row],[CONCAT1]]="","",MATCH(NOTA[[#This Row],[CONCAT1]],[3]!db[NB NOTA_C],0))</f>
        <v>1722</v>
      </c>
      <c r="AS24" s="38" t="str">
        <f>IF(NOTA[[#This Row],[QTY/ CTN]]="","",TRUE)</f>
        <v/>
      </c>
      <c r="AT24" s="38" t="str">
        <f ca="1">IF(NOTA[[#This Row],[ID_H]]="","",IF(NOTA[[#This Row],[Column3]]=TRUE,NOTA[[#This Row],[QTY/ CTN]],INDEX([3]!db[QTY/ CTN],NOTA[[#This Row],[//DB]])))</f>
        <v>480 PCS</v>
      </c>
      <c r="AU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V24" s="38" t="e">
        <f ca="1">IF(NOTA[[#This Row],[ID_H]]="","",MATCH(NOTA[[#This Row],[NB NOTA_C_QTY]],[4]!db[NB NOTA_C_QTY+F],0))</f>
        <v>#REF!</v>
      </c>
      <c r="AW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5</v>
      </c>
      <c r="E25" s="46"/>
      <c r="F25" s="37"/>
      <c r="G25" s="37"/>
      <c r="H25" s="47"/>
      <c r="I25" s="37"/>
      <c r="J25" s="39"/>
      <c r="K25" s="37"/>
      <c r="L25" s="37" t="s">
        <v>127</v>
      </c>
      <c r="M25" s="40"/>
      <c r="N25" s="38">
        <v>60</v>
      </c>
      <c r="O25" s="37" t="s">
        <v>126</v>
      </c>
      <c r="P25" s="41">
        <v>4550</v>
      </c>
      <c r="Q25" s="42"/>
      <c r="R25" s="48"/>
      <c r="S25" s="49"/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273000</v>
      </c>
      <c r="Y25" s="50">
        <f>IF(NOTA[[#This Row],[JUMLAH]]="","",NOTA[[#This Row],[JUMLAH]]*NOTA[[#This Row],[DISC 1]])</f>
        <v>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0</v>
      </c>
      <c r="AC25" s="50">
        <f>IF(NOTA[[#This Row],[JUMLAH]]="","",NOTA[[#This Row],[JUMLAH]]-NOTA[[#This Row],[DISC]])</f>
        <v>273000</v>
      </c>
      <c r="AD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369000</v>
      </c>
      <c r="AF25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G25" s="50">
        <f>IF(OR(NOTA[[#This Row],[QTY]]="",NOTA[[#This Row],[HARGA SATUAN]]="",),"",NOTA[[#This Row],[QTY]]*NOTA[[#This Row],[HARGA SATUAN]])</f>
        <v>273000</v>
      </c>
      <c r="AH25" s="39">
        <f ca="1">IF(NOTA[ID_H]="","",INDEX(NOTA[TANGGAL],MATCH(,INDIRECT(ADDRESS(ROW(NOTA[TANGGAL]),COLUMN(NOTA[TANGGAL]))&amp;":"&amp;ADDRESS(ROW(),COLUMN(NOTA[TANGGAL]))),-1)))</f>
        <v>45178</v>
      </c>
      <c r="AI25" s="41" t="str">
        <f ca="1">IF(NOTA[[#This Row],[NAMA BARANG]]="","",INDEX(NOTA[SUPPLIER],MATCH(,INDIRECT(ADDRESS(ROW(NOTA[ID]),COLUMN(NOTA[ID]))&amp;":"&amp;ADDRESS(ROW(),COLUMN(NOTA[ID]))),-1)))</f>
        <v>HANSA</v>
      </c>
      <c r="AJ25" s="41" t="str">
        <f ca="1">IF(NOTA[[#This Row],[ID_H]]="","",IF(NOTA[[#This Row],[FAKTUR]]="",INDIRECT(ADDRESS(ROW()-1,COLUMN())),NOTA[[#This Row],[FAKTUR]]))</f>
        <v>UNTANA</v>
      </c>
      <c r="AK25" s="38" t="str">
        <f ca="1">IF(NOTA[[#This Row],[ID]]="","",COUNTIF(NOTA[ID_H],NOTA[[#This Row],[ID_H]]))</f>
        <v/>
      </c>
      <c r="AL25" s="38">
        <f ca="1">IF(NOTA[[#This Row],[TGL.NOTA]]="",IF(NOTA[[#This Row],[SUPPLIER_H]]="","",AL24),MONTH(NOTA[[#This Row],[TGL.NOTA]]))</f>
        <v>9</v>
      </c>
      <c r="AM2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malamshintoengtg612w273000</v>
      </c>
      <c r="AO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38" t="str">
        <f>IF(NOTA[[#This Row],[CONCAT4]]="","",_xlfn.IFNA(MATCH(NOTA[[#This Row],[CONCAT4]],[2]!RAW[CONCAT_H],0),FALSE))</f>
        <v/>
      </c>
      <c r="AR25" s="38">
        <f>IF(NOTA[[#This Row],[CONCAT1]]="","",MATCH(NOTA[[#This Row],[CONCAT1]],[3]!db[NB NOTA_C],0))</f>
        <v>1726</v>
      </c>
      <c r="AS25" s="38" t="str">
        <f>IF(NOTA[[#This Row],[QTY/ CTN]]="","",TRUE)</f>
        <v/>
      </c>
      <c r="AT25" s="38" t="str">
        <f ca="1">IF(NOTA[[#This Row],[ID_H]]="","",IF(NOTA[[#This Row],[Column3]]=TRUE,NOTA[[#This Row],[QTY/ CTN]],INDEX([3]!db[QTY/ CTN],NOTA[[#This Row],[//DB]])))</f>
        <v>210 PCS</v>
      </c>
      <c r="AU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V25" s="38" t="e">
        <f ca="1">IF(NOTA[[#This Row],[ID_H]]="","",MATCH(NOTA[[#This Row],[NB NOTA_C_QTY]],[4]!db[NB NOTA_C_QTY+F],0))</f>
        <v>#REF!</v>
      </c>
      <c r="AW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6" s="50" t="str">
        <f>IF(OR(NOTA[[#This Row],[QTY]]="",NOTA[[#This Row],[HARGA SATUAN]]="",),"",NOTA[[#This Row],[QTY]]*NOTA[[#This Row],[HARGA SATUAN]])</f>
        <v/>
      </c>
      <c r="AH26" s="39" t="str">
        <f ca="1">IF(NOTA[ID_H]="","",INDEX(NOTA[TANGGAL],MATCH(,INDIRECT(ADDRESS(ROW(NOTA[TANGGAL]),COLUMN(NOTA[TANGGAL]))&amp;":"&amp;ADDRESS(ROW(),COLUMN(NOTA[TANGGAL]))),-1)))</f>
        <v/>
      </c>
      <c r="AI26" s="41" t="str">
        <f ca="1">IF(NOTA[[#This Row],[NAMA BARANG]]="","",INDEX(NOTA[SUPPLIER],MATCH(,INDIRECT(ADDRESS(ROW(NOTA[ID]),COLUMN(NOTA[ID]))&amp;":"&amp;ADDRESS(ROW(),COLUMN(NOTA[ID]))),-1)))</f>
        <v/>
      </c>
      <c r="AJ26" s="41" t="str">
        <f ca="1">IF(NOTA[[#This Row],[ID_H]]="","",IF(NOTA[[#This Row],[FAKTUR]]="",INDIRECT(ADDRESS(ROW()-1,COLUMN())),NOTA[[#This Row],[FAKTUR]]))</f>
        <v/>
      </c>
      <c r="AK26" s="38" t="str">
        <f ca="1">IF(NOTA[[#This Row],[ID]]="","",COUNTIF(NOTA[ID_H],NOTA[[#This Row],[ID_H]]))</f>
        <v/>
      </c>
      <c r="AL26" s="38" t="str">
        <f ca="1">IF(NOTA[[#This Row],[TGL.NOTA]]="",IF(NOTA[[#This Row],[SUPPLIER_H]]="","",AL25),MONTH(NOTA[[#This Row],[TGL.NOTA]]))</f>
        <v/>
      </c>
      <c r="AM26" s="38" t="str">
        <f>LOWER(SUBSTITUTE(SUBSTITUTE(SUBSTITUTE(SUBSTITUTE(SUBSTITUTE(SUBSTITUTE(SUBSTITUTE(SUBSTITUTE(SUBSTITUTE(NOTA[NAMA BARANG]," ",),".",""),"-",""),"(",""),")",""),",",""),"/",""),"""",""),"+",""))</f>
        <v/>
      </c>
      <c r="AN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38" t="str">
        <f>IF(NOTA[[#This Row],[CONCAT4]]="","",_xlfn.IFNA(MATCH(NOTA[[#This Row],[CONCAT4]],[2]!RAW[CONCAT_H],0),FALSE))</f>
        <v/>
      </c>
      <c r="AR26" s="38" t="str">
        <f>IF(NOTA[[#This Row],[CONCAT1]]="","",MATCH(NOTA[[#This Row],[CONCAT1]],[3]!db[NB NOTA_C],0))</f>
        <v/>
      </c>
      <c r="AS26" s="38" t="str">
        <f>IF(NOTA[[#This Row],[QTY/ CTN]]="","",TRUE)</f>
        <v/>
      </c>
      <c r="AT26" s="38" t="str">
        <f ca="1">IF(NOTA[[#This Row],[ID_H]]="","",IF(NOTA[[#This Row],[Column3]]=TRUE,NOTA[[#This Row],[QTY/ CTN]],INDEX([3]!db[QTY/ CTN],NOTA[[#This Row],[//DB]])))</f>
        <v/>
      </c>
      <c r="AU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6" s="38" t="str">
        <f ca="1">IF(NOTA[[#This Row],[ID_H]]="","",MATCH(NOTA[[#This Row],[NB NOTA_C_QTY]],[4]!db[NB NOTA_C_QTY+F],0))</f>
        <v/>
      </c>
      <c r="AW26" s="53" t="str">
        <f ca="1">IF(NOTA[[#This Row],[NB NOTA_C_QTY]]="","",ROW()-2)</f>
        <v/>
      </c>
    </row>
    <row r="27" spans="1:50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SEJ_1109_058-1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6</v>
      </c>
      <c r="E27" s="46">
        <v>45180</v>
      </c>
      <c r="F27" s="37" t="s">
        <v>128</v>
      </c>
      <c r="G27" s="37" t="s">
        <v>123</v>
      </c>
      <c r="H27" s="47" t="s">
        <v>129</v>
      </c>
      <c r="I27" s="37"/>
      <c r="J27" s="39">
        <v>45176</v>
      </c>
      <c r="K27" s="37"/>
      <c r="L27" s="37" t="s">
        <v>130</v>
      </c>
      <c r="M27" s="40">
        <v>13</v>
      </c>
      <c r="N27" s="38">
        <v>1872</v>
      </c>
      <c r="O27" s="37" t="s">
        <v>132</v>
      </c>
      <c r="P27" s="41">
        <v>34200</v>
      </c>
      <c r="Q27" s="42"/>
      <c r="R27" s="48" t="s">
        <v>139</v>
      </c>
      <c r="S27" s="49">
        <v>0.125</v>
      </c>
      <c r="T27" s="44">
        <v>0.05</v>
      </c>
      <c r="U27" s="44">
        <v>0.03</v>
      </c>
      <c r="V27" s="50"/>
      <c r="W27" s="45" t="s">
        <v>131</v>
      </c>
      <c r="X27" s="50">
        <f>IF(NOTA[[#This Row],[HARGA/ CTN]]="",NOTA[[#This Row],[JUMLAH_H]],NOTA[[#This Row],[HARGA/ CTN]]*IF(NOTA[[#This Row],[C]]="",0,NOTA[[#This Row],[C]]))</f>
        <v>64022400</v>
      </c>
      <c r="Y27" s="50">
        <f>IF(NOTA[[#This Row],[JUMLAH]]="","",NOTA[[#This Row],[JUMLAH]]*NOTA[[#This Row],[DISC 1]])</f>
        <v>8002800</v>
      </c>
      <c r="Z27" s="50">
        <f>IF(NOTA[[#This Row],[JUMLAH]]="","",(NOTA[[#This Row],[JUMLAH]]-NOTA[[#This Row],[DISC 1-]])*NOTA[[#This Row],[DISC 2]])</f>
        <v>2800980</v>
      </c>
      <c r="AA27" s="50">
        <f>IF(NOTA[[#This Row],[JUMLAH]]="","",(NOTA[[#This Row],[JUMLAH]]-NOTA[[#This Row],[DISC 1-]]-NOTA[[#This Row],[DISC 2-]])*NOTA[[#This Row],[DISC 3]])</f>
        <v>1596558.5999999999</v>
      </c>
      <c r="AB27" s="50">
        <f>IF(NOTA[[#This Row],[JUMLAH]]="","",NOTA[[#This Row],[DISC 1-]]+NOTA[[#This Row],[DISC 2-]]+NOTA[[#This Row],[DISC 3-]])</f>
        <v>12400338.6</v>
      </c>
      <c r="AC27" s="50">
        <f>IF(NOTA[[#This Row],[JUMLAH]]="","",NOTA[[#This Row],[JUMLAH]]-NOTA[[#This Row],[DISC]])</f>
        <v>51622061.399999999</v>
      </c>
      <c r="AD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12400338.6</v>
      </c>
      <c r="AE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51622061.399999999</v>
      </c>
      <c r="AF27" s="41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G27" s="50">
        <f>IF(OR(NOTA[[#This Row],[QTY]]="",NOTA[[#This Row],[HARGA SATUAN]]="",),"",NOTA[[#This Row],[QTY]]*NOTA[[#This Row],[HARGA SATUAN]])</f>
        <v>64022400</v>
      </c>
      <c r="AH27" s="39">
        <f ca="1">IF(NOTA[ID_H]="","",INDEX(NOTA[TANGGAL],MATCH(,INDIRECT(ADDRESS(ROW(NOTA[TANGGAL]),COLUMN(NOTA[TANGGAL]))&amp;":"&amp;ADDRESS(ROW(),COLUMN(NOTA[TANGGAL]))),-1)))</f>
        <v>45180</v>
      </c>
      <c r="AI27" s="41" t="str">
        <f ca="1">IF(NOTA[[#This Row],[NAMA BARANG]]="","",INDEX(NOTA[SUPPLIER],MATCH(,INDIRECT(ADDRESS(ROW(NOTA[ID]),COLUMN(NOTA[ID]))&amp;":"&amp;ADDRESS(ROW(),COLUMN(NOTA[ID]))),-1)))</f>
        <v>SEJATI STATIONERY</v>
      </c>
      <c r="AJ27" s="41" t="str">
        <f ca="1">IF(NOTA[[#This Row],[ID_H]]="","",IF(NOTA[[#This Row],[FAKTUR]]="",INDIRECT(ADDRESS(ROW()-1,COLUMN())),NOTA[[#This Row],[FAKTUR]]))</f>
        <v>UNTANA</v>
      </c>
      <c r="AK27" s="38">
        <f ca="1">IF(NOTA[[#This Row],[ID]]="","",COUNTIF(NOTA[ID_H],NOTA[[#This Row],[ID_H]]))</f>
        <v>1</v>
      </c>
      <c r="AL27" s="38">
        <f>IF(NOTA[[#This Row],[TGL.NOTA]]="",IF(NOTA[[#This Row],[SUPPLIER_H]]="","",AL26),MONTH(NOTA[[#This Row],[TGL.NOTA]]))</f>
        <v>9</v>
      </c>
      <c r="AM27" s="38" t="str">
        <f>LOWER(SUBSTITUTE(SUBSTITUTE(SUBSTITUTE(SUBSTITUTE(SUBSTITUTE(SUBSTITUTE(SUBSTITUTE(SUBSTITUTE(SUBSTITUTE(NOTA[NAMA BARANG]," ",),".",""),"-",""),"(",""),")",""),",",""),"/",""),"""",""),"+",""))</f>
        <v>papercase110n1205ccx12stsimbalion</v>
      </c>
      <c r="AN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O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papercase110n1205ccx12stsimbalion49248000.1250.05</v>
      </c>
      <c r="AP27" s="38" t="str">
        <f>IF(NOTA[[#This Row],[SUPPLIER]]="","",NOTA[[#This Row],[SUPPLIER]]&amp;NOTA[[#This Row],[FAKTUR]]&amp;NOTA[[#This Row],[NO.NOTA]]&amp;NOTA[[#This Row],[NO.SJ]]&amp;NOTA[[#This Row],[TGL.NOTA]]&amp;NOTA[[#This Row],[CONCAT1]])</f>
        <v>SEJATI STATIONERYUNTANA2023/09/005845176papercase110n1205ccx12stsimbalion</v>
      </c>
      <c r="AQ27" s="38" t="e">
        <f>IF(NOTA[[#This Row],[CONCAT4]]="","",_xlfn.IFNA(MATCH(NOTA[[#This Row],[CONCAT4]],[2]!RAW[CONCAT_H],0),FALSE))</f>
        <v>#REF!</v>
      </c>
      <c r="AR27" s="38" t="e">
        <f>IF(NOTA[[#This Row],[CONCAT1]]="","",MATCH(NOTA[[#This Row],[CONCAT1]],[3]!db[NB NOTA_C],0))</f>
        <v>#N/A</v>
      </c>
      <c r="AS27" s="38" t="b">
        <f>IF(NOTA[[#This Row],[QTY/ CTN]]="","",TRUE)</f>
        <v>1</v>
      </c>
      <c r="AT27" s="38" t="str">
        <f ca="1">IF(NOTA[[#This Row],[ID_H]]="","",IF(NOTA[[#This Row],[Column3]]=TRUE,NOTA[[#This Row],[QTY/ CTN]],INDEX([3]!db[QTY/ CTN],NOTA[[#This Row],[//DB]])))</f>
        <v>144 SET</v>
      </c>
      <c r="AU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papercase110n1205ccx12stsimbalion144setuntana</v>
      </c>
      <c r="AV27" s="38" t="e">
        <f ca="1">IF(NOTA[[#This Row],[ID_H]]="","",MATCH(NOTA[[#This Row],[NB NOTA_C_QTY]],[4]!db[NB NOTA_C_QTY+F],0))</f>
        <v>#REF!</v>
      </c>
      <c r="AW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 t="str">
        <f ca="1">IF(NOTA[[#This Row],[NAMA BARANG]]="","",INDEX(NOTA[ID],MATCH(,INDIRECT(ADDRESS(ROW(NOTA[ID]),COLUMN(NOTA[ID]))&amp;":"&amp;ADDRESS(ROW(),COLUMN(NOTA[ID]))),-1)))</f>
        <v/>
      </c>
      <c r="E28" s="46"/>
      <c r="F28" s="37"/>
      <c r="G28" s="37"/>
      <c r="H28" s="47"/>
      <c r="I28" s="37"/>
      <c r="J28" s="39"/>
      <c r="K28" s="37"/>
      <c r="L28" s="37"/>
      <c r="M28" s="40"/>
      <c r="O28" s="37"/>
      <c r="P28" s="41"/>
      <c r="Q28" s="42"/>
      <c r="R28" s="48"/>
      <c r="S28" s="49"/>
      <c r="T28" s="44"/>
      <c r="U28" s="44"/>
      <c r="V28" s="50"/>
      <c r="W28" s="45"/>
      <c r="X28" s="50" t="str">
        <f>IF(NOTA[[#This Row],[HARGA/ CTN]]="",NOTA[[#This Row],[JUMLAH_H]],NOTA[[#This Row],[HARGA/ CTN]]*IF(NOTA[[#This Row],[C]]="",0,NOTA[[#This Row],[C]]))</f>
        <v/>
      </c>
      <c r="Y28" s="50" t="str">
        <f>IF(NOTA[[#This Row],[JUMLAH]]="","",NOTA[[#This Row],[JUMLAH]]*NOTA[[#This Row],[DISC 1]])</f>
        <v/>
      </c>
      <c r="Z28" s="50" t="str">
        <f>IF(NOTA[[#This Row],[JUMLAH]]="","",(NOTA[[#This Row],[JUMLAH]]-NOTA[[#This Row],[DISC 1-]])*NOTA[[#This Row],[DISC 2]])</f>
        <v/>
      </c>
      <c r="AA28" s="50" t="str">
        <f>IF(NOTA[[#This Row],[JUMLAH]]="","",(NOTA[[#This Row],[JUMLAH]]-NOTA[[#This Row],[DISC 1-]]-NOTA[[#This Row],[DISC 2-]])*NOTA[[#This Row],[DISC 3]])</f>
        <v/>
      </c>
      <c r="AB28" s="50" t="str">
        <f>IF(NOTA[[#This Row],[JUMLAH]]="","",NOTA[[#This Row],[DISC 1-]]+NOTA[[#This Row],[DISC 2-]]+NOTA[[#This Row],[DISC 3-]])</f>
        <v/>
      </c>
      <c r="AC28" s="50" t="str">
        <f>IF(NOTA[[#This Row],[JUMLAH]]="","",NOTA[[#This Row],[JUMLAH]]-NOTA[[#This Row],[DISC]])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8" s="50" t="str">
        <f>IF(OR(NOTA[[#This Row],[QTY]]="",NOTA[[#This Row],[HARGA SATUAN]]="",),"",NOTA[[#This Row],[QTY]]*NOTA[[#This Row],[HARGA SATUAN]])</f>
        <v/>
      </c>
      <c r="AH28" s="39" t="str">
        <f ca="1">IF(NOTA[ID_H]="","",INDEX(NOTA[TANGGAL],MATCH(,INDIRECT(ADDRESS(ROW(NOTA[TANGGAL]),COLUMN(NOTA[TANGGAL]))&amp;":"&amp;ADDRESS(ROW(),COLUMN(NOTA[TANGGAL]))),-1)))</f>
        <v/>
      </c>
      <c r="AI28" s="41" t="str">
        <f ca="1">IF(NOTA[[#This Row],[NAMA BARANG]]="","",INDEX(NOTA[SUPPLIER],MATCH(,INDIRECT(ADDRESS(ROW(NOTA[ID]),COLUMN(NOTA[ID]))&amp;":"&amp;ADDRESS(ROW(),COLUMN(NOTA[ID]))),-1)))</f>
        <v/>
      </c>
      <c r="AJ28" s="41" t="str">
        <f ca="1">IF(NOTA[[#This Row],[ID_H]]="","",IF(NOTA[[#This Row],[FAKTUR]]="",INDIRECT(ADDRESS(ROW()-1,COLUMN())),NOTA[[#This Row],[FAKTUR]]))</f>
        <v/>
      </c>
      <c r="AK28" s="38" t="str">
        <f ca="1">IF(NOTA[[#This Row],[ID]]="","",COUNTIF(NOTA[ID_H],NOTA[[#This Row],[ID_H]]))</f>
        <v/>
      </c>
      <c r="AL28" s="38" t="str">
        <f ca="1">IF(NOTA[[#This Row],[TGL.NOTA]]="",IF(NOTA[[#This Row],[SUPPLIER_H]]="","",AL27),MONTH(NOTA[[#This Row],[TGL.NOTA]]))</f>
        <v/>
      </c>
      <c r="AM28" s="38" t="str">
        <f>LOWER(SUBSTITUTE(SUBSTITUTE(SUBSTITUTE(SUBSTITUTE(SUBSTITUTE(SUBSTITUTE(SUBSTITUTE(SUBSTITUTE(SUBSTITUTE(NOTA[NAMA BARANG]," ",),".",""),"-",""),"(",""),")",""),",",""),"/",""),"""",""),"+",""))</f>
        <v/>
      </c>
      <c r="AN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38" t="str">
        <f>IF(NOTA[[#This Row],[CONCAT4]]="","",_xlfn.IFNA(MATCH(NOTA[[#This Row],[CONCAT4]],[2]!RAW[CONCAT_H],0),FALSE))</f>
        <v/>
      </c>
      <c r="AR28" s="38" t="str">
        <f>IF(NOTA[[#This Row],[CONCAT1]]="","",MATCH(NOTA[[#This Row],[CONCAT1]],[3]!db[NB NOTA_C],0))</f>
        <v/>
      </c>
      <c r="AS28" s="38" t="str">
        <f>IF(NOTA[[#This Row],[QTY/ CTN]]="","",TRUE)</f>
        <v/>
      </c>
      <c r="AT28" s="38" t="str">
        <f ca="1">IF(NOTA[[#This Row],[ID_H]]="","",IF(NOTA[[#This Row],[Column3]]=TRUE,NOTA[[#This Row],[QTY/ CTN]],INDEX([3]!db[QTY/ CTN],NOTA[[#This Row],[//DB]])))</f>
        <v/>
      </c>
      <c r="AU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" s="38" t="str">
        <f ca="1">IF(NOTA[[#This Row],[ID_H]]="","",MATCH(NOTA[[#This Row],[NB NOTA_C_QTY]],[4]!db[NB NOTA_C_QTY+F],0))</f>
        <v/>
      </c>
      <c r="AW28" s="53" t="str">
        <f ca="1">IF(NOTA[[#This Row],[NB NOTA_C_QTY]]="","",ROW()-2)</f>
        <v/>
      </c>
    </row>
    <row r="29" spans="1:50" s="38" customFormat="1" ht="20.100000000000001" customHeight="1" x14ac:dyDescent="0.25">
      <c r="A2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COM_1109_011-1</v>
      </c>
      <c r="C29" s="38" t="e">
        <f ca="1">IF(NOTA[[#This Row],[ID_P]]="","",MATCH(NOTA[[#This Row],[ID_P]],[1]!B_MSK[N_ID],0))</f>
        <v>#REF!</v>
      </c>
      <c r="D29" s="38">
        <f ca="1">IF(NOTA[[#This Row],[NAMA BARANG]]="","",INDEX(NOTA[ID],MATCH(,INDIRECT(ADDRESS(ROW(NOTA[ID]),COLUMN(NOTA[ID]))&amp;":"&amp;ADDRESS(ROW(),COLUMN(NOTA[ID]))),-1)))</f>
        <v>7</v>
      </c>
      <c r="E29" s="46">
        <v>45180</v>
      </c>
      <c r="F29" s="37" t="s">
        <v>135</v>
      </c>
      <c r="G29" s="37" t="s">
        <v>123</v>
      </c>
      <c r="H29" s="47" t="s">
        <v>136</v>
      </c>
      <c r="I29" s="37"/>
      <c r="J29" s="39">
        <v>45180</v>
      </c>
      <c r="K29" s="37"/>
      <c r="L29" s="37" t="s">
        <v>137</v>
      </c>
      <c r="M29" s="40"/>
      <c r="N29" s="38">
        <v>32</v>
      </c>
      <c r="O29" s="37" t="s">
        <v>138</v>
      </c>
      <c r="P29" s="41">
        <v>90000</v>
      </c>
      <c r="Q29" s="42"/>
      <c r="R29" s="48" t="s">
        <v>140</v>
      </c>
      <c r="S29" s="49">
        <v>0.02</v>
      </c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2880000</v>
      </c>
      <c r="Y29" s="50">
        <f>IF(NOTA[[#This Row],[JUMLAH]]="","",NOTA[[#This Row],[JUMLAH]]*NOTA[[#This Row],[DISC 1]])</f>
        <v>57600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57600</v>
      </c>
      <c r="AC29" s="50">
        <f>IF(NOTA[[#This Row],[JUMLAH]]="","",NOTA[[#This Row],[JUMLAH]]-NOTA[[#This Row],[DISC]])</f>
        <v>2822400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57600</v>
      </c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2822400</v>
      </c>
      <c r="AF2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29" s="50">
        <f>IF(OR(NOTA[[#This Row],[QTY]]="",NOTA[[#This Row],[HARGA SATUAN]]="",),"",NOTA[[#This Row],[QTY]]*NOTA[[#This Row],[HARGA SATUAN]])</f>
        <v>2880000</v>
      </c>
      <c r="AH29" s="39">
        <f ca="1">IF(NOTA[ID_H]="","",INDEX(NOTA[TANGGAL],MATCH(,INDIRECT(ADDRESS(ROW(NOTA[TANGGAL]),COLUMN(NOTA[TANGGAL]))&amp;":"&amp;ADDRESS(ROW(),COLUMN(NOTA[TANGGAL]))),-1)))</f>
        <v>45180</v>
      </c>
      <c r="AI29" s="41" t="str">
        <f ca="1">IF(NOTA[[#This Row],[NAMA BARANG]]="","",INDEX(NOTA[SUPPLIER],MATCH(,INDIRECT(ADDRESS(ROW(NOTA[ID]),COLUMN(NOTA[ID]))&amp;":"&amp;ADDRESS(ROW(),COLUMN(NOTA[ID]))),-1)))</f>
        <v>COMBI</v>
      </c>
      <c r="AJ29" s="41" t="str">
        <f ca="1">IF(NOTA[[#This Row],[ID_H]]="","",IF(NOTA[[#This Row],[FAKTUR]]="",INDIRECT(ADDRESS(ROW()-1,COLUMN())),NOTA[[#This Row],[FAKTUR]]))</f>
        <v>UNTANA</v>
      </c>
      <c r="AK29" s="38">
        <f ca="1">IF(NOTA[[#This Row],[ID]]="","",COUNTIF(NOTA[ID_H],NOTA[[#This Row],[ID_H]]))</f>
        <v>1</v>
      </c>
      <c r="AL29" s="38">
        <f>IF(NOTA[[#This Row],[TGL.NOTA]]="",IF(NOTA[[#This Row],[SUPPLIER_H]]="","",AL28),MONTH(NOTA[[#This Row],[TGL.NOTA]]))</f>
        <v>9</v>
      </c>
      <c r="AM29" s="38" t="str">
        <f>LOWER(SUBSTITUTE(SUBSTITUTE(SUBSTITUTE(SUBSTITUTE(SUBSTITUTE(SUBSTITUTE(SUBSTITUTE(SUBSTITUTE(SUBSTITUTE(NOTA[NAMA BARANG]," ",),".",""),"-",""),"(",""),")",""),",",""),"/",""),"""",""),"+",""))</f>
        <v>pcb128</v>
      </c>
      <c r="AN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pcb12828800000.02</v>
      </c>
      <c r="AO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pcb128900000.02</v>
      </c>
      <c r="AP2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COMBIUNTANA001145180pcb128</v>
      </c>
      <c r="AQ29" s="38" t="e">
        <f>IF(NOTA[[#This Row],[CONCAT4]]="","",_xlfn.IFNA(MATCH(NOTA[[#This Row],[CONCAT4]],[2]!RAW[CONCAT_H],0),FALSE))</f>
        <v>#REF!</v>
      </c>
      <c r="AR29" s="38" t="e">
        <f>IF(NOTA[[#This Row],[CONCAT1]]="","",MATCH(NOTA[[#This Row],[CONCAT1]],[3]!db[NB NOTA_C],0))</f>
        <v>#N/A</v>
      </c>
      <c r="AS29" s="38" t="b">
        <f>IF(NOTA[[#This Row],[QTY/ CTN]]="","",TRUE)</f>
        <v>1</v>
      </c>
      <c r="AT29" s="38" t="str">
        <f ca="1">IF(NOTA[[#This Row],[ID_H]]="","",IF(NOTA[[#This Row],[Column3]]=TRUE,NOTA[[#This Row],[QTY/ CTN]],INDEX([3]!db[QTY/ CTN],NOTA[[#This Row],[//DB]])))</f>
        <v>32 LSN</v>
      </c>
      <c r="AU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pcb12832lsnuntana</v>
      </c>
      <c r="AV29" s="38" t="e">
        <f ca="1">IF(NOTA[[#This Row],[ID_H]]="","",MATCH(NOTA[[#This Row],[NB NOTA_C_QTY]],[4]!db[NB NOTA_C_QTY+F],0))</f>
        <v>#REF!</v>
      </c>
      <c r="AW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0" s="50" t="str">
        <f>IF(OR(NOTA[[#This Row],[QTY]]="",NOTA[[#This Row],[HARGA SATUAN]]="",),"",NOTA[[#This Row],[QTY]]*NOTA[[#This Row],[HARGA SATUAN]])</f>
        <v/>
      </c>
      <c r="AH30" s="39" t="str">
        <f ca="1">IF(NOTA[ID_H]="","",INDEX(NOTA[TANGGAL],MATCH(,INDIRECT(ADDRESS(ROW(NOTA[TANGGAL]),COLUMN(NOTA[TANGGAL]))&amp;":"&amp;ADDRESS(ROW(),COLUMN(NOTA[TANGGAL]))),-1)))</f>
        <v/>
      </c>
      <c r="AI30" s="41" t="str">
        <f ca="1">IF(NOTA[[#This Row],[NAMA BARANG]]="","",INDEX(NOTA[SUPPLIER],MATCH(,INDIRECT(ADDRESS(ROW(NOTA[ID]),COLUMN(NOTA[ID]))&amp;":"&amp;ADDRESS(ROW(),COLUMN(NOTA[ID]))),-1)))</f>
        <v/>
      </c>
      <c r="AJ30" s="41" t="str">
        <f ca="1">IF(NOTA[[#This Row],[ID_H]]="","",IF(NOTA[[#This Row],[FAKTUR]]="",INDIRECT(ADDRESS(ROW()-1,COLUMN())),NOTA[[#This Row],[FAKTUR]]))</f>
        <v/>
      </c>
      <c r="AK30" s="38" t="str">
        <f ca="1">IF(NOTA[[#This Row],[ID]]="","",COUNTIF(NOTA[ID_H],NOTA[[#This Row],[ID_H]]))</f>
        <v/>
      </c>
      <c r="AM30" s="38" t="str">
        <f>LOWER(SUBSTITUTE(SUBSTITUTE(SUBSTITUTE(SUBSTITUTE(SUBSTITUTE(SUBSTITUTE(SUBSTITUTE(SUBSTITUTE(SUBSTITUTE(NOTA[NAMA BARANG]," ",),".",""),"-",""),"(",""),")",""),",",""),"/",""),"""",""),"+",""))</f>
        <v/>
      </c>
      <c r="AN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38" t="str">
        <f>IF(NOTA[[#This Row],[CONCAT4]]="","",_xlfn.IFNA(MATCH(NOTA[[#This Row],[CONCAT4]],[2]!RAW[CONCAT_H],0),FALSE))</f>
        <v/>
      </c>
      <c r="AR30" s="38" t="str">
        <f>IF(NOTA[[#This Row],[CONCAT1]]="","",MATCH(NOTA[[#This Row],[CONCAT1]],[3]!db[NB NOTA_C],0))</f>
        <v/>
      </c>
      <c r="AS30" s="38" t="str">
        <f>IF(NOTA[[#This Row],[QTY/ CTN]]="","",TRUE)</f>
        <v/>
      </c>
      <c r="AT30" s="38" t="str">
        <f ca="1">IF(NOTA[[#This Row],[ID_H]]="","",IF(NOTA[[#This Row],[Column3]]=TRUE,NOTA[[#This Row],[QTY/ CTN]],INDEX([3]!db[QTY/ CTN],NOTA[[#This Row],[//DB]])))</f>
        <v/>
      </c>
      <c r="AU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" s="38" t="str">
        <f ca="1">IF(NOTA[[#This Row],[ID_H]]="","",MATCH(NOTA[[#This Row],[NB NOTA_C_QTY]],[4]!db[NB NOTA_C_QTY+F],0))</f>
        <v/>
      </c>
      <c r="AW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KEN_1109_701-10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8</v>
      </c>
      <c r="E31" s="46">
        <v>45180</v>
      </c>
      <c r="F31" s="37" t="s">
        <v>22</v>
      </c>
      <c r="G31" s="37" t="s">
        <v>23</v>
      </c>
      <c r="H31" s="47" t="s">
        <v>141</v>
      </c>
      <c r="I31" s="37"/>
      <c r="J31" s="39">
        <v>45177</v>
      </c>
      <c r="K31" s="37"/>
      <c r="L31" s="37" t="s">
        <v>142</v>
      </c>
      <c r="M31" s="40">
        <v>3</v>
      </c>
      <c r="O31" s="37"/>
      <c r="P31" s="41"/>
      <c r="Q31" s="42">
        <v>3024000</v>
      </c>
      <c r="R31" s="48"/>
      <c r="S31" s="49">
        <v>0.05</v>
      </c>
      <c r="T31" s="44">
        <v>0.17</v>
      </c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9072000</v>
      </c>
      <c r="Y31" s="50">
        <f>IF(NOTA[[#This Row],[JUMLAH]]="","",NOTA[[#This Row],[JUMLAH]]*NOTA[[#This Row],[DISC 1]])</f>
        <v>453600</v>
      </c>
      <c r="Z31" s="50">
        <f>IF(NOTA[[#This Row],[JUMLAH]]="","",(NOTA[[#This Row],[JUMLAH]]-NOTA[[#This Row],[DISC 1-]])*NOTA[[#This Row],[DISC 2]])</f>
        <v>1465128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1918728</v>
      </c>
      <c r="AC31" s="50">
        <f>IF(NOTA[[#This Row],[JUMLAH]]="","",NOTA[[#This Row],[JUMLAH]]-NOTA[[#This Row],[DISC]])</f>
        <v>7153272</v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31" s="50" t="str">
        <f>IF(OR(NOTA[[#This Row],[QTY]]="",NOTA[[#This Row],[HARGA SATUAN]]="",),"",NOTA[[#This Row],[QTY]]*NOTA[[#This Row],[HARGA SATUAN]])</f>
        <v/>
      </c>
      <c r="AH31" s="39">
        <f ca="1">IF(NOTA[ID_H]="","",INDEX(NOTA[TANGGAL],MATCH(,INDIRECT(ADDRESS(ROW(NOTA[TANGGAL]),COLUMN(NOTA[TANGGAL]))&amp;":"&amp;ADDRESS(ROW(),COLUMN(NOTA[TANGGAL]))),-1)))</f>
        <v>45180</v>
      </c>
      <c r="AI31" s="41" t="str">
        <f ca="1">IF(NOTA[[#This Row],[NAMA BARANG]]="","",INDEX(NOTA[SUPPLIER],MATCH(,INDIRECT(ADDRESS(ROW(NOTA[ID]),COLUMN(NOTA[ID]))&amp;":"&amp;ADDRESS(ROW(),COLUMN(NOTA[ID]))),-1)))</f>
        <v>KENKO SINAR INDONESIA</v>
      </c>
      <c r="AJ31" s="41" t="str">
        <f ca="1">IF(NOTA[[#This Row],[ID_H]]="","",IF(NOTA[[#This Row],[FAKTUR]]="",INDIRECT(ADDRESS(ROW()-1,COLUMN())),NOTA[[#This Row],[FAKTUR]]))</f>
        <v>ARTO MORO</v>
      </c>
      <c r="AK31" s="38">
        <f ca="1">IF(NOTA[[#This Row],[ID]]="","",COUNTIF(NOTA[ID_H],NOTA[[#This Row],[ID_H]]))</f>
        <v>10</v>
      </c>
      <c r="AL31" s="38">
        <f>IF(NOTA[[#This Row],[TGL.NOTA]]="",IF(NOTA[[#This Row],[SUPPLIER_H]]="","",T35),MONTH(NOTA[[#This Row],[TGL.NOTA]]))</f>
        <v>9</v>
      </c>
      <c r="AM31" s="38" t="str">
        <f>LOWER(SUBSTITUTE(SUBSTITUTE(SUBSTITUTE(SUBSTITUTE(SUBSTITUTE(SUBSTITUTE(SUBSTITUTE(SUBSTITUTE(SUBSTITUTE(NOTA[NAMA BARANG]," ",),".",""),"-",""),"(",""),")",""),",",""),"/",""),"""",""),"+",""))</f>
        <v>kenkocorrectiontapect90312mx5mm</v>
      </c>
      <c r="AN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kenkocorrectiontapect90312mx5mm30240000.050.17</v>
      </c>
      <c r="AO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kenkocorrectiontapect90312mx5mm30240000.050.17</v>
      </c>
      <c r="AP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MORO2309070145177kenkocorrectiontapect90312mx5mm</v>
      </c>
      <c r="AQ31" s="38" t="e">
        <f>IF(NOTA[[#This Row],[CONCAT4]]="","",_xlfn.IFNA(MATCH(NOTA[[#This Row],[CONCAT4]],[2]!RAW[CONCAT_H],0),FALSE))</f>
        <v>#REF!</v>
      </c>
      <c r="AR31" s="38">
        <f>IF(NOTA[[#This Row],[CONCAT1]]="","",MATCH(NOTA[[#This Row],[CONCAT1]],[3]!db[NB NOTA_C],0))</f>
        <v>1375</v>
      </c>
      <c r="AS31" s="38" t="str">
        <f>IF(NOTA[[#This Row],[QTY/ CTN]]="","",TRUE)</f>
        <v/>
      </c>
      <c r="AT31" s="38" t="str">
        <f ca="1">IF(NOTA[[#This Row],[ID_H]]="","",IF(NOTA[[#This Row],[Column3]]=TRUE,NOTA[[#This Row],[QTY/ CTN]],INDEX([3]!db[QTY/ CTN],NOTA[[#This Row],[//DB]])))</f>
        <v>48 LSN</v>
      </c>
      <c r="AU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kenkocorrectiontapect90312mx5mm48lsnartomoro</v>
      </c>
      <c r="AV31" s="38" t="e">
        <f ca="1">IF(NOTA[[#This Row],[ID_H]]="","",MATCH(NOTA[[#This Row],[NB NOTA_C_QTY]],[4]!db[NB NOTA_C_QTY+F],0))</f>
        <v>#REF!</v>
      </c>
      <c r="AW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8</v>
      </c>
      <c r="E32" s="46"/>
      <c r="F32" s="37"/>
      <c r="G32" s="37"/>
      <c r="H32" s="47"/>
      <c r="I32" s="37"/>
      <c r="J32" s="39"/>
      <c r="K32" s="37"/>
      <c r="L32" s="37" t="s">
        <v>145</v>
      </c>
      <c r="M32" s="40">
        <v>2</v>
      </c>
      <c r="O32" s="37"/>
      <c r="P32" s="41"/>
      <c r="Q32" s="42">
        <v>1410000</v>
      </c>
      <c r="R32" s="48"/>
      <c r="S32" s="49">
        <v>0.17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2820000</v>
      </c>
      <c r="Y32" s="50">
        <f>IF(NOTA[[#This Row],[JUMLAH]]="","",NOTA[[#This Row],[JUMLAH]]*NOTA[[#This Row],[DISC 1]])</f>
        <v>479400.00000000006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479400.00000000006</v>
      </c>
      <c r="AC32" s="50">
        <f>IF(NOTA[[#This Row],[JUMLAH]]="","",NOTA[[#This Row],[JUMLAH]]-NOTA[[#This Row],[DISC]])</f>
        <v>2340600</v>
      </c>
      <c r="AD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G32" s="50" t="str">
        <f>IF(OR(NOTA[[#This Row],[QTY]]="",NOTA[[#This Row],[HARGA SATUAN]]="",),"",NOTA[[#This Row],[QTY]]*NOTA[[#This Row],[HARGA SATUAN]])</f>
        <v/>
      </c>
      <c r="AH32" s="39">
        <f ca="1">IF(NOTA[ID_H]="","",INDEX(NOTA[TANGGAL],MATCH(,INDIRECT(ADDRESS(ROW(NOTA[TANGGAL]),COLUMN(NOTA[TANGGAL]))&amp;":"&amp;ADDRESS(ROW(),COLUMN(NOTA[TANGGAL]))),-1)))</f>
        <v>45180</v>
      </c>
      <c r="AI32" s="41" t="str">
        <f ca="1">IF(NOTA[[#This Row],[NAMA BARANG]]="","",INDEX(NOTA[SUPPLIER],MATCH(,INDIRECT(ADDRESS(ROW(NOTA[ID]),COLUMN(NOTA[ID]))&amp;":"&amp;ADDRESS(ROW(),COLUMN(NOTA[ID]))),-1)))</f>
        <v>KENKO SINAR INDONESIA</v>
      </c>
      <c r="AJ32" s="41" t="str">
        <f ca="1">IF(NOTA[[#This Row],[ID_H]]="","",IF(NOTA[[#This Row],[FAKTUR]]="",INDIRECT(ADDRESS(ROW()-1,COLUMN())),NOTA[[#This Row],[FAKTUR]]))</f>
        <v>ARTO MORO</v>
      </c>
      <c r="AK32" s="38" t="str">
        <f ca="1">IF(NOTA[[#This Row],[ID]]="","",COUNTIF(NOTA[ID_H],NOTA[[#This Row],[ID_H]]))</f>
        <v/>
      </c>
      <c r="AL32" s="38">
        <f ca="1">IF(NOTA[[#This Row],[TGL.NOTA]]="",IF(NOTA[[#This Row],[SUPPLIER_H]]="","",AL31),MONTH(NOTA[[#This Row],[TGL.NOTA]]))</f>
        <v>9</v>
      </c>
      <c r="AM32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N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O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P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38" t="str">
        <f>IF(NOTA[[#This Row],[CONCAT4]]="","",_xlfn.IFNA(MATCH(NOTA[[#This Row],[CONCAT4]],[2]!RAW[CONCAT_H],0),FALSE))</f>
        <v/>
      </c>
      <c r="AR32" s="38">
        <f>IF(NOTA[[#This Row],[CONCAT1]]="","",MATCH(NOTA[[#This Row],[CONCAT1]],[3]!db[NB NOTA_C],0))</f>
        <v>1535</v>
      </c>
      <c r="AS32" s="38" t="str">
        <f>IF(NOTA[[#This Row],[QTY/ CTN]]="","",TRUE)</f>
        <v/>
      </c>
      <c r="AT32" s="38" t="str">
        <f ca="1">IF(NOTA[[#This Row],[ID_H]]="","",IF(NOTA[[#This Row],[Column3]]=TRUE,NOTA[[#This Row],[QTY/ CTN]],INDEX([3]!db[QTY/ CTN],NOTA[[#This Row],[//DB]])))</f>
        <v>25 LSN</v>
      </c>
      <c r="AU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V32" s="38" t="e">
        <f ca="1">IF(NOTA[[#This Row],[ID_H]]="","",MATCH(NOTA[[#This Row],[NB NOTA_C_QTY]],[4]!db[NB NOTA_C_QTY+F],0))</f>
        <v>#REF!</v>
      </c>
      <c r="AW32" s="53">
        <f ca="1">IF(NOTA[[#This Row],[NB NOTA_C_QTY]]="","",ROW()-2)</f>
        <v>30</v>
      </c>
    </row>
    <row r="33" spans="1:49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8</v>
      </c>
      <c r="E33" s="46"/>
      <c r="F33" s="37"/>
      <c r="G33" s="37"/>
      <c r="H33" s="47"/>
      <c r="I33" s="37"/>
      <c r="J33" s="39"/>
      <c r="K33" s="37"/>
      <c r="L33" s="37" t="s">
        <v>143</v>
      </c>
      <c r="M33" s="40">
        <v>1</v>
      </c>
      <c r="O33" s="37"/>
      <c r="P33" s="41"/>
      <c r="Q33" s="42">
        <v>1995000</v>
      </c>
      <c r="R33" s="48"/>
      <c r="S33" s="49">
        <v>0.17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1995000</v>
      </c>
      <c r="Y33" s="50">
        <f>IF(NOTA[[#This Row],[JUMLAH]]="","",NOTA[[#This Row],[JUMLAH]]*NOTA[[#This Row],[DISC 1]])</f>
        <v>339150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339150</v>
      </c>
      <c r="AC33" s="50">
        <f>IF(NOTA[[#This Row],[JUMLAH]]="","",NOTA[[#This Row],[JUMLAH]]-NOTA[[#This Row],[DISC]])</f>
        <v>1655850</v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G33" s="50" t="str">
        <f>IF(OR(NOTA[[#This Row],[QTY]]="",NOTA[[#This Row],[HARGA SATUAN]]="",),"",NOTA[[#This Row],[QTY]]*NOTA[[#This Row],[HARGA SATUAN]])</f>
        <v/>
      </c>
      <c r="AH33" s="39">
        <f ca="1">IF(NOTA[ID_H]="","",INDEX(NOTA[TANGGAL],MATCH(,INDIRECT(ADDRESS(ROW(NOTA[TANGGAL]),COLUMN(NOTA[TANGGAL]))&amp;":"&amp;ADDRESS(ROW(),COLUMN(NOTA[TANGGAL]))),-1)))</f>
        <v>45180</v>
      </c>
      <c r="AI33" s="41" t="str">
        <f ca="1">IF(NOTA[[#This Row],[NAMA BARANG]]="","",INDEX(NOTA[SUPPLIER],MATCH(,INDIRECT(ADDRESS(ROW(NOTA[ID]),COLUMN(NOTA[ID]))&amp;":"&amp;ADDRESS(ROW(),COLUMN(NOTA[ID]))),-1)))</f>
        <v>KENKO SINAR INDONESIA</v>
      </c>
      <c r="AJ33" s="41" t="str">
        <f ca="1">IF(NOTA[[#This Row],[ID_H]]="","",IF(NOTA[[#This Row],[FAKTUR]]="",INDIRECT(ADDRESS(ROW()-1,COLUMN())),NOTA[[#This Row],[FAKTUR]]))</f>
        <v>ARTO MORO</v>
      </c>
      <c r="AK33" s="38" t="str">
        <f ca="1">IF(NOTA[[#This Row],[ID]]="","",COUNTIF(NOTA[ID_H],NOTA[[#This Row],[ID_H]]))</f>
        <v/>
      </c>
      <c r="AL33" s="38">
        <f ca="1">IF(NOTA[[#This Row],[TGL.NOTA]]="",IF(NOTA[[#This Row],[SUPPLIER_H]]="","",AL32),MONTH(NOTA[[#This Row],[TGL.NOTA]]))</f>
        <v>9</v>
      </c>
      <c r="AM33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38" t="str">
        <f>IF(NOTA[[#This Row],[CONCAT4]]="","",_xlfn.IFNA(MATCH(NOTA[[#This Row],[CONCAT4]],[2]!RAW[CONCAT_H],0),FALSE))</f>
        <v/>
      </c>
      <c r="AR33" s="38">
        <f>IF(NOTA[[#This Row],[CONCAT1]]="","",MATCH(NOTA[[#This Row],[CONCAT1]],[3]!db[NB NOTA_C],0))</f>
        <v>1536</v>
      </c>
      <c r="AS33" s="38" t="str">
        <f>IF(NOTA[[#This Row],[QTY/ CTN]]="","",TRUE)</f>
        <v/>
      </c>
      <c r="AT33" s="38" t="str">
        <f ca="1">IF(NOTA[[#This Row],[ID_H]]="","",IF(NOTA[[#This Row],[Column3]]=TRUE,NOTA[[#This Row],[QTY/ CTN]],INDEX([3]!db[QTY/ CTN],NOTA[[#This Row],[//DB]])))</f>
        <v>25 LSN</v>
      </c>
      <c r="AU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V33" s="38" t="e">
        <f ca="1">IF(NOTA[[#This Row],[ID_H]]="","",MATCH(NOTA[[#This Row],[NB NOTA_C_QTY]],[4]!db[NB NOTA_C_QTY+F],0))</f>
        <v>#REF!</v>
      </c>
      <c r="AW33" s="53">
        <f ca="1">IF(NOTA[[#This Row],[NB NOTA_C_QTY]]="","",ROW()-2)</f>
        <v>31</v>
      </c>
    </row>
    <row r="34" spans="1:49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8</v>
      </c>
      <c r="E34" s="46"/>
      <c r="F34" s="37"/>
      <c r="G34" s="37"/>
      <c r="H34" s="47"/>
      <c r="I34" s="37"/>
      <c r="J34" s="39"/>
      <c r="K34" s="37"/>
      <c r="L34" s="37" t="s">
        <v>144</v>
      </c>
      <c r="M34" s="40">
        <v>7</v>
      </c>
      <c r="O34" s="37"/>
      <c r="P34" s="41"/>
      <c r="Q34" s="42">
        <v>462000</v>
      </c>
      <c r="R34" s="48"/>
      <c r="S34" s="49">
        <v>0.17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3234000</v>
      </c>
      <c r="Y34" s="50">
        <f>IF(NOTA[[#This Row],[JUMLAH]]="","",NOTA[[#This Row],[JUMLAH]]*NOTA[[#This Row],[DISC 1]])</f>
        <v>549780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549780</v>
      </c>
      <c r="AC34" s="50">
        <f>IF(NOTA[[#This Row],[JUMLAH]]="","",NOTA[[#This Row],[JUMLAH]]-NOTA[[#This Row],[DISC]])</f>
        <v>2684220</v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34" s="50" t="str">
        <f>IF(OR(NOTA[[#This Row],[QTY]]="",NOTA[[#This Row],[HARGA SATUAN]]="",),"",NOTA[[#This Row],[QTY]]*NOTA[[#This Row],[HARGA SATUAN]])</f>
        <v/>
      </c>
      <c r="AH34" s="39">
        <f ca="1">IF(NOTA[ID_H]="","",INDEX(NOTA[TANGGAL],MATCH(,INDIRECT(ADDRESS(ROW(NOTA[TANGGAL]),COLUMN(NOTA[TANGGAL]))&amp;":"&amp;ADDRESS(ROW(),COLUMN(NOTA[TANGGAL]))),-1)))</f>
        <v>45180</v>
      </c>
      <c r="AI34" s="41" t="str">
        <f ca="1">IF(NOTA[[#This Row],[NAMA BARANG]]="","",INDEX(NOTA[SUPPLIER],MATCH(,INDIRECT(ADDRESS(ROW(NOTA[ID]),COLUMN(NOTA[ID]))&amp;":"&amp;ADDRESS(ROW(),COLUMN(NOTA[ID]))),-1)))</f>
        <v>KENKO SINAR INDONESIA</v>
      </c>
      <c r="AJ34" s="41" t="str">
        <f ca="1">IF(NOTA[[#This Row],[ID_H]]="","",IF(NOTA[[#This Row],[FAKTUR]]="",INDIRECT(ADDRESS(ROW()-1,COLUMN())),NOTA[[#This Row],[FAKTUR]]))</f>
        <v>ARTO MORO</v>
      </c>
      <c r="AK34" s="38" t="str">
        <f ca="1">IF(NOTA[[#This Row],[ID]]="","",COUNTIF(NOTA[ID_H],NOTA[[#This Row],[ID_H]]))</f>
        <v/>
      </c>
      <c r="AL34" s="38">
        <f ca="1">IF(NOTA[[#This Row],[TGL.NOTA]]="",IF(NOTA[[#This Row],[SUPPLIER_H]]="","",AL33),MONTH(NOTA[[#This Row],[TGL.NOTA]]))</f>
        <v>9</v>
      </c>
      <c r="AM34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38" t="str">
        <f>IF(NOTA[[#This Row],[CONCAT4]]="","",_xlfn.IFNA(MATCH(NOTA[[#This Row],[CONCAT4]],[2]!RAW[CONCAT_H],0),FALSE))</f>
        <v/>
      </c>
      <c r="AR34" s="38">
        <f>IF(NOTA[[#This Row],[CONCAT1]]="","",MATCH(NOTA[[#This Row],[CONCAT1]],[3]!db[NB NOTA_C],0))</f>
        <v>1575</v>
      </c>
      <c r="AS34" s="38" t="str">
        <f>IF(NOTA[[#This Row],[QTY/ CTN]]="","",TRUE)</f>
        <v/>
      </c>
      <c r="AT34" s="38" t="str">
        <f ca="1">IF(NOTA[[#This Row],[ID_H]]="","",IF(NOTA[[#This Row],[Column3]]=TRUE,NOTA[[#This Row],[QTY/ CTN]],INDEX([3]!db[QTY/ CTN],NOTA[[#This Row],[//DB]])))</f>
        <v>24 PCS</v>
      </c>
      <c r="AU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34" s="38" t="e">
        <f ca="1">IF(NOTA[[#This Row],[ID_H]]="","",MATCH(NOTA[[#This Row],[NB NOTA_C_QTY]],[4]!db[NB NOTA_C_QTY+F],0))</f>
        <v>#REF!</v>
      </c>
      <c r="AW34" s="53">
        <f ca="1">IF(NOTA[[#This Row],[NB NOTA_C_QTY]]="","",ROW()-2)</f>
        <v>32</v>
      </c>
    </row>
    <row r="35" spans="1:49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8</v>
      </c>
      <c r="E35" s="46"/>
      <c r="F35" s="37"/>
      <c r="G35" s="37"/>
      <c r="H35" s="47"/>
      <c r="I35" s="37"/>
      <c r="J35" s="39"/>
      <c r="K35" s="37"/>
      <c r="L35" s="37" t="s">
        <v>146</v>
      </c>
      <c r="M35" s="40">
        <v>3</v>
      </c>
      <c r="O35" s="37"/>
      <c r="P35" s="41"/>
      <c r="Q35" s="42">
        <v>2376000</v>
      </c>
      <c r="R35" s="48"/>
      <c r="S35" s="49">
        <v>0.17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7128000</v>
      </c>
      <c r="Y35" s="50">
        <f>IF(NOTA[[#This Row],[JUMLAH]]="","",NOTA[[#This Row],[JUMLAH]]*NOTA[[#This Row],[DISC 1]])</f>
        <v>1211760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1211760</v>
      </c>
      <c r="AC35" s="50">
        <f>IF(NOTA[[#This Row],[JUMLAH]]="","",NOTA[[#This Row],[JUMLAH]]-NOTA[[#This Row],[DISC]])</f>
        <v>5916240</v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G35" s="50" t="str">
        <f>IF(OR(NOTA[[#This Row],[QTY]]="",NOTA[[#This Row],[HARGA SATUAN]]="",),"",NOTA[[#This Row],[QTY]]*NOTA[[#This Row],[HARGA SATUAN]])</f>
        <v/>
      </c>
      <c r="AH35" s="39">
        <f ca="1">IF(NOTA[ID_H]="","",INDEX(NOTA[TANGGAL],MATCH(,INDIRECT(ADDRESS(ROW(NOTA[TANGGAL]),COLUMN(NOTA[TANGGAL]))&amp;":"&amp;ADDRESS(ROW(),COLUMN(NOTA[TANGGAL]))),-1)))</f>
        <v>45180</v>
      </c>
      <c r="AI35" s="41" t="str">
        <f ca="1">IF(NOTA[[#This Row],[NAMA BARANG]]="","",INDEX(NOTA[SUPPLIER],MATCH(,INDIRECT(ADDRESS(ROW(NOTA[ID]),COLUMN(NOTA[ID]))&amp;":"&amp;ADDRESS(ROW(),COLUMN(NOTA[ID]))),-1)))</f>
        <v>KENKO SINAR INDONESIA</v>
      </c>
      <c r="AJ35" s="41" t="str">
        <f ca="1">IF(NOTA[[#This Row],[ID_H]]="","",IF(NOTA[[#This Row],[FAKTUR]]="",INDIRECT(ADDRESS(ROW()-1,COLUMN())),NOTA[[#This Row],[FAKTUR]]))</f>
        <v>ARTO MORO</v>
      </c>
      <c r="AK35" s="38" t="str">
        <f ca="1">IF(NOTA[[#This Row],[ID]]="","",COUNTIF(NOTA[ID_H],NOTA[[#This Row],[ID_H]]))</f>
        <v/>
      </c>
      <c r="AL35" s="38">
        <f ca="1">IF(NOTA[[#This Row],[TGL.NOTA]]="",IF(NOTA[[#This Row],[SUPPLIER_H]]="","",AL34),MONTH(NOTA[[#This Row],[TGL.NOTA]]))</f>
        <v>9</v>
      </c>
      <c r="AM3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" s="38" t="str">
        <f>IF(NOTA[[#This Row],[CONCAT4]]="","",_xlfn.IFNA(MATCH(NOTA[[#This Row],[CONCAT4]],[2]!RAW[CONCAT_H],0),FALSE))</f>
        <v/>
      </c>
      <c r="AR35" s="38">
        <f>IF(NOTA[[#This Row],[CONCAT1]]="","",MATCH(NOTA[[#This Row],[CONCAT1]],[3]!db[NB NOTA_C],0))</f>
        <v>1447</v>
      </c>
      <c r="AS35" s="38" t="str">
        <f>IF(NOTA[[#This Row],[QTY/ CTN]]="","",TRUE)</f>
        <v/>
      </c>
      <c r="AT35" s="38" t="str">
        <f ca="1">IF(NOTA[[#This Row],[ID_H]]="","",IF(NOTA[[#This Row],[Column3]]=TRUE,NOTA[[#This Row],[QTY/ CTN]],INDEX([3]!db[QTY/ CTN],NOTA[[#This Row],[//DB]])))</f>
        <v>36 BOX (30 PCS)</v>
      </c>
      <c r="AU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V35" s="38" t="e">
        <f ca="1">IF(NOTA[[#This Row],[ID_H]]="","",MATCH(NOTA[[#This Row],[NB NOTA_C_QTY]],[4]!db[NB NOTA_C_QTY+F],0))</f>
        <v>#REF!</v>
      </c>
      <c r="AW35" s="53">
        <f ca="1">IF(NOTA[[#This Row],[NB NOTA_C_QTY]]="","",ROW()-2)</f>
        <v>33</v>
      </c>
    </row>
    <row r="36" spans="1:49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8</v>
      </c>
      <c r="E36" s="46"/>
      <c r="F36" s="37"/>
      <c r="G36" s="37"/>
      <c r="H36" s="47"/>
      <c r="I36" s="37"/>
      <c r="J36" s="39"/>
      <c r="K36" s="37"/>
      <c r="L36" s="37" t="s">
        <v>147</v>
      </c>
      <c r="M36" s="40">
        <v>2</v>
      </c>
      <c r="O36" s="37"/>
      <c r="P36" s="41"/>
      <c r="Q36" s="42">
        <v>2592000</v>
      </c>
      <c r="R36" s="48"/>
      <c r="S36" s="49">
        <v>0.17</v>
      </c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5184000</v>
      </c>
      <c r="Y36" s="50">
        <f>IF(NOTA[[#This Row],[JUMLAH]]="","",NOTA[[#This Row],[JUMLAH]]*NOTA[[#This Row],[DISC 1]])</f>
        <v>881280.00000000012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881280.00000000012</v>
      </c>
      <c r="AC36" s="50">
        <f>IF(NOTA[[#This Row],[JUMLAH]]="","",NOTA[[#This Row],[JUMLAH]]-NOTA[[#This Row],[DISC]])</f>
        <v>4302720</v>
      </c>
      <c r="AD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G36" s="50" t="str">
        <f>IF(OR(NOTA[[#This Row],[QTY]]="",NOTA[[#This Row],[HARGA SATUAN]]="",),"",NOTA[[#This Row],[QTY]]*NOTA[[#This Row],[HARGA SATUAN]])</f>
        <v/>
      </c>
      <c r="AH36" s="39">
        <f ca="1">IF(NOTA[ID_H]="","",INDEX(NOTA[TANGGAL],MATCH(,INDIRECT(ADDRESS(ROW(NOTA[TANGGAL]),COLUMN(NOTA[TANGGAL]))&amp;":"&amp;ADDRESS(ROW(),COLUMN(NOTA[TANGGAL]))),-1)))</f>
        <v>45180</v>
      </c>
      <c r="AI36" s="41" t="str">
        <f ca="1">IF(NOTA[[#This Row],[NAMA BARANG]]="","",INDEX(NOTA[SUPPLIER],MATCH(,INDIRECT(ADDRESS(ROW(NOTA[ID]),COLUMN(NOTA[ID]))&amp;":"&amp;ADDRESS(ROW(),COLUMN(NOTA[ID]))),-1)))</f>
        <v>KENKO SINAR INDONESIA</v>
      </c>
      <c r="AJ36" s="41" t="str">
        <f ca="1">IF(NOTA[[#This Row],[ID_H]]="","",IF(NOTA[[#This Row],[FAKTUR]]="",INDIRECT(ADDRESS(ROW()-1,COLUMN())),NOTA[[#This Row],[FAKTUR]]))</f>
        <v>ARTO MORO</v>
      </c>
      <c r="AK36" s="38" t="str">
        <f ca="1">IF(NOTA[[#This Row],[ID]]="","",COUNTIF(NOTA[ID_H],NOTA[[#This Row],[ID_H]]))</f>
        <v/>
      </c>
      <c r="AL36" s="38">
        <f ca="1">IF(NOTA[[#This Row],[TGL.NOTA]]="",IF(NOTA[[#This Row],[SUPPLIER_H]]="","",AL35),MONTH(NOTA[[#This Row],[TGL.NOTA]]))</f>
        <v>9</v>
      </c>
      <c r="AM3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38" t="str">
        <f>IF(NOTA[[#This Row],[CONCAT4]]="","",_xlfn.IFNA(MATCH(NOTA[[#This Row],[CONCAT4]],[2]!RAW[CONCAT_H],0),FALSE))</f>
        <v/>
      </c>
      <c r="AR36" s="38">
        <f>IF(NOTA[[#This Row],[CONCAT1]]="","",MATCH(NOTA[[#This Row],[CONCAT1]],[3]!db[NB NOTA_C],0))</f>
        <v>1445</v>
      </c>
      <c r="AS36" s="38" t="str">
        <f>IF(NOTA[[#This Row],[QTY/ CTN]]="","",TRUE)</f>
        <v/>
      </c>
      <c r="AT36" s="38" t="str">
        <f ca="1">IF(NOTA[[#This Row],[ID_H]]="","",IF(NOTA[[#This Row],[Column3]]=TRUE,NOTA[[#This Row],[QTY/ CTN]],INDEX([3]!db[QTY/ CTN],NOTA[[#This Row],[//DB]])))</f>
        <v>36 BOX (20 PCS)</v>
      </c>
      <c r="AU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V36" s="38" t="e">
        <f ca="1">IF(NOTA[[#This Row],[ID_H]]="","",MATCH(NOTA[[#This Row],[NB NOTA_C_QTY]],[4]!db[NB NOTA_C_QTY+F],0))</f>
        <v>#REF!</v>
      </c>
      <c r="AW36" s="53">
        <f ca="1">IF(NOTA[[#This Row],[NB NOTA_C_QTY]]="","",ROW()-2)</f>
        <v>34</v>
      </c>
    </row>
    <row r="37" spans="1:49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8</v>
      </c>
      <c r="E37" s="46"/>
      <c r="F37" s="37"/>
      <c r="G37" s="37"/>
      <c r="H37" s="47"/>
      <c r="I37" s="37"/>
      <c r="J37" s="39"/>
      <c r="K37" s="37"/>
      <c r="L37" s="37" t="s">
        <v>148</v>
      </c>
      <c r="M37" s="40">
        <v>1</v>
      </c>
      <c r="O37" s="37"/>
      <c r="P37" s="41"/>
      <c r="Q37" s="42">
        <v>2160000</v>
      </c>
      <c r="R37" s="48"/>
      <c r="S37" s="49">
        <v>0.17</v>
      </c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2160000</v>
      </c>
      <c r="Y37" s="50">
        <f>IF(NOTA[[#This Row],[JUMLAH]]="","",NOTA[[#This Row],[JUMLAH]]*NOTA[[#This Row],[DISC 1]])</f>
        <v>367200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367200</v>
      </c>
      <c r="AC37" s="50">
        <f>IF(NOTA[[#This Row],[JUMLAH]]="","",NOTA[[#This Row],[JUMLAH]]-NOTA[[#This Row],[DISC]])</f>
        <v>1792800</v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G37" s="50" t="str">
        <f>IF(OR(NOTA[[#This Row],[QTY]]="",NOTA[[#This Row],[HARGA SATUAN]]="",),"",NOTA[[#This Row],[QTY]]*NOTA[[#This Row],[HARGA SATUAN]])</f>
        <v/>
      </c>
      <c r="AH37" s="39">
        <f ca="1">IF(NOTA[ID_H]="","",INDEX(NOTA[TANGGAL],MATCH(,INDIRECT(ADDRESS(ROW(NOTA[TANGGAL]),COLUMN(NOTA[TANGGAL]))&amp;":"&amp;ADDRESS(ROW(),COLUMN(NOTA[TANGGAL]))),-1)))</f>
        <v>45180</v>
      </c>
      <c r="AI37" s="41" t="str">
        <f ca="1">IF(NOTA[[#This Row],[NAMA BARANG]]="","",INDEX(NOTA[SUPPLIER],MATCH(,INDIRECT(ADDRESS(ROW(NOTA[ID]),COLUMN(NOTA[ID]))&amp;":"&amp;ADDRESS(ROW(),COLUMN(NOTA[ID]))),-1)))</f>
        <v>KENKO SINAR INDONESIA</v>
      </c>
      <c r="AJ37" s="41" t="str">
        <f ca="1">IF(NOTA[[#This Row],[ID_H]]="","",IF(NOTA[[#This Row],[FAKTUR]]="",INDIRECT(ADDRESS(ROW()-1,COLUMN())),NOTA[[#This Row],[FAKTUR]]))</f>
        <v>ARTO MORO</v>
      </c>
      <c r="AK37" s="38" t="str">
        <f ca="1">IF(NOTA[[#This Row],[ID]]="","",COUNTIF(NOTA[ID_H],NOTA[[#This Row],[ID_H]]))</f>
        <v/>
      </c>
      <c r="AL37" s="38">
        <f ca="1">IF(NOTA[[#This Row],[TGL.NOTA]]="",IF(NOTA[[#This Row],[SUPPLIER_H]]="","",AL36),MONTH(NOTA[[#This Row],[TGL.NOTA]]))</f>
        <v>9</v>
      </c>
      <c r="AM3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38" t="str">
        <f>IF(NOTA[[#This Row],[CONCAT4]]="","",_xlfn.IFNA(MATCH(NOTA[[#This Row],[CONCAT4]],[2]!RAW[CONCAT_H],0),FALSE))</f>
        <v/>
      </c>
      <c r="AR37" s="38">
        <f>IF(NOTA[[#This Row],[CONCAT1]]="","",MATCH(NOTA[[#This Row],[CONCAT1]],[3]!db[NB NOTA_C],0))</f>
        <v>1446</v>
      </c>
      <c r="AS37" s="38" t="str">
        <f>IF(NOTA[[#This Row],[QTY/ CTN]]="","",TRUE)</f>
        <v/>
      </c>
      <c r="AT37" s="38" t="str">
        <f ca="1">IF(NOTA[[#This Row],[ID_H]]="","",IF(NOTA[[#This Row],[Column3]]=TRUE,NOTA[[#This Row],[QTY/ CTN]],INDEX([3]!db[QTY/ CTN],NOTA[[#This Row],[//DB]])))</f>
        <v>36 LSN</v>
      </c>
      <c r="AU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V37" s="38" t="e">
        <f ca="1">IF(NOTA[[#This Row],[ID_H]]="","",MATCH(NOTA[[#This Row],[NB NOTA_C_QTY]],[4]!db[NB NOTA_C_QTY+F],0))</f>
        <v>#REF!</v>
      </c>
      <c r="AW37" s="53">
        <f ca="1">IF(NOTA[[#This Row],[NB NOTA_C_QTY]]="","",ROW()-2)</f>
        <v>35</v>
      </c>
    </row>
    <row r="38" spans="1:49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8</v>
      </c>
      <c r="E38" s="46"/>
      <c r="F38" s="37"/>
      <c r="G38" s="37"/>
      <c r="H38" s="47"/>
      <c r="I38" s="37"/>
      <c r="J38" s="39"/>
      <c r="K38" s="37"/>
      <c r="L38" s="37" t="s">
        <v>150</v>
      </c>
      <c r="M38" s="40">
        <v>10</v>
      </c>
      <c r="O38" s="37"/>
      <c r="P38" s="41"/>
      <c r="Q38" s="42">
        <v>1954800</v>
      </c>
      <c r="R38" s="48"/>
      <c r="S38" s="49">
        <v>0.17</v>
      </c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19548000</v>
      </c>
      <c r="Y38" s="50">
        <f>IF(NOTA[[#This Row],[JUMLAH]]="","",NOTA[[#This Row],[JUMLAH]]*NOTA[[#This Row],[DISC 1]])</f>
        <v>3323160.0000000005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3323160.0000000005</v>
      </c>
      <c r="AC38" s="50">
        <f>IF(NOTA[[#This Row],[JUMLAH]]="","",NOTA[[#This Row],[JUMLAH]]-NOTA[[#This Row],[DISC]])</f>
        <v>16224840</v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G38" s="50" t="str">
        <f>IF(OR(NOTA[[#This Row],[QTY]]="",NOTA[[#This Row],[HARGA SATUAN]]="",),"",NOTA[[#This Row],[QTY]]*NOTA[[#This Row],[HARGA SATUAN]])</f>
        <v/>
      </c>
      <c r="AH38" s="39">
        <f ca="1">IF(NOTA[ID_H]="","",INDEX(NOTA[TANGGAL],MATCH(,INDIRECT(ADDRESS(ROW(NOTA[TANGGAL]),COLUMN(NOTA[TANGGAL]))&amp;":"&amp;ADDRESS(ROW(),COLUMN(NOTA[TANGGAL]))),-1)))</f>
        <v>45180</v>
      </c>
      <c r="AI38" s="41" t="str">
        <f ca="1">IF(NOTA[[#This Row],[NAMA BARANG]]="","",INDEX(NOTA[SUPPLIER],MATCH(,INDIRECT(ADDRESS(ROW(NOTA[ID]),COLUMN(NOTA[ID]))&amp;":"&amp;ADDRESS(ROW(),COLUMN(NOTA[ID]))),-1)))</f>
        <v>KENKO SINAR INDONESIA</v>
      </c>
      <c r="AJ38" s="41" t="str">
        <f ca="1">IF(NOTA[[#This Row],[ID_H]]="","",IF(NOTA[[#This Row],[FAKTUR]]="",INDIRECT(ADDRESS(ROW()-1,COLUMN())),NOTA[[#This Row],[FAKTUR]]))</f>
        <v>ARTO MORO</v>
      </c>
      <c r="AK38" s="38" t="str">
        <f ca="1">IF(NOTA[[#This Row],[ID]]="","",COUNTIF(NOTA[ID_H],NOTA[[#This Row],[ID_H]]))</f>
        <v/>
      </c>
      <c r="AL38" s="38">
        <f ca="1">IF(NOTA[[#This Row],[TGL.NOTA]]="",IF(NOTA[[#This Row],[SUPPLIER_H]]="","",AL37),MONTH(NOTA[[#This Row],[TGL.NOTA]]))</f>
        <v>9</v>
      </c>
      <c r="AM3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38" t="str">
        <f>IF(NOTA[[#This Row],[CONCAT4]]="","",_xlfn.IFNA(MATCH(NOTA[[#This Row],[CONCAT4]],[2]!RAW[CONCAT_H],0),FALSE))</f>
        <v/>
      </c>
      <c r="AR38" s="38">
        <f>IF(NOTA[[#This Row],[CONCAT1]]="","",MATCH(NOTA[[#This Row],[CONCAT1]],[3]!db[NB NOTA_C],0))</f>
        <v>1343</v>
      </c>
      <c r="AS38" s="38" t="str">
        <f>IF(NOTA[[#This Row],[QTY/ CTN]]="","",TRUE)</f>
        <v/>
      </c>
      <c r="AT38" s="38" t="str">
        <f ca="1">IF(NOTA[[#This Row],[ID_H]]="","",IF(NOTA[[#This Row],[Column3]]=TRUE,NOTA[[#This Row],[QTY/ CTN]],INDEX([3]!db[QTY/ CTN],NOTA[[#This Row],[//DB]])))</f>
        <v>36 LSN</v>
      </c>
      <c r="AU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V38" s="38" t="e">
        <f ca="1">IF(NOTA[[#This Row],[ID_H]]="","",MATCH(NOTA[[#This Row],[NB NOTA_C_QTY]],[4]!db[NB NOTA_C_QTY+F],0))</f>
        <v>#REF!</v>
      </c>
      <c r="AW38" s="53">
        <f ca="1">IF(NOTA[[#This Row],[NB NOTA_C_QTY]]="","",ROW()-2)</f>
        <v>36</v>
      </c>
    </row>
    <row r="39" spans="1:49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F39" s="37"/>
      <c r="G39" s="37"/>
      <c r="H39" s="47"/>
      <c r="I39" s="37"/>
      <c r="J39" s="39"/>
      <c r="K39" s="37"/>
      <c r="L39" s="37" t="s">
        <v>149</v>
      </c>
      <c r="M39" s="40">
        <v>1</v>
      </c>
      <c r="O39" s="37"/>
      <c r="P39" s="41"/>
      <c r="Q39" s="42">
        <v>3801600</v>
      </c>
      <c r="R39" s="48"/>
      <c r="S39" s="49">
        <v>0.17</v>
      </c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3801600</v>
      </c>
      <c r="Y39" s="50">
        <f>IF(NOTA[[#This Row],[JUMLAH]]="","",NOTA[[#This Row],[JUMLAH]]*NOTA[[#This Row],[DISC 1]])</f>
        <v>646272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646272</v>
      </c>
      <c r="AC39" s="50">
        <f>IF(NOTA[[#This Row],[JUMLAH]]="","",NOTA[[#This Row],[JUMLAH]]-NOTA[[#This Row],[DISC]])</f>
        <v>3155328</v>
      </c>
      <c r="AD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G39" s="50" t="str">
        <f>IF(OR(NOTA[[#This Row],[QTY]]="",NOTA[[#This Row],[HARGA SATUAN]]="",),"",NOTA[[#This Row],[QTY]]*NOTA[[#This Row],[HARGA SATUAN]])</f>
        <v/>
      </c>
      <c r="AH39" s="39">
        <f ca="1">IF(NOTA[ID_H]="","",INDEX(NOTA[TANGGAL],MATCH(,INDIRECT(ADDRESS(ROW(NOTA[TANGGAL]),COLUMN(NOTA[TANGGAL]))&amp;":"&amp;ADDRESS(ROW(),COLUMN(NOTA[TANGGAL]))),-1)))</f>
        <v>45180</v>
      </c>
      <c r="AI39" s="41" t="str">
        <f ca="1">IF(NOTA[[#This Row],[NAMA BARANG]]="","",INDEX(NOTA[SUPPLIER],MATCH(,INDIRECT(ADDRESS(ROW(NOTA[ID]),COLUMN(NOTA[ID]))&amp;":"&amp;ADDRESS(ROW(),COLUMN(NOTA[ID]))),-1)))</f>
        <v>KENKO SINAR INDONESIA</v>
      </c>
      <c r="AJ39" s="41" t="str">
        <f ca="1">IF(NOTA[[#This Row],[ID_H]]="","",IF(NOTA[[#This Row],[FAKTUR]]="",INDIRECT(ADDRESS(ROW()-1,COLUMN())),NOTA[[#This Row],[FAKTUR]]))</f>
        <v>ARTO MORO</v>
      </c>
      <c r="AK39" s="38" t="str">
        <f ca="1">IF(NOTA[[#This Row],[ID]]="","",COUNTIF(NOTA[ID_H],NOTA[[#This Row],[ID_H]]))</f>
        <v/>
      </c>
      <c r="AL39" s="38">
        <f ca="1">IF(NOTA[[#This Row],[TGL.NOTA]]="",IF(NOTA[[#This Row],[SUPPLIER_H]]="","",AL38),MONTH(NOTA[[#This Row],[TGL.NOTA]]))</f>
        <v>9</v>
      </c>
      <c r="AM39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38" t="str">
        <f>IF(NOTA[[#This Row],[CONCAT4]]="","",_xlfn.IFNA(MATCH(NOTA[[#This Row],[CONCAT4]],[2]!RAW[CONCAT_H],0),FALSE))</f>
        <v/>
      </c>
      <c r="AR39" s="38">
        <f>IF(NOTA[[#This Row],[CONCAT1]]="","",MATCH(NOTA[[#This Row],[CONCAT1]],[3]!db[NB NOTA_C],0))</f>
        <v>1333</v>
      </c>
      <c r="AS39" s="38" t="str">
        <f>IF(NOTA[[#This Row],[QTY/ CTN]]="","",TRUE)</f>
        <v/>
      </c>
      <c r="AT39" s="38" t="str">
        <f ca="1">IF(NOTA[[#This Row],[ID_H]]="","",IF(NOTA[[#This Row],[Column3]]=TRUE,NOTA[[#This Row],[QTY/ CTN]],INDEX([3]!db[QTY/ CTN],NOTA[[#This Row],[//DB]])))</f>
        <v>24 BOX (24 SET)</v>
      </c>
      <c r="AU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V39" s="38" t="e">
        <f ca="1">IF(NOTA[[#This Row],[ID_H]]="","",MATCH(NOTA[[#This Row],[NB NOTA_C_QTY]],[4]!db[NB NOTA_C_QTY+F],0))</f>
        <v>#REF!</v>
      </c>
      <c r="AW39" s="53">
        <f ca="1">IF(NOTA[[#This Row],[NB NOTA_C_QTY]]="","",ROW()-2)</f>
        <v>37</v>
      </c>
    </row>
    <row r="40" spans="1:49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8</v>
      </c>
      <c r="E40" s="46"/>
      <c r="F40" s="37"/>
      <c r="G40" s="37"/>
      <c r="H40" s="47"/>
      <c r="I40" s="37"/>
      <c r="J40" s="39"/>
      <c r="K40" s="37"/>
      <c r="L40" s="37" t="s">
        <v>110</v>
      </c>
      <c r="M40" s="40">
        <v>5</v>
      </c>
      <c r="O40" s="37"/>
      <c r="P40" s="41"/>
      <c r="Q40" s="42">
        <v>2980800</v>
      </c>
      <c r="R40" s="48"/>
      <c r="S40" s="49">
        <v>0.17</v>
      </c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14904000</v>
      </c>
      <c r="Y40" s="50">
        <f>IF(NOTA[[#This Row],[JUMLAH]]="","",NOTA[[#This Row],[JUMLAH]]*NOTA[[#This Row],[DISC 1]])</f>
        <v>2533680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2533680</v>
      </c>
      <c r="AC40" s="50">
        <f>IF(NOTA[[#This Row],[JUMLAH]]="","",NOTA[[#This Row],[JUMLAH]]-NOTA[[#This Row],[DISC]])</f>
        <v>12370320</v>
      </c>
      <c r="AD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12250410</v>
      </c>
      <c r="AE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57596190</v>
      </c>
      <c r="AF40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40" s="50" t="str">
        <f>IF(OR(NOTA[[#This Row],[QTY]]="",NOTA[[#This Row],[HARGA SATUAN]]="",),"",NOTA[[#This Row],[QTY]]*NOTA[[#This Row],[HARGA SATUAN]])</f>
        <v/>
      </c>
      <c r="AH40" s="39">
        <f ca="1">IF(NOTA[ID_H]="","",INDEX(NOTA[TANGGAL],MATCH(,INDIRECT(ADDRESS(ROW(NOTA[TANGGAL]),COLUMN(NOTA[TANGGAL]))&amp;":"&amp;ADDRESS(ROW(),COLUMN(NOTA[TANGGAL]))),-1)))</f>
        <v>45180</v>
      </c>
      <c r="AI40" s="41" t="str">
        <f ca="1">IF(NOTA[[#This Row],[NAMA BARANG]]="","",INDEX(NOTA[SUPPLIER],MATCH(,INDIRECT(ADDRESS(ROW(NOTA[ID]),COLUMN(NOTA[ID]))&amp;":"&amp;ADDRESS(ROW(),COLUMN(NOTA[ID]))),-1)))</f>
        <v>KENKO SINAR INDONESIA</v>
      </c>
      <c r="AJ40" s="41" t="str">
        <f ca="1">IF(NOTA[[#This Row],[ID_H]]="","",IF(NOTA[[#This Row],[FAKTUR]]="",INDIRECT(ADDRESS(ROW()-1,COLUMN())),NOTA[[#This Row],[FAKTUR]]))</f>
        <v>ARTO MORO</v>
      </c>
      <c r="AK40" s="38" t="str">
        <f ca="1">IF(NOTA[[#This Row],[ID]]="","",COUNTIF(NOTA[ID_H],NOTA[[#This Row],[ID_H]]))</f>
        <v/>
      </c>
      <c r="AL40" s="38">
        <f ca="1">IF(NOTA[[#This Row],[TGL.NOTA]]="",IF(NOTA[[#This Row],[SUPPLIER_H]]="","",AL39),MONTH(NOTA[[#This Row],[TGL.NOTA]]))</f>
        <v>9</v>
      </c>
      <c r="AM40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38" t="str">
        <f>IF(NOTA[[#This Row],[CONCAT4]]="","",_xlfn.IFNA(MATCH(NOTA[[#This Row],[CONCAT4]],[2]!RAW[CONCAT_H],0),FALSE))</f>
        <v/>
      </c>
      <c r="AR40" s="38">
        <f>IF(NOTA[[#This Row],[CONCAT1]]="","",MATCH(NOTA[[#This Row],[CONCAT1]],[3]!db[NB NOTA_C],0))</f>
        <v>1265</v>
      </c>
      <c r="AS40" s="38" t="str">
        <f>IF(NOTA[[#This Row],[QTY/ CTN]]="","",TRUE)</f>
        <v/>
      </c>
      <c r="AT40" s="38" t="str">
        <f ca="1">IF(NOTA[[#This Row],[ID_H]]="","",IF(NOTA[[#This Row],[Column3]]=TRUE,NOTA[[#This Row],[QTY/ CTN]],INDEX([3]!db[QTY/ CTN],NOTA[[#This Row],[//DB]])))</f>
        <v>24 LSN</v>
      </c>
      <c r="AU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40" s="38" t="e">
        <f ca="1">IF(NOTA[[#This Row],[ID_H]]="","",MATCH(NOTA[[#This Row],[NB NOTA_C_QTY]],[4]!db[NB NOTA_C_QTY+F],0))</f>
        <v>#REF!</v>
      </c>
      <c r="AW40" s="53">
        <f ca="1">IF(NOTA[[#This Row],[NB NOTA_C_QTY]]="","",ROW()-2)</f>
        <v>38</v>
      </c>
    </row>
    <row r="41" spans="1:49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 t="str">
        <f ca="1">IF(NOTA[[#This Row],[NAMA BARANG]]="","",INDEX(NOTA[ID],MATCH(,INDIRECT(ADDRESS(ROW(NOTA[ID]),COLUMN(NOTA[ID]))&amp;":"&amp;ADDRESS(ROW(),COLUMN(NOTA[ID]))),-1)))</f>
        <v/>
      </c>
      <c r="E41" s="46"/>
      <c r="F41" s="37"/>
      <c r="G41" s="37"/>
      <c r="H41" s="47"/>
      <c r="I41" s="37"/>
      <c r="J41" s="39"/>
      <c r="K41" s="37"/>
      <c r="L41" s="37"/>
      <c r="M41" s="40"/>
      <c r="O41" s="37"/>
      <c r="P41" s="41"/>
      <c r="Q41" s="42"/>
      <c r="R41" s="48"/>
      <c r="S41" s="49"/>
      <c r="T41" s="44"/>
      <c r="U41" s="44"/>
      <c r="V41" s="50"/>
      <c r="W41" s="45"/>
      <c r="X41" s="50" t="str">
        <f>IF(NOTA[[#This Row],[HARGA/ CTN]]="",NOTA[[#This Row],[JUMLAH_H]],NOTA[[#This Row],[HARGA/ CTN]]*IF(NOTA[[#This Row],[C]]="",0,NOTA[[#This Row],[C]]))</f>
        <v/>
      </c>
      <c r="Y41" s="50" t="str">
        <f>IF(NOTA[[#This Row],[JUMLAH]]="","",NOTA[[#This Row],[JUMLAH]]*NOTA[[#This Row],[DISC 1]])</f>
        <v/>
      </c>
      <c r="Z41" s="50" t="str">
        <f>IF(NOTA[[#This Row],[JUMLAH]]="","",(NOTA[[#This Row],[JUMLAH]]-NOTA[[#This Row],[DISC 1-]])*NOTA[[#This Row],[DISC 2]])</f>
        <v/>
      </c>
      <c r="AA41" s="50" t="str">
        <f>IF(NOTA[[#This Row],[JUMLAH]]="","",(NOTA[[#This Row],[JUMLAH]]-NOTA[[#This Row],[DISC 1-]]-NOTA[[#This Row],[DISC 2-]])*NOTA[[#This Row],[DISC 3]])</f>
        <v/>
      </c>
      <c r="AB41" s="50" t="str">
        <f>IF(NOTA[[#This Row],[JUMLAH]]="","",NOTA[[#This Row],[DISC 1-]]+NOTA[[#This Row],[DISC 2-]]+NOTA[[#This Row],[DISC 3-]])</f>
        <v/>
      </c>
      <c r="AC41" s="50" t="str">
        <f>IF(NOTA[[#This Row],[JUMLAH]]="","",NOTA[[#This Row],[JUMLAH]]-NOTA[[#This Row],[DISC]])</f>
        <v/>
      </c>
      <c r="AD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" s="50" t="str">
        <f>IF(OR(NOTA[[#This Row],[QTY]]="",NOTA[[#This Row],[HARGA SATUAN]]="",),"",NOTA[[#This Row],[QTY]]*NOTA[[#This Row],[HARGA SATUAN]])</f>
        <v/>
      </c>
      <c r="AH41" s="39" t="str">
        <f ca="1">IF(NOTA[ID_H]="","",INDEX(NOTA[TANGGAL],MATCH(,INDIRECT(ADDRESS(ROW(NOTA[TANGGAL]),COLUMN(NOTA[TANGGAL]))&amp;":"&amp;ADDRESS(ROW(),COLUMN(NOTA[TANGGAL]))),-1)))</f>
        <v/>
      </c>
      <c r="AI41" s="41" t="str">
        <f ca="1">IF(NOTA[[#This Row],[NAMA BARANG]]="","",INDEX(NOTA[SUPPLIER],MATCH(,INDIRECT(ADDRESS(ROW(NOTA[ID]),COLUMN(NOTA[ID]))&amp;":"&amp;ADDRESS(ROW(),COLUMN(NOTA[ID]))),-1)))</f>
        <v/>
      </c>
      <c r="AJ41" s="41" t="str">
        <f ca="1">IF(NOTA[[#This Row],[ID_H]]="","",IF(NOTA[[#This Row],[FAKTUR]]="",INDIRECT(ADDRESS(ROW()-1,COLUMN())),NOTA[[#This Row],[FAKTUR]]))</f>
        <v/>
      </c>
      <c r="AK41" s="38" t="str">
        <f ca="1">IF(NOTA[[#This Row],[ID]]="","",COUNTIF(NOTA[ID_H],NOTA[[#This Row],[ID_H]]))</f>
        <v/>
      </c>
      <c r="AL41" s="38" t="str">
        <f ca="1">IF(NOTA[[#This Row],[TGL.NOTA]]="",IF(NOTA[[#This Row],[SUPPLIER_H]]="","",AL40),MONTH(NOTA[[#This Row],[TGL.NOTA]]))</f>
        <v/>
      </c>
      <c r="AM41" s="38" t="str">
        <f>LOWER(SUBSTITUTE(SUBSTITUTE(SUBSTITUTE(SUBSTITUTE(SUBSTITUTE(SUBSTITUTE(SUBSTITUTE(SUBSTITUTE(SUBSTITUTE(NOTA[NAMA BARANG]," ",),".",""),"-",""),"(",""),")",""),",",""),"/",""),"""",""),"+",""))</f>
        <v/>
      </c>
      <c r="AN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38" t="str">
        <f>IF(NOTA[[#This Row],[CONCAT4]]="","",_xlfn.IFNA(MATCH(NOTA[[#This Row],[CONCAT4]],[2]!RAW[CONCAT_H],0),FALSE))</f>
        <v/>
      </c>
      <c r="AR41" s="38" t="str">
        <f>IF(NOTA[[#This Row],[CONCAT1]]="","",MATCH(NOTA[[#This Row],[CONCAT1]],[3]!db[NB NOTA_C],0))</f>
        <v/>
      </c>
      <c r="AS41" s="38" t="str">
        <f>IF(NOTA[[#This Row],[QTY/ CTN]]="","",TRUE)</f>
        <v/>
      </c>
      <c r="AT41" s="38" t="str">
        <f ca="1">IF(NOTA[[#This Row],[ID_H]]="","",IF(NOTA[[#This Row],[Column3]]=TRUE,NOTA[[#This Row],[QTY/ CTN]],INDEX([3]!db[QTY/ CTN],NOTA[[#This Row],[//DB]])))</f>
        <v/>
      </c>
      <c r="AU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" s="38" t="str">
        <f ca="1">IF(NOTA[[#This Row],[ID_H]]="","",MATCH(NOTA[[#This Row],[NB NOTA_C_QTY]],[4]!db[NB NOTA_C_QTY+F],0))</f>
        <v/>
      </c>
      <c r="AW41" s="53" t="str">
        <f ca="1">IF(NOTA[[#This Row],[NB NOTA_C_QTY]]="","",ROW()-2)</f>
        <v/>
      </c>
    </row>
    <row r="42" spans="1:49" s="38" customFormat="1" ht="20.100000000000001" customHeight="1" x14ac:dyDescent="0.25">
      <c r="A4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KEN_1109_747-2</v>
      </c>
      <c r="C42" s="38" t="e">
        <f ca="1">IF(NOTA[[#This Row],[ID_P]]="","",MATCH(NOTA[[#This Row],[ID_P]],[1]!B_MSK[N_ID],0))</f>
        <v>#REF!</v>
      </c>
      <c r="D42" s="38">
        <f ca="1">IF(NOTA[[#This Row],[NAMA BARANG]]="","",INDEX(NOTA[ID],MATCH(,INDIRECT(ADDRESS(ROW(NOTA[ID]),COLUMN(NOTA[ID]))&amp;":"&amp;ADDRESS(ROW(),COLUMN(NOTA[ID]))),-1)))</f>
        <v>9</v>
      </c>
      <c r="E42" s="46"/>
      <c r="F42" s="37" t="s">
        <v>22</v>
      </c>
      <c r="G42" s="37" t="s">
        <v>23</v>
      </c>
      <c r="H42" s="47" t="s">
        <v>151</v>
      </c>
      <c r="I42" s="37"/>
      <c r="J42" s="39">
        <v>45177</v>
      </c>
      <c r="K42" s="37"/>
      <c r="L42" s="37" t="s">
        <v>153</v>
      </c>
      <c r="M42" s="40">
        <v>2</v>
      </c>
      <c r="O42" s="37"/>
      <c r="P42" s="41"/>
      <c r="Q42" s="42">
        <v>1500000</v>
      </c>
      <c r="R42" s="48"/>
      <c r="S42" s="49">
        <v>0.17</v>
      </c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3000000</v>
      </c>
      <c r="Y42" s="50">
        <f>IF(NOTA[[#This Row],[JUMLAH]]="","",NOTA[[#This Row],[JUMLAH]]*NOTA[[#This Row],[DISC 1]])</f>
        <v>510000.00000000006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510000.00000000006</v>
      </c>
      <c r="AC42" s="50">
        <f>IF(NOTA[[#This Row],[JUMLAH]]="","",NOTA[[#This Row],[JUMLAH]]-NOTA[[#This Row],[DISC]])</f>
        <v>2490000</v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G42" s="50" t="str">
        <f>IF(OR(NOTA[[#This Row],[QTY]]="",NOTA[[#This Row],[HARGA SATUAN]]="",),"",NOTA[[#This Row],[QTY]]*NOTA[[#This Row],[HARGA SATUAN]])</f>
        <v/>
      </c>
      <c r="AH42" s="39">
        <f ca="1">IF(NOTA[ID_H]="","",INDEX(NOTA[TANGGAL],MATCH(,INDIRECT(ADDRESS(ROW(NOTA[TANGGAL]),COLUMN(NOTA[TANGGAL]))&amp;":"&amp;ADDRESS(ROW(),COLUMN(NOTA[TANGGAL]))),-1)))</f>
        <v>45180</v>
      </c>
      <c r="AI42" s="41" t="str">
        <f ca="1">IF(NOTA[[#This Row],[NAMA BARANG]]="","",INDEX(NOTA[SUPPLIER],MATCH(,INDIRECT(ADDRESS(ROW(NOTA[ID]),COLUMN(NOTA[ID]))&amp;":"&amp;ADDRESS(ROW(),COLUMN(NOTA[ID]))),-1)))</f>
        <v>KENKO SINAR INDONESIA</v>
      </c>
      <c r="AJ42" s="41" t="str">
        <f ca="1">IF(NOTA[[#This Row],[ID_H]]="","",IF(NOTA[[#This Row],[FAKTUR]]="",INDIRECT(ADDRESS(ROW()-1,COLUMN())),NOTA[[#This Row],[FAKTUR]]))</f>
        <v>ARTO MORO</v>
      </c>
      <c r="AK42" s="38">
        <f ca="1">IF(NOTA[[#This Row],[ID]]="","",COUNTIF(NOTA[ID_H],NOTA[[#This Row],[ID_H]]))</f>
        <v>2</v>
      </c>
      <c r="AL42" s="38">
        <f>IF(NOTA[[#This Row],[TGL.NOTA]]="",IF(NOTA[[#This Row],[SUPPLIER_H]]="","",AL41),MONTH(NOTA[[#This Row],[TGL.NOTA]]))</f>
        <v>9</v>
      </c>
      <c r="AM42" s="38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4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MORO2309074745177kenkoerasererb20sqblack</v>
      </c>
      <c r="AQ42" s="38" t="e">
        <f>IF(NOTA[[#This Row],[CONCAT4]]="","",_xlfn.IFNA(MATCH(NOTA[[#This Row],[CONCAT4]],[2]!RAW[CONCAT_H],0),FALSE))</f>
        <v>#REF!</v>
      </c>
      <c r="AR42" s="38">
        <f>IF(NOTA[[#This Row],[CONCAT1]]="","",MATCH(NOTA[[#This Row],[CONCAT1]],[3]!db[NB NOTA_C],0))</f>
        <v>1396</v>
      </c>
      <c r="AS42" s="38" t="str">
        <f>IF(NOTA[[#This Row],[QTY/ CTN]]="","",TRUE)</f>
        <v/>
      </c>
      <c r="AT42" s="38" t="str">
        <f ca="1">IF(NOTA[[#This Row],[ID_H]]="","",IF(NOTA[[#This Row],[Column3]]=TRUE,NOTA[[#This Row],[QTY/ CTN]],INDEX([3]!db[QTY/ CTN],NOTA[[#This Row],[//DB]])))</f>
        <v>50 BOX</v>
      </c>
      <c r="AU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kenkoerasererb20sqblack50boxartomoro</v>
      </c>
      <c r="AV42" s="38" t="e">
        <f ca="1">IF(NOTA[[#This Row],[ID_H]]="","",MATCH(NOTA[[#This Row],[NB NOTA_C_QTY]],[4]!db[NB NOTA_C_QTY+F],0))</f>
        <v>#REF!</v>
      </c>
      <c r="AW42" s="53">
        <f ca="1">IF(NOTA[[#This Row],[NB NOTA_C_QTY]]="","",ROW()-2)</f>
        <v>40</v>
      </c>
    </row>
    <row r="43" spans="1:49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>
        <f ca="1">IF(NOTA[[#This Row],[NAMA BARANG]]="","",INDEX(NOTA[ID],MATCH(,INDIRECT(ADDRESS(ROW(NOTA[ID]),COLUMN(NOTA[ID]))&amp;":"&amp;ADDRESS(ROW(),COLUMN(NOTA[ID]))),-1)))</f>
        <v>9</v>
      </c>
      <c r="E43" s="46"/>
      <c r="F43" s="37"/>
      <c r="G43" s="37"/>
      <c r="H43" s="47"/>
      <c r="I43" s="37"/>
      <c r="J43" s="39"/>
      <c r="K43" s="37"/>
      <c r="L43" s="37" t="s">
        <v>152</v>
      </c>
      <c r="M43" s="40">
        <v>2</v>
      </c>
      <c r="O43" s="37"/>
      <c r="P43" s="41"/>
      <c r="Q43" s="42">
        <v>1375000</v>
      </c>
      <c r="R43" s="48"/>
      <c r="S43" s="49">
        <v>0.17</v>
      </c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2750000</v>
      </c>
      <c r="Y43" s="50">
        <f>IF(NOTA[[#This Row],[JUMLAH]]="","",NOTA[[#This Row],[JUMLAH]]*NOTA[[#This Row],[DISC 1]])</f>
        <v>467500.00000000006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467500.00000000006</v>
      </c>
      <c r="AC43" s="50">
        <f>IF(NOTA[[#This Row],[JUMLAH]]="","",NOTA[[#This Row],[JUMLAH]]-NOTA[[#This Row],[DISC]])</f>
        <v>2282500</v>
      </c>
      <c r="AD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977500.00000000012</v>
      </c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4772500</v>
      </c>
      <c r="AF43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G43" s="50" t="str">
        <f>IF(OR(NOTA[[#This Row],[QTY]]="",NOTA[[#This Row],[HARGA SATUAN]]="",),"",NOTA[[#This Row],[QTY]]*NOTA[[#This Row],[HARGA SATUAN]])</f>
        <v/>
      </c>
      <c r="AH43" s="39">
        <f ca="1">IF(NOTA[ID_H]="","",INDEX(NOTA[TANGGAL],MATCH(,INDIRECT(ADDRESS(ROW(NOTA[TANGGAL]),COLUMN(NOTA[TANGGAL]))&amp;":"&amp;ADDRESS(ROW(),COLUMN(NOTA[TANGGAL]))),-1)))</f>
        <v>45180</v>
      </c>
      <c r="AI43" s="41" t="str">
        <f ca="1">IF(NOTA[[#This Row],[NAMA BARANG]]="","",INDEX(NOTA[SUPPLIER],MATCH(,INDIRECT(ADDRESS(ROW(NOTA[ID]),COLUMN(NOTA[ID]))&amp;":"&amp;ADDRESS(ROW(),COLUMN(NOTA[ID]))),-1)))</f>
        <v>KENKO SINAR INDONESIA</v>
      </c>
      <c r="AJ43" s="41" t="str">
        <f ca="1">IF(NOTA[[#This Row],[ID_H]]="","",IF(NOTA[[#This Row],[FAKTUR]]="",INDIRECT(ADDRESS(ROW()-1,COLUMN())),NOTA[[#This Row],[FAKTUR]]))</f>
        <v>ARTO MORO</v>
      </c>
      <c r="AK43" s="38" t="str">
        <f ca="1">IF(NOTA[[#This Row],[ID]]="","",COUNTIF(NOTA[ID_H],NOTA[[#This Row],[ID_H]]))</f>
        <v/>
      </c>
      <c r="AL43" s="38">
        <f ca="1">IF(NOTA[[#This Row],[TGL.NOTA]]="",IF(NOTA[[#This Row],[SUPPLIER_H]]="","",AL42),MONTH(NOTA[[#This Row],[TGL.NOTA]]))</f>
        <v>9</v>
      </c>
      <c r="AM43" s="38" t="str">
        <f>LOWER(SUBSTITUTE(SUBSTITUTE(SUBSTITUTE(SUBSTITUTE(SUBSTITUTE(SUBSTITUTE(SUBSTITUTE(SUBSTITUTE(SUBSTITUTE(NOTA[NAMA BARANG]," ",),".",""),"-",""),"(",""),")",""),",",""),"/",""),"""",""),"+",""))</f>
        <v>kenkoerasererb40sqblack</v>
      </c>
      <c r="AN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kenkoerasererb40sqblack13750000.17</v>
      </c>
      <c r="AO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kenkoerasererb40sqblack13750000.17</v>
      </c>
      <c r="AP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38" t="str">
        <f>IF(NOTA[[#This Row],[CONCAT4]]="","",_xlfn.IFNA(MATCH(NOTA[[#This Row],[CONCAT4]],[2]!RAW[CONCAT_H],0),FALSE))</f>
        <v/>
      </c>
      <c r="AR43" s="38">
        <f>IF(NOTA[[#This Row],[CONCAT1]]="","",MATCH(NOTA[[#This Row],[CONCAT1]],[3]!db[NB NOTA_C],0))</f>
        <v>1397</v>
      </c>
      <c r="AS43" s="38" t="str">
        <f>IF(NOTA[[#This Row],[QTY/ CTN]]="","",TRUE)</f>
        <v/>
      </c>
      <c r="AT43" s="38" t="str">
        <f ca="1">IF(NOTA[[#This Row],[ID_H]]="","",IF(NOTA[[#This Row],[Column3]]=TRUE,NOTA[[#This Row],[QTY/ CTN]],INDEX([3]!db[QTY/ CTN],NOTA[[#This Row],[//DB]])))</f>
        <v>50 BOX</v>
      </c>
      <c r="AU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kenkoerasererb40sqblack50boxartomoro</v>
      </c>
      <c r="AV43" s="38" t="e">
        <f ca="1">IF(NOTA[[#This Row],[ID_H]]="","",MATCH(NOTA[[#This Row],[NB NOTA_C_QTY]],[4]!db[NB NOTA_C_QTY+F],0))</f>
        <v>#REF!</v>
      </c>
      <c r="AW43" s="53">
        <f ca="1">IF(NOTA[[#This Row],[NB NOTA_C_QTY]]="","",ROW()-2)</f>
        <v>41</v>
      </c>
    </row>
    <row r="44" spans="1:49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4" s="50" t="str">
        <f>IF(OR(NOTA[[#This Row],[QTY]]="",NOTA[[#This Row],[HARGA SATUAN]]="",),"",NOTA[[#This Row],[QTY]]*NOTA[[#This Row],[HARGA SATUAN]])</f>
        <v/>
      </c>
      <c r="AH44" s="39" t="str">
        <f ca="1">IF(NOTA[ID_H]="","",INDEX(NOTA[TANGGAL],MATCH(,INDIRECT(ADDRESS(ROW(NOTA[TANGGAL]),COLUMN(NOTA[TANGGAL]))&amp;":"&amp;ADDRESS(ROW(),COLUMN(NOTA[TANGGAL]))),-1)))</f>
        <v/>
      </c>
      <c r="AI44" s="41" t="str">
        <f ca="1">IF(NOTA[[#This Row],[NAMA BARANG]]="","",INDEX(NOTA[SUPPLIER],MATCH(,INDIRECT(ADDRESS(ROW(NOTA[ID]),COLUMN(NOTA[ID]))&amp;":"&amp;ADDRESS(ROW(),COLUMN(NOTA[ID]))),-1)))</f>
        <v/>
      </c>
      <c r="AJ44" s="41" t="str">
        <f ca="1">IF(NOTA[[#This Row],[ID_H]]="","",IF(NOTA[[#This Row],[FAKTUR]]="",INDIRECT(ADDRESS(ROW()-1,COLUMN())),NOTA[[#This Row],[FAKTUR]]))</f>
        <v/>
      </c>
      <c r="AK44" s="38" t="str">
        <f ca="1">IF(NOTA[[#This Row],[ID]]="","",COUNTIF(NOTA[ID_H],NOTA[[#This Row],[ID_H]]))</f>
        <v/>
      </c>
      <c r="AL44" s="38" t="str">
        <f ca="1">IF(NOTA[[#This Row],[TGL.NOTA]]="",IF(NOTA[[#This Row],[SUPPLIER_H]]="","",AL43),MONTH(NOTA[[#This Row],[TGL.NOTA]]))</f>
        <v/>
      </c>
      <c r="AM44" s="38" t="str">
        <f>LOWER(SUBSTITUTE(SUBSTITUTE(SUBSTITUTE(SUBSTITUTE(SUBSTITUTE(SUBSTITUTE(SUBSTITUTE(SUBSTITUTE(SUBSTITUTE(NOTA[NAMA BARANG]," ",),".",""),"-",""),"(",""),")",""),",",""),"/",""),"""",""),"+",""))</f>
        <v/>
      </c>
      <c r="AN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" s="38" t="str">
        <f>IF(NOTA[[#This Row],[CONCAT4]]="","",_xlfn.IFNA(MATCH(NOTA[[#This Row],[CONCAT4]],[2]!RAW[CONCAT_H],0),FALSE))</f>
        <v/>
      </c>
      <c r="AR44" s="38" t="str">
        <f>IF(NOTA[[#This Row],[CONCAT1]]="","",MATCH(NOTA[[#This Row],[CONCAT1]],[3]!db[NB NOTA_C],0))</f>
        <v/>
      </c>
      <c r="AS44" s="38" t="str">
        <f>IF(NOTA[[#This Row],[QTY/ CTN]]="","",TRUE)</f>
        <v/>
      </c>
      <c r="AT44" s="38" t="str">
        <f ca="1">IF(NOTA[[#This Row],[ID_H]]="","",IF(NOTA[[#This Row],[Column3]]=TRUE,NOTA[[#This Row],[QTY/ CTN]],INDEX([3]!db[QTY/ CTN],NOTA[[#This Row],[//DB]])))</f>
        <v/>
      </c>
      <c r="AU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4" s="38" t="str">
        <f ca="1">IF(NOTA[[#This Row],[ID_H]]="","",MATCH(NOTA[[#This Row],[NB NOTA_C_QTY]],[4]!db[NB NOTA_C_QTY+F],0))</f>
        <v/>
      </c>
      <c r="AW44" s="53" t="str">
        <f ca="1">IF(NOTA[[#This Row],[NB NOTA_C_QTY]]="","",ROW()-2)</f>
        <v/>
      </c>
    </row>
    <row r="45" spans="1:49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KEN_1209_817-10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10</v>
      </c>
      <c r="E45" s="46">
        <v>45181</v>
      </c>
      <c r="F45" s="37" t="s">
        <v>22</v>
      </c>
      <c r="G45" s="37" t="s">
        <v>23</v>
      </c>
      <c r="H45" s="47" t="s">
        <v>154</v>
      </c>
      <c r="I45" s="37"/>
      <c r="J45" s="39">
        <v>45178</v>
      </c>
      <c r="K45" s="37"/>
      <c r="L45" s="37" t="s">
        <v>703</v>
      </c>
      <c r="M45" s="40">
        <v>1</v>
      </c>
      <c r="O45" s="37"/>
      <c r="P45" s="41"/>
      <c r="Q45" s="42">
        <v>852000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852000</v>
      </c>
      <c r="Y45" s="50">
        <f>IF(NOTA[[#This Row],[JUMLAH]]="","",NOTA[[#This Row],[JUMLAH]]*NOTA[[#This Row],[DISC 1]])</f>
        <v>144840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144840</v>
      </c>
      <c r="AC45" s="50">
        <f>IF(NOTA[[#This Row],[JUMLAH]]="","",NOTA[[#This Row],[JUMLAH]]-NOTA[[#This Row],[DISC]])</f>
        <v>707160</v>
      </c>
      <c r="AD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" s="41">
        <f>IF(NOTA[[#This Row],[NAMA BARANG]]="","",IF(NOTA[[#This Row],[JUMLAH_H]]="",NOTA[[#This Row],[HARGA/ CTN]],NOTA[[#This Row],[QTY]]*NOTA[[#This Row],[HARGA SATUAN]]/IF(ISNUMBER(NOTA[[#This Row],[C]]),NOTA[[#This Row],[C]],1)))</f>
        <v>852000</v>
      </c>
      <c r="AG45" s="50" t="str">
        <f>IF(OR(NOTA[[#This Row],[QTY]]="",NOTA[[#This Row],[HARGA SATUAN]]="",),"",NOTA[[#This Row],[QTY]]*NOTA[[#This Row],[HARGA SATUAN]])</f>
        <v/>
      </c>
      <c r="AH45" s="39">
        <f ca="1">IF(NOTA[ID_H]="","",INDEX(NOTA[TANGGAL],MATCH(,INDIRECT(ADDRESS(ROW(NOTA[TANGGAL]),COLUMN(NOTA[TANGGAL]))&amp;":"&amp;ADDRESS(ROW(),COLUMN(NOTA[TANGGAL]))),-1)))</f>
        <v>45181</v>
      </c>
      <c r="AI45" s="41" t="str">
        <f ca="1">IF(NOTA[[#This Row],[NAMA BARANG]]="","",INDEX(NOTA[SUPPLIER],MATCH(,INDIRECT(ADDRESS(ROW(NOTA[ID]),COLUMN(NOTA[ID]))&amp;":"&amp;ADDRESS(ROW(),COLUMN(NOTA[ID]))),-1)))</f>
        <v>KENKO SINAR INDONESIA</v>
      </c>
      <c r="AJ45" s="41" t="str">
        <f ca="1">IF(NOTA[[#This Row],[ID_H]]="","",IF(NOTA[[#This Row],[FAKTUR]]="",INDIRECT(ADDRESS(ROW()-1,COLUMN())),NOTA[[#This Row],[FAKTUR]]))</f>
        <v>ARTO MORO</v>
      </c>
      <c r="AK45" s="38">
        <f ca="1">IF(NOTA[[#This Row],[ID]]="","",COUNTIF(NOTA[ID_H],NOTA[[#This Row],[ID_H]]))</f>
        <v>10</v>
      </c>
      <c r="AL45" s="38">
        <f>IF(NOTA[[#This Row],[TGL.NOTA]]="",IF(NOTA[[#This Row],[SUPPLIER_H]]="","",AL44),MONTH(NOTA[[#This Row],[TGL.NOTA]]))</f>
        <v>9</v>
      </c>
      <c r="AM45" s="38" t="str">
        <f>LOWER(SUBSTITUTE(SUBSTITUTE(SUBSTITUTE(SUBSTITUTE(SUBSTITUTE(SUBSTITUTE(SUBSTITUTE(SUBSTITUTE(SUBSTITUTE(NOTA[NAMA BARANG]," ",),".",""),"-",""),"(",""),")",""),",",""),"/",""),"""",""),"+",""))</f>
        <v>kenkoclothtape36mmredcoresqblack</v>
      </c>
      <c r="AN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kenkoclothtape36mmredcoresqblack8520000.17</v>
      </c>
      <c r="AO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kenkoclothtape36mmredcoresqblack8520000.17</v>
      </c>
      <c r="AP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MORO2309081745178kenkoclothtape36mmredcoresqblack</v>
      </c>
      <c r="AQ45" s="38" t="e">
        <f>IF(NOTA[[#This Row],[CONCAT4]]="","",_xlfn.IFNA(MATCH(NOTA[[#This Row],[CONCAT4]],[2]!RAW[CONCAT_H],0),FALSE))</f>
        <v>#REF!</v>
      </c>
      <c r="AR45" s="38">
        <f>IF(NOTA[[#This Row],[CONCAT1]]="","",MATCH(NOTA[[#This Row],[CONCAT1]],[3]!db[NB NOTA_C],0))</f>
        <v>1324</v>
      </c>
      <c r="AS45" s="38" t="str">
        <f>IF(NOTA[[#This Row],[QTY/ CTN]]="","",TRUE)</f>
        <v/>
      </c>
      <c r="AT45" s="38" t="str">
        <f ca="1">IF(NOTA[[#This Row],[ID_H]]="","",IF(NOTA[[#This Row],[Column3]]=TRUE,NOTA[[#This Row],[QTY/ CTN]],INDEX([3]!db[QTY/ CTN],NOTA[[#This Row],[//DB]])))</f>
        <v>80 ROL</v>
      </c>
      <c r="AU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kenkoclothtape36mmredcoresqblack80rolartomoro</v>
      </c>
      <c r="AV45" s="38" t="e">
        <f ca="1">IF(NOTA[[#This Row],[ID_H]]="","",MATCH(NOTA[[#This Row],[NB NOTA_C_QTY]],[4]!db[NB NOTA_C_QTY+F],0))</f>
        <v>#REF!</v>
      </c>
      <c r="AW45" s="53">
        <f ca="1">IF(NOTA[[#This Row],[NB NOTA_C_QTY]]="","",ROW()-2)</f>
        <v>43</v>
      </c>
    </row>
    <row r="46" spans="1:49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10</v>
      </c>
      <c r="E46" s="46"/>
      <c r="F46" s="37"/>
      <c r="G46" s="37"/>
      <c r="H46" s="47"/>
      <c r="I46" s="37"/>
      <c r="J46" s="39"/>
      <c r="K46" s="37"/>
      <c r="L46" s="37" t="s">
        <v>155</v>
      </c>
      <c r="M46" s="40">
        <v>4</v>
      </c>
      <c r="O46" s="37"/>
      <c r="P46" s="41"/>
      <c r="Q46" s="42">
        <v>1695600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6782400</v>
      </c>
      <c r="Y46" s="50">
        <f>IF(NOTA[[#This Row],[JUMLAH]]="","",NOTA[[#This Row],[JUMLAH]]*NOTA[[#This Row],[DISC 1]])</f>
        <v>1153008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1153008</v>
      </c>
      <c r="AC46" s="50">
        <f>IF(NOTA[[#This Row],[JUMLAH]]="","",NOTA[[#This Row],[JUMLAH]]-NOTA[[#This Row],[DISC]])</f>
        <v>5629392</v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46" s="50" t="str">
        <f>IF(OR(NOTA[[#This Row],[QTY]]="",NOTA[[#This Row],[HARGA SATUAN]]="",),"",NOTA[[#This Row],[QTY]]*NOTA[[#This Row],[HARGA SATUAN]])</f>
        <v/>
      </c>
      <c r="AH46" s="39">
        <f ca="1">IF(NOTA[ID_H]="","",INDEX(NOTA[TANGGAL],MATCH(,INDIRECT(ADDRESS(ROW(NOTA[TANGGAL]),COLUMN(NOTA[TANGGAL]))&amp;":"&amp;ADDRESS(ROW(),COLUMN(NOTA[TANGGAL]))),-1)))</f>
        <v>45181</v>
      </c>
      <c r="AI46" s="41" t="str">
        <f ca="1">IF(NOTA[[#This Row],[NAMA BARANG]]="","",INDEX(NOTA[SUPPLIER],MATCH(,INDIRECT(ADDRESS(ROW(NOTA[ID]),COLUMN(NOTA[ID]))&amp;":"&amp;ADDRESS(ROW(),COLUMN(NOTA[ID]))),-1)))</f>
        <v>KENKO SINAR INDONESIA</v>
      </c>
      <c r="AJ46" s="41" t="str">
        <f ca="1">IF(NOTA[[#This Row],[ID_H]]="","",IF(NOTA[[#This Row],[FAKTUR]]="",INDIRECT(ADDRESS(ROW()-1,COLUMN())),NOTA[[#This Row],[FAKTUR]]))</f>
        <v>ARTO MORO</v>
      </c>
      <c r="AK46" s="38" t="str">
        <f ca="1">IF(NOTA[[#This Row],[ID]]="","",COUNTIF(NOTA[ID_H],NOTA[[#This Row],[ID_H]]))</f>
        <v/>
      </c>
      <c r="AL46" s="38">
        <f ca="1">IF(NOTA[[#This Row],[TGL.NOTA]]="",IF(NOTA[[#This Row],[SUPPLIER_H]]="","",AL45),MONTH(NOTA[[#This Row],[TGL.NOTA]]))</f>
        <v>9</v>
      </c>
      <c r="AM4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38" t="str">
        <f>IF(NOTA[[#This Row],[CONCAT4]]="","",_xlfn.IFNA(MATCH(NOTA[[#This Row],[CONCAT4]],[2]!RAW[CONCAT_H],0),FALSE))</f>
        <v/>
      </c>
      <c r="AR46" s="38">
        <f>IF(NOTA[[#This Row],[CONCAT1]]="","",MATCH(NOTA[[#This Row],[CONCAT1]],[3]!db[NB NOTA_C],0))</f>
        <v>1345</v>
      </c>
      <c r="AS46" s="38" t="str">
        <f>IF(NOTA[[#This Row],[QTY/ CTN]]="","",TRUE)</f>
        <v/>
      </c>
      <c r="AT46" s="38" t="str">
        <f ca="1">IF(NOTA[[#This Row],[ID_H]]="","",IF(NOTA[[#This Row],[Column3]]=TRUE,NOTA[[#This Row],[QTY/ CTN]],INDEX([3]!db[QTY/ CTN],NOTA[[#This Row],[//DB]])))</f>
        <v>36 LSN</v>
      </c>
      <c r="AU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46" s="38" t="e">
        <f ca="1">IF(NOTA[[#This Row],[ID_H]]="","",MATCH(NOTA[[#This Row],[NB NOTA_C_QTY]],[4]!db[NB NOTA_C_QTY+F],0))</f>
        <v>#REF!</v>
      </c>
      <c r="AW46" s="53">
        <f ca="1">IF(NOTA[[#This Row],[NB NOTA_C_QTY]]="","",ROW()-2)</f>
        <v>44</v>
      </c>
    </row>
    <row r="47" spans="1:49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10</v>
      </c>
      <c r="E47" s="46"/>
      <c r="F47" s="37"/>
      <c r="G47" s="37"/>
      <c r="H47" s="47"/>
      <c r="I47" s="37"/>
      <c r="J47" s="39"/>
      <c r="K47" s="37"/>
      <c r="L47" s="37" t="s">
        <v>149</v>
      </c>
      <c r="M47" s="40">
        <v>1</v>
      </c>
      <c r="O47" s="37"/>
      <c r="P47" s="41"/>
      <c r="Q47" s="42">
        <v>3801600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3801600</v>
      </c>
      <c r="Y47" s="50">
        <f>IF(NOTA[[#This Row],[JUMLAH]]="","",NOTA[[#This Row],[JUMLAH]]*NOTA[[#This Row],[DISC 1]])</f>
        <v>646272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646272</v>
      </c>
      <c r="AC47" s="50">
        <f>IF(NOTA[[#This Row],[JUMLAH]]="","",NOTA[[#This Row],[JUMLAH]]-NOTA[[#This Row],[DISC]])</f>
        <v>3155328</v>
      </c>
      <c r="AD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G47" s="50" t="str">
        <f>IF(OR(NOTA[[#This Row],[QTY]]="",NOTA[[#This Row],[HARGA SATUAN]]="",),"",NOTA[[#This Row],[QTY]]*NOTA[[#This Row],[HARGA SATUAN]])</f>
        <v/>
      </c>
      <c r="AH47" s="39">
        <f ca="1">IF(NOTA[ID_H]="","",INDEX(NOTA[TANGGAL],MATCH(,INDIRECT(ADDRESS(ROW(NOTA[TANGGAL]),COLUMN(NOTA[TANGGAL]))&amp;":"&amp;ADDRESS(ROW(),COLUMN(NOTA[TANGGAL]))),-1)))</f>
        <v>45181</v>
      </c>
      <c r="AI47" s="41" t="str">
        <f ca="1">IF(NOTA[[#This Row],[NAMA BARANG]]="","",INDEX(NOTA[SUPPLIER],MATCH(,INDIRECT(ADDRESS(ROW(NOTA[ID]),COLUMN(NOTA[ID]))&amp;":"&amp;ADDRESS(ROW(),COLUMN(NOTA[ID]))),-1)))</f>
        <v>KENKO SINAR INDONESIA</v>
      </c>
      <c r="AJ47" s="41" t="str">
        <f ca="1">IF(NOTA[[#This Row],[ID_H]]="","",IF(NOTA[[#This Row],[FAKTUR]]="",INDIRECT(ADDRESS(ROW()-1,COLUMN())),NOTA[[#This Row],[FAKTUR]]))</f>
        <v>ARTO MORO</v>
      </c>
      <c r="AK47" s="38" t="str">
        <f ca="1">IF(NOTA[[#This Row],[ID]]="","",COUNTIF(NOTA[ID_H],NOTA[[#This Row],[ID_H]]))</f>
        <v/>
      </c>
      <c r="AL47" s="38">
        <f ca="1">IF(NOTA[[#This Row],[TGL.NOTA]]="",IF(NOTA[[#This Row],[SUPPLIER_H]]="","",AL46),MONTH(NOTA[[#This Row],[TGL.NOTA]]))</f>
        <v>9</v>
      </c>
      <c r="AM47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38" t="str">
        <f>IF(NOTA[[#This Row],[CONCAT4]]="","",_xlfn.IFNA(MATCH(NOTA[[#This Row],[CONCAT4]],[2]!RAW[CONCAT_H],0),FALSE))</f>
        <v/>
      </c>
      <c r="AR47" s="38">
        <f>IF(NOTA[[#This Row],[CONCAT1]]="","",MATCH(NOTA[[#This Row],[CONCAT1]],[3]!db[NB NOTA_C],0))</f>
        <v>1333</v>
      </c>
      <c r="AS47" s="38" t="str">
        <f>IF(NOTA[[#This Row],[QTY/ CTN]]="","",TRUE)</f>
        <v/>
      </c>
      <c r="AT47" s="38" t="str">
        <f ca="1">IF(NOTA[[#This Row],[ID_H]]="","",IF(NOTA[[#This Row],[Column3]]=TRUE,NOTA[[#This Row],[QTY/ CTN]],INDEX([3]!db[QTY/ CTN],NOTA[[#This Row],[//DB]])))</f>
        <v>24 BOX (24 SET)</v>
      </c>
      <c r="AU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V47" s="38" t="e">
        <f ca="1">IF(NOTA[[#This Row],[ID_H]]="","",MATCH(NOTA[[#This Row],[NB NOTA_C_QTY]],[4]!db[NB NOTA_C_QTY+F],0))</f>
        <v>#REF!</v>
      </c>
      <c r="AW47" s="53">
        <f ca="1">IF(NOTA[[#This Row],[NB NOTA_C_QTY]]="","",ROW()-2)</f>
        <v>45</v>
      </c>
    </row>
    <row r="48" spans="1:49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10</v>
      </c>
      <c r="E48" s="46"/>
      <c r="F48" s="37"/>
      <c r="G48" s="37"/>
      <c r="H48" s="47"/>
      <c r="I48" s="37"/>
      <c r="J48" s="39"/>
      <c r="K48" s="37"/>
      <c r="L48" s="37" t="s">
        <v>156</v>
      </c>
      <c r="M48" s="40">
        <v>4</v>
      </c>
      <c r="O48" s="37"/>
      <c r="P48" s="41"/>
      <c r="Q48" s="42">
        <v>2088000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8352000</v>
      </c>
      <c r="Y48" s="50">
        <f>IF(NOTA[[#This Row],[JUMLAH]]="","",NOTA[[#This Row],[JUMLAH]]*NOTA[[#This Row],[DISC 1]])</f>
        <v>1419840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1419840</v>
      </c>
      <c r="AC48" s="50">
        <f>IF(NOTA[[#This Row],[JUMLAH]]="","",NOTA[[#This Row],[JUMLAH]]-NOTA[[#This Row],[DISC]])</f>
        <v>6932160</v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G48" s="50" t="str">
        <f>IF(OR(NOTA[[#This Row],[QTY]]="",NOTA[[#This Row],[HARGA SATUAN]]="",),"",NOTA[[#This Row],[QTY]]*NOTA[[#This Row],[HARGA SATUAN]])</f>
        <v/>
      </c>
      <c r="AH48" s="39">
        <f ca="1">IF(NOTA[ID_H]="","",INDEX(NOTA[TANGGAL],MATCH(,INDIRECT(ADDRESS(ROW(NOTA[TANGGAL]),COLUMN(NOTA[TANGGAL]))&amp;":"&amp;ADDRESS(ROW(),COLUMN(NOTA[TANGGAL]))),-1)))</f>
        <v>45181</v>
      </c>
      <c r="AI48" s="41" t="str">
        <f ca="1">IF(NOTA[[#This Row],[NAMA BARANG]]="","",INDEX(NOTA[SUPPLIER],MATCH(,INDIRECT(ADDRESS(ROW(NOTA[ID]),COLUMN(NOTA[ID]))&amp;":"&amp;ADDRESS(ROW(),COLUMN(NOTA[ID]))),-1)))</f>
        <v>KENKO SINAR INDONESIA</v>
      </c>
      <c r="AJ48" s="41" t="str">
        <f ca="1">IF(NOTA[[#This Row],[ID_H]]="","",IF(NOTA[[#This Row],[FAKTUR]]="",INDIRECT(ADDRESS(ROW()-1,COLUMN())),NOTA[[#This Row],[FAKTUR]]))</f>
        <v>ARTO MORO</v>
      </c>
      <c r="AK48" s="38" t="str">
        <f ca="1">IF(NOTA[[#This Row],[ID]]="","",COUNTIF(NOTA[ID_H],NOTA[[#This Row],[ID_H]]))</f>
        <v/>
      </c>
      <c r="AL48" s="38">
        <f ca="1">IF(NOTA[[#This Row],[TGL.NOTA]]="",IF(NOTA[[#This Row],[SUPPLIER_H]]="","",AL47),MONTH(NOTA[[#This Row],[TGL.NOTA]]))</f>
        <v>9</v>
      </c>
      <c r="AM4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38" t="str">
        <f>IF(NOTA[[#This Row],[CONCAT4]]="","",_xlfn.IFNA(MATCH(NOTA[[#This Row],[CONCAT4]],[2]!RAW[CONCAT_H],0),FALSE))</f>
        <v/>
      </c>
      <c r="AR48" s="38">
        <f>IF(NOTA[[#This Row],[CONCAT1]]="","",MATCH(NOTA[[#This Row],[CONCAT1]],[3]!db[NB NOTA_C],0))</f>
        <v>2572</v>
      </c>
      <c r="AS48" s="38" t="str">
        <f>IF(NOTA[[#This Row],[QTY/ CTN]]="","",TRUE)</f>
        <v/>
      </c>
      <c r="AT48" s="38" t="str">
        <f ca="1">IF(NOTA[[#This Row],[ID_H]]="","",IF(NOTA[[#This Row],[Column3]]=TRUE,NOTA[[#This Row],[QTY/ CTN]],INDEX([3]!db[QTY/ CTN],NOTA[[#This Row],[//DB]])))</f>
        <v>12 LSN</v>
      </c>
      <c r="AU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V48" s="38" t="e">
        <f ca="1">IF(NOTA[[#This Row],[ID_H]]="","",MATCH(NOTA[[#This Row],[NB NOTA_C_QTY]],[4]!db[NB NOTA_C_QTY+F],0))</f>
        <v>#REF!</v>
      </c>
      <c r="AW48" s="53">
        <f ca="1">IF(NOTA[[#This Row],[NB NOTA_C_QTY]]="","",ROW()-2)</f>
        <v>46</v>
      </c>
    </row>
    <row r="49" spans="1:49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10</v>
      </c>
      <c r="E49" s="46"/>
      <c r="F49" s="37"/>
      <c r="G49" s="37"/>
      <c r="H49" s="47"/>
      <c r="I49" s="37"/>
      <c r="J49" s="39"/>
      <c r="K49" s="37"/>
      <c r="L49" s="37" t="s">
        <v>157</v>
      </c>
      <c r="M49" s="40">
        <v>2</v>
      </c>
      <c r="O49" s="37"/>
      <c r="P49" s="41"/>
      <c r="Q49" s="42">
        <v>1944000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3888000</v>
      </c>
      <c r="Y49" s="50">
        <f>IF(NOTA[[#This Row],[JUMLAH]]="","",NOTA[[#This Row],[JUMLAH]]*NOTA[[#This Row],[DISC 1]])</f>
        <v>660960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660960</v>
      </c>
      <c r="AC49" s="50">
        <f>IF(NOTA[[#This Row],[JUMLAH]]="","",NOTA[[#This Row],[JUMLAH]]-NOTA[[#This Row],[DISC]])</f>
        <v>3227040</v>
      </c>
      <c r="AD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49" s="50" t="str">
        <f>IF(OR(NOTA[[#This Row],[QTY]]="",NOTA[[#This Row],[HARGA SATUAN]]="",),"",NOTA[[#This Row],[QTY]]*NOTA[[#This Row],[HARGA SATUAN]])</f>
        <v/>
      </c>
      <c r="AH49" s="39">
        <f ca="1">IF(NOTA[ID_H]="","",INDEX(NOTA[TANGGAL],MATCH(,INDIRECT(ADDRESS(ROW(NOTA[TANGGAL]),COLUMN(NOTA[TANGGAL]))&amp;":"&amp;ADDRESS(ROW(),COLUMN(NOTA[TANGGAL]))),-1)))</f>
        <v>45181</v>
      </c>
      <c r="AI49" s="41" t="str">
        <f ca="1">IF(NOTA[[#This Row],[NAMA BARANG]]="","",INDEX(NOTA[SUPPLIER],MATCH(,INDIRECT(ADDRESS(ROW(NOTA[ID]),COLUMN(NOTA[ID]))&amp;":"&amp;ADDRESS(ROW(),COLUMN(NOTA[ID]))),-1)))</f>
        <v>KENKO SINAR INDONESIA</v>
      </c>
      <c r="AJ49" s="41" t="str">
        <f ca="1">IF(NOTA[[#This Row],[ID_H]]="","",IF(NOTA[[#This Row],[FAKTUR]]="",INDIRECT(ADDRESS(ROW()-1,COLUMN())),NOTA[[#This Row],[FAKTUR]]))</f>
        <v>ARTO MORO</v>
      </c>
      <c r="AK49" s="38" t="str">
        <f ca="1">IF(NOTA[[#This Row],[ID]]="","",COUNTIF(NOTA[ID_H],NOTA[[#This Row],[ID_H]]))</f>
        <v/>
      </c>
      <c r="AL49" s="38">
        <f ca="1">IF(NOTA[[#This Row],[TGL.NOTA]]="",IF(NOTA[[#This Row],[SUPPLIER_H]]="","",AL48),MONTH(NOTA[[#This Row],[TGL.NOTA]]))</f>
        <v>9</v>
      </c>
      <c r="AM4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38" t="str">
        <f>IF(NOTA[[#This Row],[CONCAT4]]="","",_xlfn.IFNA(MATCH(NOTA[[#This Row],[CONCAT4]],[2]!RAW[CONCAT_H],0),FALSE))</f>
        <v/>
      </c>
      <c r="AR49" s="38">
        <f>IF(NOTA[[#This Row],[CONCAT1]]="","",MATCH(NOTA[[#This Row],[CONCAT1]],[3]!db[NB NOTA_C],0))</f>
        <v>2574</v>
      </c>
      <c r="AS49" s="38" t="str">
        <f>IF(NOTA[[#This Row],[QTY/ CTN]]="","",TRUE)</f>
        <v/>
      </c>
      <c r="AT49" s="38" t="str">
        <f ca="1">IF(NOTA[[#This Row],[ID_H]]="","",IF(NOTA[[#This Row],[Column3]]=TRUE,NOTA[[#This Row],[QTY/ CTN]],INDEX([3]!db[QTY/ CTN],NOTA[[#This Row],[//DB]])))</f>
        <v>6 LSN</v>
      </c>
      <c r="AU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V49" s="38" t="e">
        <f ca="1">IF(NOTA[[#This Row],[ID_H]]="","",MATCH(NOTA[[#This Row],[NB NOTA_C_QTY]],[4]!db[NB NOTA_C_QTY+F],0))</f>
        <v>#REF!</v>
      </c>
      <c r="AW49" s="53">
        <f ca="1">IF(NOTA[[#This Row],[NB NOTA_C_QTY]]="","",ROW()-2)</f>
        <v>47</v>
      </c>
    </row>
    <row r="50" spans="1:49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10</v>
      </c>
      <c r="E50" s="46"/>
      <c r="F50" s="37"/>
      <c r="G50" s="37"/>
      <c r="H50" s="47"/>
      <c r="I50" s="37"/>
      <c r="J50" s="39"/>
      <c r="K50" s="37"/>
      <c r="L50" s="37" t="s">
        <v>158</v>
      </c>
      <c r="M50" s="40">
        <v>2</v>
      </c>
      <c r="O50" s="37"/>
      <c r="P50" s="41"/>
      <c r="Q50" s="42">
        <v>1632000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3264000</v>
      </c>
      <c r="Y50" s="50">
        <f>IF(NOTA[[#This Row],[JUMLAH]]="","",NOTA[[#This Row],[JUMLAH]]*NOTA[[#This Row],[DISC 1]])</f>
        <v>554880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554880</v>
      </c>
      <c r="AC50" s="50">
        <f>IF(NOTA[[#This Row],[JUMLAH]]="","",NOTA[[#This Row],[JUMLAH]]-NOTA[[#This Row],[DISC]])</f>
        <v>2709120</v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G50" s="50" t="str">
        <f>IF(OR(NOTA[[#This Row],[QTY]]="",NOTA[[#This Row],[HARGA SATUAN]]="",),"",NOTA[[#This Row],[QTY]]*NOTA[[#This Row],[HARGA SATUAN]])</f>
        <v/>
      </c>
      <c r="AH50" s="39">
        <f ca="1">IF(NOTA[ID_H]="","",INDEX(NOTA[TANGGAL],MATCH(,INDIRECT(ADDRESS(ROW(NOTA[TANGGAL]),COLUMN(NOTA[TANGGAL]))&amp;":"&amp;ADDRESS(ROW(),COLUMN(NOTA[TANGGAL]))),-1)))</f>
        <v>45181</v>
      </c>
      <c r="AI50" s="41" t="str">
        <f ca="1">IF(NOTA[[#This Row],[NAMA BARANG]]="","",INDEX(NOTA[SUPPLIER],MATCH(,INDIRECT(ADDRESS(ROW(NOTA[ID]),COLUMN(NOTA[ID]))&amp;":"&amp;ADDRESS(ROW(),COLUMN(NOTA[ID]))),-1)))</f>
        <v>KENKO SINAR INDONESIA</v>
      </c>
      <c r="AJ50" s="41" t="str">
        <f ca="1">IF(NOTA[[#This Row],[ID_H]]="","",IF(NOTA[[#This Row],[FAKTUR]]="",INDIRECT(ADDRESS(ROW()-1,COLUMN())),NOTA[[#This Row],[FAKTUR]]))</f>
        <v>ARTO MORO</v>
      </c>
      <c r="AK50" s="38" t="str">
        <f ca="1">IF(NOTA[[#This Row],[ID]]="","",COUNTIF(NOTA[ID_H],NOTA[[#This Row],[ID_H]]))</f>
        <v/>
      </c>
      <c r="AL50" s="38">
        <f ca="1">IF(NOTA[[#This Row],[TGL.NOTA]]="",IF(NOTA[[#This Row],[SUPPLIER_H]]="","",AL49),MONTH(NOTA[[#This Row],[TGL.NOTA]]))</f>
        <v>9</v>
      </c>
      <c r="AM5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38" t="str">
        <f>IF(NOTA[[#This Row],[CONCAT4]]="","",_xlfn.IFNA(MATCH(NOTA[[#This Row],[CONCAT4]],[2]!RAW[CONCAT_H],0),FALSE))</f>
        <v/>
      </c>
      <c r="AR50" s="38">
        <f>IF(NOTA[[#This Row],[CONCAT1]]="","",MATCH(NOTA[[#This Row],[CONCAT1]],[3]!db[NB NOTA_C],0))</f>
        <v>2575</v>
      </c>
      <c r="AS50" s="38" t="str">
        <f>IF(NOTA[[#This Row],[QTY/ CTN]]="","",TRUE)</f>
        <v/>
      </c>
      <c r="AT50" s="38" t="str">
        <f ca="1">IF(NOTA[[#This Row],[ID_H]]="","",IF(NOTA[[#This Row],[Column3]]=TRUE,NOTA[[#This Row],[QTY/ CTN]],INDEX([3]!db[QTY/ CTN],NOTA[[#This Row],[//DB]])))</f>
        <v>8 BOX (6 SET)</v>
      </c>
      <c r="AU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V50" s="38" t="e">
        <f ca="1">IF(NOTA[[#This Row],[ID_H]]="","",MATCH(NOTA[[#This Row],[NB NOTA_C_QTY]],[4]!db[NB NOTA_C_QTY+F],0))</f>
        <v>#REF!</v>
      </c>
      <c r="AW50" s="53">
        <f ca="1">IF(NOTA[[#This Row],[NB NOTA_C_QTY]]="","",ROW()-2)</f>
        <v>48</v>
      </c>
    </row>
    <row r="51" spans="1:49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10</v>
      </c>
      <c r="E51" s="46"/>
      <c r="F51" s="37"/>
      <c r="G51" s="37"/>
      <c r="H51" s="47"/>
      <c r="I51" s="37"/>
      <c r="J51" s="39"/>
      <c r="K51" s="37"/>
      <c r="L51" s="37" t="s">
        <v>159</v>
      </c>
      <c r="M51" s="40">
        <v>2</v>
      </c>
      <c r="O51" s="37"/>
      <c r="P51" s="41"/>
      <c r="Q51" s="42">
        <v>1710000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3420000</v>
      </c>
      <c r="Y51" s="50">
        <f>IF(NOTA[[#This Row],[JUMLAH]]="","",NOTA[[#This Row],[JUMLAH]]*NOTA[[#This Row],[DISC 1]])</f>
        <v>581400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581400</v>
      </c>
      <c r="AC51" s="50">
        <f>IF(NOTA[[#This Row],[JUMLAH]]="","",NOTA[[#This Row],[JUMLAH]]-NOTA[[#This Row],[DISC]])</f>
        <v>2838600</v>
      </c>
      <c r="AD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51" s="50" t="str">
        <f>IF(OR(NOTA[[#This Row],[QTY]]="",NOTA[[#This Row],[HARGA SATUAN]]="",),"",NOTA[[#This Row],[QTY]]*NOTA[[#This Row],[HARGA SATUAN]])</f>
        <v/>
      </c>
      <c r="AH51" s="39">
        <f ca="1">IF(NOTA[ID_H]="","",INDEX(NOTA[TANGGAL],MATCH(,INDIRECT(ADDRESS(ROW(NOTA[TANGGAL]),COLUMN(NOTA[TANGGAL]))&amp;":"&amp;ADDRESS(ROW(),COLUMN(NOTA[TANGGAL]))),-1)))</f>
        <v>45181</v>
      </c>
      <c r="AI51" s="41" t="str">
        <f ca="1">IF(NOTA[[#This Row],[NAMA BARANG]]="","",INDEX(NOTA[SUPPLIER],MATCH(,INDIRECT(ADDRESS(ROW(NOTA[ID]),COLUMN(NOTA[ID]))&amp;":"&amp;ADDRESS(ROW(),COLUMN(NOTA[ID]))),-1)))</f>
        <v>KENKO SINAR INDONESIA</v>
      </c>
      <c r="AJ51" s="41" t="str">
        <f ca="1">IF(NOTA[[#This Row],[ID_H]]="","",IF(NOTA[[#This Row],[FAKTUR]]="",INDIRECT(ADDRESS(ROW()-1,COLUMN())),NOTA[[#This Row],[FAKTUR]]))</f>
        <v>ARTO MORO</v>
      </c>
      <c r="AK51" s="38" t="str">
        <f ca="1">IF(NOTA[[#This Row],[ID]]="","",COUNTIF(NOTA[ID_H],NOTA[[#This Row],[ID_H]]))</f>
        <v/>
      </c>
      <c r="AL51" s="38">
        <f ca="1">IF(NOTA[[#This Row],[TGL.NOTA]]="",IF(NOTA[[#This Row],[SUPPLIER_H]]="","",AL50),MONTH(NOTA[[#This Row],[TGL.NOTA]]))</f>
        <v>9</v>
      </c>
      <c r="AM5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38" t="str">
        <f>IF(NOTA[[#This Row],[CONCAT4]]="","",_xlfn.IFNA(MATCH(NOTA[[#This Row],[CONCAT4]],[2]!RAW[CONCAT_H],0),FALSE))</f>
        <v/>
      </c>
      <c r="AR51" s="38">
        <f>IF(NOTA[[#This Row],[CONCAT1]]="","",MATCH(NOTA[[#This Row],[CONCAT1]],[3]!db[NB NOTA_C],0))</f>
        <v>2577</v>
      </c>
      <c r="AS51" s="38" t="str">
        <f>IF(NOTA[[#This Row],[QTY/ CTN]]="","",TRUE)</f>
        <v/>
      </c>
      <c r="AT51" s="38" t="str">
        <f ca="1">IF(NOTA[[#This Row],[ID_H]]="","",IF(NOTA[[#This Row],[Column3]]=TRUE,NOTA[[#This Row],[QTY/ CTN]],INDEX([3]!db[QTY/ CTN],NOTA[[#This Row],[//DB]])))</f>
        <v>6 BOX (6 SET)</v>
      </c>
      <c r="AU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V51" s="38" t="e">
        <f ca="1">IF(NOTA[[#This Row],[ID_H]]="","",MATCH(NOTA[[#This Row],[NB NOTA_C_QTY]],[4]!db[NB NOTA_C_QTY+F],0))</f>
        <v>#REF!</v>
      </c>
      <c r="AW51" s="53">
        <f ca="1">IF(NOTA[[#This Row],[NB NOTA_C_QTY]]="","",ROW()-2)</f>
        <v>49</v>
      </c>
    </row>
    <row r="52" spans="1:49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10</v>
      </c>
      <c r="E52" s="46"/>
      <c r="F52" s="37"/>
      <c r="G52" s="37"/>
      <c r="H52" s="47"/>
      <c r="I52" s="37"/>
      <c r="J52" s="39"/>
      <c r="K52" s="37"/>
      <c r="L52" s="37" t="s">
        <v>160</v>
      </c>
      <c r="M52" s="40">
        <v>1</v>
      </c>
      <c r="O52" s="37"/>
      <c r="P52" s="41"/>
      <c r="Q52" s="42">
        <v>1656000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1656000</v>
      </c>
      <c r="Y52" s="50">
        <f>IF(NOTA[[#This Row],[JUMLAH]]="","",NOTA[[#This Row],[JUMLAH]]*NOTA[[#This Row],[DISC 1]])</f>
        <v>281520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281520</v>
      </c>
      <c r="AC52" s="50">
        <f>IF(NOTA[[#This Row],[JUMLAH]]="","",NOTA[[#This Row],[JUMLAH]]-NOTA[[#This Row],[DISC]])</f>
        <v>1374480</v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G52" s="50" t="str">
        <f>IF(OR(NOTA[[#This Row],[QTY]]="",NOTA[[#This Row],[HARGA SATUAN]]="",),"",NOTA[[#This Row],[QTY]]*NOTA[[#This Row],[HARGA SATUAN]])</f>
        <v/>
      </c>
      <c r="AH52" s="39">
        <f ca="1">IF(NOTA[ID_H]="","",INDEX(NOTA[TANGGAL],MATCH(,INDIRECT(ADDRESS(ROW(NOTA[TANGGAL]),COLUMN(NOTA[TANGGAL]))&amp;":"&amp;ADDRESS(ROW(),COLUMN(NOTA[TANGGAL]))),-1)))</f>
        <v>45181</v>
      </c>
      <c r="AI52" s="41" t="str">
        <f ca="1">IF(NOTA[[#This Row],[NAMA BARANG]]="","",INDEX(NOTA[SUPPLIER],MATCH(,INDIRECT(ADDRESS(ROW(NOTA[ID]),COLUMN(NOTA[ID]))&amp;":"&amp;ADDRESS(ROW(),COLUMN(NOTA[ID]))),-1)))</f>
        <v>KENKO SINAR INDONESIA</v>
      </c>
      <c r="AJ52" s="41" t="str">
        <f ca="1">IF(NOTA[[#This Row],[ID_H]]="","",IF(NOTA[[#This Row],[FAKTUR]]="",INDIRECT(ADDRESS(ROW()-1,COLUMN())),NOTA[[#This Row],[FAKTUR]]))</f>
        <v>ARTO MORO</v>
      </c>
      <c r="AK52" s="38" t="str">
        <f ca="1">IF(NOTA[[#This Row],[ID]]="","",COUNTIF(NOTA[ID_H],NOTA[[#This Row],[ID_H]]))</f>
        <v/>
      </c>
      <c r="AL52" s="38">
        <f ca="1">IF(NOTA[[#This Row],[TGL.NOTA]]="",IF(NOTA[[#This Row],[SUPPLIER_H]]="","",AL51),MONTH(NOTA[[#This Row],[TGL.NOTA]]))</f>
        <v>9</v>
      </c>
      <c r="AM5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38" t="str">
        <f>IF(NOTA[[#This Row],[CONCAT4]]="","",_xlfn.IFNA(MATCH(NOTA[[#This Row],[CONCAT4]],[2]!RAW[CONCAT_H],0),FALSE))</f>
        <v/>
      </c>
      <c r="AR52" s="38">
        <f>IF(NOTA[[#This Row],[CONCAT1]]="","",MATCH(NOTA[[#This Row],[CONCAT1]],[3]!db[NB NOTA_C],0))</f>
        <v>2578</v>
      </c>
      <c r="AS52" s="38" t="str">
        <f>IF(NOTA[[#This Row],[QTY/ CTN]]="","",TRUE)</f>
        <v/>
      </c>
      <c r="AT52" s="38" t="str">
        <f ca="1">IF(NOTA[[#This Row],[ID_H]]="","",IF(NOTA[[#This Row],[Column3]]=TRUE,NOTA[[#This Row],[QTY/ CTN]],INDEX([3]!db[QTY/ CTN],NOTA[[#This Row],[//DB]])))</f>
        <v>4 BOX (6 SET)</v>
      </c>
      <c r="AU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V52" s="38" t="e">
        <f ca="1">IF(NOTA[[#This Row],[ID_H]]="","",MATCH(NOTA[[#This Row],[NB NOTA_C_QTY]],[4]!db[NB NOTA_C_QTY+F],0))</f>
        <v>#REF!</v>
      </c>
      <c r="AW52" s="53">
        <f ca="1">IF(NOTA[[#This Row],[NB NOTA_C_QTY]]="","",ROW()-2)</f>
        <v>50</v>
      </c>
    </row>
    <row r="53" spans="1:49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10</v>
      </c>
      <c r="E53" s="46"/>
      <c r="F53" s="37"/>
      <c r="G53" s="37"/>
      <c r="H53" s="47"/>
      <c r="I53" s="37"/>
      <c r="J53" s="39"/>
      <c r="K53" s="37"/>
      <c r="L53" s="37" t="s">
        <v>161</v>
      </c>
      <c r="M53" s="40">
        <v>1</v>
      </c>
      <c r="O53" s="37"/>
      <c r="P53" s="41"/>
      <c r="Q53" s="42">
        <v>1824000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1824000</v>
      </c>
      <c r="Y53" s="50">
        <f>IF(NOTA[[#This Row],[JUMLAH]]="","",NOTA[[#This Row],[JUMLAH]]*NOTA[[#This Row],[DISC 1]])</f>
        <v>310080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310080</v>
      </c>
      <c r="AC53" s="50">
        <f>IF(NOTA[[#This Row],[JUMLAH]]="","",NOTA[[#This Row],[JUMLAH]]-NOTA[[#This Row],[DISC]])</f>
        <v>1513920</v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G53" s="50" t="str">
        <f>IF(OR(NOTA[[#This Row],[QTY]]="",NOTA[[#This Row],[HARGA SATUAN]]="",),"",NOTA[[#This Row],[QTY]]*NOTA[[#This Row],[HARGA SATUAN]])</f>
        <v/>
      </c>
      <c r="AH53" s="39">
        <f ca="1">IF(NOTA[ID_H]="","",INDEX(NOTA[TANGGAL],MATCH(,INDIRECT(ADDRESS(ROW(NOTA[TANGGAL]),COLUMN(NOTA[TANGGAL]))&amp;":"&amp;ADDRESS(ROW(),COLUMN(NOTA[TANGGAL]))),-1)))</f>
        <v>45181</v>
      </c>
      <c r="AI53" s="41" t="str">
        <f ca="1">IF(NOTA[[#This Row],[NAMA BARANG]]="","",INDEX(NOTA[SUPPLIER],MATCH(,INDIRECT(ADDRESS(ROW(NOTA[ID]),COLUMN(NOTA[ID]))&amp;":"&amp;ADDRESS(ROW(),COLUMN(NOTA[ID]))),-1)))</f>
        <v>KENKO SINAR INDONESIA</v>
      </c>
      <c r="AJ53" s="41" t="str">
        <f ca="1">IF(NOTA[[#This Row],[ID_H]]="","",IF(NOTA[[#This Row],[FAKTUR]]="",INDIRECT(ADDRESS(ROW()-1,COLUMN())),NOTA[[#This Row],[FAKTUR]]))</f>
        <v>ARTO MORO</v>
      </c>
      <c r="AK53" s="38" t="str">
        <f ca="1">IF(NOTA[[#This Row],[ID]]="","",COUNTIF(NOTA[ID_H],NOTA[[#This Row],[ID_H]]))</f>
        <v/>
      </c>
      <c r="AL53" s="38">
        <f ca="1">IF(NOTA[[#This Row],[TGL.NOTA]]="",IF(NOTA[[#This Row],[SUPPLIER_H]]="","",AL52),MONTH(NOTA[[#This Row],[TGL.NOTA]]))</f>
        <v>9</v>
      </c>
      <c r="AM5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38" t="str">
        <f>IF(NOTA[[#This Row],[CONCAT4]]="","",_xlfn.IFNA(MATCH(NOTA[[#This Row],[CONCAT4]],[2]!RAW[CONCAT_H],0),FALSE))</f>
        <v/>
      </c>
      <c r="AR53" s="38">
        <f>IF(NOTA[[#This Row],[CONCAT1]]="","",MATCH(NOTA[[#This Row],[CONCAT1]],[3]!db[NB NOTA_C],0))</f>
        <v>2579</v>
      </c>
      <c r="AS53" s="38" t="str">
        <f>IF(NOTA[[#This Row],[QTY/ CTN]]="","",TRUE)</f>
        <v/>
      </c>
      <c r="AT53" s="38" t="str">
        <f ca="1">IF(NOTA[[#This Row],[ID_H]]="","",IF(NOTA[[#This Row],[Column3]]=TRUE,NOTA[[#This Row],[QTY/ CTN]],INDEX([3]!db[QTY/ CTN],NOTA[[#This Row],[//DB]])))</f>
        <v>4 BOX (6 SET)</v>
      </c>
      <c r="AU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V53" s="38" t="e">
        <f ca="1">IF(NOTA[[#This Row],[ID_H]]="","",MATCH(NOTA[[#This Row],[NB NOTA_C_QTY]],[4]!db[NB NOTA_C_QTY+F],0))</f>
        <v>#REF!</v>
      </c>
      <c r="AW53" s="53">
        <f ca="1">IF(NOTA[[#This Row],[NB NOTA_C_QTY]]="","",ROW()-2)</f>
        <v>51</v>
      </c>
    </row>
    <row r="54" spans="1:49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10</v>
      </c>
      <c r="E54" s="46"/>
      <c r="F54" s="37"/>
      <c r="G54" s="37"/>
      <c r="H54" s="47"/>
      <c r="I54" s="37"/>
      <c r="J54" s="39"/>
      <c r="K54" s="37"/>
      <c r="L54" s="37" t="s">
        <v>162</v>
      </c>
      <c r="M54" s="40">
        <v>3</v>
      </c>
      <c r="O54" s="37"/>
      <c r="P54" s="41"/>
      <c r="Q54" s="42">
        <v>3110400</v>
      </c>
      <c r="R54" s="48"/>
      <c r="S54" s="49">
        <v>0.17</v>
      </c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9331200</v>
      </c>
      <c r="Y54" s="50">
        <f>IF(NOTA[[#This Row],[JUMLAH]]="","",NOTA[[#This Row],[JUMLAH]]*NOTA[[#This Row],[DISC 1]])</f>
        <v>1586304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1586304</v>
      </c>
      <c r="AC54" s="50">
        <f>IF(NOTA[[#This Row],[JUMLAH]]="","",NOTA[[#This Row],[JUMLAH]]-NOTA[[#This Row],[DISC]])</f>
        <v>7744896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7339104</v>
      </c>
      <c r="AE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35832096</v>
      </c>
      <c r="AF5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G54" s="50" t="str">
        <f>IF(OR(NOTA[[#This Row],[QTY]]="",NOTA[[#This Row],[HARGA SATUAN]]="",),"",NOTA[[#This Row],[QTY]]*NOTA[[#This Row],[HARGA SATUAN]])</f>
        <v/>
      </c>
      <c r="AH54" s="39">
        <f ca="1">IF(NOTA[ID_H]="","",INDEX(NOTA[TANGGAL],MATCH(,INDIRECT(ADDRESS(ROW(NOTA[TANGGAL]),COLUMN(NOTA[TANGGAL]))&amp;":"&amp;ADDRESS(ROW(),COLUMN(NOTA[TANGGAL]))),-1)))</f>
        <v>45181</v>
      </c>
      <c r="AI54" s="41" t="str">
        <f ca="1">IF(NOTA[[#This Row],[NAMA BARANG]]="","",INDEX(NOTA[SUPPLIER],MATCH(,INDIRECT(ADDRESS(ROW(NOTA[ID]),COLUMN(NOTA[ID]))&amp;":"&amp;ADDRESS(ROW(),COLUMN(NOTA[ID]))),-1)))</f>
        <v>KENKO SINAR INDONESIA</v>
      </c>
      <c r="AJ54" s="41" t="str">
        <f ca="1">IF(NOTA[[#This Row],[ID_H]]="","",IF(NOTA[[#This Row],[FAKTUR]]="",INDIRECT(ADDRESS(ROW()-1,COLUMN())),NOTA[[#This Row],[FAKTUR]]))</f>
        <v>ARTO MORO</v>
      </c>
      <c r="AK54" s="38" t="str">
        <f ca="1">IF(NOTA[[#This Row],[ID]]="","",COUNTIF(NOTA[ID_H],NOTA[[#This Row],[ID_H]]))</f>
        <v/>
      </c>
      <c r="AL54" s="38">
        <f ca="1">IF(NOTA[[#This Row],[TGL.NOTA]]="",IF(NOTA[[#This Row],[SUPPLIER_H]]="","",AL53),MONTH(NOTA[[#This Row],[TGL.NOTA]]))</f>
        <v>9</v>
      </c>
      <c r="AM5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38" t="str">
        <f>IF(NOTA[[#This Row],[CONCAT4]]="","",_xlfn.IFNA(MATCH(NOTA[[#This Row],[CONCAT4]],[2]!RAW[CONCAT_H],0),FALSE))</f>
        <v/>
      </c>
      <c r="AR54" s="38">
        <f>IF(NOTA[[#This Row],[CONCAT1]]="","",MATCH(NOTA[[#This Row],[CONCAT1]],[3]!db[NB NOTA_C],0))</f>
        <v>1429</v>
      </c>
      <c r="AS54" s="38" t="str">
        <f>IF(NOTA[[#This Row],[QTY/ CTN]]="","",TRUE)</f>
        <v/>
      </c>
      <c r="AT54" s="38" t="str">
        <f ca="1">IF(NOTA[[#This Row],[ID_H]]="","",IF(NOTA[[#This Row],[Column3]]=TRUE,NOTA[[#This Row],[QTY/ CTN]],INDEX([3]!db[QTY/ CTN],NOTA[[#This Row],[//DB]])))</f>
        <v>144 LSN</v>
      </c>
      <c r="AU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V54" s="38" t="e">
        <f ca="1">IF(NOTA[[#This Row],[ID_H]]="","",MATCH(NOTA[[#This Row],[NB NOTA_C_QTY]],[4]!db[NB NOTA_C_QTY+F],0))</f>
        <v>#REF!</v>
      </c>
      <c r="AW54" s="53">
        <f ca="1">IF(NOTA[[#This Row],[NB NOTA_C_QTY]]="","",ROW()-2)</f>
        <v>52</v>
      </c>
    </row>
    <row r="55" spans="1:49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F55" s="37"/>
      <c r="G55" s="37"/>
      <c r="H55" s="47"/>
      <c r="I55" s="37"/>
      <c r="J55" s="39"/>
      <c r="K55" s="37"/>
      <c r="L55" s="37"/>
      <c r="M55" s="40"/>
      <c r="O55" s="37"/>
      <c r="P55" s="41"/>
      <c r="Q55" s="42"/>
      <c r="R55" s="48"/>
      <c r="S55" s="49"/>
      <c r="T55" s="44"/>
      <c r="U55" s="44"/>
      <c r="V55" s="50"/>
      <c r="W55" s="45"/>
      <c r="X55" s="50" t="str">
        <f>IF(NOTA[[#This Row],[HARGA/ CTN]]="",NOTA[[#This Row],[JUMLAH_H]],NOTA[[#This Row],[HARGA/ CTN]]*IF(NOTA[[#This Row],[C]]="",0,NOTA[[#This Row],[C]]))</f>
        <v/>
      </c>
      <c r="Y55" s="50" t="str">
        <f>IF(NOTA[[#This Row],[JUMLAH]]="","",NOTA[[#This Row],[JUMLAH]]*NOTA[[#This Row],[DISC 1]])</f>
        <v/>
      </c>
      <c r="Z55" s="50" t="str">
        <f>IF(NOTA[[#This Row],[JUMLAH]]="","",(NOTA[[#This Row],[JUMLAH]]-NOTA[[#This Row],[DISC 1-]])*NOTA[[#This Row],[DISC 2]])</f>
        <v/>
      </c>
      <c r="AA55" s="50" t="str">
        <f>IF(NOTA[[#This Row],[JUMLAH]]="","",(NOTA[[#This Row],[JUMLAH]]-NOTA[[#This Row],[DISC 1-]]-NOTA[[#This Row],[DISC 2-]])*NOTA[[#This Row],[DISC 3]])</f>
        <v/>
      </c>
      <c r="AB55" s="50" t="str">
        <f>IF(NOTA[[#This Row],[JUMLAH]]="","",NOTA[[#This Row],[DISC 1-]]+NOTA[[#This Row],[DISC 2-]]+NOTA[[#This Row],[DISC 3-]])</f>
        <v/>
      </c>
      <c r="AC55" s="50" t="str">
        <f>IF(NOTA[[#This Row],[JUMLAH]]="","",NOTA[[#This Row],[JUMLAH]]-NOTA[[#This Row],[DISC]])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5" s="50" t="str">
        <f>IF(OR(NOTA[[#This Row],[QTY]]="",NOTA[[#This Row],[HARGA SATUAN]]="",),"",NOTA[[#This Row],[QTY]]*NOTA[[#This Row],[HARGA SATUAN]])</f>
        <v/>
      </c>
      <c r="AH55" s="39" t="str">
        <f ca="1">IF(NOTA[ID_H]="","",INDEX(NOTA[TANGGAL],MATCH(,INDIRECT(ADDRESS(ROW(NOTA[TANGGAL]),COLUMN(NOTA[TANGGAL]))&amp;":"&amp;ADDRESS(ROW(),COLUMN(NOTA[TANGGAL]))),-1)))</f>
        <v/>
      </c>
      <c r="AI55" s="41" t="str">
        <f ca="1">IF(NOTA[[#This Row],[NAMA BARANG]]="","",INDEX(NOTA[SUPPLIER],MATCH(,INDIRECT(ADDRESS(ROW(NOTA[ID]),COLUMN(NOTA[ID]))&amp;":"&amp;ADDRESS(ROW(),COLUMN(NOTA[ID]))),-1)))</f>
        <v/>
      </c>
      <c r="AJ55" s="41" t="str">
        <f ca="1">IF(NOTA[[#This Row],[ID_H]]="","",IF(NOTA[[#This Row],[FAKTUR]]="",INDIRECT(ADDRESS(ROW()-1,COLUMN())),NOTA[[#This Row],[FAKTUR]]))</f>
        <v/>
      </c>
      <c r="AK55" s="38" t="str">
        <f ca="1">IF(NOTA[[#This Row],[ID]]="","",COUNTIF(NOTA[ID_H],NOTA[[#This Row],[ID_H]]))</f>
        <v/>
      </c>
      <c r="AL55" s="38" t="str">
        <f ca="1">IF(NOTA[[#This Row],[TGL.NOTA]]="",IF(NOTA[[#This Row],[SUPPLIER_H]]="","",AL54),MONTH(NOTA[[#This Row],[TGL.NOTA]]))</f>
        <v/>
      </c>
      <c r="AM55" s="38" t="str">
        <f>LOWER(SUBSTITUTE(SUBSTITUTE(SUBSTITUTE(SUBSTITUTE(SUBSTITUTE(SUBSTITUTE(SUBSTITUTE(SUBSTITUTE(SUBSTITUTE(NOTA[NAMA BARANG]," ",),".",""),"-",""),"(",""),")",""),",",""),"/",""),"""",""),"+",""))</f>
        <v/>
      </c>
      <c r="AN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38" t="str">
        <f>IF(NOTA[[#This Row],[CONCAT4]]="","",_xlfn.IFNA(MATCH(NOTA[[#This Row],[CONCAT4]],[2]!RAW[CONCAT_H],0),FALSE))</f>
        <v/>
      </c>
      <c r="AR55" s="38" t="str">
        <f>IF(NOTA[[#This Row],[CONCAT1]]="","",MATCH(NOTA[[#This Row],[CONCAT1]],[3]!db[NB NOTA_C],0))</f>
        <v/>
      </c>
      <c r="AS55" s="38" t="str">
        <f>IF(NOTA[[#This Row],[QTY/ CTN]]="","",TRUE)</f>
        <v/>
      </c>
      <c r="AT55" s="38" t="str">
        <f ca="1">IF(NOTA[[#This Row],[ID_H]]="","",IF(NOTA[[#This Row],[Column3]]=TRUE,NOTA[[#This Row],[QTY/ CTN]],INDEX([3]!db[QTY/ CTN],NOTA[[#This Row],[//DB]])))</f>
        <v/>
      </c>
      <c r="AU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" s="38" t="str">
        <f ca="1">IF(NOTA[[#This Row],[ID_H]]="","",MATCH(NOTA[[#This Row],[NB NOTA_C_QTY]],[4]!db[NB NOTA_C_QTY+F],0))</f>
        <v/>
      </c>
      <c r="AW55" s="53" t="str">
        <f ca="1">IF(NOTA[[#This Row],[NB NOTA_C_QTY]]="","",ROW()-2)</f>
        <v/>
      </c>
    </row>
    <row r="56" spans="1:49" s="38" customFormat="1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KEN_0909_463-8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11</v>
      </c>
      <c r="E56" s="46">
        <v>45178</v>
      </c>
      <c r="F56" s="37" t="s">
        <v>22</v>
      </c>
      <c r="G56" s="37" t="s">
        <v>23</v>
      </c>
      <c r="H56" s="47" t="s">
        <v>163</v>
      </c>
      <c r="I56" s="37"/>
      <c r="J56" s="39">
        <v>45175</v>
      </c>
      <c r="K56" s="37"/>
      <c r="L56" s="37" t="s">
        <v>164</v>
      </c>
      <c r="M56" s="40">
        <v>5</v>
      </c>
      <c r="O56" s="37"/>
      <c r="P56" s="41"/>
      <c r="Q56" s="42">
        <v>462000</v>
      </c>
      <c r="R56" s="48"/>
      <c r="S56" s="49">
        <v>0.17</v>
      </c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2310000</v>
      </c>
      <c r="Y56" s="50">
        <f>IF(NOTA[[#This Row],[JUMLAH]]="","",NOTA[[#This Row],[JUMLAH]]*NOTA[[#This Row],[DISC 1]])</f>
        <v>392700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392700</v>
      </c>
      <c r="AC56" s="50">
        <f>IF(NOTA[[#This Row],[JUMLAH]]="","",NOTA[[#This Row],[JUMLAH]]-NOTA[[#This Row],[DISC]])</f>
        <v>1917300</v>
      </c>
      <c r="AD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56" s="50" t="str">
        <f>IF(OR(NOTA[[#This Row],[QTY]]="",NOTA[[#This Row],[HARGA SATUAN]]="",),"",NOTA[[#This Row],[QTY]]*NOTA[[#This Row],[HARGA SATUAN]])</f>
        <v/>
      </c>
      <c r="AH56" s="39">
        <f ca="1">IF(NOTA[ID_H]="","",INDEX(NOTA[TANGGAL],MATCH(,INDIRECT(ADDRESS(ROW(NOTA[TANGGAL]),COLUMN(NOTA[TANGGAL]))&amp;":"&amp;ADDRESS(ROW(),COLUMN(NOTA[TANGGAL]))),-1)))</f>
        <v>45178</v>
      </c>
      <c r="AI56" s="41" t="str">
        <f ca="1">IF(NOTA[[#This Row],[NAMA BARANG]]="","",INDEX(NOTA[SUPPLIER],MATCH(,INDIRECT(ADDRESS(ROW(NOTA[ID]),COLUMN(NOTA[ID]))&amp;":"&amp;ADDRESS(ROW(),COLUMN(NOTA[ID]))),-1)))</f>
        <v>KENKO SINAR INDONESIA</v>
      </c>
      <c r="AJ56" s="41" t="str">
        <f ca="1">IF(NOTA[[#This Row],[ID_H]]="","",IF(NOTA[[#This Row],[FAKTUR]]="",INDIRECT(ADDRESS(ROW()-1,COLUMN())),NOTA[[#This Row],[FAKTUR]]))</f>
        <v>ARTO MORO</v>
      </c>
      <c r="AK56" s="38">
        <f ca="1">IF(NOTA[[#This Row],[ID]]="","",COUNTIF(NOTA[ID_H],NOTA[[#This Row],[ID_H]]))</f>
        <v>8</v>
      </c>
      <c r="AL56" s="38">
        <f>IF(NOTA[[#This Row],[TGL.NOTA]]="",IF(NOTA[[#This Row],[SUPPLIER_H]]="","",AL55),MONTH(NOTA[[#This Row],[TGL.NOTA]]))</f>
        <v>9</v>
      </c>
      <c r="AM56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MORO2309046345175kenkotapedispensertd3231&amp;3core</v>
      </c>
      <c r="AQ56" s="38" t="e">
        <f>IF(NOTA[[#This Row],[CONCAT4]]="","",_xlfn.IFNA(MATCH(NOTA[[#This Row],[CONCAT4]],[2]!RAW[CONCAT_H],0),FALSE))</f>
        <v>#REF!</v>
      </c>
      <c r="AR56" s="38">
        <f>IF(NOTA[[#This Row],[CONCAT1]]="","",MATCH(NOTA[[#This Row],[CONCAT1]],[3]!db[NB NOTA_C],0))</f>
        <v>1575</v>
      </c>
      <c r="AS56" s="38" t="str">
        <f>IF(NOTA[[#This Row],[QTY/ CTN]]="","",TRUE)</f>
        <v/>
      </c>
      <c r="AT56" s="38" t="str">
        <f ca="1">IF(NOTA[[#This Row],[ID_H]]="","",IF(NOTA[[#This Row],[Column3]]=TRUE,NOTA[[#This Row],[QTY/ CTN]],INDEX([3]!db[QTY/ CTN],NOTA[[#This Row],[//DB]])))</f>
        <v>24 PCS</v>
      </c>
      <c r="AU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56" s="38" t="e">
        <f ca="1">IF(NOTA[[#This Row],[ID_H]]="","",MATCH(NOTA[[#This Row],[NB NOTA_C_QTY]],[4]!db[NB NOTA_C_QTY+F],0))</f>
        <v>#REF!</v>
      </c>
      <c r="AW56" s="53">
        <f ca="1">IF(NOTA[[#This Row],[NB NOTA_C_QTY]]="","",ROW()-2)</f>
        <v>54</v>
      </c>
    </row>
    <row r="57" spans="1:49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165</v>
      </c>
      <c r="M57" s="40">
        <v>1</v>
      </c>
      <c r="O57" s="37"/>
      <c r="P57" s="41"/>
      <c r="Q57" s="42">
        <v>2352000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2352000</v>
      </c>
      <c r="Y57" s="50">
        <f>IF(NOTA[[#This Row],[JUMLAH]]="","",NOTA[[#This Row],[JUMLAH]]*NOTA[[#This Row],[DISC 1]])</f>
        <v>399840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399840</v>
      </c>
      <c r="AC57" s="50">
        <f>IF(NOTA[[#This Row],[JUMLAH]]="","",NOTA[[#This Row],[JUMLAH]]-NOTA[[#This Row],[DISC]])</f>
        <v>1952160</v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G57" s="50" t="str">
        <f>IF(OR(NOTA[[#This Row],[QTY]]="",NOTA[[#This Row],[HARGA SATUAN]]="",),"",NOTA[[#This Row],[QTY]]*NOTA[[#This Row],[HARGA SATUAN]])</f>
        <v/>
      </c>
      <c r="AH57" s="39">
        <f ca="1">IF(NOTA[ID_H]="","",INDEX(NOTA[TANGGAL],MATCH(,INDIRECT(ADDRESS(ROW(NOTA[TANGGAL]),COLUMN(NOTA[TANGGAL]))&amp;":"&amp;ADDRESS(ROW(),COLUMN(NOTA[TANGGAL]))),-1)))</f>
        <v>45178</v>
      </c>
      <c r="AI57" s="41" t="str">
        <f ca="1">IF(NOTA[[#This Row],[NAMA BARANG]]="","",INDEX(NOTA[SUPPLIER],MATCH(,INDIRECT(ADDRESS(ROW(NOTA[ID]),COLUMN(NOTA[ID]))&amp;":"&amp;ADDRESS(ROW(),COLUMN(NOTA[ID]))),-1)))</f>
        <v>KENKO SINAR INDONESIA</v>
      </c>
      <c r="AJ57" s="41" t="str">
        <f ca="1">IF(NOTA[[#This Row],[ID_H]]="","",IF(NOTA[[#This Row],[FAKTUR]]="",INDIRECT(ADDRESS(ROW()-1,COLUMN())),NOTA[[#This Row],[FAKTUR]]))</f>
        <v>ARTO MORO</v>
      </c>
      <c r="AK57" s="38" t="str">
        <f ca="1">IF(NOTA[[#This Row],[ID]]="","",COUNTIF(NOTA[ID_H],NOTA[[#This Row],[ID_H]]))</f>
        <v/>
      </c>
      <c r="AL57" s="38">
        <f ca="1">IF(NOTA[[#This Row],[TGL.NOTA]]="",IF(NOTA[[#This Row],[SUPPLIER_H]]="","",AL56),MONTH(NOTA[[#This Row],[TGL.NOTA]]))</f>
        <v>9</v>
      </c>
      <c r="AM5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N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O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P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38" t="str">
        <f>IF(NOTA[[#This Row],[CONCAT4]]="","",_xlfn.IFNA(MATCH(NOTA[[#This Row],[CONCAT4]],[2]!RAW[CONCAT_H],0),FALSE))</f>
        <v/>
      </c>
      <c r="AR57" s="38">
        <f>IF(NOTA[[#This Row],[CONCAT1]]="","",MATCH(NOTA[[#This Row],[CONCAT1]],[3]!db[NB NOTA_C],0))</f>
        <v>1560</v>
      </c>
      <c r="AS57" s="38" t="str">
        <f>IF(NOTA[[#This Row],[QTY/ CTN]]="","",TRUE)</f>
        <v/>
      </c>
      <c r="AT57" s="38" t="str">
        <f ca="1">IF(NOTA[[#This Row],[ID_H]]="","",IF(NOTA[[#This Row],[Column3]]=TRUE,NOTA[[#This Row],[QTY/ CTN]],INDEX([3]!db[QTY/ CTN],NOTA[[#This Row],[//DB]])))</f>
        <v>20 LSN</v>
      </c>
      <c r="AU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V57" s="38" t="e">
        <f ca="1">IF(NOTA[[#This Row],[ID_H]]="","",MATCH(NOTA[[#This Row],[NB NOTA_C_QTY]],[4]!db[NB NOTA_C_QTY+F],0))</f>
        <v>#REF!</v>
      </c>
      <c r="AW57" s="53">
        <f ca="1">IF(NOTA[[#This Row],[NB NOTA_C_QTY]]="","",ROW()-2)</f>
        <v>55</v>
      </c>
    </row>
    <row r="58" spans="1:49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>
        <f ca="1">IF(NOTA[[#This Row],[NAMA BARANG]]="","",INDEX(NOTA[ID],MATCH(,INDIRECT(ADDRESS(ROW(NOTA[ID]),COLUMN(NOTA[ID]))&amp;":"&amp;ADDRESS(ROW(),COLUMN(NOTA[ID]))),-1)))</f>
        <v>11</v>
      </c>
      <c r="E58" s="46"/>
      <c r="F58" s="37"/>
      <c r="G58" s="37"/>
      <c r="H58" s="47"/>
      <c r="I58" s="37"/>
      <c r="J58" s="39"/>
      <c r="K58" s="37"/>
      <c r="L58" s="37" t="s">
        <v>166</v>
      </c>
      <c r="M58" s="40">
        <v>1</v>
      </c>
      <c r="O58" s="37"/>
      <c r="P58" s="41"/>
      <c r="Q58" s="42">
        <v>1164000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1164000</v>
      </c>
      <c r="Y58" s="50">
        <f>IF(NOTA[[#This Row],[JUMLAH]]="","",NOTA[[#This Row],[JUMLAH]]*NOTA[[#This Row],[DISC 1]])</f>
        <v>197880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197880</v>
      </c>
      <c r="AC58" s="50">
        <f>IF(NOTA[[#This Row],[JUMLAH]]="","",NOTA[[#This Row],[JUMLAH]]-NOTA[[#This Row],[DISC]])</f>
        <v>966120</v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G58" s="50" t="str">
        <f>IF(OR(NOTA[[#This Row],[QTY]]="",NOTA[[#This Row],[HARGA SATUAN]]="",),"",NOTA[[#This Row],[QTY]]*NOTA[[#This Row],[HARGA SATUAN]])</f>
        <v/>
      </c>
      <c r="AH58" s="39">
        <f ca="1">IF(NOTA[ID_H]="","",INDEX(NOTA[TANGGAL],MATCH(,INDIRECT(ADDRESS(ROW(NOTA[TANGGAL]),COLUMN(NOTA[TANGGAL]))&amp;":"&amp;ADDRESS(ROW(),COLUMN(NOTA[TANGGAL]))),-1)))</f>
        <v>45178</v>
      </c>
      <c r="AI58" s="41" t="str">
        <f ca="1">IF(NOTA[[#This Row],[NAMA BARANG]]="","",INDEX(NOTA[SUPPLIER],MATCH(,INDIRECT(ADDRESS(ROW(NOTA[ID]),COLUMN(NOTA[ID]))&amp;":"&amp;ADDRESS(ROW(),COLUMN(NOTA[ID]))),-1)))</f>
        <v>KENKO SINAR INDONESIA</v>
      </c>
      <c r="AJ58" s="41" t="str">
        <f ca="1">IF(NOTA[[#This Row],[ID_H]]="","",IF(NOTA[[#This Row],[FAKTUR]]="",INDIRECT(ADDRESS(ROW()-1,COLUMN())),NOTA[[#This Row],[FAKTUR]]))</f>
        <v>ARTO MORO</v>
      </c>
      <c r="AK58" s="38" t="str">
        <f ca="1">IF(NOTA[[#This Row],[ID]]="","",COUNTIF(NOTA[ID_H],NOTA[[#This Row],[ID_H]]))</f>
        <v/>
      </c>
      <c r="AL58" s="38">
        <f ca="1">IF(NOTA[[#This Row],[TGL.NOTA]]="",IF(NOTA[[#This Row],[SUPPLIER_H]]="","",AL57),MONTH(NOTA[[#This Row],[TGL.NOTA]]))</f>
        <v>9</v>
      </c>
      <c r="AM58" s="38" t="str">
        <f>LOWER(SUBSTITUTE(SUBSTITUTE(SUBSTITUTE(SUBSTITUTE(SUBSTITUTE(SUBSTITUTE(SUBSTITUTE(SUBSTITUTE(SUBSTITUTE(NOTA[NAMA BARANG]," ",),".",""),"-",""),"(",""),")",""),",",""),"/",""),"""",""),"+",""))</f>
        <v>kenkopunchno85</v>
      </c>
      <c r="AN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kenkopunchno8511640000.17</v>
      </c>
      <c r="AO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kenkopunchno8511640000.17</v>
      </c>
      <c r="AP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" s="38" t="str">
        <f>IF(NOTA[[#This Row],[CONCAT4]]="","",_xlfn.IFNA(MATCH(NOTA[[#This Row],[CONCAT4]],[2]!RAW[CONCAT_H],0),FALSE))</f>
        <v/>
      </c>
      <c r="AR58" s="38">
        <f>IF(NOTA[[#This Row],[CONCAT1]]="","",MATCH(NOTA[[#This Row],[CONCAT1]],[3]!db[NB NOTA_C],0))</f>
        <v>1530</v>
      </c>
      <c r="AS58" s="38" t="str">
        <f>IF(NOTA[[#This Row],[QTY/ CTN]]="","",TRUE)</f>
        <v/>
      </c>
      <c r="AT58" s="38" t="str">
        <f ca="1">IF(NOTA[[#This Row],[ID_H]]="","",IF(NOTA[[#This Row],[Column3]]=TRUE,NOTA[[#This Row],[QTY/ CTN]],INDEX([3]!db[QTY/ CTN],NOTA[[#This Row],[//DB]])))</f>
        <v>24 PCS</v>
      </c>
      <c r="AU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kenkopunchno8524pcsartomoro</v>
      </c>
      <c r="AV58" s="38" t="e">
        <f ca="1">IF(NOTA[[#This Row],[ID_H]]="","",MATCH(NOTA[[#This Row],[NB NOTA_C_QTY]],[4]!db[NB NOTA_C_QTY+F],0))</f>
        <v>#REF!</v>
      </c>
      <c r="AW58" s="53">
        <f ca="1">IF(NOTA[[#This Row],[NB NOTA_C_QTY]]="","",ROW()-2)</f>
        <v>56</v>
      </c>
    </row>
    <row r="59" spans="1:49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11</v>
      </c>
      <c r="E59" s="46"/>
      <c r="F59" s="37"/>
      <c r="G59" s="37"/>
      <c r="H59" s="47"/>
      <c r="I59" s="37"/>
      <c r="J59" s="39"/>
      <c r="K59" s="37"/>
      <c r="L59" s="37" t="s">
        <v>171</v>
      </c>
      <c r="M59" s="40">
        <v>1</v>
      </c>
      <c r="O59" s="37"/>
      <c r="P59" s="41"/>
      <c r="Q59" s="42">
        <v>1416000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1416000</v>
      </c>
      <c r="Y59" s="50">
        <f>IF(NOTA[[#This Row],[JUMLAH]]="","",NOTA[[#This Row],[JUMLAH]]*NOTA[[#This Row],[DISC 1]])</f>
        <v>240720.00000000003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240720.00000000003</v>
      </c>
      <c r="AC59" s="50">
        <f>IF(NOTA[[#This Row],[JUMLAH]]="","",NOTA[[#This Row],[JUMLAH]]-NOTA[[#This Row],[DISC]])</f>
        <v>1175280</v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G59" s="50" t="str">
        <f>IF(OR(NOTA[[#This Row],[QTY]]="",NOTA[[#This Row],[HARGA SATUAN]]="",),"",NOTA[[#This Row],[QTY]]*NOTA[[#This Row],[HARGA SATUAN]])</f>
        <v/>
      </c>
      <c r="AH59" s="39">
        <f ca="1">IF(NOTA[ID_H]="","",INDEX(NOTA[TANGGAL],MATCH(,INDIRECT(ADDRESS(ROW(NOTA[TANGGAL]),COLUMN(NOTA[TANGGAL]))&amp;":"&amp;ADDRESS(ROW(),COLUMN(NOTA[TANGGAL]))),-1)))</f>
        <v>45178</v>
      </c>
      <c r="AI59" s="41" t="str">
        <f ca="1">IF(NOTA[[#This Row],[NAMA BARANG]]="","",INDEX(NOTA[SUPPLIER],MATCH(,INDIRECT(ADDRESS(ROW(NOTA[ID]),COLUMN(NOTA[ID]))&amp;":"&amp;ADDRESS(ROW(),COLUMN(NOTA[ID]))),-1)))</f>
        <v>KENKO SINAR INDONESIA</v>
      </c>
      <c r="AJ59" s="41" t="str">
        <f ca="1">IF(NOTA[[#This Row],[ID_H]]="","",IF(NOTA[[#This Row],[FAKTUR]]="",INDIRECT(ADDRESS(ROW()-1,COLUMN())),NOTA[[#This Row],[FAKTUR]]))</f>
        <v>ARTO MORO</v>
      </c>
      <c r="AK59" s="38" t="str">
        <f ca="1">IF(NOTA[[#This Row],[ID]]="","",COUNTIF(NOTA[ID_H],NOTA[[#This Row],[ID_H]]))</f>
        <v/>
      </c>
      <c r="AL59" s="38">
        <f ca="1">IF(NOTA[[#This Row],[TGL.NOTA]]="",IF(NOTA[[#This Row],[SUPPLIER_H]]="","",AL58),MONTH(NOTA[[#This Row],[TGL.NOTA]]))</f>
        <v>9</v>
      </c>
      <c r="AM59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N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O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P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38" t="str">
        <f>IF(NOTA[[#This Row],[CONCAT4]]="","",_xlfn.IFNA(MATCH(NOTA[[#This Row],[CONCAT4]],[2]!RAW[CONCAT_H],0),FALSE))</f>
        <v/>
      </c>
      <c r="AR59" s="38">
        <f>IF(NOTA[[#This Row],[CONCAT1]]="","",MATCH(NOTA[[#This Row],[CONCAT1]],[3]!db[NB NOTA_C],0))</f>
        <v>1531</v>
      </c>
      <c r="AS59" s="38" t="str">
        <f>IF(NOTA[[#This Row],[QTY/ CTN]]="","",TRUE)</f>
        <v/>
      </c>
      <c r="AT59" s="38" t="str">
        <f ca="1">IF(NOTA[[#This Row],[ID_H]]="","",IF(NOTA[[#This Row],[Column3]]=TRUE,NOTA[[#This Row],[QTY/ CTN]],INDEX([3]!db[QTY/ CTN],NOTA[[#This Row],[//DB]])))</f>
        <v>24 PCS</v>
      </c>
      <c r="AU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V59" s="38" t="e">
        <f ca="1">IF(NOTA[[#This Row],[ID_H]]="","",MATCH(NOTA[[#This Row],[NB NOTA_C_QTY]],[4]!db[NB NOTA_C_QTY+F],0))</f>
        <v>#REF!</v>
      </c>
      <c r="AW59" s="53">
        <f ca="1">IF(NOTA[[#This Row],[NB NOTA_C_QTY]]="","",ROW()-2)</f>
        <v>57</v>
      </c>
    </row>
    <row r="60" spans="1:49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167</v>
      </c>
      <c r="M60" s="40">
        <v>5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19440000</v>
      </c>
      <c r="Y60" s="50">
        <f>IF(NOTA[[#This Row],[JUMLAH]]="","",NOTA[[#This Row],[JUMLAH]]*NOTA[[#This Row],[DISC 1]])</f>
        <v>3304800.0000000005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3304800.0000000005</v>
      </c>
      <c r="AC60" s="50">
        <f>IF(NOTA[[#This Row],[JUMLAH]]="","",NOTA[[#This Row],[JUMLAH]]-NOTA[[#This Row],[DISC]])</f>
        <v>16135200</v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60" s="50" t="str">
        <f>IF(OR(NOTA[[#This Row],[QTY]]="",NOTA[[#This Row],[HARGA SATUAN]]="",),"",NOTA[[#This Row],[QTY]]*NOTA[[#This Row],[HARGA SATUAN]])</f>
        <v/>
      </c>
      <c r="AH60" s="39">
        <f ca="1">IF(NOTA[ID_H]="","",INDEX(NOTA[TANGGAL],MATCH(,INDIRECT(ADDRESS(ROW(NOTA[TANGGAL]),COLUMN(NOTA[TANGGAL]))&amp;":"&amp;ADDRESS(ROW(),COLUMN(NOTA[TANGGAL]))),-1)))</f>
        <v>45178</v>
      </c>
      <c r="AI60" s="41" t="str">
        <f ca="1">IF(NOTA[[#This Row],[NAMA BARANG]]="","",INDEX(NOTA[SUPPLIER],MATCH(,INDIRECT(ADDRESS(ROW(NOTA[ID]),COLUMN(NOTA[ID]))&amp;":"&amp;ADDRESS(ROW(),COLUMN(NOTA[ID]))),-1)))</f>
        <v>KENKO SINAR INDONESIA</v>
      </c>
      <c r="AJ60" s="41" t="str">
        <f ca="1">IF(NOTA[[#This Row],[ID_H]]="","",IF(NOTA[[#This Row],[FAKTUR]]="",INDIRECT(ADDRESS(ROW()-1,COLUMN())),NOTA[[#This Row],[FAKTUR]]))</f>
        <v>ARTO MORO</v>
      </c>
      <c r="AK60" s="38" t="str">
        <f ca="1">IF(NOTA[[#This Row],[ID]]="","",COUNTIF(NOTA[ID_H],NOTA[[#This Row],[ID_H]]))</f>
        <v/>
      </c>
      <c r="AL60" s="38">
        <f ca="1">IF(NOTA[[#This Row],[TGL.NOTA]]="",IF(NOTA[[#This Row],[SUPPLIER_H]]="","",AL58),MONTH(NOTA[[#This Row],[TGL.NOTA]]))</f>
        <v>9</v>
      </c>
      <c r="AM6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38" t="str">
        <f>IF(NOTA[[#This Row],[CONCAT4]]="","",_xlfn.IFNA(MATCH(NOTA[[#This Row],[CONCAT4]],[2]!RAW[CONCAT_H],0),FALSE))</f>
        <v/>
      </c>
      <c r="AR60" s="38">
        <f>IF(NOTA[[#This Row],[CONCAT1]]="","",MATCH(NOTA[[#This Row],[CONCAT1]],[3]!db[NB NOTA_C],0))</f>
        <v>1382</v>
      </c>
      <c r="AS60" s="38" t="str">
        <f>IF(NOTA[[#This Row],[QTY/ CTN]]="","",TRUE)</f>
        <v/>
      </c>
      <c r="AT60" s="38" t="str">
        <f ca="1">IF(NOTA[[#This Row],[ID_H]]="","",IF(NOTA[[#This Row],[Column3]]=TRUE,NOTA[[#This Row],[QTY/ CTN]],INDEX([3]!db[QTY/ CTN],NOTA[[#This Row],[//DB]])))</f>
        <v>60 LSN</v>
      </c>
      <c r="AU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V60" s="38" t="e">
        <f ca="1">IF(NOTA[[#This Row],[ID_H]]="","",MATCH(NOTA[[#This Row],[NB NOTA_C_QTY]],[4]!db[NB NOTA_C_QTY+F],0))</f>
        <v>#REF!</v>
      </c>
      <c r="AW60" s="53">
        <f ca="1">IF(NOTA[[#This Row],[NB NOTA_C_QTY]]="","",ROW()-2)</f>
        <v>58</v>
      </c>
    </row>
    <row r="61" spans="1:49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168</v>
      </c>
      <c r="M61" s="40">
        <v>1</v>
      </c>
      <c r="O61" s="37"/>
      <c r="P61" s="41"/>
      <c r="Q61" s="42">
        <v>3758400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3758400</v>
      </c>
      <c r="Y61" s="50">
        <f>IF(NOTA[[#This Row],[JUMLAH]]="","",NOTA[[#This Row],[JUMLAH]]*NOTA[[#This Row],[DISC 1]])</f>
        <v>638928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638928</v>
      </c>
      <c r="AC61" s="50">
        <f>IF(NOTA[[#This Row],[JUMLAH]]="","",NOTA[[#This Row],[JUMLAH]]-NOTA[[#This Row],[DISC]])</f>
        <v>3119472</v>
      </c>
      <c r="AD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G61" s="50" t="str">
        <f>IF(OR(NOTA[[#This Row],[QTY]]="",NOTA[[#This Row],[HARGA SATUAN]]="",),"",NOTA[[#This Row],[QTY]]*NOTA[[#This Row],[HARGA SATUAN]])</f>
        <v/>
      </c>
      <c r="AH61" s="39">
        <f ca="1">IF(NOTA[ID_H]="","",INDEX(NOTA[TANGGAL],MATCH(,INDIRECT(ADDRESS(ROW(NOTA[TANGGAL]),COLUMN(NOTA[TANGGAL]))&amp;":"&amp;ADDRESS(ROW(),COLUMN(NOTA[TANGGAL]))),-1)))</f>
        <v>45178</v>
      </c>
      <c r="AI61" s="41" t="str">
        <f ca="1">IF(NOTA[[#This Row],[NAMA BARANG]]="","",INDEX(NOTA[SUPPLIER],MATCH(,INDIRECT(ADDRESS(ROW(NOTA[ID]),COLUMN(NOTA[ID]))&amp;":"&amp;ADDRESS(ROW(),COLUMN(NOTA[ID]))),-1)))</f>
        <v>KENKO SINAR INDONESIA</v>
      </c>
      <c r="AJ61" s="41" t="str">
        <f ca="1">IF(NOTA[[#This Row],[ID_H]]="","",IF(NOTA[[#This Row],[FAKTUR]]="",INDIRECT(ADDRESS(ROW()-1,COLUMN())),NOTA[[#This Row],[FAKTUR]]))</f>
        <v>ARTO MORO</v>
      </c>
      <c r="AK61" s="38" t="str">
        <f ca="1">IF(NOTA[[#This Row],[ID]]="","",COUNTIF(NOTA[ID_H],NOTA[[#This Row],[ID_H]]))</f>
        <v/>
      </c>
      <c r="AL61" s="38">
        <f ca="1">IF(NOTA[[#This Row],[TGL.NOTA]]="",IF(NOTA[[#This Row],[SUPPLIER_H]]="","",AL60),MONTH(NOTA[[#This Row],[TGL.NOTA]]))</f>
        <v>9</v>
      </c>
      <c r="AM61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O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P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" s="38" t="str">
        <f>IF(NOTA[[#This Row],[CONCAT4]]="","",_xlfn.IFNA(MATCH(NOTA[[#This Row],[CONCAT4]],[2]!RAW[CONCAT_H],0),FALSE))</f>
        <v/>
      </c>
      <c r="AR61" s="38">
        <f>IF(NOTA[[#This Row],[CONCAT1]]="","",MATCH(NOTA[[#This Row],[CONCAT1]],[3]!db[NB NOTA_C],0))</f>
        <v>1401</v>
      </c>
      <c r="AS61" s="38" t="str">
        <f>IF(NOTA[[#This Row],[QTY/ CTN]]="","",TRUE)</f>
        <v/>
      </c>
      <c r="AT61" s="38" t="str">
        <f ca="1">IF(NOTA[[#This Row],[ID_H]]="","",IF(NOTA[[#This Row],[Column3]]=TRUE,NOTA[[#This Row],[QTY/ CTN]],INDEX([3]!db[QTY/ CTN],NOTA[[#This Row],[//DB]])))</f>
        <v>144 LSN</v>
      </c>
      <c r="AU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V61" s="38" t="e">
        <f ca="1">IF(NOTA[[#This Row],[ID_H]]="","",MATCH(NOTA[[#This Row],[NB NOTA_C_QTY]],[4]!db[NB NOTA_C_QTY+F],0))</f>
        <v>#REF!</v>
      </c>
      <c r="AW61" s="53">
        <f ca="1">IF(NOTA[[#This Row],[NB NOTA_C_QTY]]="","",ROW()-2)</f>
        <v>59</v>
      </c>
    </row>
    <row r="62" spans="1:49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170</v>
      </c>
      <c r="M62" s="40">
        <v>2</v>
      </c>
      <c r="O62" s="37"/>
      <c r="P62" s="41"/>
      <c r="Q62" s="42">
        <v>2052000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4104000</v>
      </c>
      <c r="Y62" s="50">
        <f>IF(NOTA[[#This Row],[JUMLAH]]="","",NOTA[[#This Row],[JUMLAH]]*NOTA[[#This Row],[DISC 1]])</f>
        <v>697680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697680</v>
      </c>
      <c r="AC62" s="50">
        <f>IF(NOTA[[#This Row],[JUMLAH]]="","",NOTA[[#This Row],[JUMLAH]]-NOTA[[#This Row],[DISC]])</f>
        <v>3406320</v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G62" s="50" t="str">
        <f>IF(OR(NOTA[[#This Row],[QTY]]="",NOTA[[#This Row],[HARGA SATUAN]]="",),"",NOTA[[#This Row],[QTY]]*NOTA[[#This Row],[HARGA SATUAN]])</f>
        <v/>
      </c>
      <c r="AH62" s="39">
        <f ca="1">IF(NOTA[ID_H]="","",INDEX(NOTA[TANGGAL],MATCH(,INDIRECT(ADDRESS(ROW(NOTA[TANGGAL]),COLUMN(NOTA[TANGGAL]))&amp;":"&amp;ADDRESS(ROW(),COLUMN(NOTA[TANGGAL]))),-1)))</f>
        <v>45178</v>
      </c>
      <c r="AI62" s="41" t="str">
        <f ca="1">IF(NOTA[[#This Row],[NAMA BARANG]]="","",INDEX(NOTA[SUPPLIER],MATCH(,INDIRECT(ADDRESS(ROW(NOTA[ID]),COLUMN(NOTA[ID]))&amp;":"&amp;ADDRESS(ROW(),COLUMN(NOTA[ID]))),-1)))</f>
        <v>KENKO SINAR INDONESIA</v>
      </c>
      <c r="AJ62" s="41" t="str">
        <f ca="1">IF(NOTA[[#This Row],[ID_H]]="","",IF(NOTA[[#This Row],[FAKTUR]]="",INDIRECT(ADDRESS(ROW()-1,COLUMN())),NOTA[[#This Row],[FAKTUR]]))</f>
        <v>ARTO MORO</v>
      </c>
      <c r="AK62" s="38" t="str">
        <f ca="1">IF(NOTA[[#This Row],[ID]]="","",COUNTIF(NOTA[ID_H],NOTA[[#This Row],[ID_H]]))</f>
        <v/>
      </c>
      <c r="AL62" s="38">
        <f ca="1">IF(NOTA[[#This Row],[TGL.NOTA]]="",IF(NOTA[[#This Row],[SUPPLIER_H]]="","",AL61),MONTH(NOTA[[#This Row],[TGL.NOTA]]))</f>
        <v>9</v>
      </c>
      <c r="AM62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38" t="str">
        <f>IF(NOTA[[#This Row],[CONCAT4]]="","",_xlfn.IFNA(MATCH(NOTA[[#This Row],[CONCAT4]],[2]!RAW[CONCAT_H],0),FALSE))</f>
        <v/>
      </c>
      <c r="AR62" s="38">
        <f>IF(NOTA[[#This Row],[CONCAT1]]="","",MATCH(NOTA[[#This Row],[CONCAT1]],[3]!db[NB NOTA_C],0))</f>
        <v>1347</v>
      </c>
      <c r="AS62" s="38" t="str">
        <f>IF(NOTA[[#This Row],[QTY/ CTN]]="","",TRUE)</f>
        <v/>
      </c>
      <c r="AT62" s="38" t="str">
        <f ca="1">IF(NOTA[[#This Row],[ID_H]]="","",IF(NOTA[[#This Row],[Column3]]=TRUE,NOTA[[#This Row],[QTY/ CTN]],INDEX([3]!db[QTY/ CTN],NOTA[[#This Row],[//DB]])))</f>
        <v>36 LSN</v>
      </c>
      <c r="AU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V62" s="38" t="e">
        <f ca="1">IF(NOTA[[#This Row],[ID_H]]="","",MATCH(NOTA[[#This Row],[NB NOTA_C_QTY]],[4]!db[NB NOTA_C_QTY+F],0))</f>
        <v>#REF!</v>
      </c>
      <c r="AW62" s="53">
        <f ca="1">IF(NOTA[[#This Row],[NB NOTA_C_QTY]]="","",ROW()-2)</f>
        <v>60</v>
      </c>
    </row>
    <row r="63" spans="1:49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169</v>
      </c>
      <c r="M63" s="40">
        <v>3</v>
      </c>
      <c r="O63" s="37"/>
      <c r="P63" s="41"/>
      <c r="Q63" s="42">
        <v>5616000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16848000</v>
      </c>
      <c r="Y63" s="50">
        <f>IF(NOTA[[#This Row],[JUMLAH]]="","",NOTA[[#This Row],[JUMLAH]]*NOTA[[#This Row],[DISC 1]])</f>
        <v>2864160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2864160</v>
      </c>
      <c r="AC63" s="50">
        <f>IF(NOTA[[#This Row],[JUMLAH]]="","",NOTA[[#This Row],[JUMLAH]]-NOTA[[#This Row],[DISC]])</f>
        <v>13983840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8736708</v>
      </c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42655692</v>
      </c>
      <c r="AF6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63" s="50" t="str">
        <f>IF(OR(NOTA[[#This Row],[QTY]]="",NOTA[[#This Row],[HARGA SATUAN]]="",),"",NOTA[[#This Row],[QTY]]*NOTA[[#This Row],[HARGA SATUAN]])</f>
        <v/>
      </c>
      <c r="AH63" s="39">
        <f ca="1">IF(NOTA[ID_H]="","",INDEX(NOTA[TANGGAL],MATCH(,INDIRECT(ADDRESS(ROW(NOTA[TANGGAL]),COLUMN(NOTA[TANGGAL]))&amp;":"&amp;ADDRESS(ROW(),COLUMN(NOTA[TANGGAL]))),-1)))</f>
        <v>45178</v>
      </c>
      <c r="AI63" s="41" t="str">
        <f ca="1">IF(NOTA[[#This Row],[NAMA BARANG]]="","",INDEX(NOTA[SUPPLIER],MATCH(,INDIRECT(ADDRESS(ROW(NOTA[ID]),COLUMN(NOTA[ID]))&amp;":"&amp;ADDRESS(ROW(),COLUMN(NOTA[ID]))),-1)))</f>
        <v>KENKO SINAR INDONESIA</v>
      </c>
      <c r="AJ63" s="41" t="str">
        <f ca="1">IF(NOTA[[#This Row],[ID_H]]="","",IF(NOTA[[#This Row],[FAKTUR]]="",INDIRECT(ADDRESS(ROW()-1,COLUMN())),NOTA[[#This Row],[FAKTUR]]))</f>
        <v>ARTO MORO</v>
      </c>
      <c r="AK63" s="38" t="str">
        <f ca="1">IF(NOTA[[#This Row],[ID]]="","",COUNTIF(NOTA[ID_H],NOTA[[#This Row],[ID_H]]))</f>
        <v/>
      </c>
      <c r="AL63" s="38">
        <f ca="1">IF(NOTA[[#This Row],[TGL.NOTA]]="",IF(NOTA[[#This Row],[SUPPLIER_H]]="","",AL62),MONTH(NOTA[[#This Row],[TGL.NOTA]]))</f>
        <v>9</v>
      </c>
      <c r="AM6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" s="38" t="str">
        <f>IF(NOTA[[#This Row],[CONCAT4]]="","",_xlfn.IFNA(MATCH(NOTA[[#This Row],[CONCAT4]],[2]!RAW[CONCAT_H],0),FALSE))</f>
        <v/>
      </c>
      <c r="AR63" s="38">
        <f>IF(NOTA[[#This Row],[CONCAT1]]="","",MATCH(NOTA[[#This Row],[CONCAT1]],[3]!db[NB NOTA_C],0))</f>
        <v>1406</v>
      </c>
      <c r="AS63" s="38" t="str">
        <f>IF(NOTA[[#This Row],[QTY/ CTN]]="","",TRUE)</f>
        <v/>
      </c>
      <c r="AT63" s="38" t="str">
        <f ca="1">IF(NOTA[[#This Row],[ID_H]]="","",IF(NOTA[[#This Row],[Column3]]=TRUE,NOTA[[#This Row],[QTY/ CTN]],INDEX([3]!db[QTY/ CTN],NOTA[[#This Row],[//DB]])))</f>
        <v>144 LSN</v>
      </c>
      <c r="AU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63" s="38" t="e">
        <f ca="1">IF(NOTA[[#This Row],[ID_H]]="","",MATCH(NOTA[[#This Row],[NB NOTA_C_QTY]],[4]!db[NB NOTA_C_QTY+F],0))</f>
        <v>#REF!</v>
      </c>
      <c r="AW63" s="53">
        <f ca="1">IF(NOTA[[#This Row],[NB NOTA_C_QTY]]="","",ROW()-2)</f>
        <v>61</v>
      </c>
    </row>
    <row r="64" spans="1:49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" s="50" t="str">
        <f>IF(OR(NOTA[[#This Row],[QTY]]="",NOTA[[#This Row],[HARGA SATUAN]]="",),"",NOTA[[#This Row],[QTY]]*NOTA[[#This Row],[HARGA SATUAN]])</f>
        <v/>
      </c>
      <c r="AH64" s="39" t="str">
        <f ca="1">IF(NOTA[ID_H]="","",INDEX(NOTA[TANGGAL],MATCH(,INDIRECT(ADDRESS(ROW(NOTA[TANGGAL]),COLUMN(NOTA[TANGGAL]))&amp;":"&amp;ADDRESS(ROW(),COLUMN(NOTA[TANGGAL]))),-1)))</f>
        <v/>
      </c>
      <c r="AI64" s="41" t="str">
        <f ca="1">IF(NOTA[[#This Row],[NAMA BARANG]]="","",INDEX(NOTA[SUPPLIER],MATCH(,INDIRECT(ADDRESS(ROW(NOTA[ID]),COLUMN(NOTA[ID]))&amp;":"&amp;ADDRESS(ROW(),COLUMN(NOTA[ID]))),-1)))</f>
        <v/>
      </c>
      <c r="AJ64" s="41" t="str">
        <f ca="1">IF(NOTA[[#This Row],[ID_H]]="","",IF(NOTA[[#This Row],[FAKTUR]]="",INDIRECT(ADDRESS(ROW()-1,COLUMN())),NOTA[[#This Row],[FAKTUR]]))</f>
        <v/>
      </c>
      <c r="AK64" s="38" t="str">
        <f ca="1">IF(NOTA[[#This Row],[ID]]="","",COUNTIF(NOTA[ID_H],NOTA[[#This Row],[ID_H]]))</f>
        <v/>
      </c>
      <c r="AL64" s="38" t="str">
        <f ca="1">IF(NOTA[[#This Row],[TGL.NOTA]]="",IF(NOTA[[#This Row],[SUPPLIER_H]]="","",AL63),MONTH(NOTA[[#This Row],[TGL.NOTA]]))</f>
        <v/>
      </c>
      <c r="AM64" s="38" t="str">
        <f>LOWER(SUBSTITUTE(SUBSTITUTE(SUBSTITUTE(SUBSTITUTE(SUBSTITUTE(SUBSTITUTE(SUBSTITUTE(SUBSTITUTE(SUBSTITUTE(NOTA[NAMA BARANG]," ",),".",""),"-",""),"(",""),")",""),",",""),"/",""),"""",""),"+",""))</f>
        <v/>
      </c>
      <c r="AN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38" t="str">
        <f>IF(NOTA[[#This Row],[CONCAT4]]="","",_xlfn.IFNA(MATCH(NOTA[[#This Row],[CONCAT4]],[2]!RAW[CONCAT_H],0),FALSE))</f>
        <v/>
      </c>
      <c r="AR64" s="38" t="str">
        <f>IF(NOTA[[#This Row],[CONCAT1]]="","",MATCH(NOTA[[#This Row],[CONCAT1]],[3]!db[NB NOTA_C],0))</f>
        <v/>
      </c>
      <c r="AS64" s="38" t="str">
        <f>IF(NOTA[[#This Row],[QTY/ CTN]]="","",TRUE)</f>
        <v/>
      </c>
      <c r="AT64" s="38" t="str">
        <f ca="1">IF(NOTA[[#This Row],[ID_H]]="","",IF(NOTA[[#This Row],[Column3]]=TRUE,NOTA[[#This Row],[QTY/ CTN]],INDEX([3]!db[QTY/ CTN],NOTA[[#This Row],[//DB]])))</f>
        <v/>
      </c>
      <c r="AU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" s="38" t="str">
        <f ca="1">IF(NOTA[[#This Row],[ID_H]]="","",MATCH(NOTA[[#This Row],[NB NOTA_C_QTY]],[4]!db[NB NOTA_C_QTY+F],0))</f>
        <v/>
      </c>
      <c r="AW64" s="53" t="str">
        <f ca="1">IF(NOTA[[#This Row],[NB NOTA_C_QTY]]="","",ROW()-2)</f>
        <v/>
      </c>
    </row>
    <row r="65" spans="1:49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KEN_0909_468-8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12</v>
      </c>
      <c r="E65" s="46"/>
      <c r="F65" s="37" t="s">
        <v>22</v>
      </c>
      <c r="G65" s="37" t="s">
        <v>23</v>
      </c>
      <c r="H65" s="47" t="s">
        <v>172</v>
      </c>
      <c r="I65" s="37"/>
      <c r="J65" s="39">
        <v>45175</v>
      </c>
      <c r="K65" s="37"/>
      <c r="L65" s="37" t="s">
        <v>180</v>
      </c>
      <c r="M65" s="40">
        <v>2</v>
      </c>
      <c r="O65" s="37"/>
      <c r="P65" s="41"/>
      <c r="Q65" s="42">
        <v>3916800</v>
      </c>
      <c r="R65" s="48"/>
      <c r="S65" s="49">
        <v>0.05</v>
      </c>
      <c r="T65" s="44">
        <v>0.17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7833600</v>
      </c>
      <c r="Y65" s="50">
        <f>IF(NOTA[[#This Row],[JUMLAH]]="","",NOTA[[#This Row],[JUMLAH]]*NOTA[[#This Row],[DISC 1]])</f>
        <v>391680</v>
      </c>
      <c r="Z65" s="50">
        <f>IF(NOTA[[#This Row],[JUMLAH]]="","",(NOTA[[#This Row],[JUMLAH]]-NOTA[[#This Row],[DISC 1-]])*NOTA[[#This Row],[DISC 2]])</f>
        <v>1265126.4000000001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1656806.4000000001</v>
      </c>
      <c r="AC65" s="50">
        <f>IF(NOTA[[#This Row],[JUMLAH]]="","",NOTA[[#This Row],[JUMLAH]]-NOTA[[#This Row],[DISC]])</f>
        <v>6176793.5999999996</v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" s="41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G65" s="50" t="str">
        <f>IF(OR(NOTA[[#This Row],[QTY]]="",NOTA[[#This Row],[HARGA SATUAN]]="",),"",NOTA[[#This Row],[QTY]]*NOTA[[#This Row],[HARGA SATUAN]])</f>
        <v/>
      </c>
      <c r="AH65" s="39">
        <f ca="1">IF(NOTA[ID_H]="","",INDEX(NOTA[TANGGAL],MATCH(,INDIRECT(ADDRESS(ROW(NOTA[TANGGAL]),COLUMN(NOTA[TANGGAL]))&amp;":"&amp;ADDRESS(ROW(),COLUMN(NOTA[TANGGAL]))),-1)))</f>
        <v>45178</v>
      </c>
      <c r="AI65" s="41" t="str">
        <f ca="1">IF(NOTA[[#This Row],[NAMA BARANG]]="","",INDEX(NOTA[SUPPLIER],MATCH(,INDIRECT(ADDRESS(ROW(NOTA[ID]),COLUMN(NOTA[ID]))&amp;":"&amp;ADDRESS(ROW(),COLUMN(NOTA[ID]))),-1)))</f>
        <v>KENKO SINAR INDONESIA</v>
      </c>
      <c r="AJ65" s="41" t="str">
        <f ca="1">IF(NOTA[[#This Row],[ID_H]]="","",IF(NOTA[[#This Row],[FAKTUR]]="",INDIRECT(ADDRESS(ROW()-1,COLUMN())),NOTA[[#This Row],[FAKTUR]]))</f>
        <v>ARTO MORO</v>
      </c>
      <c r="AK65" s="38">
        <f ca="1">IF(NOTA[[#This Row],[ID]]="","",COUNTIF(NOTA[ID_H],NOTA[[#This Row],[ID_H]]))</f>
        <v>8</v>
      </c>
      <c r="AL65" s="38">
        <f>IF(NOTA[[#This Row],[TGL.NOTA]]="",IF(NOTA[[#This Row],[SUPPLIER_H]]="","",AL64),MONTH(NOTA[[#This Row],[TGL.NOTA]]))</f>
        <v>9</v>
      </c>
      <c r="AM65" s="38" t="str">
        <f>LOWER(SUBSTITUTE(SUBSTITUTE(SUBSTITUTE(SUBSTITUTE(SUBSTITUTE(SUBSTITUTE(SUBSTITUTE(SUBSTITUTE(SUBSTITUTE(NOTA[NAMA BARANG]," ",),".",""),"-",""),"(",""),")",""),",",""),"/",""),"""",""),"+",""))</f>
        <v>kenkocorrectiontapect30912mx5mm</v>
      </c>
      <c r="AN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kenkocorrectiontapect30912mx5mm39168000.050.17</v>
      </c>
      <c r="AO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kenkocorrectiontapect30912mx5mm39168000.050.17</v>
      </c>
      <c r="AP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MORO2309046845175kenkocorrectiontapect30912mx5mm</v>
      </c>
      <c r="AQ65" s="38" t="e">
        <f>IF(NOTA[[#This Row],[CONCAT4]]="","",_xlfn.IFNA(MATCH(NOTA[[#This Row],[CONCAT4]],[2]!RAW[CONCAT_H],0),FALSE))</f>
        <v>#REF!</v>
      </c>
      <c r="AR65" s="38">
        <f>IF(NOTA[[#This Row],[CONCAT1]]="","",MATCH(NOTA[[#This Row],[CONCAT1]],[3]!db[NB NOTA_C],0))</f>
        <v>1357</v>
      </c>
      <c r="AS65" s="38" t="str">
        <f>IF(NOTA[[#This Row],[QTY/ CTN]]="","",TRUE)</f>
        <v/>
      </c>
      <c r="AT65" s="38" t="str">
        <f ca="1">IF(NOTA[[#This Row],[ID_H]]="","",IF(NOTA[[#This Row],[Column3]]=TRUE,NOTA[[#This Row],[QTY/ CTN]],INDEX([3]!db[QTY/ CTN],NOTA[[#This Row],[//DB]])))</f>
        <v>48 LSN</v>
      </c>
      <c r="AU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kenkocorrectiontapect30912mx5mm48lsnartomoro</v>
      </c>
      <c r="AV65" s="38" t="e">
        <f ca="1">IF(NOTA[[#This Row],[ID_H]]="","",MATCH(NOTA[[#This Row],[NB NOTA_C_QTY]],[4]!db[NB NOTA_C_QTY+F],0))</f>
        <v>#REF!</v>
      </c>
      <c r="AW65" s="53">
        <f ca="1">IF(NOTA[[#This Row],[NB NOTA_C_QTY]]="","",ROW()-2)</f>
        <v>63</v>
      </c>
    </row>
    <row r="66" spans="1:49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12</v>
      </c>
      <c r="E66" s="46"/>
      <c r="F66" s="37"/>
      <c r="G66" s="37"/>
      <c r="H66" s="47"/>
      <c r="I66" s="37"/>
      <c r="J66" s="39"/>
      <c r="K66" s="37"/>
      <c r="L66" s="37" t="s">
        <v>173</v>
      </c>
      <c r="M66" s="40">
        <v>2</v>
      </c>
      <c r="O66" s="37"/>
      <c r="P66" s="41"/>
      <c r="Q66" s="42">
        <v>2592000</v>
      </c>
      <c r="R66" s="48"/>
      <c r="S66" s="49">
        <v>0.05</v>
      </c>
      <c r="T66" s="44">
        <v>0.17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5184000</v>
      </c>
      <c r="Y66" s="50">
        <f>IF(NOTA[[#This Row],[JUMLAH]]="","",NOTA[[#This Row],[JUMLAH]]*NOTA[[#This Row],[DISC 1]])</f>
        <v>259200</v>
      </c>
      <c r="Z66" s="50">
        <f>IF(NOTA[[#This Row],[JUMLAH]]="","",(NOTA[[#This Row],[JUMLAH]]-NOTA[[#This Row],[DISC 1-]])*NOTA[[#This Row],[DISC 2]])</f>
        <v>837216.00000000012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1096416</v>
      </c>
      <c r="AC66" s="50">
        <f>IF(NOTA[[#This Row],[JUMLAH]]="","",NOTA[[#This Row],[JUMLAH]]-NOTA[[#This Row],[DISC]])</f>
        <v>4087584</v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G66" s="50" t="str">
        <f>IF(OR(NOTA[[#This Row],[QTY]]="",NOTA[[#This Row],[HARGA SATUAN]]="",),"",NOTA[[#This Row],[QTY]]*NOTA[[#This Row],[HARGA SATUAN]])</f>
        <v/>
      </c>
      <c r="AH66" s="39">
        <f ca="1">IF(NOTA[ID_H]="","",INDEX(NOTA[TANGGAL],MATCH(,INDIRECT(ADDRESS(ROW(NOTA[TANGGAL]),COLUMN(NOTA[TANGGAL]))&amp;":"&amp;ADDRESS(ROW(),COLUMN(NOTA[TANGGAL]))),-1)))</f>
        <v>45178</v>
      </c>
      <c r="AI66" s="41" t="str">
        <f ca="1">IF(NOTA[[#This Row],[NAMA BARANG]]="","",INDEX(NOTA[SUPPLIER],MATCH(,INDIRECT(ADDRESS(ROW(NOTA[ID]),COLUMN(NOTA[ID]))&amp;":"&amp;ADDRESS(ROW(),COLUMN(NOTA[ID]))),-1)))</f>
        <v>KENKO SINAR INDONESIA</v>
      </c>
      <c r="AJ66" s="41" t="str">
        <f ca="1">IF(NOTA[[#This Row],[ID_H]]="","",IF(NOTA[[#This Row],[FAKTUR]]="",INDIRECT(ADDRESS(ROW()-1,COLUMN())),NOTA[[#This Row],[FAKTUR]]))</f>
        <v>ARTO MORO</v>
      </c>
      <c r="AK66" s="38" t="str">
        <f ca="1">IF(NOTA[[#This Row],[ID]]="","",COUNTIF(NOTA[ID_H],NOTA[[#This Row],[ID_H]]))</f>
        <v/>
      </c>
      <c r="AL66" s="38">
        <f ca="1">IF(NOTA[[#This Row],[TGL.NOTA]]="",IF(NOTA[[#This Row],[SUPPLIER_H]]="","",AL65),MONTH(NOTA[[#This Row],[TGL.NOTA]]))</f>
        <v>9</v>
      </c>
      <c r="AM66" s="38" t="str">
        <f>LOWER(SUBSTITUTE(SUBSTITUTE(SUBSTITUTE(SUBSTITUTE(SUBSTITUTE(SUBSTITUTE(SUBSTITUTE(SUBSTITUTE(SUBSTITUTE(NOTA[NAMA BARANG]," ",),".",""),"-",""),"(",""),")",""),",",""),"/",""),"""",""),"+",""))</f>
        <v>kenkocorrectiontapect8098mx5mm</v>
      </c>
      <c r="AN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kenkocorrectiontapect8098mx5mm25920000.050.17</v>
      </c>
      <c r="AO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kenkocorrectiontapect8098mx5mm25920000.050.17</v>
      </c>
      <c r="AP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" s="38" t="str">
        <f>IF(NOTA[[#This Row],[CONCAT4]]="","",_xlfn.IFNA(MATCH(NOTA[[#This Row],[CONCAT4]],[2]!RAW[CONCAT_H],0),FALSE))</f>
        <v/>
      </c>
      <c r="AR66" s="38">
        <f>IF(NOTA[[#This Row],[CONCAT1]]="","",MATCH(NOTA[[#This Row],[CONCAT1]],[3]!db[NB NOTA_C],0))</f>
        <v>1366</v>
      </c>
      <c r="AS66" s="38" t="str">
        <f>IF(NOTA[[#This Row],[QTY/ CTN]]="","",TRUE)</f>
        <v/>
      </c>
      <c r="AT66" s="38" t="str">
        <f ca="1">IF(NOTA[[#This Row],[ID_H]]="","",IF(NOTA[[#This Row],[Column3]]=TRUE,NOTA[[#This Row],[QTY/ CTN]],INDEX([3]!db[QTY/ CTN],NOTA[[#This Row],[//DB]])))</f>
        <v>48 LSN</v>
      </c>
      <c r="AU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kenkocorrectiontapect8098mx5mm48lsnartomoro</v>
      </c>
      <c r="AV66" s="38" t="e">
        <f ca="1">IF(NOTA[[#This Row],[ID_H]]="","",MATCH(NOTA[[#This Row],[NB NOTA_C_QTY]],[4]!db[NB NOTA_C_QTY+F],0))</f>
        <v>#REF!</v>
      </c>
      <c r="AW66" s="53">
        <f ca="1">IF(NOTA[[#This Row],[NB NOTA_C_QTY]]="","",ROW()-2)</f>
        <v>64</v>
      </c>
    </row>
    <row r="67" spans="1:49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/>
      <c r="G67" s="37"/>
      <c r="H67" s="47"/>
      <c r="I67" s="37"/>
      <c r="J67" s="39"/>
      <c r="K67" s="37"/>
      <c r="L67" s="37" t="s">
        <v>174</v>
      </c>
      <c r="M67" s="40">
        <v>5</v>
      </c>
      <c r="O67" s="37"/>
      <c r="P67" s="41"/>
      <c r="Q67" s="42">
        <v>2880000</v>
      </c>
      <c r="R67" s="48"/>
      <c r="S67" s="49">
        <v>0.05</v>
      </c>
      <c r="T67" s="44">
        <v>0.17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14400000</v>
      </c>
      <c r="Y67" s="50">
        <f>IF(NOTA[[#This Row],[JUMLAH]]="","",NOTA[[#This Row],[JUMLAH]]*NOTA[[#This Row],[DISC 1]])</f>
        <v>720000</v>
      </c>
      <c r="Z67" s="50">
        <f>IF(NOTA[[#This Row],[JUMLAH]]="","",(NOTA[[#This Row],[JUMLAH]]-NOTA[[#This Row],[DISC 1-]])*NOTA[[#This Row],[DISC 2]])</f>
        <v>2325600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3045600</v>
      </c>
      <c r="AC67" s="50">
        <f>IF(NOTA[[#This Row],[JUMLAH]]="","",NOTA[[#This Row],[JUMLAH]]-NOTA[[#This Row],[DISC]])</f>
        <v>11354400</v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67" s="50" t="str">
        <f>IF(OR(NOTA[[#This Row],[QTY]]="",NOTA[[#This Row],[HARGA SATUAN]]="",),"",NOTA[[#This Row],[QTY]]*NOTA[[#This Row],[HARGA SATUAN]])</f>
        <v/>
      </c>
      <c r="AH67" s="39">
        <f ca="1">IF(NOTA[ID_H]="","",INDEX(NOTA[TANGGAL],MATCH(,INDIRECT(ADDRESS(ROW(NOTA[TANGGAL]),COLUMN(NOTA[TANGGAL]))&amp;":"&amp;ADDRESS(ROW(),COLUMN(NOTA[TANGGAL]))),-1)))</f>
        <v>45178</v>
      </c>
      <c r="AI67" s="41" t="str">
        <f ca="1">IF(NOTA[[#This Row],[NAMA BARANG]]="","",INDEX(NOTA[SUPPLIER],MATCH(,INDIRECT(ADDRESS(ROW(NOTA[ID]),COLUMN(NOTA[ID]))&amp;":"&amp;ADDRESS(ROW(),COLUMN(NOTA[ID]))),-1)))</f>
        <v>KENKO SINAR INDONESIA</v>
      </c>
      <c r="AJ67" s="41" t="str">
        <f ca="1">IF(NOTA[[#This Row],[ID_H]]="","",IF(NOTA[[#This Row],[FAKTUR]]="",INDIRECT(ADDRESS(ROW()-1,COLUMN())),NOTA[[#This Row],[FAKTUR]]))</f>
        <v>ARTO MORO</v>
      </c>
      <c r="AK67" s="38" t="str">
        <f ca="1">IF(NOTA[[#This Row],[ID]]="","",COUNTIF(NOTA[ID_H],NOTA[[#This Row],[ID_H]]))</f>
        <v/>
      </c>
      <c r="AL67" s="38">
        <f ca="1">IF(NOTA[[#This Row],[TGL.NOTA]]="",IF(NOTA[[#This Row],[SUPPLIER_H]]="","",AL66),MONTH(NOTA[[#This Row],[TGL.NOTA]]))</f>
        <v>9</v>
      </c>
      <c r="AM67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kenkocorrectiontapect90212mx5mm28800000.050.17</v>
      </c>
      <c r="AO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kenkocorrectiontapect90212mx5mm28800000.050.17</v>
      </c>
      <c r="AP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38" t="str">
        <f>IF(NOTA[[#This Row],[CONCAT4]]="","",_xlfn.IFNA(MATCH(NOTA[[#This Row],[CONCAT4]],[2]!RAW[CONCAT_H],0),FALSE))</f>
        <v/>
      </c>
      <c r="AR67" s="38">
        <f>IF(NOTA[[#This Row],[CONCAT1]]="","",MATCH(NOTA[[#This Row],[CONCAT1]],[3]!db[NB NOTA_C],0))</f>
        <v>1371</v>
      </c>
      <c r="AS67" s="38" t="str">
        <f>IF(NOTA[[#This Row],[QTY/ CTN]]="","",TRUE)</f>
        <v/>
      </c>
      <c r="AT67" s="38" t="str">
        <f ca="1">IF(NOTA[[#This Row],[ID_H]]="","",IF(NOTA[[#This Row],[Column3]]=TRUE,NOTA[[#This Row],[QTY/ CTN]],INDEX([3]!db[QTY/ CTN],NOTA[[#This Row],[//DB]])))</f>
        <v>48 LSN</v>
      </c>
      <c r="AU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V67" s="38" t="e">
        <f ca="1">IF(NOTA[[#This Row],[ID_H]]="","",MATCH(NOTA[[#This Row],[NB NOTA_C_QTY]],[4]!db[NB NOTA_C_QTY+F],0))</f>
        <v>#REF!</v>
      </c>
      <c r="AW67" s="53">
        <f ca="1">IF(NOTA[[#This Row],[NB NOTA_C_QTY]]="","",ROW()-2)</f>
        <v>65</v>
      </c>
    </row>
    <row r="68" spans="1:49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175</v>
      </c>
      <c r="M68" s="40">
        <v>5</v>
      </c>
      <c r="O68" s="37"/>
      <c r="P68" s="41"/>
      <c r="Q68" s="42">
        <v>2880000</v>
      </c>
      <c r="R68" s="48"/>
      <c r="S68" s="49">
        <v>0.05</v>
      </c>
      <c r="T68" s="44">
        <v>0.17</v>
      </c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14400000</v>
      </c>
      <c r="Y68" s="50">
        <f>IF(NOTA[[#This Row],[JUMLAH]]="","",NOTA[[#This Row],[JUMLAH]]*NOTA[[#This Row],[DISC 1]])</f>
        <v>720000</v>
      </c>
      <c r="Z68" s="50">
        <f>IF(NOTA[[#This Row],[JUMLAH]]="","",(NOTA[[#This Row],[JUMLAH]]-NOTA[[#This Row],[DISC 1-]])*NOTA[[#This Row],[DISC 2]])</f>
        <v>2325600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3045600</v>
      </c>
      <c r="AC68" s="50">
        <f>IF(NOTA[[#This Row],[JUMLAH]]="","",NOTA[[#This Row],[JUMLAH]]-NOTA[[#This Row],[DISC]])</f>
        <v>11354400</v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68" s="50" t="str">
        <f>IF(OR(NOTA[[#This Row],[QTY]]="",NOTA[[#This Row],[HARGA SATUAN]]="",),"",NOTA[[#This Row],[QTY]]*NOTA[[#This Row],[HARGA SATUAN]])</f>
        <v/>
      </c>
      <c r="AH68" s="39">
        <f ca="1">IF(NOTA[ID_H]="","",INDEX(NOTA[TANGGAL],MATCH(,INDIRECT(ADDRESS(ROW(NOTA[TANGGAL]),COLUMN(NOTA[TANGGAL]))&amp;":"&amp;ADDRESS(ROW(),COLUMN(NOTA[TANGGAL]))),-1)))</f>
        <v>45178</v>
      </c>
      <c r="AI68" s="41" t="str">
        <f ca="1">IF(NOTA[[#This Row],[NAMA BARANG]]="","",INDEX(NOTA[SUPPLIER],MATCH(,INDIRECT(ADDRESS(ROW(NOTA[ID]),COLUMN(NOTA[ID]))&amp;":"&amp;ADDRESS(ROW(),COLUMN(NOTA[ID]))),-1)))</f>
        <v>KENKO SINAR INDONESIA</v>
      </c>
      <c r="AJ68" s="41" t="str">
        <f ca="1">IF(NOTA[[#This Row],[ID_H]]="","",IF(NOTA[[#This Row],[FAKTUR]]="",INDIRECT(ADDRESS(ROW()-1,COLUMN())),NOTA[[#This Row],[FAKTUR]]))</f>
        <v>ARTO MORO</v>
      </c>
      <c r="AK68" s="38" t="str">
        <f ca="1">IF(NOTA[[#This Row],[ID]]="","",COUNTIF(NOTA[ID_H],NOTA[[#This Row],[ID_H]]))</f>
        <v/>
      </c>
      <c r="AL68" s="38">
        <f ca="1">IF(NOTA[[#This Row],[TGL.NOTA]]="",IF(NOTA[[#This Row],[SUPPLIER_H]]="","",AL67),MONTH(NOTA[[#This Row],[TGL.NOTA]]))</f>
        <v>9</v>
      </c>
      <c r="AM68" s="38" t="str">
        <f>LOWER(SUBSTITUTE(SUBSTITUTE(SUBSTITUTE(SUBSTITUTE(SUBSTITUTE(SUBSTITUTE(SUBSTITUTE(SUBSTITUTE(SUBSTITUTE(NOTA[NAMA BARANG]," ",),".",""),"-",""),"(",""),")",""),",",""),"/",""),"""",""),"+",""))</f>
        <v>kenkocorrectiontapect902cl12mx5mm</v>
      </c>
      <c r="AN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kenkocorrectiontapect902cl12mx5mm28800000.050.17</v>
      </c>
      <c r="AO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kenkocorrectiontapect902cl12mx5mm28800000.050.17</v>
      </c>
      <c r="AP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" s="38" t="str">
        <f>IF(NOTA[[#This Row],[CONCAT4]]="","",_xlfn.IFNA(MATCH(NOTA[[#This Row],[CONCAT4]],[2]!RAW[CONCAT_H],0),FALSE))</f>
        <v/>
      </c>
      <c r="AR68" s="38">
        <f>IF(NOTA[[#This Row],[CONCAT1]]="","",MATCH(NOTA[[#This Row],[CONCAT1]],[3]!db[NB NOTA_C],0))</f>
        <v>1373</v>
      </c>
      <c r="AS68" s="38" t="str">
        <f>IF(NOTA[[#This Row],[QTY/ CTN]]="","",TRUE)</f>
        <v/>
      </c>
      <c r="AT68" s="38" t="str">
        <f ca="1">IF(NOTA[[#This Row],[ID_H]]="","",IF(NOTA[[#This Row],[Column3]]=TRUE,NOTA[[#This Row],[QTY/ CTN]],INDEX([3]!db[QTY/ CTN],NOTA[[#This Row],[//DB]])))</f>
        <v>48 LSN</v>
      </c>
      <c r="AU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kenkocorrectiontapect902cl12mx5mm48lsnartomoro</v>
      </c>
      <c r="AV68" s="38" t="e">
        <f ca="1">IF(NOTA[[#This Row],[ID_H]]="","",MATCH(NOTA[[#This Row],[NB NOTA_C_QTY]],[4]!db[NB NOTA_C_QTY+F],0))</f>
        <v>#REF!</v>
      </c>
      <c r="AW68" s="53">
        <f ca="1">IF(NOTA[[#This Row],[NB NOTA_C_QTY]]="","",ROW()-2)</f>
        <v>66</v>
      </c>
    </row>
    <row r="69" spans="1:49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176</v>
      </c>
      <c r="M69" s="40">
        <v>1</v>
      </c>
      <c r="O69" s="37"/>
      <c r="P69" s="41"/>
      <c r="Q69" s="42">
        <v>2880000</v>
      </c>
      <c r="R69" s="48"/>
      <c r="S69" s="49">
        <v>0.05</v>
      </c>
      <c r="T69" s="44">
        <v>0.17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2880000</v>
      </c>
      <c r="Y69" s="50">
        <f>IF(NOTA[[#This Row],[JUMLAH]]="","",NOTA[[#This Row],[JUMLAH]]*NOTA[[#This Row],[DISC 1]])</f>
        <v>144000</v>
      </c>
      <c r="Z69" s="50">
        <f>IF(NOTA[[#This Row],[JUMLAH]]="","",(NOTA[[#This Row],[JUMLAH]]-NOTA[[#This Row],[DISC 1-]])*NOTA[[#This Row],[DISC 2]])</f>
        <v>465120.00000000006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609120</v>
      </c>
      <c r="AC69" s="50">
        <f>IF(NOTA[[#This Row],[JUMLAH]]="","",NOTA[[#This Row],[JUMLAH]]-NOTA[[#This Row],[DISC]])</f>
        <v>2270880</v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G69" s="50" t="str">
        <f>IF(OR(NOTA[[#This Row],[QTY]]="",NOTA[[#This Row],[HARGA SATUAN]]="",),"",NOTA[[#This Row],[QTY]]*NOTA[[#This Row],[HARGA SATUAN]])</f>
        <v/>
      </c>
      <c r="AH69" s="39">
        <f ca="1">IF(NOTA[ID_H]="","",INDEX(NOTA[TANGGAL],MATCH(,INDIRECT(ADDRESS(ROW(NOTA[TANGGAL]),COLUMN(NOTA[TANGGAL]))&amp;":"&amp;ADDRESS(ROW(),COLUMN(NOTA[TANGGAL]))),-1)))</f>
        <v>45178</v>
      </c>
      <c r="AI69" s="41" t="str">
        <f ca="1">IF(NOTA[[#This Row],[NAMA BARANG]]="","",INDEX(NOTA[SUPPLIER],MATCH(,INDIRECT(ADDRESS(ROW(NOTA[ID]),COLUMN(NOTA[ID]))&amp;":"&amp;ADDRESS(ROW(),COLUMN(NOTA[ID]))),-1)))</f>
        <v>KENKO SINAR INDONESIA</v>
      </c>
      <c r="AJ69" s="41" t="str">
        <f ca="1">IF(NOTA[[#This Row],[ID_H]]="","",IF(NOTA[[#This Row],[FAKTUR]]="",INDIRECT(ADDRESS(ROW()-1,COLUMN())),NOTA[[#This Row],[FAKTUR]]))</f>
        <v>ARTO MORO</v>
      </c>
      <c r="AK69" s="38" t="str">
        <f ca="1">IF(NOTA[[#This Row],[ID]]="","",COUNTIF(NOTA[ID_H],NOTA[[#This Row],[ID_H]]))</f>
        <v/>
      </c>
      <c r="AL69" s="38">
        <f ca="1">IF(NOTA[[#This Row],[TGL.NOTA]]="",IF(NOTA[[#This Row],[SUPPLIER_H]]="","",AL68),MONTH(NOTA[[#This Row],[TGL.NOTA]]))</f>
        <v>9</v>
      </c>
      <c r="AM69" s="38" t="str">
        <f>LOWER(SUBSTITUTE(SUBSTITUTE(SUBSTITUTE(SUBSTITUTE(SUBSTITUTE(SUBSTITUTE(SUBSTITUTE(SUBSTITUTE(SUBSTITUTE(NOTA[NAMA BARANG]," ",),".",""),"-",""),"(",""),")",""),",",""),"/",""),"""",""),"+",""))</f>
        <v>kenkocorrectiontapect902p12mx5mm</v>
      </c>
      <c r="AN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kenkocorrectiontapect902p12mx5mm28800000.050.17</v>
      </c>
      <c r="AO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kenkocorrectiontapect902p12mx5mm28800000.050.17</v>
      </c>
      <c r="AP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38" t="str">
        <f>IF(NOTA[[#This Row],[CONCAT4]]="","",_xlfn.IFNA(MATCH(NOTA[[#This Row],[CONCAT4]],[2]!RAW[CONCAT_H],0),FALSE))</f>
        <v/>
      </c>
      <c r="AR69" s="38">
        <f>IF(NOTA[[#This Row],[CONCAT1]]="","",MATCH(NOTA[[#This Row],[CONCAT1]],[3]!db[NB NOTA_C],0))</f>
        <v>1372</v>
      </c>
      <c r="AS69" s="38" t="str">
        <f>IF(NOTA[[#This Row],[QTY/ CTN]]="","",TRUE)</f>
        <v/>
      </c>
      <c r="AT69" s="38" t="str">
        <f ca="1">IF(NOTA[[#This Row],[ID_H]]="","",IF(NOTA[[#This Row],[Column3]]=TRUE,NOTA[[#This Row],[QTY/ CTN]],INDEX([3]!db[QTY/ CTN],NOTA[[#This Row],[//DB]])))</f>
        <v>48 LSN</v>
      </c>
      <c r="AU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kenkocorrectiontapect902p12mx5mm48lsnartomoro</v>
      </c>
      <c r="AV69" s="38" t="e">
        <f ca="1">IF(NOTA[[#This Row],[ID_H]]="","",MATCH(NOTA[[#This Row],[NB NOTA_C_QTY]],[4]!db[NB NOTA_C_QTY+F],0))</f>
        <v>#REF!</v>
      </c>
      <c r="AW69" s="53">
        <f ca="1">IF(NOTA[[#This Row],[NB NOTA_C_QTY]]="","",ROW()-2)</f>
        <v>67</v>
      </c>
    </row>
    <row r="70" spans="1:49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177</v>
      </c>
      <c r="M70" s="40">
        <v>1</v>
      </c>
      <c r="O70" s="37"/>
      <c r="P70" s="41"/>
      <c r="Q70" s="42">
        <v>1410000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1410000</v>
      </c>
      <c r="Y70" s="50">
        <f>IF(NOTA[[#This Row],[JUMLAH]]="","",NOTA[[#This Row],[JUMLAH]]*NOTA[[#This Row],[DISC 1]])</f>
        <v>239700.00000000003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239700.00000000003</v>
      </c>
      <c r="AC70" s="50">
        <f>IF(NOTA[[#This Row],[JUMLAH]]="","",NOTA[[#This Row],[JUMLAH]]-NOTA[[#This Row],[DISC]])</f>
        <v>1170300</v>
      </c>
      <c r="AD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G70" s="50" t="str">
        <f>IF(OR(NOTA[[#This Row],[QTY]]="",NOTA[[#This Row],[HARGA SATUAN]]="",),"",NOTA[[#This Row],[QTY]]*NOTA[[#This Row],[HARGA SATUAN]])</f>
        <v/>
      </c>
      <c r="AH70" s="39">
        <f ca="1">IF(NOTA[ID_H]="","",INDEX(NOTA[TANGGAL],MATCH(,INDIRECT(ADDRESS(ROW(NOTA[TANGGAL]),COLUMN(NOTA[TANGGAL]))&amp;":"&amp;ADDRESS(ROW(),COLUMN(NOTA[TANGGAL]))),-1)))</f>
        <v>45178</v>
      </c>
      <c r="AI70" s="41" t="str">
        <f ca="1">IF(NOTA[[#This Row],[NAMA BARANG]]="","",INDEX(NOTA[SUPPLIER],MATCH(,INDIRECT(ADDRESS(ROW(NOTA[ID]),COLUMN(NOTA[ID]))&amp;":"&amp;ADDRESS(ROW(),COLUMN(NOTA[ID]))),-1)))</f>
        <v>KENKO SINAR INDONESIA</v>
      </c>
      <c r="AJ70" s="41" t="str">
        <f ca="1">IF(NOTA[[#This Row],[ID_H]]="","",IF(NOTA[[#This Row],[FAKTUR]]="",INDIRECT(ADDRESS(ROW()-1,COLUMN())),NOTA[[#This Row],[FAKTUR]]))</f>
        <v>ARTO MORO</v>
      </c>
      <c r="AK70" s="38" t="str">
        <f ca="1">IF(NOTA[[#This Row],[ID]]="","",COUNTIF(NOTA[ID_H],NOTA[[#This Row],[ID_H]]))</f>
        <v/>
      </c>
      <c r="AL70" s="38">
        <f ca="1">IF(NOTA[[#This Row],[TGL.NOTA]]="",IF(NOTA[[#This Row],[SUPPLIER_H]]="","",AL69),MONTH(NOTA[[#This Row],[TGL.NOTA]]))</f>
        <v>9</v>
      </c>
      <c r="AM70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N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O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P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38" t="str">
        <f>IF(NOTA[[#This Row],[CONCAT4]]="","",_xlfn.IFNA(MATCH(NOTA[[#This Row],[CONCAT4]],[2]!RAW[CONCAT_H],0),FALSE))</f>
        <v/>
      </c>
      <c r="AR70" s="38">
        <f>IF(NOTA[[#This Row],[CONCAT1]]="","",MATCH(NOTA[[#This Row],[CONCAT1]],[3]!db[NB NOTA_C],0))</f>
        <v>1535</v>
      </c>
      <c r="AS70" s="38" t="str">
        <f>IF(NOTA[[#This Row],[QTY/ CTN]]="","",TRUE)</f>
        <v/>
      </c>
      <c r="AT70" s="38" t="str">
        <f ca="1">IF(NOTA[[#This Row],[ID_H]]="","",IF(NOTA[[#This Row],[Column3]]=TRUE,NOTA[[#This Row],[QTY/ CTN]],INDEX([3]!db[QTY/ CTN],NOTA[[#This Row],[//DB]])))</f>
        <v>25 LSN</v>
      </c>
      <c r="AU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V70" s="38" t="e">
        <f ca="1">IF(NOTA[[#This Row],[ID_H]]="","",MATCH(NOTA[[#This Row],[NB NOTA_C_QTY]],[4]!db[NB NOTA_C_QTY+F],0))</f>
        <v>#REF!</v>
      </c>
      <c r="AW70" s="53">
        <f ca="1">IF(NOTA[[#This Row],[NB NOTA_C_QTY]]="","",ROW()-2)</f>
        <v>68</v>
      </c>
    </row>
    <row r="71" spans="1:49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178</v>
      </c>
      <c r="M71" s="40">
        <v>1</v>
      </c>
      <c r="O71" s="37"/>
      <c r="P71" s="41"/>
      <c r="Q71" s="42">
        <v>1995000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1995000</v>
      </c>
      <c r="Y71" s="50">
        <f>IF(NOTA[[#This Row],[JUMLAH]]="","",NOTA[[#This Row],[JUMLAH]]*NOTA[[#This Row],[DISC 1]])</f>
        <v>339150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339150</v>
      </c>
      <c r="AC71" s="50">
        <f>IF(NOTA[[#This Row],[JUMLAH]]="","",NOTA[[#This Row],[JUMLAH]]-NOTA[[#This Row],[DISC]])</f>
        <v>1655850</v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G71" s="50" t="str">
        <f>IF(OR(NOTA[[#This Row],[QTY]]="",NOTA[[#This Row],[HARGA SATUAN]]="",),"",NOTA[[#This Row],[QTY]]*NOTA[[#This Row],[HARGA SATUAN]])</f>
        <v/>
      </c>
      <c r="AH71" s="39">
        <f ca="1">IF(NOTA[ID_H]="","",INDEX(NOTA[TANGGAL],MATCH(,INDIRECT(ADDRESS(ROW(NOTA[TANGGAL]),COLUMN(NOTA[TANGGAL]))&amp;":"&amp;ADDRESS(ROW(),COLUMN(NOTA[TANGGAL]))),-1)))</f>
        <v>45178</v>
      </c>
      <c r="AI71" s="41" t="str">
        <f ca="1">IF(NOTA[[#This Row],[NAMA BARANG]]="","",INDEX(NOTA[SUPPLIER],MATCH(,INDIRECT(ADDRESS(ROW(NOTA[ID]),COLUMN(NOTA[ID]))&amp;":"&amp;ADDRESS(ROW(),COLUMN(NOTA[ID]))),-1)))</f>
        <v>KENKO SINAR INDONESIA</v>
      </c>
      <c r="AJ71" s="41" t="str">
        <f ca="1">IF(NOTA[[#This Row],[ID_H]]="","",IF(NOTA[[#This Row],[FAKTUR]]="",INDIRECT(ADDRESS(ROW()-1,COLUMN())),NOTA[[#This Row],[FAKTUR]]))</f>
        <v>ARTO MORO</v>
      </c>
      <c r="AK71" s="38" t="str">
        <f ca="1">IF(NOTA[[#This Row],[ID]]="","",COUNTIF(NOTA[ID_H],NOTA[[#This Row],[ID_H]]))</f>
        <v/>
      </c>
      <c r="AL71" s="38">
        <f ca="1">IF(NOTA[[#This Row],[TGL.NOTA]]="",IF(NOTA[[#This Row],[SUPPLIER_H]]="","",AL70),MONTH(NOTA[[#This Row],[TGL.NOTA]]))</f>
        <v>9</v>
      </c>
      <c r="AM71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38" t="str">
        <f>IF(NOTA[[#This Row],[CONCAT4]]="","",_xlfn.IFNA(MATCH(NOTA[[#This Row],[CONCAT4]],[2]!RAW[CONCAT_H],0),FALSE))</f>
        <v/>
      </c>
      <c r="AR71" s="38">
        <f>IF(NOTA[[#This Row],[CONCAT1]]="","",MATCH(NOTA[[#This Row],[CONCAT1]],[3]!db[NB NOTA_C],0))</f>
        <v>1536</v>
      </c>
      <c r="AS71" s="38" t="str">
        <f>IF(NOTA[[#This Row],[QTY/ CTN]]="","",TRUE)</f>
        <v/>
      </c>
      <c r="AT71" s="38" t="str">
        <f ca="1">IF(NOTA[[#This Row],[ID_H]]="","",IF(NOTA[[#This Row],[Column3]]=TRUE,NOTA[[#This Row],[QTY/ CTN]],INDEX([3]!db[QTY/ CTN],NOTA[[#This Row],[//DB]])))</f>
        <v>25 LSN</v>
      </c>
      <c r="AU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V71" s="38" t="e">
        <f ca="1">IF(NOTA[[#This Row],[ID_H]]="","",MATCH(NOTA[[#This Row],[NB NOTA_C_QTY]],[4]!db[NB NOTA_C_QTY+F],0))</f>
        <v>#REF!</v>
      </c>
      <c r="AW71" s="53">
        <f ca="1">IF(NOTA[[#This Row],[NB NOTA_C_QTY]]="","",ROW()-2)</f>
        <v>69</v>
      </c>
    </row>
    <row r="72" spans="1:49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12</v>
      </c>
      <c r="E72" s="46"/>
      <c r="F72" s="37"/>
      <c r="G72" s="37"/>
      <c r="H72" s="47"/>
      <c r="I72" s="37"/>
      <c r="J72" s="39"/>
      <c r="K72" s="37"/>
      <c r="L72" s="37" t="s">
        <v>179</v>
      </c>
      <c r="M72" s="40">
        <v>2</v>
      </c>
      <c r="O72" s="37"/>
      <c r="P72" s="41"/>
      <c r="Q72" s="42">
        <v>1188000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2376000</v>
      </c>
      <c r="Y72" s="50">
        <f>IF(NOTA[[#This Row],[JUMLAH]]="","",NOTA[[#This Row],[JUMLAH]]*NOTA[[#This Row],[DISC 1]])</f>
        <v>403920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403920</v>
      </c>
      <c r="AC72" s="50">
        <f>IF(NOTA[[#This Row],[JUMLAH]]="","",NOTA[[#This Row],[JUMLAH]]-NOTA[[#This Row],[DISC]])</f>
        <v>1972080</v>
      </c>
      <c r="AD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10436312.4</v>
      </c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40042287.600000001</v>
      </c>
      <c r="AF72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G72" s="50" t="str">
        <f>IF(OR(NOTA[[#This Row],[QTY]]="",NOTA[[#This Row],[HARGA SATUAN]]="",),"",NOTA[[#This Row],[QTY]]*NOTA[[#This Row],[HARGA SATUAN]])</f>
        <v/>
      </c>
      <c r="AH72" s="39">
        <f ca="1">IF(NOTA[ID_H]="","",INDEX(NOTA[TANGGAL],MATCH(,INDIRECT(ADDRESS(ROW(NOTA[TANGGAL]),COLUMN(NOTA[TANGGAL]))&amp;":"&amp;ADDRESS(ROW(),COLUMN(NOTA[TANGGAL]))),-1)))</f>
        <v>45178</v>
      </c>
      <c r="AI72" s="41" t="str">
        <f ca="1">IF(NOTA[[#This Row],[NAMA BARANG]]="","",INDEX(NOTA[SUPPLIER],MATCH(,INDIRECT(ADDRESS(ROW(NOTA[ID]),COLUMN(NOTA[ID]))&amp;":"&amp;ADDRESS(ROW(),COLUMN(NOTA[ID]))),-1)))</f>
        <v>KENKO SINAR INDONESIA</v>
      </c>
      <c r="AJ72" s="41" t="str">
        <f ca="1">IF(NOTA[[#This Row],[ID_H]]="","",IF(NOTA[[#This Row],[FAKTUR]]="",INDIRECT(ADDRESS(ROW()-1,COLUMN())),NOTA[[#This Row],[FAKTUR]]))</f>
        <v>ARTO MORO</v>
      </c>
      <c r="AK72" s="38" t="str">
        <f ca="1">IF(NOTA[[#This Row],[ID]]="","",COUNTIF(NOTA[ID_H],NOTA[[#This Row],[ID_H]]))</f>
        <v/>
      </c>
      <c r="AL72" s="38">
        <f ca="1">IF(NOTA[[#This Row],[TGL.NOTA]]="",IF(NOTA[[#This Row],[SUPPLIER_H]]="","",AL71),MONTH(NOTA[[#This Row],[TGL.NOTA]]))</f>
        <v>9</v>
      </c>
      <c r="AM72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38" t="str">
        <f>IF(NOTA[[#This Row],[CONCAT4]]="","",_xlfn.IFNA(MATCH(NOTA[[#This Row],[CONCAT4]],[2]!RAW[CONCAT_H],0),FALSE))</f>
        <v/>
      </c>
      <c r="AR72" s="38">
        <f>IF(NOTA[[#This Row],[CONCAT1]]="","",MATCH(NOTA[[#This Row],[CONCAT1]],[3]!db[NB NOTA_C],0))</f>
        <v>1538</v>
      </c>
      <c r="AS72" s="38" t="str">
        <f>IF(NOTA[[#This Row],[QTY/ CTN]]="","",TRUE)</f>
        <v/>
      </c>
      <c r="AT72" s="38" t="str">
        <f ca="1">IF(NOTA[[#This Row],[ID_H]]="","",IF(NOTA[[#This Row],[Column3]]=TRUE,NOTA[[#This Row],[QTY/ CTN]],INDEX([3]!db[QTY/ CTN],NOTA[[#This Row],[//DB]])))</f>
        <v>10 LSN</v>
      </c>
      <c r="AU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V72" s="38" t="e">
        <f ca="1">IF(NOTA[[#This Row],[ID_H]]="","",MATCH(NOTA[[#This Row],[NB NOTA_C_QTY]],[4]!db[NB NOTA_C_QTY+F],0))</f>
        <v>#REF!</v>
      </c>
      <c r="AW72" s="53">
        <f ca="1">IF(NOTA[[#This Row],[NB NOTA_C_QTY]]="","",ROW()-2)</f>
        <v>70</v>
      </c>
    </row>
    <row r="73" spans="1:49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" s="50" t="str">
        <f>IF(OR(NOTA[[#This Row],[QTY]]="",NOTA[[#This Row],[HARGA SATUAN]]="",),"",NOTA[[#This Row],[QTY]]*NOTA[[#This Row],[HARGA SATUAN]])</f>
        <v/>
      </c>
      <c r="AH73" s="39" t="str">
        <f ca="1">IF(NOTA[ID_H]="","",INDEX(NOTA[TANGGAL],MATCH(,INDIRECT(ADDRESS(ROW(NOTA[TANGGAL]),COLUMN(NOTA[TANGGAL]))&amp;":"&amp;ADDRESS(ROW(),COLUMN(NOTA[TANGGAL]))),-1)))</f>
        <v/>
      </c>
      <c r="AI73" s="41" t="str">
        <f ca="1">IF(NOTA[[#This Row],[NAMA BARANG]]="","",INDEX(NOTA[SUPPLIER],MATCH(,INDIRECT(ADDRESS(ROW(NOTA[ID]),COLUMN(NOTA[ID]))&amp;":"&amp;ADDRESS(ROW(),COLUMN(NOTA[ID]))),-1)))</f>
        <v/>
      </c>
      <c r="AJ73" s="41" t="str">
        <f ca="1">IF(NOTA[[#This Row],[ID_H]]="","",IF(NOTA[[#This Row],[FAKTUR]]="",INDIRECT(ADDRESS(ROW()-1,COLUMN())),NOTA[[#This Row],[FAKTUR]]))</f>
        <v/>
      </c>
      <c r="AK73" s="38" t="str">
        <f ca="1">IF(NOTA[[#This Row],[ID]]="","",COUNTIF(NOTA[ID_H],NOTA[[#This Row],[ID_H]]))</f>
        <v/>
      </c>
      <c r="AL73" s="38" t="str">
        <f ca="1">IF(NOTA[[#This Row],[TGL.NOTA]]="",IF(NOTA[[#This Row],[SUPPLIER_H]]="","",AL72),MONTH(NOTA[[#This Row],[TGL.NOTA]]))</f>
        <v/>
      </c>
      <c r="AM73" s="38" t="str">
        <f>LOWER(SUBSTITUTE(SUBSTITUTE(SUBSTITUTE(SUBSTITUTE(SUBSTITUTE(SUBSTITUTE(SUBSTITUTE(SUBSTITUTE(SUBSTITUTE(NOTA[NAMA BARANG]," ",),".",""),"-",""),"(",""),")",""),",",""),"/",""),"""",""),"+",""))</f>
        <v/>
      </c>
      <c r="AN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38" t="str">
        <f>IF(NOTA[[#This Row],[CONCAT4]]="","",_xlfn.IFNA(MATCH(NOTA[[#This Row],[CONCAT4]],[2]!RAW[CONCAT_H],0),FALSE))</f>
        <v/>
      </c>
      <c r="AR73" s="38" t="str">
        <f>IF(NOTA[[#This Row],[CONCAT1]]="","",MATCH(NOTA[[#This Row],[CONCAT1]],[3]!db[NB NOTA_C],0))</f>
        <v/>
      </c>
      <c r="AS73" s="38" t="str">
        <f>IF(NOTA[[#This Row],[QTY/ CTN]]="","",TRUE)</f>
        <v/>
      </c>
      <c r="AT73" s="38" t="str">
        <f ca="1">IF(NOTA[[#This Row],[ID_H]]="","",IF(NOTA[[#This Row],[Column3]]=TRUE,NOTA[[#This Row],[QTY/ CTN]],INDEX([3]!db[QTY/ CTN],NOTA[[#This Row],[//DB]])))</f>
        <v/>
      </c>
      <c r="AU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" s="38" t="str">
        <f ca="1">IF(NOTA[[#This Row],[ID_H]]="","",MATCH(NOTA[[#This Row],[NB NOTA_C_QTY]],[4]!db[NB NOTA_C_QTY+F],0))</f>
        <v/>
      </c>
      <c r="AW73" s="53" t="str">
        <f ca="1">IF(NOTA[[#This Row],[NB NOTA_C_QTY]]="","",ROW()-2)</f>
        <v/>
      </c>
    </row>
    <row r="74" spans="1:49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KEN_1209_971-9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13</v>
      </c>
      <c r="E74" s="46">
        <v>45181</v>
      </c>
      <c r="F74" s="37" t="s">
        <v>22</v>
      </c>
      <c r="G74" s="37" t="s">
        <v>23</v>
      </c>
      <c r="H74" s="47" t="s">
        <v>181</v>
      </c>
      <c r="I74" s="37"/>
      <c r="J74" s="39">
        <v>45180</v>
      </c>
      <c r="K74" s="37"/>
      <c r="L74" s="37" t="s">
        <v>182</v>
      </c>
      <c r="M74" s="40">
        <v>1</v>
      </c>
      <c r="O74" s="37"/>
      <c r="P74" s="41"/>
      <c r="Q74" s="42">
        <v>1987200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1987200</v>
      </c>
      <c r="Y74" s="50">
        <f>IF(NOTA[[#This Row],[JUMLAH]]="","",NOTA[[#This Row],[JUMLAH]]*NOTA[[#This Row],[DISC 1]])</f>
        <v>337824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337824</v>
      </c>
      <c r="AC74" s="50">
        <f>IF(NOTA[[#This Row],[JUMLAH]]="","",NOTA[[#This Row],[JUMLAH]]-NOTA[[#This Row],[DISC]])</f>
        <v>1649376</v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G74" s="50" t="str">
        <f>IF(OR(NOTA[[#This Row],[QTY]]="",NOTA[[#This Row],[HARGA SATUAN]]="",),"",NOTA[[#This Row],[QTY]]*NOTA[[#This Row],[HARGA SATUAN]])</f>
        <v/>
      </c>
      <c r="AH74" s="39">
        <f ca="1">IF(NOTA[ID_H]="","",INDEX(NOTA[TANGGAL],MATCH(,INDIRECT(ADDRESS(ROW(NOTA[TANGGAL]),COLUMN(NOTA[TANGGAL]))&amp;":"&amp;ADDRESS(ROW(),COLUMN(NOTA[TANGGAL]))),-1)))</f>
        <v>45181</v>
      </c>
      <c r="AI74" s="41" t="str">
        <f ca="1">IF(NOTA[[#This Row],[NAMA BARANG]]="","",INDEX(NOTA[SUPPLIER],MATCH(,INDIRECT(ADDRESS(ROW(NOTA[ID]),COLUMN(NOTA[ID]))&amp;":"&amp;ADDRESS(ROW(),COLUMN(NOTA[ID]))),-1)))</f>
        <v>KENKO SINAR INDONESIA</v>
      </c>
      <c r="AJ74" s="41" t="str">
        <f ca="1">IF(NOTA[[#This Row],[ID_H]]="","",IF(NOTA[[#This Row],[FAKTUR]]="",INDIRECT(ADDRESS(ROW()-1,COLUMN())),NOTA[[#This Row],[FAKTUR]]))</f>
        <v>ARTO MORO</v>
      </c>
      <c r="AK74" s="38">
        <f ca="1">IF(NOTA[[#This Row],[ID]]="","",COUNTIF(NOTA[ID_H],NOTA[[#This Row],[ID_H]]))</f>
        <v>9</v>
      </c>
      <c r="AL74" s="38">
        <f>IF(NOTA[[#This Row],[TGL.NOTA]]="",IF(NOTA[[#This Row],[SUPPLIER_H]]="","",AL73),MONTH(NOTA[[#This Row],[TGL.NOTA]]))</f>
        <v>9</v>
      </c>
      <c r="AM74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MORO2309097145180kenkocolorclip3100</v>
      </c>
      <c r="AQ74" s="38" t="e">
        <f>IF(NOTA[[#This Row],[CONCAT4]]="","",_xlfn.IFNA(MATCH(NOTA[[#This Row],[CONCAT4]],[2]!RAW[CONCAT_H],0),FALSE))</f>
        <v>#REF!</v>
      </c>
      <c r="AR74" s="38">
        <f>IF(NOTA[[#This Row],[CONCAT1]]="","",MATCH(NOTA[[#This Row],[CONCAT1]],[3]!db[NB NOTA_C],0))</f>
        <v>1331</v>
      </c>
      <c r="AS74" s="38" t="str">
        <f>IF(NOTA[[#This Row],[QTY/ CTN]]="","",TRUE)</f>
        <v/>
      </c>
      <c r="AT74" s="38" t="str">
        <f ca="1">IF(NOTA[[#This Row],[ID_H]]="","",IF(NOTA[[#This Row],[Column3]]=TRUE,NOTA[[#This Row],[QTY/ CTN]],INDEX([3]!db[QTY/ CTN],NOTA[[#This Row],[//DB]])))</f>
        <v>48 LSN</v>
      </c>
      <c r="AU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V74" s="38" t="e">
        <f ca="1">IF(NOTA[[#This Row],[ID_H]]="","",MATCH(NOTA[[#This Row],[NB NOTA_C_QTY]],[4]!db[NB NOTA_C_QTY+F],0))</f>
        <v>#REF!</v>
      </c>
      <c r="AW74" s="53">
        <f ca="1">IF(NOTA[[#This Row],[NB NOTA_C_QTY]]="","",ROW()-2)</f>
        <v>72</v>
      </c>
    </row>
    <row r="75" spans="1:49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189</v>
      </c>
      <c r="M75" s="40"/>
      <c r="N75" s="38">
        <v>12</v>
      </c>
      <c r="O75" s="37" t="s">
        <v>183</v>
      </c>
      <c r="P75" s="41">
        <v>30500</v>
      </c>
      <c r="Q75" s="42"/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366000</v>
      </c>
      <c r="Y75" s="50">
        <f>IF(NOTA[[#This Row],[JUMLAH]]="","",NOTA[[#This Row],[JUMLAH]]*NOTA[[#This Row],[DISC 1]])</f>
        <v>62220.000000000007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62220.000000000007</v>
      </c>
      <c r="AC75" s="50">
        <f>IF(NOTA[[#This Row],[JUMLAH]]="","",NOTA[[#This Row],[JUMLAH]]-NOTA[[#This Row],[DISC]])</f>
        <v>303780</v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5" s="50">
        <f>IF(OR(NOTA[[#This Row],[QTY]]="",NOTA[[#This Row],[HARGA SATUAN]]="",),"",NOTA[[#This Row],[QTY]]*NOTA[[#This Row],[HARGA SATUAN]])</f>
        <v>366000</v>
      </c>
      <c r="AH75" s="39">
        <f ca="1">IF(NOTA[ID_H]="","",INDEX(NOTA[TANGGAL],MATCH(,INDIRECT(ADDRESS(ROW(NOTA[TANGGAL]),COLUMN(NOTA[TANGGAL]))&amp;":"&amp;ADDRESS(ROW(),COLUMN(NOTA[TANGGAL]))),-1)))</f>
        <v>45181</v>
      </c>
      <c r="AI75" s="41" t="str">
        <f ca="1">IF(NOTA[[#This Row],[NAMA BARANG]]="","",INDEX(NOTA[SUPPLIER],MATCH(,INDIRECT(ADDRESS(ROW(NOTA[ID]),COLUMN(NOTA[ID]))&amp;":"&amp;ADDRESS(ROW(),COLUMN(NOTA[ID]))),-1)))</f>
        <v>KENKO SINAR INDONESIA</v>
      </c>
      <c r="AJ75" s="41" t="str">
        <f ca="1">IF(NOTA[[#This Row],[ID_H]]="","",IF(NOTA[[#This Row],[FAKTUR]]="",INDIRECT(ADDRESS(ROW()-1,COLUMN())),NOTA[[#This Row],[FAKTUR]]))</f>
        <v>ARTO MORO</v>
      </c>
      <c r="AK75" s="38" t="str">
        <f ca="1">IF(NOTA[[#This Row],[ID]]="","",COUNTIF(NOTA[ID_H],NOTA[[#This Row],[ID_H]]))</f>
        <v/>
      </c>
      <c r="AL75" s="38">
        <f ca="1">IF(NOTA[[#This Row],[TGL.NOTA]]="",IF(NOTA[[#This Row],[SUPPLIER_H]]="","",AL74),MONTH(NOTA[[#This Row],[TGL.NOTA]]))</f>
        <v>9</v>
      </c>
      <c r="AM75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N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O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P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38" t="str">
        <f>IF(NOTA[[#This Row],[CONCAT4]]="","",_xlfn.IFNA(MATCH(NOTA[[#This Row],[CONCAT4]],[2]!RAW[CONCAT_H],0),FALSE))</f>
        <v/>
      </c>
      <c r="AR75" s="38">
        <f>IF(NOTA[[#This Row],[CONCAT1]]="","",MATCH(NOTA[[#This Row],[CONCAT1]],[3]!db[NB NOTA_C],0))</f>
        <v>1459</v>
      </c>
      <c r="AS75" s="38" t="str">
        <f>IF(NOTA[[#This Row],[QTY/ CTN]]="","",TRUE)</f>
        <v/>
      </c>
      <c r="AT75" s="38" t="str">
        <f ca="1">IF(NOTA[[#This Row],[ID_H]]="","",IF(NOTA[[#This Row],[Column3]]=TRUE,NOTA[[#This Row],[QTY/ CTN]],INDEX([3]!db[QTY/ CTN],NOTA[[#This Row],[//DB]])))</f>
        <v>48 BOX (10 PCS)</v>
      </c>
      <c r="AU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V75" s="38" t="e">
        <f ca="1">IF(NOTA[[#This Row],[ID_H]]="","",MATCH(NOTA[[#This Row],[NB NOTA_C_QTY]],[4]!db[NB NOTA_C_QTY+F],0))</f>
        <v>#REF!</v>
      </c>
      <c r="AW75" s="53">
        <f ca="1">IF(NOTA[[#This Row],[NB NOTA_C_QTY]]="","",ROW()-2)</f>
        <v>73</v>
      </c>
    </row>
    <row r="76" spans="1:49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184</v>
      </c>
      <c r="M76" s="40"/>
      <c r="N76" s="38">
        <v>12</v>
      </c>
      <c r="O76" s="37" t="s">
        <v>183</v>
      </c>
      <c r="P76" s="41">
        <v>30500</v>
      </c>
      <c r="Q76" s="42"/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366000</v>
      </c>
      <c r="Y76" s="50">
        <f>IF(NOTA[[#This Row],[JUMLAH]]="","",NOTA[[#This Row],[JUMLAH]]*NOTA[[#This Row],[DISC 1]])</f>
        <v>62220.000000000007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62220.000000000007</v>
      </c>
      <c r="AC76" s="50">
        <f>IF(NOTA[[#This Row],[JUMLAH]]="","",NOTA[[#This Row],[JUMLAH]]-NOTA[[#This Row],[DISC]])</f>
        <v>303780</v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6" s="50">
        <f>IF(OR(NOTA[[#This Row],[QTY]]="",NOTA[[#This Row],[HARGA SATUAN]]="",),"",NOTA[[#This Row],[QTY]]*NOTA[[#This Row],[HARGA SATUAN]])</f>
        <v>366000</v>
      </c>
      <c r="AH76" s="39">
        <f ca="1">IF(NOTA[ID_H]="","",INDEX(NOTA[TANGGAL],MATCH(,INDIRECT(ADDRESS(ROW(NOTA[TANGGAL]),COLUMN(NOTA[TANGGAL]))&amp;":"&amp;ADDRESS(ROW(),COLUMN(NOTA[TANGGAL]))),-1)))</f>
        <v>45181</v>
      </c>
      <c r="AI76" s="41" t="str">
        <f ca="1">IF(NOTA[[#This Row],[NAMA BARANG]]="","",INDEX(NOTA[SUPPLIER],MATCH(,INDIRECT(ADDRESS(ROW(NOTA[ID]),COLUMN(NOTA[ID]))&amp;":"&amp;ADDRESS(ROW(),COLUMN(NOTA[ID]))),-1)))</f>
        <v>KENKO SINAR INDONESIA</v>
      </c>
      <c r="AJ76" s="41" t="str">
        <f ca="1">IF(NOTA[[#This Row],[ID_H]]="","",IF(NOTA[[#This Row],[FAKTUR]]="",INDIRECT(ADDRESS(ROW()-1,COLUMN())),NOTA[[#This Row],[FAKTUR]]))</f>
        <v>ARTO MORO</v>
      </c>
      <c r="AK76" s="38" t="str">
        <f ca="1">IF(NOTA[[#This Row],[ID]]="","",COUNTIF(NOTA[ID_H],NOTA[[#This Row],[ID_H]]))</f>
        <v/>
      </c>
      <c r="AL76" s="38">
        <f ca="1">IF(NOTA[[#This Row],[TGL.NOTA]]="",IF(NOTA[[#This Row],[SUPPLIER_H]]="","",AL75),MONTH(NOTA[[#This Row],[TGL.NOTA]]))</f>
        <v>9</v>
      </c>
      <c r="AM76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N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O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P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" s="38" t="str">
        <f>IF(NOTA[[#This Row],[CONCAT4]]="","",_xlfn.IFNA(MATCH(NOTA[[#This Row],[CONCAT4]],[2]!RAW[CONCAT_H],0),FALSE))</f>
        <v/>
      </c>
      <c r="AR76" s="38">
        <f>IF(NOTA[[#This Row],[CONCAT1]]="","",MATCH(NOTA[[#This Row],[CONCAT1]],[3]!db[NB NOTA_C],0))</f>
        <v>1461</v>
      </c>
      <c r="AS76" s="38" t="str">
        <f>IF(NOTA[[#This Row],[QTY/ CTN]]="","",TRUE)</f>
        <v/>
      </c>
      <c r="AT76" s="38" t="str">
        <f ca="1">IF(NOTA[[#This Row],[ID_H]]="","",IF(NOTA[[#This Row],[Column3]]=TRUE,NOTA[[#This Row],[QTY/ CTN]],INDEX([3]!db[QTY/ CTN],NOTA[[#This Row],[//DB]])))</f>
        <v>48 BOX (10 PCS)</v>
      </c>
      <c r="AU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V76" s="38" t="e">
        <f ca="1">IF(NOTA[[#This Row],[ID_H]]="","",MATCH(NOTA[[#This Row],[NB NOTA_C_QTY]],[4]!db[NB NOTA_C_QTY+F],0))</f>
        <v>#REF!</v>
      </c>
      <c r="AW76" s="53">
        <f ca="1">IF(NOTA[[#This Row],[NB NOTA_C_QTY]]="","",ROW()-2)</f>
        <v>74</v>
      </c>
    </row>
    <row r="77" spans="1:49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185</v>
      </c>
      <c r="M77" s="40"/>
      <c r="N77" s="38">
        <v>12</v>
      </c>
      <c r="O77" s="37" t="s">
        <v>183</v>
      </c>
      <c r="P77" s="41">
        <v>30500</v>
      </c>
      <c r="Q77" s="42"/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366000</v>
      </c>
      <c r="Y77" s="50">
        <f>IF(NOTA[[#This Row],[JUMLAH]]="","",NOTA[[#This Row],[JUMLAH]]*NOTA[[#This Row],[DISC 1]])</f>
        <v>62220.000000000007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62220.000000000007</v>
      </c>
      <c r="AC77" s="50">
        <f>IF(NOTA[[#This Row],[JUMLAH]]="","",NOTA[[#This Row],[JUMLAH]]-NOTA[[#This Row],[DISC]])</f>
        <v>303780</v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7" s="50">
        <f>IF(OR(NOTA[[#This Row],[QTY]]="",NOTA[[#This Row],[HARGA SATUAN]]="",),"",NOTA[[#This Row],[QTY]]*NOTA[[#This Row],[HARGA SATUAN]])</f>
        <v>366000</v>
      </c>
      <c r="AH77" s="39">
        <f ca="1">IF(NOTA[ID_H]="","",INDEX(NOTA[TANGGAL],MATCH(,INDIRECT(ADDRESS(ROW(NOTA[TANGGAL]),COLUMN(NOTA[TANGGAL]))&amp;":"&amp;ADDRESS(ROW(),COLUMN(NOTA[TANGGAL]))),-1)))</f>
        <v>45181</v>
      </c>
      <c r="AI77" s="41" t="str">
        <f ca="1">IF(NOTA[[#This Row],[NAMA BARANG]]="","",INDEX(NOTA[SUPPLIER],MATCH(,INDIRECT(ADDRESS(ROW(NOTA[ID]),COLUMN(NOTA[ID]))&amp;":"&amp;ADDRESS(ROW(),COLUMN(NOTA[ID]))),-1)))</f>
        <v>KENKO SINAR INDONESIA</v>
      </c>
      <c r="AJ77" s="41" t="str">
        <f ca="1">IF(NOTA[[#This Row],[ID_H]]="","",IF(NOTA[[#This Row],[FAKTUR]]="",INDIRECT(ADDRESS(ROW()-1,COLUMN())),NOTA[[#This Row],[FAKTUR]]))</f>
        <v>ARTO MORO</v>
      </c>
      <c r="AK77" s="38" t="str">
        <f ca="1">IF(NOTA[[#This Row],[ID]]="","",COUNTIF(NOTA[ID_H],NOTA[[#This Row],[ID_H]]))</f>
        <v/>
      </c>
      <c r="AL77" s="38">
        <f ca="1">IF(NOTA[[#This Row],[TGL.NOTA]]="",IF(NOTA[[#This Row],[SUPPLIER_H]]="","",AL76),MONTH(NOTA[[#This Row],[TGL.NOTA]]))</f>
        <v>9</v>
      </c>
      <c r="AM77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N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O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P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38" t="str">
        <f>IF(NOTA[[#This Row],[CONCAT4]]="","",_xlfn.IFNA(MATCH(NOTA[[#This Row],[CONCAT4]],[2]!RAW[CONCAT_H],0),FALSE))</f>
        <v/>
      </c>
      <c r="AR77" s="38">
        <f>IF(NOTA[[#This Row],[CONCAT1]]="","",MATCH(NOTA[[#This Row],[CONCAT1]],[3]!db[NB NOTA_C],0))</f>
        <v>1463</v>
      </c>
      <c r="AS77" s="38" t="str">
        <f>IF(NOTA[[#This Row],[QTY/ CTN]]="","",TRUE)</f>
        <v/>
      </c>
      <c r="AT77" s="38" t="str">
        <f ca="1">IF(NOTA[[#This Row],[ID_H]]="","",IF(NOTA[[#This Row],[Column3]]=TRUE,NOTA[[#This Row],[QTY/ CTN]],INDEX([3]!db[QTY/ CTN],NOTA[[#This Row],[//DB]])))</f>
        <v>48 BOX (10 PCS)</v>
      </c>
      <c r="AU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V77" s="38" t="e">
        <f ca="1">IF(NOTA[[#This Row],[ID_H]]="","",MATCH(NOTA[[#This Row],[NB NOTA_C_QTY]],[4]!db[NB NOTA_C_QTY+F],0))</f>
        <v>#REF!</v>
      </c>
      <c r="AW77" s="53">
        <f ca="1">IF(NOTA[[#This Row],[NB NOTA_C_QTY]]="","",ROW()-2)</f>
        <v>75</v>
      </c>
    </row>
    <row r="78" spans="1:49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13</v>
      </c>
      <c r="E78" s="46"/>
      <c r="F78" s="37"/>
      <c r="G78" s="37"/>
      <c r="H78" s="47"/>
      <c r="I78" s="37"/>
      <c r="J78" s="39"/>
      <c r="K78" s="37"/>
      <c r="L78" s="37" t="s">
        <v>190</v>
      </c>
      <c r="M78" s="40"/>
      <c r="N78" s="38">
        <v>12</v>
      </c>
      <c r="O78" s="37" t="s">
        <v>183</v>
      </c>
      <c r="P78" s="41">
        <v>30500</v>
      </c>
      <c r="Q78" s="42"/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366000</v>
      </c>
      <c r="Y78" s="50">
        <f>IF(NOTA[[#This Row],[JUMLAH]]="","",NOTA[[#This Row],[JUMLAH]]*NOTA[[#This Row],[DISC 1]])</f>
        <v>62220.000000000007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62220.000000000007</v>
      </c>
      <c r="AC78" s="50">
        <f>IF(NOTA[[#This Row],[JUMLAH]]="","",NOTA[[#This Row],[JUMLAH]]-NOTA[[#This Row],[DISC]])</f>
        <v>303780</v>
      </c>
      <c r="AD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78" s="50">
        <f>IF(OR(NOTA[[#This Row],[QTY]]="",NOTA[[#This Row],[HARGA SATUAN]]="",),"",NOTA[[#This Row],[QTY]]*NOTA[[#This Row],[HARGA SATUAN]])</f>
        <v>366000</v>
      </c>
      <c r="AH78" s="39">
        <f ca="1">IF(NOTA[ID_H]="","",INDEX(NOTA[TANGGAL],MATCH(,INDIRECT(ADDRESS(ROW(NOTA[TANGGAL]),COLUMN(NOTA[TANGGAL]))&amp;":"&amp;ADDRESS(ROW(),COLUMN(NOTA[TANGGAL]))),-1)))</f>
        <v>45181</v>
      </c>
      <c r="AI78" s="41" t="str">
        <f ca="1">IF(NOTA[[#This Row],[NAMA BARANG]]="","",INDEX(NOTA[SUPPLIER],MATCH(,INDIRECT(ADDRESS(ROW(NOTA[ID]),COLUMN(NOTA[ID]))&amp;":"&amp;ADDRESS(ROW(),COLUMN(NOTA[ID]))),-1)))</f>
        <v>KENKO SINAR INDONESIA</v>
      </c>
      <c r="AJ78" s="41" t="str">
        <f ca="1">IF(NOTA[[#This Row],[ID_H]]="","",IF(NOTA[[#This Row],[FAKTUR]]="",INDIRECT(ADDRESS(ROW()-1,COLUMN())),NOTA[[#This Row],[FAKTUR]]))</f>
        <v>ARTO MORO</v>
      </c>
      <c r="AK78" s="38" t="str">
        <f ca="1">IF(NOTA[[#This Row],[ID]]="","",COUNTIF(NOTA[ID_H],NOTA[[#This Row],[ID_H]]))</f>
        <v/>
      </c>
      <c r="AL78" s="38">
        <f ca="1">IF(NOTA[[#This Row],[TGL.NOTA]]="",IF(NOTA[[#This Row],[SUPPLIER_H]]="","",AL77),MONTH(NOTA[[#This Row],[TGL.NOTA]]))</f>
        <v>9</v>
      </c>
      <c r="AM78" s="38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N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O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P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38" t="str">
        <f>IF(NOTA[[#This Row],[CONCAT4]]="","",_xlfn.IFNA(MATCH(NOTA[[#This Row],[CONCAT4]],[2]!RAW[CONCAT_H],0),FALSE))</f>
        <v/>
      </c>
      <c r="AR78" s="38">
        <f>IF(NOTA[[#This Row],[CONCAT1]]="","",MATCH(NOTA[[#This Row],[CONCAT1]],[3]!db[NB NOTA_C],0))</f>
        <v>1462</v>
      </c>
      <c r="AS78" s="38" t="str">
        <f>IF(NOTA[[#This Row],[QTY/ CTN]]="","",TRUE)</f>
        <v/>
      </c>
      <c r="AT78" s="38" t="str">
        <f ca="1">IF(NOTA[[#This Row],[ID_H]]="","",IF(NOTA[[#This Row],[Column3]]=TRUE,NOTA[[#This Row],[QTY/ CTN]],INDEX([3]!db[QTY/ CTN],NOTA[[#This Row],[//DB]])))</f>
        <v>48 BOX (10 PCS)</v>
      </c>
      <c r="AU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V78" s="38" t="e">
        <f ca="1">IF(NOTA[[#This Row],[ID_H]]="","",MATCH(NOTA[[#This Row],[NB NOTA_C_QTY]],[4]!db[NB NOTA_C_QTY+F],0))</f>
        <v>#REF!</v>
      </c>
      <c r="AW78" s="53">
        <f ca="1">IF(NOTA[[#This Row],[NB NOTA_C_QTY]]="","",ROW()-2)</f>
        <v>76</v>
      </c>
    </row>
    <row r="79" spans="1:49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13</v>
      </c>
      <c r="E79" s="46"/>
      <c r="F79" s="37"/>
      <c r="G79" s="37"/>
      <c r="H79" s="47"/>
      <c r="I79" s="37"/>
      <c r="J79" s="39"/>
      <c r="K79" s="37"/>
      <c r="L79" s="37" t="s">
        <v>186</v>
      </c>
      <c r="M79" s="40">
        <v>1</v>
      </c>
      <c r="O79" s="37"/>
      <c r="P79" s="41"/>
      <c r="Q79" s="42">
        <v>930000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930000</v>
      </c>
      <c r="Y79" s="50">
        <f>IF(NOTA[[#This Row],[JUMLAH]]="","",NOTA[[#This Row],[JUMLAH]]*NOTA[[#This Row],[DISC 1]])</f>
        <v>158100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158100</v>
      </c>
      <c r="AC79" s="50">
        <f>IF(NOTA[[#This Row],[JUMLAH]]="","",NOTA[[#This Row],[JUMLAH]]-NOTA[[#This Row],[DISC]])</f>
        <v>771900</v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G79" s="50" t="str">
        <f>IF(OR(NOTA[[#This Row],[QTY]]="",NOTA[[#This Row],[HARGA SATUAN]]="",),"",NOTA[[#This Row],[QTY]]*NOTA[[#This Row],[HARGA SATUAN]])</f>
        <v/>
      </c>
      <c r="AH79" s="39">
        <f ca="1">IF(NOTA[ID_H]="","",INDEX(NOTA[TANGGAL],MATCH(,INDIRECT(ADDRESS(ROW(NOTA[TANGGAL]),COLUMN(NOTA[TANGGAL]))&amp;":"&amp;ADDRESS(ROW(),COLUMN(NOTA[TANGGAL]))),-1)))</f>
        <v>45181</v>
      </c>
      <c r="AI79" s="41" t="str">
        <f ca="1">IF(NOTA[[#This Row],[NAMA BARANG]]="","",INDEX(NOTA[SUPPLIER],MATCH(,INDIRECT(ADDRESS(ROW(NOTA[ID]),COLUMN(NOTA[ID]))&amp;":"&amp;ADDRESS(ROW(),COLUMN(NOTA[ID]))),-1)))</f>
        <v>KENKO SINAR INDONESIA</v>
      </c>
      <c r="AJ79" s="41" t="str">
        <f ca="1">IF(NOTA[[#This Row],[ID_H]]="","",IF(NOTA[[#This Row],[FAKTUR]]="",INDIRECT(ADDRESS(ROW()-1,COLUMN())),NOTA[[#This Row],[FAKTUR]]))</f>
        <v>ARTO MORO</v>
      </c>
      <c r="AK79" s="38" t="str">
        <f ca="1">IF(NOTA[[#This Row],[ID]]="","",COUNTIF(NOTA[ID_H],NOTA[[#This Row],[ID_H]]))</f>
        <v/>
      </c>
      <c r="AL79" s="38">
        <f ca="1">IF(NOTA[[#This Row],[TGL.NOTA]]="",IF(NOTA[[#This Row],[SUPPLIER_H]]="","",AL78),MONTH(NOTA[[#This Row],[TGL.NOTA]]))</f>
        <v>9</v>
      </c>
      <c r="AM79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N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O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P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" s="38" t="str">
        <f>IF(NOTA[[#This Row],[CONCAT4]]="","",_xlfn.IFNA(MATCH(NOTA[[#This Row],[CONCAT4]],[2]!RAW[CONCAT_H],0),FALSE))</f>
        <v/>
      </c>
      <c r="AR79" s="38">
        <f>IF(NOTA[[#This Row],[CONCAT1]]="","",MATCH(NOTA[[#This Row],[CONCAT1]],[3]!db[NB NOTA_C],0))</f>
        <v>1457</v>
      </c>
      <c r="AS79" s="38" t="str">
        <f>IF(NOTA[[#This Row],[QTY/ CTN]]="","",TRUE)</f>
        <v/>
      </c>
      <c r="AT79" s="38" t="str">
        <f ca="1">IF(NOTA[[#This Row],[ID_H]]="","",IF(NOTA[[#This Row],[Column3]]=TRUE,NOTA[[#This Row],[QTY/ CTN]],INDEX([3]!db[QTY/ CTN],NOTA[[#This Row],[//DB]])))</f>
        <v>6 PCS</v>
      </c>
      <c r="AU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V79" s="38" t="e">
        <f ca="1">IF(NOTA[[#This Row],[ID_H]]="","",MATCH(NOTA[[#This Row],[NB NOTA_C_QTY]],[4]!db[NB NOTA_C_QTY+F],0))</f>
        <v>#REF!</v>
      </c>
      <c r="AW79" s="53">
        <f ca="1">IF(NOTA[[#This Row],[NB NOTA_C_QTY]]="","",ROW()-2)</f>
        <v>77</v>
      </c>
    </row>
    <row r="80" spans="1:49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13</v>
      </c>
      <c r="E80" s="46"/>
      <c r="F80" s="37"/>
      <c r="G80" s="37"/>
      <c r="H80" s="47"/>
      <c r="I80" s="37"/>
      <c r="J80" s="39"/>
      <c r="K80" s="37"/>
      <c r="L80" s="37" t="s">
        <v>187</v>
      </c>
      <c r="M80" s="40">
        <v>1</v>
      </c>
      <c r="O80" s="37"/>
      <c r="P80" s="41"/>
      <c r="Q80" s="42">
        <v>1069200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1069200</v>
      </c>
      <c r="Y80" s="50">
        <f>IF(NOTA[[#This Row],[JUMLAH]]="","",NOTA[[#This Row],[JUMLAH]]*NOTA[[#This Row],[DISC 1]])</f>
        <v>181764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181764</v>
      </c>
      <c r="AC80" s="50">
        <f>IF(NOTA[[#This Row],[JUMLAH]]="","",NOTA[[#This Row],[JUMLAH]]-NOTA[[#This Row],[DISC]])</f>
        <v>887436</v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G80" s="50" t="str">
        <f>IF(OR(NOTA[[#This Row],[QTY]]="",NOTA[[#This Row],[HARGA SATUAN]]="",),"",NOTA[[#This Row],[QTY]]*NOTA[[#This Row],[HARGA SATUAN]])</f>
        <v/>
      </c>
      <c r="AH80" s="39">
        <f ca="1">IF(NOTA[ID_H]="","",INDEX(NOTA[TANGGAL],MATCH(,INDIRECT(ADDRESS(ROW(NOTA[TANGGAL]),COLUMN(NOTA[TANGGAL]))&amp;":"&amp;ADDRESS(ROW(),COLUMN(NOTA[TANGGAL]))),-1)))</f>
        <v>45181</v>
      </c>
      <c r="AI80" s="41" t="str">
        <f ca="1">IF(NOTA[[#This Row],[NAMA BARANG]]="","",INDEX(NOTA[SUPPLIER],MATCH(,INDIRECT(ADDRESS(ROW(NOTA[ID]),COLUMN(NOTA[ID]))&amp;":"&amp;ADDRESS(ROW(),COLUMN(NOTA[ID]))),-1)))</f>
        <v>KENKO SINAR INDONESIA</v>
      </c>
      <c r="AJ80" s="41" t="str">
        <f ca="1">IF(NOTA[[#This Row],[ID_H]]="","",IF(NOTA[[#This Row],[FAKTUR]]="",INDIRECT(ADDRESS(ROW()-1,COLUMN())),NOTA[[#This Row],[FAKTUR]]))</f>
        <v>ARTO MORO</v>
      </c>
      <c r="AK80" s="38" t="str">
        <f ca="1">IF(NOTA[[#This Row],[ID]]="","",COUNTIF(NOTA[ID_H],NOTA[[#This Row],[ID_H]]))</f>
        <v/>
      </c>
      <c r="AL80" s="38">
        <f ca="1">IF(NOTA[[#This Row],[TGL.NOTA]]="",IF(NOTA[[#This Row],[SUPPLIER_H]]="","",AL79),MONTH(NOTA[[#This Row],[TGL.NOTA]]))</f>
        <v>9</v>
      </c>
      <c r="AM8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N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O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P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38" t="str">
        <f>IF(NOTA[[#This Row],[CONCAT4]]="","",_xlfn.IFNA(MATCH(NOTA[[#This Row],[CONCAT4]],[2]!RAW[CONCAT_H],0),FALSE))</f>
        <v/>
      </c>
      <c r="AR80" s="38">
        <f>IF(NOTA[[#This Row],[CONCAT1]]="","",MATCH(NOTA[[#This Row],[CONCAT1]],[3]!db[NB NOTA_C],0))</f>
        <v>1554</v>
      </c>
      <c r="AS80" s="38" t="str">
        <f>IF(NOTA[[#This Row],[QTY/ CTN]]="","",TRUE)</f>
        <v/>
      </c>
      <c r="AT80" s="38" t="str">
        <f ca="1">IF(NOTA[[#This Row],[ID_H]]="","",IF(NOTA[[#This Row],[Column3]]=TRUE,NOTA[[#This Row],[QTY/ CTN]],INDEX([3]!db[QTY/ CTN],NOTA[[#This Row],[//DB]])))</f>
        <v>18 LSN</v>
      </c>
      <c r="AU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V80" s="38" t="e">
        <f ca="1">IF(NOTA[[#This Row],[ID_H]]="","",MATCH(NOTA[[#This Row],[NB NOTA_C_QTY]],[4]!db[NB NOTA_C_QTY+F],0))</f>
        <v>#REF!</v>
      </c>
      <c r="AW80" s="53">
        <f ca="1">IF(NOTA[[#This Row],[NB NOTA_C_QTY]]="","",ROW()-2)</f>
        <v>78</v>
      </c>
    </row>
    <row r="81" spans="1:49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13</v>
      </c>
      <c r="E81" s="46"/>
      <c r="F81" s="37"/>
      <c r="G81" s="37"/>
      <c r="H81" s="47"/>
      <c r="I81" s="37"/>
      <c r="J81" s="39"/>
      <c r="K81" s="37"/>
      <c r="L81" s="37" t="s">
        <v>191</v>
      </c>
      <c r="M81" s="40">
        <v>1</v>
      </c>
      <c r="O81" s="37"/>
      <c r="P81" s="41"/>
      <c r="Q81" s="42">
        <v>3648000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3648000</v>
      </c>
      <c r="Y81" s="50">
        <f>IF(NOTA[[#This Row],[JUMLAH]]="","",NOTA[[#This Row],[JUMLAH]]*NOTA[[#This Row],[DISC 1]])</f>
        <v>620160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620160</v>
      </c>
      <c r="AC81" s="50">
        <f>IF(NOTA[[#This Row],[JUMLAH]]="","",NOTA[[#This Row],[JUMLAH]]-NOTA[[#This Row],[DISC]])</f>
        <v>3027840</v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G81" s="50" t="str">
        <f>IF(OR(NOTA[[#This Row],[QTY]]="",NOTA[[#This Row],[HARGA SATUAN]]="",),"",NOTA[[#This Row],[QTY]]*NOTA[[#This Row],[HARGA SATUAN]])</f>
        <v/>
      </c>
      <c r="AH81" s="39">
        <f ca="1">IF(NOTA[ID_H]="","",INDEX(NOTA[TANGGAL],MATCH(,INDIRECT(ADDRESS(ROW(NOTA[TANGGAL]),COLUMN(NOTA[TANGGAL]))&amp;":"&amp;ADDRESS(ROW(),COLUMN(NOTA[TANGGAL]))),-1)))</f>
        <v>45181</v>
      </c>
      <c r="AI81" s="41" t="str">
        <f ca="1">IF(NOTA[[#This Row],[NAMA BARANG]]="","",INDEX(NOTA[SUPPLIER],MATCH(,INDIRECT(ADDRESS(ROW(NOTA[ID]),COLUMN(NOTA[ID]))&amp;":"&amp;ADDRESS(ROW(),COLUMN(NOTA[ID]))),-1)))</f>
        <v>KENKO SINAR INDONESIA</v>
      </c>
      <c r="AJ81" s="41" t="str">
        <f ca="1">IF(NOTA[[#This Row],[ID_H]]="","",IF(NOTA[[#This Row],[FAKTUR]]="",INDIRECT(ADDRESS(ROW()-1,COLUMN())),NOTA[[#This Row],[FAKTUR]]))</f>
        <v>ARTO MORO</v>
      </c>
      <c r="AK81" s="38" t="str">
        <f ca="1">IF(NOTA[[#This Row],[ID]]="","",COUNTIF(NOTA[ID_H],NOTA[[#This Row],[ID_H]]))</f>
        <v/>
      </c>
      <c r="AL81" s="38">
        <f ca="1">IF(NOTA[[#This Row],[TGL.NOTA]]="",IF(NOTA[[#This Row],[SUPPLIER_H]]="","",AL80),MONTH(NOTA[[#This Row],[TGL.NOTA]]))</f>
        <v>9</v>
      </c>
      <c r="AM81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N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P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" s="38" t="str">
        <f>IF(NOTA[[#This Row],[CONCAT4]]="","",_xlfn.IFNA(MATCH(NOTA[[#This Row],[CONCAT4]],[2]!RAW[CONCAT_H],0),FALSE))</f>
        <v/>
      </c>
      <c r="AR81" s="38">
        <f>IF(NOTA[[#This Row],[CONCAT1]]="","",MATCH(NOTA[[#This Row],[CONCAT1]],[3]!db[NB NOTA_C],0))</f>
        <v>1270</v>
      </c>
      <c r="AS81" s="38" t="str">
        <f>IF(NOTA[[#This Row],[QTY/ CTN]]="","",TRUE)</f>
        <v/>
      </c>
      <c r="AT81" s="38" t="str">
        <f ca="1">IF(NOTA[[#This Row],[ID_H]]="","",IF(NOTA[[#This Row],[Column3]]=TRUE,NOTA[[#This Row],[QTY/ CTN]],INDEX([3]!db[QTY/ CTN],NOTA[[#This Row],[//DB]])))</f>
        <v>16 LSN</v>
      </c>
      <c r="AU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V81" s="38" t="e">
        <f ca="1">IF(NOTA[[#This Row],[ID_H]]="","",MATCH(NOTA[[#This Row],[NB NOTA_C_QTY]],[4]!db[NB NOTA_C_QTY+F],0))</f>
        <v>#REF!</v>
      </c>
      <c r="AW81" s="53">
        <f ca="1">IF(NOTA[[#This Row],[NB NOTA_C_QTY]]="","",ROW()-2)</f>
        <v>79</v>
      </c>
    </row>
    <row r="82" spans="1:49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13</v>
      </c>
      <c r="E82" s="46"/>
      <c r="F82" s="37"/>
      <c r="G82" s="37"/>
      <c r="H82" s="47"/>
      <c r="I82" s="37"/>
      <c r="J82" s="39"/>
      <c r="K82" s="37"/>
      <c r="L82" s="37" t="s">
        <v>188</v>
      </c>
      <c r="M82" s="40">
        <v>2</v>
      </c>
      <c r="O82" s="37"/>
      <c r="P82" s="41"/>
      <c r="Q82" s="42">
        <v>1954800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3909600</v>
      </c>
      <c r="Y82" s="50">
        <f>IF(NOTA[[#This Row],[JUMLAH]]="","",NOTA[[#This Row],[JUMLAH]]*NOTA[[#This Row],[DISC 1]])</f>
        <v>664632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664632</v>
      </c>
      <c r="AC82" s="50">
        <f>IF(NOTA[[#This Row],[JUMLAH]]="","",NOTA[[#This Row],[JUMLAH]]-NOTA[[#This Row],[DISC]])</f>
        <v>3244968</v>
      </c>
      <c r="AD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2211360</v>
      </c>
      <c r="AE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10796640</v>
      </c>
      <c r="AF8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G82" s="50" t="str">
        <f>IF(OR(NOTA[[#This Row],[QTY]]="",NOTA[[#This Row],[HARGA SATUAN]]="",),"",NOTA[[#This Row],[QTY]]*NOTA[[#This Row],[HARGA SATUAN]])</f>
        <v/>
      </c>
      <c r="AH82" s="39">
        <f ca="1">IF(NOTA[ID_H]="","",INDEX(NOTA[TANGGAL],MATCH(,INDIRECT(ADDRESS(ROW(NOTA[TANGGAL]),COLUMN(NOTA[TANGGAL]))&amp;":"&amp;ADDRESS(ROW(),COLUMN(NOTA[TANGGAL]))),-1)))</f>
        <v>45181</v>
      </c>
      <c r="AI82" s="41" t="str">
        <f ca="1">IF(NOTA[[#This Row],[NAMA BARANG]]="","",INDEX(NOTA[SUPPLIER],MATCH(,INDIRECT(ADDRESS(ROW(NOTA[ID]),COLUMN(NOTA[ID]))&amp;":"&amp;ADDRESS(ROW(),COLUMN(NOTA[ID]))),-1)))</f>
        <v>KENKO SINAR INDONESIA</v>
      </c>
      <c r="AJ82" s="41" t="str">
        <f ca="1">IF(NOTA[[#This Row],[ID_H]]="","",IF(NOTA[[#This Row],[FAKTUR]]="",INDIRECT(ADDRESS(ROW()-1,COLUMN())),NOTA[[#This Row],[FAKTUR]]))</f>
        <v>ARTO MORO</v>
      </c>
      <c r="AK82" s="38" t="str">
        <f ca="1">IF(NOTA[[#This Row],[ID]]="","",COUNTIF(NOTA[ID_H],NOTA[[#This Row],[ID_H]]))</f>
        <v/>
      </c>
      <c r="AL82" s="38">
        <f ca="1">IF(NOTA[[#This Row],[TGL.NOTA]]="",IF(NOTA[[#This Row],[SUPPLIER_H]]="","",AL81),MONTH(NOTA[[#This Row],[TGL.NOTA]]))</f>
        <v>9</v>
      </c>
      <c r="AM8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38" t="str">
        <f>IF(NOTA[[#This Row],[CONCAT4]]="","",_xlfn.IFNA(MATCH(NOTA[[#This Row],[CONCAT4]],[2]!RAW[CONCAT_H],0),FALSE))</f>
        <v/>
      </c>
      <c r="AR82" s="38">
        <f>IF(NOTA[[#This Row],[CONCAT1]]="","",MATCH(NOTA[[#This Row],[CONCAT1]],[3]!db[NB NOTA_C],0))</f>
        <v>1343</v>
      </c>
      <c r="AS82" s="38" t="str">
        <f>IF(NOTA[[#This Row],[QTY/ CTN]]="","",TRUE)</f>
        <v/>
      </c>
      <c r="AT82" s="38" t="str">
        <f ca="1">IF(NOTA[[#This Row],[ID_H]]="","",IF(NOTA[[#This Row],[Column3]]=TRUE,NOTA[[#This Row],[QTY/ CTN]],INDEX([3]!db[QTY/ CTN],NOTA[[#This Row],[//DB]])))</f>
        <v>36 LSN</v>
      </c>
      <c r="AU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V82" s="38" t="e">
        <f ca="1">IF(NOTA[[#This Row],[ID_H]]="","",MATCH(NOTA[[#This Row],[NB NOTA_C_QTY]],[4]!db[NB NOTA_C_QTY+F],0))</f>
        <v>#REF!</v>
      </c>
      <c r="AW82" s="53">
        <f ca="1">IF(NOTA[[#This Row],[NB NOTA_C_QTY]]="","",ROW()-2)</f>
        <v>80</v>
      </c>
    </row>
    <row r="83" spans="1:49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 t="str">
        <f ca="1">IF(NOTA[[#This Row],[NAMA BARANG]]="","",INDEX(NOTA[ID],MATCH(,INDIRECT(ADDRESS(ROW(NOTA[ID]),COLUMN(NOTA[ID]))&amp;":"&amp;ADDRESS(ROW(),COLUMN(NOTA[ID]))),-1)))</f>
        <v/>
      </c>
      <c r="E83" s="46"/>
      <c r="F83" s="37"/>
      <c r="G83" s="37"/>
      <c r="H83" s="47"/>
      <c r="I83" s="37"/>
      <c r="J83" s="39"/>
      <c r="K83" s="37"/>
      <c r="L83" s="37"/>
      <c r="M83" s="40"/>
      <c r="O83" s="37"/>
      <c r="P83" s="41"/>
      <c r="Q83" s="42"/>
      <c r="R83" s="48"/>
      <c r="S83" s="49"/>
      <c r="T83" s="44"/>
      <c r="U83" s="44"/>
      <c r="V83" s="50"/>
      <c r="W83" s="45"/>
      <c r="X83" s="50" t="str">
        <f>IF(NOTA[[#This Row],[HARGA/ CTN]]="",NOTA[[#This Row],[JUMLAH_H]],NOTA[[#This Row],[HARGA/ CTN]]*IF(NOTA[[#This Row],[C]]="",0,NOTA[[#This Row],[C]]))</f>
        <v/>
      </c>
      <c r="Y83" s="50" t="str">
        <f>IF(NOTA[[#This Row],[JUMLAH]]="","",NOTA[[#This Row],[JUMLAH]]*NOTA[[#This Row],[DISC 1]])</f>
        <v/>
      </c>
      <c r="Z83" s="50" t="str">
        <f>IF(NOTA[[#This Row],[JUMLAH]]="","",(NOTA[[#This Row],[JUMLAH]]-NOTA[[#This Row],[DISC 1-]])*NOTA[[#This Row],[DISC 2]])</f>
        <v/>
      </c>
      <c r="AA83" s="50" t="str">
        <f>IF(NOTA[[#This Row],[JUMLAH]]="","",(NOTA[[#This Row],[JUMLAH]]-NOTA[[#This Row],[DISC 1-]]-NOTA[[#This Row],[DISC 2-]])*NOTA[[#This Row],[DISC 3]])</f>
        <v/>
      </c>
      <c r="AB83" s="50" t="str">
        <f>IF(NOTA[[#This Row],[JUMLAH]]="","",NOTA[[#This Row],[DISC 1-]]+NOTA[[#This Row],[DISC 2-]]+NOTA[[#This Row],[DISC 3-]])</f>
        <v/>
      </c>
      <c r="AC83" s="50" t="str">
        <f>IF(NOTA[[#This Row],[JUMLAH]]="","",NOTA[[#This Row],[JUMLAH]]-NOTA[[#This Row],[DISC]])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" s="50" t="str">
        <f>IF(OR(NOTA[[#This Row],[QTY]]="",NOTA[[#This Row],[HARGA SATUAN]]="",),"",NOTA[[#This Row],[QTY]]*NOTA[[#This Row],[HARGA SATUAN]])</f>
        <v/>
      </c>
      <c r="AH83" s="39" t="str">
        <f ca="1">IF(NOTA[ID_H]="","",INDEX(NOTA[TANGGAL],MATCH(,INDIRECT(ADDRESS(ROW(NOTA[TANGGAL]),COLUMN(NOTA[TANGGAL]))&amp;":"&amp;ADDRESS(ROW(),COLUMN(NOTA[TANGGAL]))),-1)))</f>
        <v/>
      </c>
      <c r="AI83" s="41" t="str">
        <f ca="1">IF(NOTA[[#This Row],[NAMA BARANG]]="","",INDEX(NOTA[SUPPLIER],MATCH(,INDIRECT(ADDRESS(ROW(NOTA[ID]),COLUMN(NOTA[ID]))&amp;":"&amp;ADDRESS(ROW(),COLUMN(NOTA[ID]))),-1)))</f>
        <v/>
      </c>
      <c r="AJ83" s="41" t="str">
        <f ca="1">IF(NOTA[[#This Row],[ID_H]]="","",IF(NOTA[[#This Row],[FAKTUR]]="",INDIRECT(ADDRESS(ROW()-1,COLUMN())),NOTA[[#This Row],[FAKTUR]]))</f>
        <v/>
      </c>
      <c r="AK83" s="38" t="str">
        <f ca="1">IF(NOTA[[#This Row],[ID]]="","",COUNTIF(NOTA[ID_H],NOTA[[#This Row],[ID_H]]))</f>
        <v/>
      </c>
      <c r="AL83" s="38" t="str">
        <f ca="1">IF(NOTA[[#This Row],[TGL.NOTA]]="",IF(NOTA[[#This Row],[SUPPLIER_H]]="","",AL82),MONTH(NOTA[[#This Row],[TGL.NOTA]]))</f>
        <v/>
      </c>
      <c r="AM83" s="38" t="str">
        <f>LOWER(SUBSTITUTE(SUBSTITUTE(SUBSTITUTE(SUBSTITUTE(SUBSTITUTE(SUBSTITUTE(SUBSTITUTE(SUBSTITUTE(SUBSTITUTE(NOTA[NAMA BARANG]," ",),".",""),"-",""),"(",""),")",""),",",""),"/",""),"""",""),"+",""))</f>
        <v/>
      </c>
      <c r="AN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" s="38" t="str">
        <f>IF(NOTA[[#This Row],[CONCAT4]]="","",_xlfn.IFNA(MATCH(NOTA[[#This Row],[CONCAT4]],[2]!RAW[CONCAT_H],0),FALSE))</f>
        <v/>
      </c>
      <c r="AR83" s="38" t="str">
        <f>IF(NOTA[[#This Row],[CONCAT1]]="","",MATCH(NOTA[[#This Row],[CONCAT1]],[3]!db[NB NOTA_C],0))</f>
        <v/>
      </c>
      <c r="AS83" s="38" t="str">
        <f>IF(NOTA[[#This Row],[QTY/ CTN]]="","",TRUE)</f>
        <v/>
      </c>
      <c r="AT83" s="38" t="str">
        <f ca="1">IF(NOTA[[#This Row],[ID_H]]="","",IF(NOTA[[#This Row],[Column3]]=TRUE,NOTA[[#This Row],[QTY/ CTN]],INDEX([3]!db[QTY/ CTN],NOTA[[#This Row],[//DB]])))</f>
        <v/>
      </c>
      <c r="AU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" s="38" t="str">
        <f ca="1">IF(NOTA[[#This Row],[ID_H]]="","",MATCH(NOTA[[#This Row],[NB NOTA_C_QTY]],[4]!db[NB NOTA_C_QTY+F],0))</f>
        <v/>
      </c>
      <c r="AW83" s="53" t="str">
        <f ca="1">IF(NOTA[[#This Row],[NB NOTA_C_QTY]]="","",ROW()-2)</f>
        <v/>
      </c>
    </row>
    <row r="84" spans="1:49" s="38" customFormat="1" ht="20.100000000000001" customHeight="1" x14ac:dyDescent="0.25">
      <c r="A84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KEN_1209_968-10</v>
      </c>
      <c r="C84" s="38" t="e">
        <f ca="1">IF(NOTA[[#This Row],[ID_P]]="","",MATCH(NOTA[[#This Row],[ID_P]],[1]!B_MSK[N_ID],0))</f>
        <v>#REF!</v>
      </c>
      <c r="D84" s="38">
        <f ca="1">IF(NOTA[[#This Row],[NAMA BARANG]]="","",INDEX(NOTA[ID],MATCH(,INDIRECT(ADDRESS(ROW(NOTA[ID]),COLUMN(NOTA[ID]))&amp;":"&amp;ADDRESS(ROW(),COLUMN(NOTA[ID]))),-1)))</f>
        <v>14</v>
      </c>
      <c r="E84" s="46"/>
      <c r="F84" s="37" t="s">
        <v>22</v>
      </c>
      <c r="G84" s="37" t="s">
        <v>23</v>
      </c>
      <c r="H84" s="47" t="s">
        <v>192</v>
      </c>
      <c r="I84" s="37"/>
      <c r="J84" s="39">
        <v>45180</v>
      </c>
      <c r="K84" s="39"/>
      <c r="L84" s="37" t="s">
        <v>102</v>
      </c>
      <c r="M84" s="40">
        <v>2</v>
      </c>
      <c r="O84" s="37"/>
      <c r="P84" s="41"/>
      <c r="Q84" s="42">
        <v>2952000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5904000</v>
      </c>
      <c r="Y84" s="50">
        <f>IF(NOTA[[#This Row],[JUMLAH]]="","",NOTA[[#This Row],[JUMLAH]]*NOTA[[#This Row],[DISC 1]])</f>
        <v>1003680.0000000001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1003680.0000000001</v>
      </c>
      <c r="AC84" s="50">
        <f>IF(NOTA[[#This Row],[JUMLAH]]="","",NOTA[[#This Row],[JUMLAH]]-NOTA[[#This Row],[DISC]])</f>
        <v>4900320</v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84" s="50" t="str">
        <f>IF(OR(NOTA[[#This Row],[QTY]]="",NOTA[[#This Row],[HARGA SATUAN]]="",),"",NOTA[[#This Row],[QTY]]*NOTA[[#This Row],[HARGA SATUAN]])</f>
        <v/>
      </c>
      <c r="AH84" s="39">
        <f ca="1">IF(NOTA[ID_H]="","",INDEX(NOTA[TANGGAL],MATCH(,INDIRECT(ADDRESS(ROW(NOTA[TANGGAL]),COLUMN(NOTA[TANGGAL]))&amp;":"&amp;ADDRESS(ROW(),COLUMN(NOTA[TANGGAL]))),-1)))</f>
        <v>45181</v>
      </c>
      <c r="AI84" s="41" t="str">
        <f ca="1">IF(NOTA[[#This Row],[NAMA BARANG]]="","",INDEX(NOTA[SUPPLIER],MATCH(,INDIRECT(ADDRESS(ROW(NOTA[ID]),COLUMN(NOTA[ID]))&amp;":"&amp;ADDRESS(ROW(),COLUMN(NOTA[ID]))),-1)))</f>
        <v>KENKO SINAR INDONESIA</v>
      </c>
      <c r="AJ84" s="41" t="str">
        <f ca="1">IF(NOTA[[#This Row],[ID_H]]="","",IF(NOTA[[#This Row],[FAKTUR]]="",INDIRECT(ADDRESS(ROW()-1,COLUMN())),NOTA[[#This Row],[FAKTUR]]))</f>
        <v>ARTO MORO</v>
      </c>
      <c r="AK84" s="38">
        <f ca="1">IF(NOTA[[#This Row],[ID]]="","",COUNTIF(NOTA[ID_H],NOTA[[#This Row],[ID_H]]))</f>
        <v>10</v>
      </c>
      <c r="AL84" s="38">
        <f>IF(NOTA[[#This Row],[TGL.NOTA]]="",IF(NOTA[[#This Row],[SUPPLIER_H]]="","",AL83),MONTH(NOTA[[#This Row],[TGL.NOTA]]))</f>
        <v>9</v>
      </c>
      <c r="AM8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8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MORO2309096845180kenkocutterl50018mmblade</v>
      </c>
      <c r="AQ84" s="38" t="e">
        <f>IF(NOTA[[#This Row],[CONCAT4]]="","",_xlfn.IFNA(MATCH(NOTA[[#This Row],[CONCAT4]],[2]!RAW[CONCAT_H],0),FALSE))</f>
        <v>#REF!</v>
      </c>
      <c r="AR84" s="38">
        <f>IF(NOTA[[#This Row],[CONCAT1]]="","",MATCH(NOTA[[#This Row],[CONCAT1]],[3]!db[NB NOTA_C],0))</f>
        <v>1385</v>
      </c>
      <c r="AS84" s="38" t="str">
        <f>IF(NOTA[[#This Row],[QTY/ CTN]]="","",TRUE)</f>
        <v/>
      </c>
      <c r="AT84" s="38" t="str">
        <f ca="1">IF(NOTA[[#This Row],[ID_H]]="","",IF(NOTA[[#This Row],[Column3]]=TRUE,NOTA[[#This Row],[QTY/ CTN]],INDEX([3]!db[QTY/ CTN],NOTA[[#This Row],[//DB]])))</f>
        <v>20 LSN</v>
      </c>
      <c r="AU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84" s="38" t="e">
        <f ca="1">IF(NOTA[[#This Row],[ID_H]]="","",MATCH(NOTA[[#This Row],[NB NOTA_C_QTY]],[4]!db[NB NOTA_C_QTY+F],0))</f>
        <v>#REF!</v>
      </c>
      <c r="AW84" s="53">
        <f ca="1">IF(NOTA[[#This Row],[NB NOTA_C_QTY]]="","",ROW()-2)</f>
        <v>82</v>
      </c>
    </row>
    <row r="85" spans="1:49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14</v>
      </c>
      <c r="E85" s="46"/>
      <c r="F85" s="37"/>
      <c r="G85" s="37"/>
      <c r="H85" s="47"/>
      <c r="I85" s="37"/>
      <c r="J85" s="39"/>
      <c r="K85" s="37"/>
      <c r="L85" s="37" t="s">
        <v>193</v>
      </c>
      <c r="M85" s="40">
        <v>3</v>
      </c>
      <c r="O85" s="37"/>
      <c r="P85" s="41"/>
      <c r="Q85" s="42">
        <v>2764800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8294400</v>
      </c>
      <c r="Y85" s="50">
        <f>IF(NOTA[[#This Row],[JUMLAH]]="","",NOTA[[#This Row],[JUMLAH]]*NOTA[[#This Row],[DISC 1]])</f>
        <v>1410048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1410048</v>
      </c>
      <c r="AC85" s="50">
        <f>IF(NOTA[[#This Row],[JUMLAH]]="","",NOTA[[#This Row],[JUMLAH]]-NOTA[[#This Row],[DISC]])</f>
        <v>6884352</v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G85" s="50" t="str">
        <f>IF(OR(NOTA[[#This Row],[QTY]]="",NOTA[[#This Row],[HARGA SATUAN]]="",),"",NOTA[[#This Row],[QTY]]*NOTA[[#This Row],[HARGA SATUAN]])</f>
        <v/>
      </c>
      <c r="AH85" s="39">
        <f ca="1">IF(NOTA[ID_H]="","",INDEX(NOTA[TANGGAL],MATCH(,INDIRECT(ADDRESS(ROW(NOTA[TANGGAL]),COLUMN(NOTA[TANGGAL]))&amp;":"&amp;ADDRESS(ROW(),COLUMN(NOTA[TANGGAL]))),-1)))</f>
        <v>45181</v>
      </c>
      <c r="AI85" s="41" t="str">
        <f ca="1">IF(NOTA[[#This Row],[NAMA BARANG]]="","",INDEX(NOTA[SUPPLIER],MATCH(,INDIRECT(ADDRESS(ROW(NOTA[ID]),COLUMN(NOTA[ID]))&amp;":"&amp;ADDRESS(ROW(),COLUMN(NOTA[ID]))),-1)))</f>
        <v>KENKO SINAR INDONESIA</v>
      </c>
      <c r="AJ85" s="41" t="str">
        <f ca="1">IF(NOTA[[#This Row],[ID_H]]="","",IF(NOTA[[#This Row],[FAKTUR]]="",INDIRECT(ADDRESS(ROW()-1,COLUMN())),NOTA[[#This Row],[FAKTUR]]))</f>
        <v>ARTO MORO</v>
      </c>
      <c r="AK85" s="38" t="str">
        <f ca="1">IF(NOTA[[#This Row],[ID]]="","",COUNTIF(NOTA[ID_H],NOTA[[#This Row],[ID_H]]))</f>
        <v/>
      </c>
      <c r="AL85" s="38">
        <f ca="1">IF(NOTA[[#This Row],[TGL.NOTA]]="",IF(NOTA[[#This Row],[SUPPLIER_H]]="","",AL84),MONTH(NOTA[[#This Row],[TGL.NOTA]]))</f>
        <v>9</v>
      </c>
      <c r="AM85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" s="38" t="str">
        <f>IF(NOTA[[#This Row],[CONCAT4]]="","",_xlfn.IFNA(MATCH(NOTA[[#This Row],[CONCAT4]],[2]!RAW[CONCAT_H],0),FALSE))</f>
        <v/>
      </c>
      <c r="AR85" s="38">
        <f>IF(NOTA[[#This Row],[CONCAT1]]="","",MATCH(NOTA[[#This Row],[CONCAT1]],[3]!db[NB NOTA_C],0))</f>
        <v>1425</v>
      </c>
      <c r="AS85" s="38" t="str">
        <f>IF(NOTA[[#This Row],[QTY/ CTN]]="","",TRUE)</f>
        <v/>
      </c>
      <c r="AT85" s="38" t="str">
        <f ca="1">IF(NOTA[[#This Row],[ID_H]]="","",IF(NOTA[[#This Row],[Column3]]=TRUE,NOTA[[#This Row],[QTY/ CTN]],INDEX([3]!db[QTY/ CTN],NOTA[[#This Row],[//DB]])))</f>
        <v>144 LSN</v>
      </c>
      <c r="AU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V85" s="38" t="e">
        <f ca="1">IF(NOTA[[#This Row],[ID_H]]="","",MATCH(NOTA[[#This Row],[NB NOTA_C_QTY]],[4]!db[NB NOTA_C_QTY+F],0))</f>
        <v>#REF!</v>
      </c>
      <c r="AW85" s="53">
        <f ca="1">IF(NOTA[[#This Row],[NB NOTA_C_QTY]]="","",ROW()-2)</f>
        <v>83</v>
      </c>
    </row>
    <row r="86" spans="1:49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14</v>
      </c>
      <c r="E86" s="46"/>
      <c r="F86" s="37"/>
      <c r="G86" s="37"/>
      <c r="H86" s="47"/>
      <c r="I86" s="37"/>
      <c r="J86" s="39"/>
      <c r="K86" s="37"/>
      <c r="L86" s="37" t="s">
        <v>194</v>
      </c>
      <c r="M86" s="40">
        <v>3</v>
      </c>
      <c r="O86" s="37"/>
      <c r="P86" s="41"/>
      <c r="Q86" s="42">
        <v>5702400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17107200</v>
      </c>
      <c r="Y86" s="50">
        <f>IF(NOTA[[#This Row],[JUMLAH]]="","",NOTA[[#This Row],[JUMLAH]]*NOTA[[#This Row],[DISC 1]])</f>
        <v>2908224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2908224</v>
      </c>
      <c r="AC86" s="50">
        <f>IF(NOTA[[#This Row],[JUMLAH]]="","",NOTA[[#This Row],[JUMLAH]]-NOTA[[#This Row],[DISC]])</f>
        <v>14198976</v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86" s="50" t="str">
        <f>IF(OR(NOTA[[#This Row],[QTY]]="",NOTA[[#This Row],[HARGA SATUAN]]="",),"",NOTA[[#This Row],[QTY]]*NOTA[[#This Row],[HARGA SATUAN]])</f>
        <v/>
      </c>
      <c r="AH86" s="39">
        <f ca="1">IF(NOTA[ID_H]="","",INDEX(NOTA[TANGGAL],MATCH(,INDIRECT(ADDRESS(ROW(NOTA[TANGGAL]),COLUMN(NOTA[TANGGAL]))&amp;":"&amp;ADDRESS(ROW(),COLUMN(NOTA[TANGGAL]))),-1)))</f>
        <v>45181</v>
      </c>
      <c r="AI86" s="41" t="str">
        <f ca="1">IF(NOTA[[#This Row],[NAMA BARANG]]="","",INDEX(NOTA[SUPPLIER],MATCH(,INDIRECT(ADDRESS(ROW(NOTA[ID]),COLUMN(NOTA[ID]))&amp;":"&amp;ADDRESS(ROW(),COLUMN(NOTA[ID]))),-1)))</f>
        <v>KENKO SINAR INDONESIA</v>
      </c>
      <c r="AJ86" s="41" t="str">
        <f ca="1">IF(NOTA[[#This Row],[ID_H]]="","",IF(NOTA[[#This Row],[FAKTUR]]="",INDIRECT(ADDRESS(ROW()-1,COLUMN())),NOTA[[#This Row],[FAKTUR]]))</f>
        <v>ARTO MORO</v>
      </c>
      <c r="AK86" s="38" t="str">
        <f ca="1">IF(NOTA[[#This Row],[ID]]="","",COUNTIF(NOTA[ID_H],NOTA[[#This Row],[ID_H]]))</f>
        <v/>
      </c>
      <c r="AL86" s="38">
        <f ca="1">IF(NOTA[[#This Row],[TGL.NOTA]]="",IF(NOTA[[#This Row],[SUPPLIER_H]]="","",AL85),MONTH(NOTA[[#This Row],[TGL.NOTA]]))</f>
        <v>9</v>
      </c>
      <c r="AM8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38" t="str">
        <f>IF(NOTA[[#This Row],[CONCAT4]]="","",_xlfn.IFNA(MATCH(NOTA[[#This Row],[CONCAT4]],[2]!RAW[CONCAT_H],0),FALSE))</f>
        <v/>
      </c>
      <c r="AR86" s="38">
        <f>IF(NOTA[[#This Row],[CONCAT1]]="","",MATCH(NOTA[[#This Row],[CONCAT1]],[3]!db[NB NOTA_C],0))</f>
        <v>1419</v>
      </c>
      <c r="AS86" s="38" t="str">
        <f>IF(NOTA[[#This Row],[QTY/ CTN]]="","",TRUE)</f>
        <v/>
      </c>
      <c r="AT86" s="38" t="str">
        <f ca="1">IF(NOTA[[#This Row],[ID_H]]="","",IF(NOTA[[#This Row],[Column3]]=TRUE,NOTA[[#This Row],[QTY/ CTN]],INDEX([3]!db[QTY/ CTN],NOTA[[#This Row],[//DB]])))</f>
        <v>144 LSN</v>
      </c>
      <c r="AU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V86" s="38" t="e">
        <f ca="1">IF(NOTA[[#This Row],[ID_H]]="","",MATCH(NOTA[[#This Row],[NB NOTA_C_QTY]],[4]!db[NB NOTA_C_QTY+F],0))</f>
        <v>#REF!</v>
      </c>
      <c r="AW86" s="53">
        <f ca="1">IF(NOTA[[#This Row],[NB NOTA_C_QTY]]="","",ROW()-2)</f>
        <v>84</v>
      </c>
    </row>
    <row r="87" spans="1:49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14</v>
      </c>
      <c r="E87" s="46"/>
      <c r="F87" s="37"/>
      <c r="G87" s="37"/>
      <c r="H87" s="47"/>
      <c r="I87" s="37"/>
      <c r="J87" s="39"/>
      <c r="K87" s="37"/>
      <c r="L87" s="37" t="s">
        <v>200</v>
      </c>
      <c r="M87" s="40">
        <v>1</v>
      </c>
      <c r="O87" s="37"/>
      <c r="P87" s="41"/>
      <c r="Q87" s="42">
        <v>5702400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5702400</v>
      </c>
      <c r="Y87" s="50">
        <f>IF(NOTA[[#This Row],[JUMLAH]]="","",NOTA[[#This Row],[JUMLAH]]*NOTA[[#This Row],[DISC 1]])</f>
        <v>969408.00000000012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969408.00000000012</v>
      </c>
      <c r="AC87" s="50">
        <f>IF(NOTA[[#This Row],[JUMLAH]]="","",NOTA[[#This Row],[JUMLAH]]-NOTA[[#This Row],[DISC]])</f>
        <v>4732992</v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87" s="50" t="str">
        <f>IF(OR(NOTA[[#This Row],[QTY]]="",NOTA[[#This Row],[HARGA SATUAN]]="",),"",NOTA[[#This Row],[QTY]]*NOTA[[#This Row],[HARGA SATUAN]])</f>
        <v/>
      </c>
      <c r="AH87" s="39">
        <f ca="1">IF(NOTA[ID_H]="","",INDEX(NOTA[TANGGAL],MATCH(,INDIRECT(ADDRESS(ROW(NOTA[TANGGAL]),COLUMN(NOTA[TANGGAL]))&amp;":"&amp;ADDRESS(ROW(),COLUMN(NOTA[TANGGAL]))),-1)))</f>
        <v>45181</v>
      </c>
      <c r="AI87" s="41" t="str">
        <f ca="1">IF(NOTA[[#This Row],[NAMA BARANG]]="","",INDEX(NOTA[SUPPLIER],MATCH(,INDIRECT(ADDRESS(ROW(NOTA[ID]),COLUMN(NOTA[ID]))&amp;":"&amp;ADDRESS(ROW(),COLUMN(NOTA[ID]))),-1)))</f>
        <v>KENKO SINAR INDONESIA</v>
      </c>
      <c r="AJ87" s="41" t="str">
        <f ca="1">IF(NOTA[[#This Row],[ID_H]]="","",IF(NOTA[[#This Row],[FAKTUR]]="",INDIRECT(ADDRESS(ROW()-1,COLUMN())),NOTA[[#This Row],[FAKTUR]]))</f>
        <v>ARTO MORO</v>
      </c>
      <c r="AK87" s="38" t="str">
        <f ca="1">IF(NOTA[[#This Row],[ID]]="","",COUNTIF(NOTA[ID_H],NOTA[[#This Row],[ID_H]]))</f>
        <v/>
      </c>
      <c r="AL87" s="38">
        <f ca="1">IF(NOTA[[#This Row],[TGL.NOTA]]="",IF(NOTA[[#This Row],[SUPPLIER_H]]="","",AL86),MONTH(NOTA[[#This Row],[TGL.NOTA]]))</f>
        <v>9</v>
      </c>
      <c r="AM87" s="38" t="str">
        <f>LOWER(SUBSTITUTE(SUBSTITUTE(SUBSTITUTE(SUBSTITUTE(SUBSTITUTE(SUBSTITUTE(SUBSTITUTE(SUBSTITUTE(SUBSTITUTE(NOTA[NAMA BARANG]," ",),".",""),"-",""),"(",""),")",""),",",""),"/",""),"""",""),"+",""))</f>
        <v>kenkogelpenk1red</v>
      </c>
      <c r="AN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kenkogelpenk1red57024000.17</v>
      </c>
      <c r="AO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kenkogelpenk1red57024000.17</v>
      </c>
      <c r="AP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38" t="str">
        <f>IF(NOTA[[#This Row],[CONCAT4]]="","",_xlfn.IFNA(MATCH(NOTA[[#This Row],[CONCAT4]],[2]!RAW[CONCAT_H],0),FALSE))</f>
        <v/>
      </c>
      <c r="AR87" s="38">
        <f>IF(NOTA[[#This Row],[CONCAT1]]="","",MATCH(NOTA[[#This Row],[CONCAT1]],[3]!db[NB NOTA_C],0))</f>
        <v>1422</v>
      </c>
      <c r="AS87" s="38" t="str">
        <f>IF(NOTA[[#This Row],[QTY/ CTN]]="","",TRUE)</f>
        <v/>
      </c>
      <c r="AT87" s="38" t="str">
        <f ca="1">IF(NOTA[[#This Row],[ID_H]]="","",IF(NOTA[[#This Row],[Column3]]=TRUE,NOTA[[#This Row],[QTY/ CTN]],INDEX([3]!db[QTY/ CTN],NOTA[[#This Row],[//DB]])))</f>
        <v>144 LSN</v>
      </c>
      <c r="AU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kenkogelpenk1red144lsnartomoro</v>
      </c>
      <c r="AV87" s="38" t="e">
        <f ca="1">IF(NOTA[[#This Row],[ID_H]]="","",MATCH(NOTA[[#This Row],[NB NOTA_C_QTY]],[4]!db[NB NOTA_C_QTY+F],0))</f>
        <v>#REF!</v>
      </c>
      <c r="AW87" s="53">
        <f ca="1">IF(NOTA[[#This Row],[NB NOTA_C_QTY]]="","",ROW()-2)</f>
        <v>85</v>
      </c>
    </row>
    <row r="88" spans="1:49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14</v>
      </c>
      <c r="E88" s="46"/>
      <c r="F88" s="37"/>
      <c r="G88" s="37"/>
      <c r="H88" s="47"/>
      <c r="I88" s="37"/>
      <c r="J88" s="39"/>
      <c r="K88" s="37"/>
      <c r="L88" s="37" t="s">
        <v>195</v>
      </c>
      <c r="M88" s="40">
        <v>1</v>
      </c>
      <c r="O88" s="37"/>
      <c r="P88" s="41"/>
      <c r="Q88" s="42">
        <v>1500000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1500000</v>
      </c>
      <c r="Y88" s="50">
        <f>IF(NOTA[[#This Row],[JUMLAH]]="","",NOTA[[#This Row],[JUMLAH]]*NOTA[[#This Row],[DISC 1]])</f>
        <v>255000.00000000003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255000.00000000003</v>
      </c>
      <c r="AC88" s="50">
        <f>IF(NOTA[[#This Row],[JUMLAH]]="","",NOTA[[#This Row],[JUMLAH]]-NOTA[[#This Row],[DISC]])</f>
        <v>1245000</v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" s="4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G88" s="50" t="str">
        <f>IF(OR(NOTA[[#This Row],[QTY]]="",NOTA[[#This Row],[HARGA SATUAN]]="",),"",NOTA[[#This Row],[QTY]]*NOTA[[#This Row],[HARGA SATUAN]])</f>
        <v/>
      </c>
      <c r="AH88" s="39">
        <f ca="1">IF(NOTA[ID_H]="","",INDEX(NOTA[TANGGAL],MATCH(,INDIRECT(ADDRESS(ROW(NOTA[TANGGAL]),COLUMN(NOTA[TANGGAL]))&amp;":"&amp;ADDRESS(ROW(),COLUMN(NOTA[TANGGAL]))),-1)))</f>
        <v>45181</v>
      </c>
      <c r="AI88" s="41" t="str">
        <f ca="1">IF(NOTA[[#This Row],[NAMA BARANG]]="","",INDEX(NOTA[SUPPLIER],MATCH(,INDIRECT(ADDRESS(ROW(NOTA[ID]),COLUMN(NOTA[ID]))&amp;":"&amp;ADDRESS(ROW(),COLUMN(NOTA[ID]))),-1)))</f>
        <v>KENKO SINAR INDONESIA</v>
      </c>
      <c r="AJ88" s="41" t="str">
        <f ca="1">IF(NOTA[[#This Row],[ID_H]]="","",IF(NOTA[[#This Row],[FAKTUR]]="",INDIRECT(ADDRESS(ROW()-1,COLUMN())),NOTA[[#This Row],[FAKTUR]]))</f>
        <v>ARTO MORO</v>
      </c>
      <c r="AK88" s="38" t="str">
        <f ca="1">IF(NOTA[[#This Row],[ID]]="","",COUNTIF(NOTA[ID_H],NOTA[[#This Row],[ID_H]]))</f>
        <v/>
      </c>
      <c r="AL88" s="38">
        <f ca="1">IF(NOTA[[#This Row],[TGL.NOTA]]="",IF(NOTA[[#This Row],[SUPPLIER_H]]="","",AL87),MONTH(NOTA[[#This Row],[TGL.NOTA]]))</f>
        <v>9</v>
      </c>
      <c r="AM88" s="38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" s="38" t="str">
        <f>IF(NOTA[[#This Row],[CONCAT4]]="","",_xlfn.IFNA(MATCH(NOTA[[#This Row],[CONCAT4]],[2]!RAW[CONCAT_H],0),FALSE))</f>
        <v/>
      </c>
      <c r="AR88" s="38">
        <f>IF(NOTA[[#This Row],[CONCAT1]]="","",MATCH(NOTA[[#This Row],[CONCAT1]],[3]!db[NB NOTA_C],0))</f>
        <v>1583</v>
      </c>
      <c r="AS88" s="38" t="str">
        <f>IF(NOTA[[#This Row],[QTY/ CTN]]="","",TRUE)</f>
        <v/>
      </c>
      <c r="AT88" s="38" t="str">
        <f ca="1">IF(NOTA[[#This Row],[ID_H]]="","",IF(NOTA[[#This Row],[Column3]]=TRUE,NOTA[[#This Row],[QTY/ CTN]],INDEX([3]!db[QTY/ CTN],NOTA[[#This Row],[//DB]])))</f>
        <v>50 BOX</v>
      </c>
      <c r="AU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kenkoerasererw20sqwhite50boxartomoro</v>
      </c>
      <c r="AV88" s="38" t="e">
        <f ca="1">IF(NOTA[[#This Row],[ID_H]]="","",MATCH(NOTA[[#This Row],[NB NOTA_C_QTY]],[4]!db[NB NOTA_C_QTY+F],0))</f>
        <v>#REF!</v>
      </c>
      <c r="AW88" s="53">
        <f ca="1">IF(NOTA[[#This Row],[NB NOTA_C_QTY]]="","",ROW()-2)</f>
        <v>86</v>
      </c>
    </row>
    <row r="89" spans="1:49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14</v>
      </c>
      <c r="E89" s="46"/>
      <c r="F89" s="37"/>
      <c r="G89" s="37"/>
      <c r="H89" s="47"/>
      <c r="I89" s="37"/>
      <c r="J89" s="39"/>
      <c r="K89" s="37"/>
      <c r="L89" s="37" t="s">
        <v>196</v>
      </c>
      <c r="M89" s="40">
        <v>1</v>
      </c>
      <c r="O89" s="37"/>
      <c r="P89" s="41"/>
      <c r="Q89" s="42">
        <v>1560000</v>
      </c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1560000</v>
      </c>
      <c r="Y89" s="50">
        <f>IF(NOTA[[#This Row],[JUMLAH]]="","",NOTA[[#This Row],[JUMLAH]]*NOTA[[#This Row],[DISC 1]])</f>
        <v>265200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265200</v>
      </c>
      <c r="AC89" s="50">
        <f>IF(NOTA[[#This Row],[JUMLAH]]="","",NOTA[[#This Row],[JUMLAH]]-NOTA[[#This Row],[DISC]])</f>
        <v>1294800</v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89" s="50" t="str">
        <f>IF(OR(NOTA[[#This Row],[QTY]]="",NOTA[[#This Row],[HARGA SATUAN]]="",),"",NOTA[[#This Row],[QTY]]*NOTA[[#This Row],[HARGA SATUAN]])</f>
        <v/>
      </c>
      <c r="AH89" s="39">
        <f ca="1">IF(NOTA[ID_H]="","",INDEX(NOTA[TANGGAL],MATCH(,INDIRECT(ADDRESS(ROW(NOTA[TANGGAL]),COLUMN(NOTA[TANGGAL]))&amp;":"&amp;ADDRESS(ROW(),COLUMN(NOTA[TANGGAL]))),-1)))</f>
        <v>45181</v>
      </c>
      <c r="AI89" s="41" t="str">
        <f ca="1">IF(NOTA[[#This Row],[NAMA BARANG]]="","",INDEX(NOTA[SUPPLIER],MATCH(,INDIRECT(ADDRESS(ROW(NOTA[ID]),COLUMN(NOTA[ID]))&amp;":"&amp;ADDRESS(ROW(),COLUMN(NOTA[ID]))),-1)))</f>
        <v>KENKO SINAR INDONESIA</v>
      </c>
      <c r="AJ89" s="41" t="str">
        <f ca="1">IF(NOTA[[#This Row],[ID_H]]="","",IF(NOTA[[#This Row],[FAKTUR]]="",INDIRECT(ADDRESS(ROW()-1,COLUMN())),NOTA[[#This Row],[FAKTUR]]))</f>
        <v>ARTO MORO</v>
      </c>
      <c r="AK89" s="38" t="str">
        <f ca="1">IF(NOTA[[#This Row],[ID]]="","",COUNTIF(NOTA[ID_H],NOTA[[#This Row],[ID_H]]))</f>
        <v/>
      </c>
      <c r="AL89" s="38">
        <f ca="1">IF(NOTA[[#This Row],[TGL.NOTA]]="",IF(NOTA[[#This Row],[SUPPLIER_H]]="","",AL88),MONTH(NOTA[[#This Row],[TGL.NOTA]]))</f>
        <v>9</v>
      </c>
      <c r="AM8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N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38" t="str">
        <f>IF(NOTA[[#This Row],[CONCAT4]]="","",_xlfn.IFNA(MATCH(NOTA[[#This Row],[CONCAT4]],[2]!RAW[CONCAT_H],0),FALSE))</f>
        <v/>
      </c>
      <c r="AR89" s="38">
        <f>IF(NOTA[[#This Row],[CONCAT1]]="","",MATCH(NOTA[[#This Row],[CONCAT1]],[3]!db[NB NOTA_C],0))</f>
        <v>1526</v>
      </c>
      <c r="AS89" s="38" t="str">
        <f>IF(NOTA[[#This Row],[QTY/ CTN]]="","",TRUE)</f>
        <v/>
      </c>
      <c r="AT89" s="38" t="str">
        <f ca="1">IF(NOTA[[#This Row],[ID_H]]="","",IF(NOTA[[#This Row],[Column3]]=TRUE,NOTA[[#This Row],[QTY/ CTN]],INDEX([3]!db[QTY/ CTN],NOTA[[#This Row],[//DB]])))</f>
        <v>10 LSN</v>
      </c>
      <c r="AU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V89" s="38" t="e">
        <f ca="1">IF(NOTA[[#This Row],[ID_H]]="","",MATCH(NOTA[[#This Row],[NB NOTA_C_QTY]],[4]!db[NB NOTA_C_QTY+F],0))</f>
        <v>#REF!</v>
      </c>
      <c r="AW89" s="53">
        <f ca="1">IF(NOTA[[#This Row],[NB NOTA_C_QTY]]="","",ROW()-2)</f>
        <v>87</v>
      </c>
    </row>
    <row r="90" spans="1:49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14</v>
      </c>
      <c r="E90" s="46"/>
      <c r="F90" s="37"/>
      <c r="G90" s="37"/>
      <c r="H90" s="47"/>
      <c r="I90" s="37"/>
      <c r="J90" s="39"/>
      <c r="K90" s="37"/>
      <c r="L90" s="37" t="s">
        <v>197</v>
      </c>
      <c r="M90" s="40">
        <v>1</v>
      </c>
      <c r="O90" s="37"/>
      <c r="P90" s="41"/>
      <c r="Q90" s="42">
        <v>1440000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1440000</v>
      </c>
      <c r="Y90" s="50">
        <f>IF(NOTA[[#This Row],[JUMLAH]]="","",NOTA[[#This Row],[JUMLAH]]*NOTA[[#This Row],[DISC 1]])</f>
        <v>244800.00000000003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244800.00000000003</v>
      </c>
      <c r="AC90" s="50">
        <f>IF(NOTA[[#This Row],[JUMLAH]]="","",NOTA[[#This Row],[JUMLAH]]-NOTA[[#This Row],[DISC]])</f>
        <v>1195200</v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G90" s="50" t="str">
        <f>IF(OR(NOTA[[#This Row],[QTY]]="",NOTA[[#This Row],[HARGA SATUAN]]="",),"",NOTA[[#This Row],[QTY]]*NOTA[[#This Row],[HARGA SATUAN]])</f>
        <v/>
      </c>
      <c r="AH90" s="39">
        <f ca="1">IF(NOTA[ID_H]="","",INDEX(NOTA[TANGGAL],MATCH(,INDIRECT(ADDRESS(ROW(NOTA[TANGGAL]),COLUMN(NOTA[TANGGAL]))&amp;":"&amp;ADDRESS(ROW(),COLUMN(NOTA[TANGGAL]))),-1)))</f>
        <v>45181</v>
      </c>
      <c r="AI90" s="41" t="str">
        <f ca="1">IF(NOTA[[#This Row],[NAMA BARANG]]="","",INDEX(NOTA[SUPPLIER],MATCH(,INDIRECT(ADDRESS(ROW(NOTA[ID]),COLUMN(NOTA[ID]))&amp;":"&amp;ADDRESS(ROW(),COLUMN(NOTA[ID]))),-1)))</f>
        <v>KENKO SINAR INDONESIA</v>
      </c>
      <c r="AJ90" s="41" t="str">
        <f ca="1">IF(NOTA[[#This Row],[ID_H]]="","",IF(NOTA[[#This Row],[FAKTUR]]="",INDIRECT(ADDRESS(ROW()-1,COLUMN())),NOTA[[#This Row],[FAKTUR]]))</f>
        <v>ARTO MORO</v>
      </c>
      <c r="AK90" s="38" t="str">
        <f ca="1">IF(NOTA[[#This Row],[ID]]="","",COUNTIF(NOTA[ID_H],NOTA[[#This Row],[ID_H]]))</f>
        <v/>
      </c>
      <c r="AL90" s="38">
        <f ca="1">IF(NOTA[[#This Row],[TGL.NOTA]]="",IF(NOTA[[#This Row],[SUPPLIER_H]]="","",AL89),MONTH(NOTA[[#This Row],[TGL.NOTA]]))</f>
        <v>9</v>
      </c>
      <c r="AM9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N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38" t="str">
        <f>IF(NOTA[[#This Row],[CONCAT4]]="","",_xlfn.IFNA(MATCH(NOTA[[#This Row],[CONCAT4]],[2]!RAW[CONCAT_H],0),FALSE))</f>
        <v/>
      </c>
      <c r="AR90" s="38">
        <f>IF(NOTA[[#This Row],[CONCAT1]]="","",MATCH(NOTA[[#This Row],[CONCAT1]],[3]!db[NB NOTA_C],0))</f>
        <v>1527</v>
      </c>
      <c r="AS90" s="38" t="str">
        <f>IF(NOTA[[#This Row],[QTY/ CTN]]="","",TRUE)</f>
        <v/>
      </c>
      <c r="AT90" s="38" t="str">
        <f ca="1">IF(NOTA[[#This Row],[ID_H]]="","",IF(NOTA[[#This Row],[Column3]]=TRUE,NOTA[[#This Row],[QTY/ CTN]],INDEX([3]!db[QTY/ CTN],NOTA[[#This Row],[//DB]])))</f>
        <v>4 BOX (24 PCS)</v>
      </c>
      <c r="AU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V90" s="38" t="e">
        <f ca="1">IF(NOTA[[#This Row],[ID_H]]="","",MATCH(NOTA[[#This Row],[NB NOTA_C_QTY]],[4]!db[NB NOTA_C_QTY+F],0))</f>
        <v>#REF!</v>
      </c>
      <c r="AW90" s="53">
        <f ca="1">IF(NOTA[[#This Row],[NB NOTA_C_QTY]]="","",ROW()-2)</f>
        <v>88</v>
      </c>
    </row>
    <row r="91" spans="1:49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14</v>
      </c>
      <c r="E91" s="46"/>
      <c r="F91" s="37"/>
      <c r="G91" s="37"/>
      <c r="H91" s="47"/>
      <c r="I91" s="37"/>
      <c r="J91" s="39"/>
      <c r="K91" s="37"/>
      <c r="L91" s="37" t="s">
        <v>198</v>
      </c>
      <c r="M91" s="40">
        <v>2</v>
      </c>
      <c r="O91" s="37"/>
      <c r="P91" s="41"/>
      <c r="Q91" s="42">
        <v>504000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1008000</v>
      </c>
      <c r="Y91" s="50">
        <f>IF(NOTA[[#This Row],[JUMLAH]]="","",NOTA[[#This Row],[JUMLAH]]*NOTA[[#This Row],[DISC 1]])</f>
        <v>171360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171360</v>
      </c>
      <c r="AC91" s="50">
        <f>IF(NOTA[[#This Row],[JUMLAH]]="","",NOTA[[#This Row],[JUMLAH]]-NOTA[[#This Row],[DISC]])</f>
        <v>836640</v>
      </c>
      <c r="AD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91" s="50" t="str">
        <f>IF(OR(NOTA[[#This Row],[QTY]]="",NOTA[[#This Row],[HARGA SATUAN]]="",),"",NOTA[[#This Row],[QTY]]*NOTA[[#This Row],[HARGA SATUAN]])</f>
        <v/>
      </c>
      <c r="AH91" s="39">
        <f ca="1">IF(NOTA[ID_H]="","",INDEX(NOTA[TANGGAL],MATCH(,INDIRECT(ADDRESS(ROW(NOTA[TANGGAL]),COLUMN(NOTA[TANGGAL]))&amp;":"&amp;ADDRESS(ROW(),COLUMN(NOTA[TANGGAL]))),-1)))</f>
        <v>45181</v>
      </c>
      <c r="AI91" s="41" t="str">
        <f ca="1">IF(NOTA[[#This Row],[NAMA BARANG]]="","",INDEX(NOTA[SUPPLIER],MATCH(,INDIRECT(ADDRESS(ROW(NOTA[ID]),COLUMN(NOTA[ID]))&amp;":"&amp;ADDRESS(ROW(),COLUMN(NOTA[ID]))),-1)))</f>
        <v>KENKO SINAR INDONESIA</v>
      </c>
      <c r="AJ91" s="41" t="str">
        <f ca="1">IF(NOTA[[#This Row],[ID_H]]="","",IF(NOTA[[#This Row],[FAKTUR]]="",INDIRECT(ADDRESS(ROW()-1,COLUMN())),NOTA[[#This Row],[FAKTUR]]))</f>
        <v>ARTO MORO</v>
      </c>
      <c r="AK91" s="38" t="str">
        <f ca="1">IF(NOTA[[#This Row],[ID]]="","",COUNTIF(NOTA[ID_H],NOTA[[#This Row],[ID_H]]))</f>
        <v/>
      </c>
      <c r="AL91" s="38">
        <f ca="1">IF(NOTA[[#This Row],[TGL.NOTA]]="",IF(NOTA[[#This Row],[SUPPLIER_H]]="","",AL90),MONTH(NOTA[[#This Row],[TGL.NOTA]]))</f>
        <v>9</v>
      </c>
      <c r="AM91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N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O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P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38" t="str">
        <f>IF(NOTA[[#This Row],[CONCAT4]]="","",_xlfn.IFNA(MATCH(NOTA[[#This Row],[CONCAT4]],[2]!RAW[CONCAT_H],0),FALSE))</f>
        <v/>
      </c>
      <c r="AR91" s="38">
        <f>IF(NOTA[[#This Row],[CONCAT1]]="","",MATCH(NOTA[[#This Row],[CONCAT1]],[3]!db[NB NOTA_C],0))</f>
        <v>1456</v>
      </c>
      <c r="AS91" s="38" t="str">
        <f>IF(NOTA[[#This Row],[QTY/ CTN]]="","",TRUE)</f>
        <v/>
      </c>
      <c r="AT91" s="38" t="str">
        <f ca="1">IF(NOTA[[#This Row],[ID_H]]="","",IF(NOTA[[#This Row],[Column3]]=TRUE,NOTA[[#This Row],[QTY/ CTN]],INDEX([3]!db[QTY/ CTN],NOTA[[#This Row],[//DB]])))</f>
        <v>6 PCS</v>
      </c>
      <c r="AU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V91" s="38" t="e">
        <f ca="1">IF(NOTA[[#This Row],[ID_H]]="","",MATCH(NOTA[[#This Row],[NB NOTA_C_QTY]],[4]!db[NB NOTA_C_QTY+F],0))</f>
        <v>#REF!</v>
      </c>
      <c r="AW91" s="53">
        <f ca="1">IF(NOTA[[#This Row],[NB NOTA_C_QTY]]="","",ROW()-2)</f>
        <v>89</v>
      </c>
    </row>
    <row r="92" spans="1:49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14</v>
      </c>
      <c r="E92" s="46"/>
      <c r="F92" s="37"/>
      <c r="G92" s="37"/>
      <c r="H92" s="47"/>
      <c r="I92" s="37"/>
      <c r="J92" s="39"/>
      <c r="K92" s="37"/>
      <c r="L92" s="37" t="s">
        <v>105</v>
      </c>
      <c r="M92" s="40">
        <v>2</v>
      </c>
      <c r="O92" s="37"/>
      <c r="P92" s="41"/>
      <c r="Q92" s="42">
        <v>2280000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4560000</v>
      </c>
      <c r="Y92" s="50">
        <f>IF(NOTA[[#This Row],[JUMLAH]]="","",NOTA[[#This Row],[JUMLAH]]*NOTA[[#This Row],[DISC 1]])</f>
        <v>775200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775200</v>
      </c>
      <c r="AC92" s="50">
        <f>IF(NOTA[[#This Row],[JUMLAH]]="","",NOTA[[#This Row],[JUMLAH]]-NOTA[[#This Row],[DISC]])</f>
        <v>3784800</v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2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G92" s="50" t="str">
        <f>IF(OR(NOTA[[#This Row],[QTY]]="",NOTA[[#This Row],[HARGA SATUAN]]="",),"",NOTA[[#This Row],[QTY]]*NOTA[[#This Row],[HARGA SATUAN]])</f>
        <v/>
      </c>
      <c r="AH92" s="39">
        <f ca="1">IF(NOTA[ID_H]="","",INDEX(NOTA[TANGGAL],MATCH(,INDIRECT(ADDRESS(ROW(NOTA[TANGGAL]),COLUMN(NOTA[TANGGAL]))&amp;":"&amp;ADDRESS(ROW(),COLUMN(NOTA[TANGGAL]))),-1)))</f>
        <v>45181</v>
      </c>
      <c r="AI92" s="41" t="str">
        <f ca="1">IF(NOTA[[#This Row],[NAMA BARANG]]="","",INDEX(NOTA[SUPPLIER],MATCH(,INDIRECT(ADDRESS(ROW(NOTA[ID]),COLUMN(NOTA[ID]))&amp;":"&amp;ADDRESS(ROW(),COLUMN(NOTA[ID]))),-1)))</f>
        <v>KENKO SINAR INDONESIA</v>
      </c>
      <c r="AJ92" s="41" t="str">
        <f ca="1">IF(NOTA[[#This Row],[ID_H]]="","",IF(NOTA[[#This Row],[FAKTUR]]="",INDIRECT(ADDRESS(ROW()-1,COLUMN())),NOTA[[#This Row],[FAKTUR]]))</f>
        <v>ARTO MORO</v>
      </c>
      <c r="AK92" s="38" t="str">
        <f ca="1">IF(NOTA[[#This Row],[ID]]="","",COUNTIF(NOTA[ID_H],NOTA[[#This Row],[ID_H]]))</f>
        <v/>
      </c>
      <c r="AL92" s="38">
        <f ca="1">IF(NOTA[[#This Row],[TGL.NOTA]]="",IF(NOTA[[#This Row],[SUPPLIER_H]]="","",AL91),MONTH(NOTA[[#This Row],[TGL.NOTA]]))</f>
        <v>9</v>
      </c>
      <c r="AM92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N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38" t="str">
        <f>IF(NOTA[[#This Row],[CONCAT4]]="","",_xlfn.IFNA(MATCH(NOTA[[#This Row],[CONCAT4]],[2]!RAW[CONCAT_H],0),FALSE))</f>
        <v/>
      </c>
      <c r="AR92" s="38">
        <f>IF(NOTA[[#This Row],[CONCAT1]]="","",MATCH(NOTA[[#This Row],[CONCAT1]],[3]!db[NB NOTA_C],0))</f>
        <v>1565</v>
      </c>
      <c r="AS92" s="38" t="str">
        <f>IF(NOTA[[#This Row],[QTY/ CTN]]="","",TRUE)</f>
        <v/>
      </c>
      <c r="AT92" s="38" t="str">
        <f ca="1">IF(NOTA[[#This Row],[ID_H]]="","",IF(NOTA[[#This Row],[Column3]]=TRUE,NOTA[[#This Row],[QTY/ CTN]],INDEX([3]!db[QTY/ CTN],NOTA[[#This Row],[//DB]])))</f>
        <v>10 LSN</v>
      </c>
      <c r="AU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V92" s="38" t="e">
        <f ca="1">IF(NOTA[[#This Row],[ID_H]]="","",MATCH(NOTA[[#This Row],[NB NOTA_C_QTY]],[4]!db[NB NOTA_C_QTY+F],0))</f>
        <v>#REF!</v>
      </c>
      <c r="AW92" s="53">
        <f ca="1">IF(NOTA[[#This Row],[NB NOTA_C_QTY]]="","",ROW()-2)</f>
        <v>90</v>
      </c>
    </row>
    <row r="93" spans="1:49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14</v>
      </c>
      <c r="E93" s="46"/>
      <c r="F93" s="37"/>
      <c r="G93" s="37"/>
      <c r="H93" s="47"/>
      <c r="I93" s="37"/>
      <c r="J93" s="39"/>
      <c r="K93" s="37"/>
      <c r="L93" s="37" t="s">
        <v>199</v>
      </c>
      <c r="M93" s="40">
        <v>1</v>
      </c>
      <c r="O93" s="37"/>
      <c r="P93" s="41"/>
      <c r="Q93" s="42">
        <v>1584000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1584000</v>
      </c>
      <c r="Y93" s="50">
        <f>IF(NOTA[[#This Row],[JUMLAH]]="","",NOTA[[#This Row],[JUMLAH]]*NOTA[[#This Row],[DISC 1]])</f>
        <v>269280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269280</v>
      </c>
      <c r="AC93" s="50">
        <f>IF(NOTA[[#This Row],[JUMLAH]]="","",NOTA[[#This Row],[JUMLAH]]-NOTA[[#This Row],[DISC]])</f>
        <v>1314720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8272200</v>
      </c>
      <c r="AE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40387800</v>
      </c>
      <c r="AF93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93" s="50" t="str">
        <f>IF(OR(NOTA[[#This Row],[QTY]]="",NOTA[[#This Row],[HARGA SATUAN]]="",),"",NOTA[[#This Row],[QTY]]*NOTA[[#This Row],[HARGA SATUAN]])</f>
        <v/>
      </c>
      <c r="AH93" s="39">
        <f ca="1">IF(NOTA[ID_H]="","",INDEX(NOTA[TANGGAL],MATCH(,INDIRECT(ADDRESS(ROW(NOTA[TANGGAL]),COLUMN(NOTA[TANGGAL]))&amp;":"&amp;ADDRESS(ROW(),COLUMN(NOTA[TANGGAL]))),-1)))</f>
        <v>45181</v>
      </c>
      <c r="AI93" s="41" t="str">
        <f ca="1">IF(NOTA[[#This Row],[NAMA BARANG]]="","",INDEX(NOTA[SUPPLIER],MATCH(,INDIRECT(ADDRESS(ROW(NOTA[ID]),COLUMN(NOTA[ID]))&amp;":"&amp;ADDRESS(ROW(),COLUMN(NOTA[ID]))),-1)))</f>
        <v>KENKO SINAR INDONESIA</v>
      </c>
      <c r="AJ93" s="41" t="str">
        <f ca="1">IF(NOTA[[#This Row],[ID_H]]="","",IF(NOTA[[#This Row],[FAKTUR]]="",INDIRECT(ADDRESS(ROW()-1,COLUMN())),NOTA[[#This Row],[FAKTUR]]))</f>
        <v>ARTO MORO</v>
      </c>
      <c r="AK93" s="38" t="str">
        <f ca="1">IF(NOTA[[#This Row],[ID]]="","",COUNTIF(NOTA[ID_H],NOTA[[#This Row],[ID_H]]))</f>
        <v/>
      </c>
      <c r="AL93" s="38">
        <f ca="1">IF(NOTA[[#This Row],[TGL.NOTA]]="",IF(NOTA[[#This Row],[SUPPLIER_H]]="","",AL92),MONTH(NOTA[[#This Row],[TGL.NOTA]]))</f>
        <v>9</v>
      </c>
      <c r="AM93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N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O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P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38" t="str">
        <f>IF(NOTA[[#This Row],[CONCAT4]]="","",_xlfn.IFNA(MATCH(NOTA[[#This Row],[CONCAT4]],[2]!RAW[CONCAT_H],0),FALSE))</f>
        <v/>
      </c>
      <c r="AR93" s="38">
        <f>IF(NOTA[[#This Row],[CONCAT1]]="","",MATCH(NOTA[[#This Row],[CONCAT1]],[3]!db[NB NOTA_C],0))</f>
        <v>1533</v>
      </c>
      <c r="AS93" s="38" t="str">
        <f>IF(NOTA[[#This Row],[QTY/ CTN]]="","",TRUE)</f>
        <v/>
      </c>
      <c r="AT93" s="38" t="str">
        <f ca="1">IF(NOTA[[#This Row],[ID_H]]="","",IF(NOTA[[#This Row],[Column3]]=TRUE,NOTA[[#This Row],[QTY/ CTN]],INDEX([3]!db[QTY/ CTN],NOTA[[#This Row],[//DB]])))</f>
        <v>48 LSN</v>
      </c>
      <c r="AU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V93" s="38" t="e">
        <f ca="1">IF(NOTA[[#This Row],[ID_H]]="","",MATCH(NOTA[[#This Row],[NB NOTA_C_QTY]],[4]!db[NB NOTA_C_QTY+F],0))</f>
        <v>#REF!</v>
      </c>
      <c r="AW93" s="53">
        <f ca="1">IF(NOTA[[#This Row],[NB NOTA_C_QTY]]="","",ROW()-2)</f>
        <v>91</v>
      </c>
    </row>
    <row r="94" spans="1:49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F94" s="37"/>
      <c r="G94" s="37"/>
      <c r="H94" s="47"/>
      <c r="I94" s="37"/>
      <c r="J94" s="39"/>
      <c r="K94" s="37"/>
      <c r="L94" s="37"/>
      <c r="M94" s="40"/>
      <c r="O94" s="37"/>
      <c r="P94" s="41"/>
      <c r="Q94" s="42"/>
      <c r="R94" s="48"/>
      <c r="S94" s="49"/>
      <c r="T94" s="44"/>
      <c r="U94" s="44"/>
      <c r="V94" s="50"/>
      <c r="W94" s="45"/>
      <c r="X94" s="50" t="str">
        <f>IF(NOTA[[#This Row],[HARGA/ CTN]]="",NOTA[[#This Row],[JUMLAH_H]],NOTA[[#This Row],[HARGA/ CTN]]*IF(NOTA[[#This Row],[C]]="",0,NOTA[[#This Row],[C]]))</f>
        <v/>
      </c>
      <c r="Y94" s="50" t="str">
        <f>IF(NOTA[[#This Row],[JUMLAH]]="","",NOTA[[#This Row],[JUMLAH]]*NOTA[[#This Row],[DISC 1]])</f>
        <v/>
      </c>
      <c r="Z94" s="50" t="str">
        <f>IF(NOTA[[#This Row],[JUMLAH]]="","",(NOTA[[#This Row],[JUMLAH]]-NOTA[[#This Row],[DISC 1-]])*NOTA[[#This Row],[DISC 2]])</f>
        <v/>
      </c>
      <c r="AA94" s="50" t="str">
        <f>IF(NOTA[[#This Row],[JUMLAH]]="","",(NOTA[[#This Row],[JUMLAH]]-NOTA[[#This Row],[DISC 1-]]-NOTA[[#This Row],[DISC 2-]])*NOTA[[#This Row],[DISC 3]])</f>
        <v/>
      </c>
      <c r="AB94" s="50" t="str">
        <f>IF(NOTA[[#This Row],[JUMLAH]]="","",NOTA[[#This Row],[DISC 1-]]+NOTA[[#This Row],[DISC 2-]]+NOTA[[#This Row],[DISC 3-]])</f>
        <v/>
      </c>
      <c r="AC94" s="50" t="str">
        <f>IF(NOTA[[#This Row],[JUMLAH]]="","",NOTA[[#This Row],[JUMLAH]]-NOTA[[#This Row],[DISC]])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4" s="50" t="str">
        <f>IF(OR(NOTA[[#This Row],[QTY]]="",NOTA[[#This Row],[HARGA SATUAN]]="",),"",NOTA[[#This Row],[QTY]]*NOTA[[#This Row],[HARGA SATUAN]])</f>
        <v/>
      </c>
      <c r="AH94" s="39" t="str">
        <f ca="1">IF(NOTA[ID_H]="","",INDEX(NOTA[TANGGAL],MATCH(,INDIRECT(ADDRESS(ROW(NOTA[TANGGAL]),COLUMN(NOTA[TANGGAL]))&amp;":"&amp;ADDRESS(ROW(),COLUMN(NOTA[TANGGAL]))),-1)))</f>
        <v/>
      </c>
      <c r="AI94" s="41" t="str">
        <f ca="1">IF(NOTA[[#This Row],[NAMA BARANG]]="","",INDEX(NOTA[SUPPLIER],MATCH(,INDIRECT(ADDRESS(ROW(NOTA[ID]),COLUMN(NOTA[ID]))&amp;":"&amp;ADDRESS(ROW(),COLUMN(NOTA[ID]))),-1)))</f>
        <v/>
      </c>
      <c r="AJ94" s="41" t="str">
        <f ca="1">IF(NOTA[[#This Row],[ID_H]]="","",IF(NOTA[[#This Row],[FAKTUR]]="",INDIRECT(ADDRESS(ROW()-1,COLUMN())),NOTA[[#This Row],[FAKTUR]]))</f>
        <v/>
      </c>
      <c r="AK94" s="38" t="str">
        <f ca="1">IF(NOTA[[#This Row],[ID]]="","",COUNTIF(NOTA[ID_H],NOTA[[#This Row],[ID_H]]))</f>
        <v/>
      </c>
      <c r="AL94" s="38" t="str">
        <f ca="1">IF(NOTA[[#This Row],[TGL.NOTA]]="",IF(NOTA[[#This Row],[SUPPLIER_H]]="","",AL93),MONTH(NOTA[[#This Row],[TGL.NOTA]]))</f>
        <v/>
      </c>
      <c r="AM94" s="38" t="str">
        <f>LOWER(SUBSTITUTE(SUBSTITUTE(SUBSTITUTE(SUBSTITUTE(SUBSTITUTE(SUBSTITUTE(SUBSTITUTE(SUBSTITUTE(SUBSTITUTE(NOTA[NAMA BARANG]," ",),".",""),"-",""),"(",""),")",""),",",""),"/",""),"""",""),"+",""))</f>
        <v/>
      </c>
      <c r="AN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" s="38" t="str">
        <f>IF(NOTA[[#This Row],[CONCAT4]]="","",_xlfn.IFNA(MATCH(NOTA[[#This Row],[CONCAT4]],[2]!RAW[CONCAT_H],0),FALSE))</f>
        <v/>
      </c>
      <c r="AR94" s="38" t="str">
        <f>IF(NOTA[[#This Row],[CONCAT1]]="","",MATCH(NOTA[[#This Row],[CONCAT1]],[3]!db[NB NOTA_C],0))</f>
        <v/>
      </c>
      <c r="AS94" s="38" t="str">
        <f>IF(NOTA[[#This Row],[QTY/ CTN]]="","",TRUE)</f>
        <v/>
      </c>
      <c r="AT94" s="38" t="str">
        <f ca="1">IF(NOTA[[#This Row],[ID_H]]="","",IF(NOTA[[#This Row],[Column3]]=TRUE,NOTA[[#This Row],[QTY/ CTN]],INDEX([3]!db[QTY/ CTN],NOTA[[#This Row],[//DB]])))</f>
        <v/>
      </c>
      <c r="AU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4" s="38" t="str">
        <f ca="1">IF(NOTA[[#This Row],[ID_H]]="","",MATCH(NOTA[[#This Row],[NB NOTA_C_QTY]],[4]!db[NB NOTA_C_QTY+F],0))</f>
        <v/>
      </c>
      <c r="AW94" s="53" t="str">
        <f ca="1">IF(NOTA[[#This Row],[NB NOTA_C_QTY]]="","",ROW()-2)</f>
        <v/>
      </c>
    </row>
    <row r="95" spans="1:49" s="38" customFormat="1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KEN_0909_583-10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15</v>
      </c>
      <c r="E95" s="46">
        <v>45178</v>
      </c>
      <c r="F95" s="37" t="s">
        <v>22</v>
      </c>
      <c r="G95" s="37" t="s">
        <v>23</v>
      </c>
      <c r="H95" s="47" t="s">
        <v>628</v>
      </c>
      <c r="I95" s="37"/>
      <c r="J95" s="39">
        <v>45176</v>
      </c>
      <c r="K95" s="37"/>
      <c r="L95" s="37" t="s">
        <v>201</v>
      </c>
      <c r="M95" s="40">
        <v>1</v>
      </c>
      <c r="O95" s="37"/>
      <c r="P95" s="41"/>
      <c r="Q95" s="42">
        <v>1710000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1710000</v>
      </c>
      <c r="Y95" s="50">
        <f>IF(NOTA[[#This Row],[JUMLAH]]="","",NOTA[[#This Row],[JUMLAH]]*NOTA[[#This Row],[DISC 1]])</f>
        <v>290700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290700</v>
      </c>
      <c r="AC95" s="50">
        <f>IF(NOTA[[#This Row],[JUMLAH]]="","",NOTA[[#This Row],[JUMLAH]]-NOTA[[#This Row],[DISC]])</f>
        <v>1419300</v>
      </c>
      <c r="AD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95" s="50" t="str">
        <f>IF(OR(NOTA[[#This Row],[QTY]]="",NOTA[[#This Row],[HARGA SATUAN]]="",),"",NOTA[[#This Row],[QTY]]*NOTA[[#This Row],[HARGA SATUAN]])</f>
        <v/>
      </c>
      <c r="AH95" s="39">
        <f ca="1">IF(NOTA[ID_H]="","",INDEX(NOTA[TANGGAL],MATCH(,INDIRECT(ADDRESS(ROW(NOTA[TANGGAL]),COLUMN(NOTA[TANGGAL]))&amp;":"&amp;ADDRESS(ROW(),COLUMN(NOTA[TANGGAL]))),-1)))</f>
        <v>45178</v>
      </c>
      <c r="AI95" s="41" t="str">
        <f ca="1">IF(NOTA[[#This Row],[NAMA BARANG]]="","",INDEX(NOTA[SUPPLIER],MATCH(,INDIRECT(ADDRESS(ROW(NOTA[ID]),COLUMN(NOTA[ID]))&amp;":"&amp;ADDRESS(ROW(),COLUMN(NOTA[ID]))),-1)))</f>
        <v>KENKO SINAR INDONESIA</v>
      </c>
      <c r="AJ95" s="41" t="str">
        <f ca="1">IF(NOTA[[#This Row],[ID_H]]="","",IF(NOTA[[#This Row],[FAKTUR]]="",INDIRECT(ADDRESS(ROW()-1,COLUMN())),NOTA[[#This Row],[FAKTUR]]))</f>
        <v>ARTO MORO</v>
      </c>
      <c r="AK95" s="38">
        <f ca="1">IF(NOTA[[#This Row],[ID]]="","",COUNTIF(NOTA[ID_H],NOTA[[#This Row],[ID_H]]))</f>
        <v>10</v>
      </c>
      <c r="AL95" s="38">
        <f>IF(NOTA[[#This Row],[TGL.NOTA]]="",IF(NOTA[[#This Row],[SUPPLIER_H]]="","",AL94),MONTH(NOTA[[#This Row],[TGL.NOTA]]))</f>
        <v>9</v>
      </c>
      <c r="AM9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N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O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P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MORO2309058345176kenkocuttera3009mmblade</v>
      </c>
      <c r="AQ95" s="38" t="e">
        <f>IF(NOTA[[#This Row],[CONCAT4]]="","",_xlfn.IFNA(MATCH(NOTA[[#This Row],[CONCAT4]],[2]!RAW[CONCAT_H],0),FALSE))</f>
        <v>#REF!</v>
      </c>
      <c r="AR95" s="38">
        <f>IF(NOTA[[#This Row],[CONCAT1]]="","",MATCH(NOTA[[#This Row],[CONCAT1]],[3]!db[NB NOTA_C],0))</f>
        <v>1380</v>
      </c>
      <c r="AS95" s="38" t="str">
        <f>IF(NOTA[[#This Row],[QTY/ CTN]]="","",TRUE)</f>
        <v/>
      </c>
      <c r="AT95" s="38" t="str">
        <f ca="1">IF(NOTA[[#This Row],[ID_H]]="","",IF(NOTA[[#This Row],[Column3]]=TRUE,NOTA[[#This Row],[QTY/ CTN]],INDEX([3]!db[QTY/ CTN],NOTA[[#This Row],[//DB]])))</f>
        <v>30 LSN</v>
      </c>
      <c r="AU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V95" s="38" t="e">
        <f ca="1">IF(NOTA[[#This Row],[ID_H]]="","",MATCH(NOTA[[#This Row],[NB NOTA_C_QTY]],[4]!db[NB NOTA_C_QTY+F],0))</f>
        <v>#REF!</v>
      </c>
      <c r="AW95" s="53">
        <f ca="1">IF(NOTA[[#This Row],[NB NOTA_C_QTY]]="","",ROW()-2)</f>
        <v>93</v>
      </c>
    </row>
    <row r="96" spans="1:49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15</v>
      </c>
      <c r="E96" s="46"/>
      <c r="F96" s="37"/>
      <c r="G96" s="37"/>
      <c r="H96" s="47"/>
      <c r="I96" s="37"/>
      <c r="J96" s="39"/>
      <c r="K96" s="37"/>
      <c r="L96" s="37" t="s">
        <v>202</v>
      </c>
      <c r="M96" s="40">
        <v>2</v>
      </c>
      <c r="O96" s="37"/>
      <c r="P96" s="41"/>
      <c r="Q96" s="42">
        <v>5616000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11232000</v>
      </c>
      <c r="Y96" s="50">
        <f>IF(NOTA[[#This Row],[JUMLAH]]="","",NOTA[[#This Row],[JUMLAH]]*NOTA[[#This Row],[DISC 1]])</f>
        <v>1909440.0000000002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1909440.0000000002</v>
      </c>
      <c r="AC96" s="50">
        <f>IF(NOTA[[#This Row],[JUMLAH]]="","",NOTA[[#This Row],[JUMLAH]]-NOTA[[#This Row],[DISC]])</f>
        <v>9322560</v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96" s="50" t="str">
        <f>IF(OR(NOTA[[#This Row],[QTY]]="",NOTA[[#This Row],[HARGA SATUAN]]="",),"",NOTA[[#This Row],[QTY]]*NOTA[[#This Row],[HARGA SATUAN]])</f>
        <v/>
      </c>
      <c r="AH96" s="39">
        <f ca="1">IF(NOTA[ID_H]="","",INDEX(NOTA[TANGGAL],MATCH(,INDIRECT(ADDRESS(ROW(NOTA[TANGGAL]),COLUMN(NOTA[TANGGAL]))&amp;":"&amp;ADDRESS(ROW(),COLUMN(NOTA[TANGGAL]))),-1)))</f>
        <v>45178</v>
      </c>
      <c r="AI96" s="41" t="str">
        <f ca="1">IF(NOTA[[#This Row],[NAMA BARANG]]="","",INDEX(NOTA[SUPPLIER],MATCH(,INDIRECT(ADDRESS(ROW(NOTA[ID]),COLUMN(NOTA[ID]))&amp;":"&amp;ADDRESS(ROW(),COLUMN(NOTA[ID]))),-1)))</f>
        <v>KENKO SINAR INDONESIA</v>
      </c>
      <c r="AJ96" s="41" t="str">
        <f ca="1">IF(NOTA[[#This Row],[ID_H]]="","",IF(NOTA[[#This Row],[FAKTUR]]="",INDIRECT(ADDRESS(ROW()-1,COLUMN())),NOTA[[#This Row],[FAKTUR]]))</f>
        <v>ARTO MORO</v>
      </c>
      <c r="AK96" s="38" t="str">
        <f ca="1">IF(NOTA[[#This Row],[ID]]="","",COUNTIF(NOTA[ID_H],NOTA[[#This Row],[ID_H]]))</f>
        <v/>
      </c>
      <c r="AL96" s="38">
        <f ca="1">IF(NOTA[[#This Row],[TGL.NOTA]]="",IF(NOTA[[#This Row],[SUPPLIER_H]]="","",AL95),MONTH(NOTA[[#This Row],[TGL.NOTA]]))</f>
        <v>9</v>
      </c>
      <c r="AM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38" t="str">
        <f>IF(NOTA[[#This Row],[CONCAT4]]="","",_xlfn.IFNA(MATCH(NOTA[[#This Row],[CONCAT4]],[2]!RAW[CONCAT_H],0),FALSE))</f>
        <v/>
      </c>
      <c r="AR96" s="38">
        <f>IF(NOTA[[#This Row],[CONCAT1]]="","",MATCH(NOTA[[#This Row],[CONCAT1]],[3]!db[NB NOTA_C],0))</f>
        <v>1406</v>
      </c>
      <c r="AS96" s="38" t="str">
        <f>IF(NOTA[[#This Row],[QTY/ CTN]]="","",TRUE)</f>
        <v/>
      </c>
      <c r="AT96" s="38" t="str">
        <f ca="1">IF(NOTA[[#This Row],[ID_H]]="","",IF(NOTA[[#This Row],[Column3]]=TRUE,NOTA[[#This Row],[QTY/ CTN]],INDEX([3]!db[QTY/ CTN],NOTA[[#This Row],[//DB]])))</f>
        <v>144 LSN</v>
      </c>
      <c r="AU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96" s="38" t="e">
        <f ca="1">IF(NOTA[[#This Row],[ID_H]]="","",MATCH(NOTA[[#This Row],[NB NOTA_C_QTY]],[4]!db[NB NOTA_C_QTY+F],0))</f>
        <v>#REF!</v>
      </c>
      <c r="AW96" s="53">
        <f ca="1">IF(NOTA[[#This Row],[NB NOTA_C_QTY]]="","",ROW()-2)</f>
        <v>94</v>
      </c>
    </row>
    <row r="97" spans="1:49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15</v>
      </c>
      <c r="E97" s="46"/>
      <c r="F97" s="37"/>
      <c r="G97" s="37"/>
      <c r="H97" s="47"/>
      <c r="I97" s="37"/>
      <c r="J97" s="39"/>
      <c r="K97" s="37"/>
      <c r="L97" s="37" t="s">
        <v>199</v>
      </c>
      <c r="M97" s="40">
        <v>2</v>
      </c>
      <c r="O97" s="37"/>
      <c r="P97" s="41"/>
      <c r="Q97" s="42">
        <v>1584000</v>
      </c>
      <c r="R97" s="48"/>
      <c r="S97" s="49">
        <v>0.17</v>
      </c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3168000</v>
      </c>
      <c r="Y97" s="50">
        <f>IF(NOTA[[#This Row],[JUMLAH]]="","",NOTA[[#This Row],[JUMLAH]]*NOTA[[#This Row],[DISC 1]])</f>
        <v>538560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538560</v>
      </c>
      <c r="AC97" s="50">
        <f>IF(NOTA[[#This Row],[JUMLAH]]="","",NOTA[[#This Row],[JUMLAH]]-NOTA[[#This Row],[DISC]])</f>
        <v>2629440</v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97" s="50" t="str">
        <f>IF(OR(NOTA[[#This Row],[QTY]]="",NOTA[[#This Row],[HARGA SATUAN]]="",),"",NOTA[[#This Row],[QTY]]*NOTA[[#This Row],[HARGA SATUAN]])</f>
        <v/>
      </c>
      <c r="AH97" s="39">
        <f ca="1">IF(NOTA[ID_H]="","",INDEX(NOTA[TANGGAL],MATCH(,INDIRECT(ADDRESS(ROW(NOTA[TANGGAL]),COLUMN(NOTA[TANGGAL]))&amp;":"&amp;ADDRESS(ROW(),COLUMN(NOTA[TANGGAL]))),-1)))</f>
        <v>45178</v>
      </c>
      <c r="AI97" s="41" t="str">
        <f ca="1">IF(NOTA[[#This Row],[NAMA BARANG]]="","",INDEX(NOTA[SUPPLIER],MATCH(,INDIRECT(ADDRESS(ROW(NOTA[ID]),COLUMN(NOTA[ID]))&amp;":"&amp;ADDRESS(ROW(),COLUMN(NOTA[ID]))),-1)))</f>
        <v>KENKO SINAR INDONESIA</v>
      </c>
      <c r="AJ97" s="41" t="str">
        <f ca="1">IF(NOTA[[#This Row],[ID_H]]="","",IF(NOTA[[#This Row],[FAKTUR]]="",INDIRECT(ADDRESS(ROW()-1,COLUMN())),NOTA[[#This Row],[FAKTUR]]))</f>
        <v>ARTO MORO</v>
      </c>
      <c r="AK97" s="38" t="str">
        <f ca="1">IF(NOTA[[#This Row],[ID]]="","",COUNTIF(NOTA[ID_H],NOTA[[#This Row],[ID_H]]))</f>
        <v/>
      </c>
      <c r="AL97" s="38">
        <f ca="1">IF(NOTA[[#This Row],[TGL.NOTA]]="",IF(NOTA[[#This Row],[SUPPLIER_H]]="","",AL96),MONTH(NOTA[[#This Row],[TGL.NOTA]]))</f>
        <v>9</v>
      </c>
      <c r="AM9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N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O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P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38" t="str">
        <f>IF(NOTA[[#This Row],[CONCAT4]]="","",_xlfn.IFNA(MATCH(NOTA[[#This Row],[CONCAT4]],[2]!RAW[CONCAT_H],0),FALSE))</f>
        <v/>
      </c>
      <c r="AR97" s="38">
        <f>IF(NOTA[[#This Row],[CONCAT1]]="","",MATCH(NOTA[[#This Row],[CONCAT1]],[3]!db[NB NOTA_C],0))</f>
        <v>1533</v>
      </c>
      <c r="AS97" s="38" t="str">
        <f>IF(NOTA[[#This Row],[QTY/ CTN]]="","",TRUE)</f>
        <v/>
      </c>
      <c r="AT97" s="38" t="str">
        <f ca="1">IF(NOTA[[#This Row],[ID_H]]="","",IF(NOTA[[#This Row],[Column3]]=TRUE,NOTA[[#This Row],[QTY/ CTN]],INDEX([3]!db[QTY/ CTN],NOTA[[#This Row],[//DB]])))</f>
        <v>48 LSN</v>
      </c>
      <c r="AU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V97" s="38" t="e">
        <f ca="1">IF(NOTA[[#This Row],[ID_H]]="","",MATCH(NOTA[[#This Row],[NB NOTA_C_QTY]],[4]!db[NB NOTA_C_QTY+F],0))</f>
        <v>#REF!</v>
      </c>
      <c r="AW97" s="53">
        <f ca="1">IF(NOTA[[#This Row],[NB NOTA_C_QTY]]="","",ROW()-2)</f>
        <v>95</v>
      </c>
    </row>
    <row r="98" spans="1:49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15</v>
      </c>
      <c r="E98" s="46"/>
      <c r="F98" s="37"/>
      <c r="G98" s="37"/>
      <c r="H98" s="47"/>
      <c r="I98" s="37"/>
      <c r="J98" s="39"/>
      <c r="K98" s="37"/>
      <c r="L98" s="37" t="s">
        <v>182</v>
      </c>
      <c r="M98" s="40">
        <v>2</v>
      </c>
      <c r="O98" s="37"/>
      <c r="P98" s="41"/>
      <c r="Q98" s="42">
        <v>1987200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3974400</v>
      </c>
      <c r="Y98" s="50">
        <f>IF(NOTA[[#This Row],[JUMLAH]]="","",NOTA[[#This Row],[JUMLAH]]*NOTA[[#This Row],[DISC 1]])</f>
        <v>675648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675648</v>
      </c>
      <c r="AC98" s="50">
        <f>IF(NOTA[[#This Row],[JUMLAH]]="","",NOTA[[#This Row],[JUMLAH]]-NOTA[[#This Row],[DISC]])</f>
        <v>3298752</v>
      </c>
      <c r="AD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8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G98" s="50" t="str">
        <f>IF(OR(NOTA[[#This Row],[QTY]]="",NOTA[[#This Row],[HARGA SATUAN]]="",),"",NOTA[[#This Row],[QTY]]*NOTA[[#This Row],[HARGA SATUAN]])</f>
        <v/>
      </c>
      <c r="AH98" s="39">
        <f ca="1">IF(NOTA[ID_H]="","",INDEX(NOTA[TANGGAL],MATCH(,INDIRECT(ADDRESS(ROW(NOTA[TANGGAL]),COLUMN(NOTA[TANGGAL]))&amp;":"&amp;ADDRESS(ROW(),COLUMN(NOTA[TANGGAL]))),-1)))</f>
        <v>45178</v>
      </c>
      <c r="AI98" s="41" t="str">
        <f ca="1">IF(NOTA[[#This Row],[NAMA BARANG]]="","",INDEX(NOTA[SUPPLIER],MATCH(,INDIRECT(ADDRESS(ROW(NOTA[ID]),COLUMN(NOTA[ID]))&amp;":"&amp;ADDRESS(ROW(),COLUMN(NOTA[ID]))),-1)))</f>
        <v>KENKO SINAR INDONESIA</v>
      </c>
      <c r="AJ98" s="41" t="str">
        <f ca="1">IF(NOTA[[#This Row],[ID_H]]="","",IF(NOTA[[#This Row],[FAKTUR]]="",INDIRECT(ADDRESS(ROW()-1,COLUMN())),NOTA[[#This Row],[FAKTUR]]))</f>
        <v>ARTO MORO</v>
      </c>
      <c r="AK98" s="38" t="str">
        <f ca="1">IF(NOTA[[#This Row],[ID]]="","",COUNTIF(NOTA[ID_H],NOTA[[#This Row],[ID_H]]))</f>
        <v/>
      </c>
      <c r="AL98" s="38">
        <f ca="1">IF(NOTA[[#This Row],[TGL.NOTA]]="",IF(NOTA[[#This Row],[SUPPLIER_H]]="","",AL97),MONTH(NOTA[[#This Row],[TGL.NOTA]]))</f>
        <v>9</v>
      </c>
      <c r="AM98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38" t="str">
        <f>IF(NOTA[[#This Row],[CONCAT4]]="","",_xlfn.IFNA(MATCH(NOTA[[#This Row],[CONCAT4]],[2]!RAW[CONCAT_H],0),FALSE))</f>
        <v/>
      </c>
      <c r="AR98" s="38">
        <f>IF(NOTA[[#This Row],[CONCAT1]]="","",MATCH(NOTA[[#This Row],[CONCAT1]],[3]!db[NB NOTA_C],0))</f>
        <v>1331</v>
      </c>
      <c r="AS98" s="38" t="str">
        <f>IF(NOTA[[#This Row],[QTY/ CTN]]="","",TRUE)</f>
        <v/>
      </c>
      <c r="AT98" s="38" t="str">
        <f ca="1">IF(NOTA[[#This Row],[ID_H]]="","",IF(NOTA[[#This Row],[Column3]]=TRUE,NOTA[[#This Row],[QTY/ CTN]],INDEX([3]!db[QTY/ CTN],NOTA[[#This Row],[//DB]])))</f>
        <v>48 LSN</v>
      </c>
      <c r="AU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V98" s="38" t="e">
        <f ca="1">IF(NOTA[[#This Row],[ID_H]]="","",MATCH(NOTA[[#This Row],[NB NOTA_C_QTY]],[4]!db[NB NOTA_C_QTY+F],0))</f>
        <v>#REF!</v>
      </c>
      <c r="AW98" s="53">
        <f ca="1">IF(NOTA[[#This Row],[NB NOTA_C_QTY]]="","",ROW()-2)</f>
        <v>96</v>
      </c>
    </row>
    <row r="99" spans="1:49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15</v>
      </c>
      <c r="E99" s="46"/>
      <c r="F99" s="37"/>
      <c r="G99" s="37"/>
      <c r="H99" s="47"/>
      <c r="I99" s="37"/>
      <c r="J99" s="39"/>
      <c r="K99" s="37"/>
      <c r="L99" s="37" t="s">
        <v>206</v>
      </c>
      <c r="M99" s="40">
        <v>2</v>
      </c>
      <c r="O99" s="37"/>
      <c r="P99" s="41"/>
      <c r="Q99" s="42">
        <v>860000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1720000</v>
      </c>
      <c r="Y99" s="50">
        <f>IF(NOTA[[#This Row],[JUMLAH]]="","",NOTA[[#This Row],[JUMLAH]]*NOTA[[#This Row],[DISC 1]])</f>
        <v>292400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292400</v>
      </c>
      <c r="AC99" s="50">
        <f>IF(NOTA[[#This Row],[JUMLAH]]="","",NOTA[[#This Row],[JUMLAH]]-NOTA[[#This Row],[DISC]])</f>
        <v>1427600</v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G99" s="50" t="str">
        <f>IF(OR(NOTA[[#This Row],[QTY]]="",NOTA[[#This Row],[HARGA SATUAN]]="",),"",NOTA[[#This Row],[QTY]]*NOTA[[#This Row],[HARGA SATUAN]])</f>
        <v/>
      </c>
      <c r="AH99" s="39">
        <f ca="1">IF(NOTA[ID_H]="","",INDEX(NOTA[TANGGAL],MATCH(,INDIRECT(ADDRESS(ROW(NOTA[TANGGAL]),COLUMN(NOTA[TANGGAL]))&amp;":"&amp;ADDRESS(ROW(),COLUMN(NOTA[TANGGAL]))),-1)))</f>
        <v>45178</v>
      </c>
      <c r="AI99" s="41" t="str">
        <f ca="1">IF(NOTA[[#This Row],[NAMA BARANG]]="","",INDEX(NOTA[SUPPLIER],MATCH(,INDIRECT(ADDRESS(ROW(NOTA[ID]),COLUMN(NOTA[ID]))&amp;":"&amp;ADDRESS(ROW(),COLUMN(NOTA[ID]))),-1)))</f>
        <v>KENKO SINAR INDONESIA</v>
      </c>
      <c r="AJ99" s="41" t="str">
        <f ca="1">IF(NOTA[[#This Row],[ID_H]]="","",IF(NOTA[[#This Row],[FAKTUR]]="",INDIRECT(ADDRESS(ROW()-1,COLUMN())),NOTA[[#This Row],[FAKTUR]]))</f>
        <v>ARTO MORO</v>
      </c>
      <c r="AK99" s="38" t="str">
        <f ca="1">IF(NOTA[[#This Row],[ID]]="","",COUNTIF(NOTA[ID_H],NOTA[[#This Row],[ID_H]]))</f>
        <v/>
      </c>
      <c r="AL99" s="38">
        <f ca="1">IF(NOTA[[#This Row],[TGL.NOTA]]="",IF(NOTA[[#This Row],[SUPPLIER_H]]="","",AL98),MONTH(NOTA[[#This Row],[TGL.NOTA]]))</f>
        <v>9</v>
      </c>
      <c r="AM99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N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O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P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38" t="str">
        <f>IF(NOTA[[#This Row],[CONCAT4]]="","",_xlfn.IFNA(MATCH(NOTA[[#This Row],[CONCAT4]],[2]!RAW[CONCAT_H],0),FALSE))</f>
        <v/>
      </c>
      <c r="AR99" s="38">
        <f>IF(NOTA[[#This Row],[CONCAT1]]="","",MATCH(NOTA[[#This Row],[CONCAT1]],[3]!db[NB NOTA_C],0))</f>
        <v>1471</v>
      </c>
      <c r="AS99" s="38" t="str">
        <f>IF(NOTA[[#This Row],[QTY/ CTN]]="","",TRUE)</f>
        <v/>
      </c>
      <c r="AT99" s="38" t="str">
        <f ca="1">IF(NOTA[[#This Row],[ID_H]]="","",IF(NOTA[[#This Row],[Column3]]=TRUE,NOTA[[#This Row],[QTY/ CTN]],INDEX([3]!db[QTY/ CTN],NOTA[[#This Row],[//DB]])))</f>
        <v>200 BOX</v>
      </c>
      <c r="AU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V99" s="38" t="e">
        <f ca="1">IF(NOTA[[#This Row],[ID_H]]="","",MATCH(NOTA[[#This Row],[NB NOTA_C_QTY]],[4]!db[NB NOTA_C_QTY+F],0))</f>
        <v>#REF!</v>
      </c>
      <c r="AW99" s="53">
        <f ca="1">IF(NOTA[[#This Row],[NB NOTA_C_QTY]]="","",ROW()-2)</f>
        <v>97</v>
      </c>
    </row>
    <row r="100" spans="1:49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15</v>
      </c>
      <c r="E100" s="46"/>
      <c r="F100" s="37"/>
      <c r="G100" s="37"/>
      <c r="H100" s="47"/>
      <c r="I100" s="37"/>
      <c r="J100" s="39"/>
      <c r="K100" s="37"/>
      <c r="L100" s="37" t="s">
        <v>203</v>
      </c>
      <c r="M100" s="40">
        <v>1</v>
      </c>
      <c r="O100" s="37"/>
      <c r="P100" s="41"/>
      <c r="Q100" s="42">
        <v>844800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844800</v>
      </c>
      <c r="Y100" s="50">
        <f>IF(NOTA[[#This Row],[JUMLAH]]="","",NOTA[[#This Row],[JUMLAH]]*NOTA[[#This Row],[DISC 1]])</f>
        <v>143616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143616</v>
      </c>
      <c r="AC100" s="50">
        <f>IF(NOTA[[#This Row],[JUMLAH]]="","",NOTA[[#This Row],[JUMLAH]]-NOTA[[#This Row],[DISC]])</f>
        <v>701184</v>
      </c>
      <c r="AD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G100" s="50" t="str">
        <f>IF(OR(NOTA[[#This Row],[QTY]]="",NOTA[[#This Row],[HARGA SATUAN]]="",),"",NOTA[[#This Row],[QTY]]*NOTA[[#This Row],[HARGA SATUAN]])</f>
        <v/>
      </c>
      <c r="AH100" s="39">
        <f ca="1">IF(NOTA[ID_H]="","",INDEX(NOTA[TANGGAL],MATCH(,INDIRECT(ADDRESS(ROW(NOTA[TANGGAL]),COLUMN(NOTA[TANGGAL]))&amp;":"&amp;ADDRESS(ROW(),COLUMN(NOTA[TANGGAL]))),-1)))</f>
        <v>45178</v>
      </c>
      <c r="AI100" s="41" t="str">
        <f ca="1">IF(NOTA[[#This Row],[NAMA BARANG]]="","",INDEX(NOTA[SUPPLIER],MATCH(,INDIRECT(ADDRESS(ROW(NOTA[ID]),COLUMN(NOTA[ID]))&amp;":"&amp;ADDRESS(ROW(),COLUMN(NOTA[ID]))),-1)))</f>
        <v>KENKO SINAR INDONESIA</v>
      </c>
      <c r="AJ100" s="41" t="str">
        <f ca="1">IF(NOTA[[#This Row],[ID_H]]="","",IF(NOTA[[#This Row],[FAKTUR]]="",INDIRECT(ADDRESS(ROW()-1,COLUMN())),NOTA[[#This Row],[FAKTUR]]))</f>
        <v>ARTO MORO</v>
      </c>
      <c r="AK100" s="38" t="str">
        <f ca="1">IF(NOTA[[#This Row],[ID]]="","",COUNTIF(NOTA[ID_H],NOTA[[#This Row],[ID_H]]))</f>
        <v/>
      </c>
      <c r="AL100" s="38">
        <f ca="1">IF(NOTA[[#This Row],[TGL.NOTA]]="",IF(NOTA[[#This Row],[SUPPLIER_H]]="","",AL98),MONTH(NOTA[[#This Row],[TGL.NOTA]]))</f>
        <v>9</v>
      </c>
      <c r="AM1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38" t="str">
        <f>IF(NOTA[[#This Row],[CONCAT4]]="","",_xlfn.IFNA(MATCH(NOTA[[#This Row],[CONCAT4]],[2]!RAW[CONCAT_H],0),FALSE))</f>
        <v/>
      </c>
      <c r="AR100" s="38">
        <f>IF(NOTA[[#This Row],[CONCAT1]]="","",MATCH(NOTA[[#This Row],[CONCAT1]],[3]!db[NB NOTA_C],0))</f>
        <v>1476</v>
      </c>
      <c r="AS100" s="38" t="str">
        <f>IF(NOTA[[#This Row],[QTY/ CTN]]="","",TRUE)</f>
        <v/>
      </c>
      <c r="AT100" s="38" t="str">
        <f ca="1">IF(NOTA[[#This Row],[ID_H]]="","",IF(NOTA[[#This Row],[Column3]]=TRUE,NOTA[[#This Row],[QTY/ CTN]],INDEX([3]!db[QTY/ CTN],NOTA[[#This Row],[//DB]])))</f>
        <v>192 PCS</v>
      </c>
      <c r="AU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V100" s="38" t="e">
        <f ca="1">IF(NOTA[[#This Row],[ID_H]]="","",MATCH(NOTA[[#This Row],[NB NOTA_C_QTY]],[4]!db[NB NOTA_C_QTY+F],0))</f>
        <v>#REF!</v>
      </c>
      <c r="AW100" s="53">
        <f ca="1">IF(NOTA[[#This Row],[NB NOTA_C_QTY]]="","",ROW()-2)</f>
        <v>98</v>
      </c>
    </row>
    <row r="101" spans="1:49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15</v>
      </c>
      <c r="E101" s="46"/>
      <c r="F101" s="37"/>
      <c r="G101" s="37"/>
      <c r="H101" s="47"/>
      <c r="I101" s="37"/>
      <c r="J101" s="39"/>
      <c r="K101" s="37"/>
      <c r="L101" s="37" t="s">
        <v>204</v>
      </c>
      <c r="M101" s="40">
        <v>1</v>
      </c>
      <c r="O101" s="37"/>
      <c r="P101" s="41"/>
      <c r="Q101" s="42">
        <v>801600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801600</v>
      </c>
      <c r="Y101" s="50">
        <f>IF(NOTA[[#This Row],[JUMLAH]]="","",NOTA[[#This Row],[JUMLAH]]*NOTA[[#This Row],[DISC 1]])</f>
        <v>136272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136272</v>
      </c>
      <c r="AC101" s="50">
        <f>IF(NOTA[[#This Row],[JUMLAH]]="","",NOTA[[#This Row],[JUMLAH]]-NOTA[[#This Row],[DISC]])</f>
        <v>665328</v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G101" s="50" t="str">
        <f>IF(OR(NOTA[[#This Row],[QTY]]="",NOTA[[#This Row],[HARGA SATUAN]]="",),"",NOTA[[#This Row],[QTY]]*NOTA[[#This Row],[HARGA SATUAN]])</f>
        <v/>
      </c>
      <c r="AH101" s="39">
        <f ca="1">IF(NOTA[ID_H]="","",INDEX(NOTA[TANGGAL],MATCH(,INDIRECT(ADDRESS(ROW(NOTA[TANGGAL]),COLUMN(NOTA[TANGGAL]))&amp;":"&amp;ADDRESS(ROW(),COLUMN(NOTA[TANGGAL]))),-1)))</f>
        <v>45178</v>
      </c>
      <c r="AI101" s="41" t="str">
        <f ca="1">IF(NOTA[[#This Row],[NAMA BARANG]]="","",INDEX(NOTA[SUPPLIER],MATCH(,INDIRECT(ADDRESS(ROW(NOTA[ID]),COLUMN(NOTA[ID]))&amp;":"&amp;ADDRESS(ROW(),COLUMN(NOTA[ID]))),-1)))</f>
        <v>KENKO SINAR INDONESIA</v>
      </c>
      <c r="AJ101" s="41" t="str">
        <f ca="1">IF(NOTA[[#This Row],[ID_H]]="","",IF(NOTA[[#This Row],[FAKTUR]]="",INDIRECT(ADDRESS(ROW()-1,COLUMN())),NOTA[[#This Row],[FAKTUR]]))</f>
        <v>ARTO MORO</v>
      </c>
      <c r="AK101" s="38" t="str">
        <f ca="1">IF(NOTA[[#This Row],[ID]]="","",COUNTIF(NOTA[ID_H],NOTA[[#This Row],[ID_H]]))</f>
        <v/>
      </c>
      <c r="AL101" s="38">
        <f ca="1">IF(NOTA[[#This Row],[TGL.NOTA]]="",IF(NOTA[[#This Row],[SUPPLIER_H]]="","",AL100),MONTH(NOTA[[#This Row],[TGL.NOTA]]))</f>
        <v>9</v>
      </c>
      <c r="AM1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N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O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P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38" t="str">
        <f>IF(NOTA[[#This Row],[CONCAT4]]="","",_xlfn.IFNA(MATCH(NOTA[[#This Row],[CONCAT4]],[2]!RAW[CONCAT_H],0),FALSE))</f>
        <v/>
      </c>
      <c r="AR101" s="38">
        <f>IF(NOTA[[#This Row],[CONCAT1]]="","",MATCH(NOTA[[#This Row],[CONCAT1]],[3]!db[NB NOTA_C],0))</f>
        <v>1475</v>
      </c>
      <c r="AS101" s="38" t="str">
        <f>IF(NOTA[[#This Row],[QTY/ CTN]]="","",TRUE)</f>
        <v/>
      </c>
      <c r="AT101" s="38" t="str">
        <f ca="1">IF(NOTA[[#This Row],[ID_H]]="","",IF(NOTA[[#This Row],[Column3]]=TRUE,NOTA[[#This Row],[QTY/ CTN]],INDEX([3]!db[QTY/ CTN],NOTA[[#This Row],[//DB]])))</f>
        <v>96 PCS</v>
      </c>
      <c r="AU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V101" s="38" t="e">
        <f ca="1">IF(NOTA[[#This Row],[ID_H]]="","",MATCH(NOTA[[#This Row],[NB NOTA_C_QTY]],[4]!db[NB NOTA_C_QTY+F],0))</f>
        <v>#REF!</v>
      </c>
      <c r="AW101" s="53">
        <f ca="1">IF(NOTA[[#This Row],[NB NOTA_C_QTY]]="","",ROW()-2)</f>
        <v>99</v>
      </c>
    </row>
    <row r="102" spans="1:49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15</v>
      </c>
      <c r="E102" s="46"/>
      <c r="F102" s="37"/>
      <c r="G102" s="37"/>
      <c r="H102" s="47"/>
      <c r="I102" s="37"/>
      <c r="J102" s="39"/>
      <c r="K102" s="37"/>
      <c r="L102" s="37" t="s">
        <v>205</v>
      </c>
      <c r="M102" s="40">
        <v>1</v>
      </c>
      <c r="O102" s="37"/>
      <c r="P102" s="41"/>
      <c r="Q102" s="42">
        <v>1040000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1040000</v>
      </c>
      <c r="Y102" s="50">
        <f>IF(NOTA[[#This Row],[JUMLAH]]="","",NOTA[[#This Row],[JUMLAH]]*NOTA[[#This Row],[DISC 1]])</f>
        <v>176800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176800</v>
      </c>
      <c r="AC102" s="50">
        <f>IF(NOTA[[#This Row],[JUMLAH]]="","",NOTA[[#This Row],[JUMLAH]]-NOTA[[#This Row],[DISC]])</f>
        <v>863200</v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2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G102" s="50" t="str">
        <f>IF(OR(NOTA[[#This Row],[QTY]]="",NOTA[[#This Row],[HARGA SATUAN]]="",),"",NOTA[[#This Row],[QTY]]*NOTA[[#This Row],[HARGA SATUAN]])</f>
        <v/>
      </c>
      <c r="AH102" s="39">
        <f ca="1">IF(NOTA[ID_H]="","",INDEX(NOTA[TANGGAL],MATCH(,INDIRECT(ADDRESS(ROW(NOTA[TANGGAL]),COLUMN(NOTA[TANGGAL]))&amp;":"&amp;ADDRESS(ROW(),COLUMN(NOTA[TANGGAL]))),-1)))</f>
        <v>45178</v>
      </c>
      <c r="AI102" s="41" t="str">
        <f ca="1">IF(NOTA[[#This Row],[NAMA BARANG]]="","",INDEX(NOTA[SUPPLIER],MATCH(,INDIRECT(ADDRESS(ROW(NOTA[ID]),COLUMN(NOTA[ID]))&amp;":"&amp;ADDRESS(ROW(),COLUMN(NOTA[ID]))),-1)))</f>
        <v>KENKO SINAR INDONESIA</v>
      </c>
      <c r="AJ102" s="41" t="str">
        <f ca="1">IF(NOTA[[#This Row],[ID_H]]="","",IF(NOTA[[#This Row],[FAKTUR]]="",INDIRECT(ADDRESS(ROW()-1,COLUMN())),NOTA[[#This Row],[FAKTUR]]))</f>
        <v>ARTO MORO</v>
      </c>
      <c r="AK102" s="38" t="str">
        <f ca="1">IF(NOTA[[#This Row],[ID]]="","",COUNTIF(NOTA[ID_H],NOTA[[#This Row],[ID_H]]))</f>
        <v/>
      </c>
      <c r="AL102" s="38">
        <f ca="1">IF(NOTA[[#This Row],[TGL.NOTA]]="",IF(NOTA[[#This Row],[SUPPLIER_H]]="","",AL101),MONTH(NOTA[[#This Row],[TGL.NOTA]]))</f>
        <v>9</v>
      </c>
      <c r="AM102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38" t="str">
        <f>IF(NOTA[[#This Row],[CONCAT4]]="","",_xlfn.IFNA(MATCH(NOTA[[#This Row],[CONCAT4]],[2]!RAW[CONCAT_H],0),FALSE))</f>
        <v/>
      </c>
      <c r="AR102" s="38">
        <f>IF(NOTA[[#This Row],[CONCAT1]]="","",MATCH(NOTA[[#This Row],[CONCAT1]],[3]!db[NB NOTA_C],0))</f>
        <v>1477</v>
      </c>
      <c r="AS102" s="38" t="str">
        <f>IF(NOTA[[#This Row],[QTY/ CTN]]="","",TRUE)</f>
        <v/>
      </c>
      <c r="AT102" s="38" t="str">
        <f ca="1">IF(NOTA[[#This Row],[ID_H]]="","",IF(NOTA[[#This Row],[Column3]]=TRUE,NOTA[[#This Row],[QTY/ CTN]],INDEX([3]!db[QTY/ CTN],NOTA[[#This Row],[//DB]])))</f>
        <v>80 PCS</v>
      </c>
      <c r="AU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V102" s="38" t="e">
        <f ca="1">IF(NOTA[[#This Row],[ID_H]]="","",MATCH(NOTA[[#This Row],[NB NOTA_C_QTY]],[4]!db[NB NOTA_C_QTY+F],0))</f>
        <v>#REF!</v>
      </c>
      <c r="AW102" s="53">
        <f ca="1">IF(NOTA[[#This Row],[NB NOTA_C_QTY]]="","",ROW()-2)</f>
        <v>100</v>
      </c>
    </row>
    <row r="103" spans="1:49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15</v>
      </c>
      <c r="E103" s="46"/>
      <c r="F103" s="37"/>
      <c r="G103" s="37"/>
      <c r="H103" s="47"/>
      <c r="I103" s="37"/>
      <c r="J103" s="39"/>
      <c r="K103" s="37"/>
      <c r="L103" s="37" t="s">
        <v>114</v>
      </c>
      <c r="M103" s="40">
        <v>3</v>
      </c>
      <c r="O103" s="37"/>
      <c r="P103" s="41"/>
      <c r="Q103" s="42">
        <v>462000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1386000</v>
      </c>
      <c r="Y103" s="50">
        <f>IF(NOTA[[#This Row],[JUMLAH]]="","",NOTA[[#This Row],[JUMLAH]]*NOTA[[#This Row],[DISC 1]])</f>
        <v>235620.00000000003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235620.00000000003</v>
      </c>
      <c r="AC103" s="50">
        <f>IF(NOTA[[#This Row],[JUMLAH]]="","",NOTA[[#This Row],[JUMLAH]]-NOTA[[#This Row],[DISC]])</f>
        <v>1150380</v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3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G103" s="50" t="str">
        <f>IF(OR(NOTA[[#This Row],[QTY]]="",NOTA[[#This Row],[HARGA SATUAN]]="",),"",NOTA[[#This Row],[QTY]]*NOTA[[#This Row],[HARGA SATUAN]])</f>
        <v/>
      </c>
      <c r="AH103" s="39">
        <f ca="1">IF(NOTA[ID_H]="","",INDEX(NOTA[TANGGAL],MATCH(,INDIRECT(ADDRESS(ROW(NOTA[TANGGAL]),COLUMN(NOTA[TANGGAL]))&amp;":"&amp;ADDRESS(ROW(),COLUMN(NOTA[TANGGAL]))),-1)))</f>
        <v>45178</v>
      </c>
      <c r="AI103" s="41" t="str">
        <f ca="1">IF(NOTA[[#This Row],[NAMA BARANG]]="","",INDEX(NOTA[SUPPLIER],MATCH(,INDIRECT(ADDRESS(ROW(NOTA[ID]),COLUMN(NOTA[ID]))&amp;":"&amp;ADDRESS(ROW(),COLUMN(NOTA[ID]))),-1)))</f>
        <v>KENKO SINAR INDONESIA</v>
      </c>
      <c r="AJ103" s="41" t="str">
        <f ca="1">IF(NOTA[[#This Row],[ID_H]]="","",IF(NOTA[[#This Row],[FAKTUR]]="",INDIRECT(ADDRESS(ROW()-1,COLUMN())),NOTA[[#This Row],[FAKTUR]]))</f>
        <v>ARTO MORO</v>
      </c>
      <c r="AK103" s="38" t="str">
        <f ca="1">IF(NOTA[[#This Row],[ID]]="","",COUNTIF(NOTA[ID_H],NOTA[[#This Row],[ID_H]]))</f>
        <v/>
      </c>
      <c r="AL103" s="38">
        <f ca="1">IF(NOTA[[#This Row],[TGL.NOTA]]="",IF(NOTA[[#This Row],[SUPPLIER_H]]="","",AL102),MONTH(NOTA[[#This Row],[TGL.NOTA]]))</f>
        <v>9</v>
      </c>
      <c r="AM103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38" t="str">
        <f>IF(NOTA[[#This Row],[CONCAT4]]="","",_xlfn.IFNA(MATCH(NOTA[[#This Row],[CONCAT4]],[2]!RAW[CONCAT_H],0),FALSE))</f>
        <v/>
      </c>
      <c r="AR103" s="38">
        <f>IF(NOTA[[#This Row],[CONCAT1]]="","",MATCH(NOTA[[#This Row],[CONCAT1]],[3]!db[NB NOTA_C],0))</f>
        <v>1575</v>
      </c>
      <c r="AS103" s="38" t="str">
        <f>IF(NOTA[[#This Row],[QTY/ CTN]]="","",TRUE)</f>
        <v/>
      </c>
      <c r="AT103" s="38" t="str">
        <f ca="1">IF(NOTA[[#This Row],[ID_H]]="","",IF(NOTA[[#This Row],[Column3]]=TRUE,NOTA[[#This Row],[QTY/ CTN]],INDEX([3]!db[QTY/ CTN],NOTA[[#This Row],[//DB]])))</f>
        <v>24 PCS</v>
      </c>
      <c r="AU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V103" s="38" t="e">
        <f ca="1">IF(NOTA[[#This Row],[ID_H]]="","",MATCH(NOTA[[#This Row],[NB NOTA_C_QTY]],[4]!db[NB NOTA_C_QTY+F],0))</f>
        <v>#REF!</v>
      </c>
      <c r="AW103" s="53">
        <f ca="1">IF(NOTA[[#This Row],[NB NOTA_C_QTY]]="","",ROW()-2)</f>
        <v>101</v>
      </c>
    </row>
    <row r="104" spans="1:49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15</v>
      </c>
      <c r="E104" s="46"/>
      <c r="F104" s="37"/>
      <c r="G104" s="37"/>
      <c r="H104" s="47"/>
      <c r="I104" s="37"/>
      <c r="J104" s="39"/>
      <c r="K104" s="37"/>
      <c r="L104" s="37" t="s">
        <v>167</v>
      </c>
      <c r="M104" s="40">
        <v>2</v>
      </c>
      <c r="O104" s="37"/>
      <c r="P104" s="41"/>
      <c r="Q104" s="42">
        <v>3888000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7776000</v>
      </c>
      <c r="Y104" s="50">
        <f>IF(NOTA[[#This Row],[JUMLAH]]="","",NOTA[[#This Row],[JUMLAH]]*NOTA[[#This Row],[DISC 1]])</f>
        <v>1321920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1321920</v>
      </c>
      <c r="AC104" s="50">
        <f>IF(NOTA[[#This Row],[JUMLAH]]="","",NOTA[[#This Row],[JUMLAH]]-NOTA[[#This Row],[DISC]])</f>
        <v>6454080</v>
      </c>
      <c r="AD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5720976</v>
      </c>
      <c r="AE1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27931824</v>
      </c>
      <c r="AF10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104" s="50" t="str">
        <f>IF(OR(NOTA[[#This Row],[QTY]]="",NOTA[[#This Row],[HARGA SATUAN]]="",),"",NOTA[[#This Row],[QTY]]*NOTA[[#This Row],[HARGA SATUAN]])</f>
        <v/>
      </c>
      <c r="AH104" s="39">
        <f ca="1">IF(NOTA[ID_H]="","",INDEX(NOTA[TANGGAL],MATCH(,INDIRECT(ADDRESS(ROW(NOTA[TANGGAL]),COLUMN(NOTA[TANGGAL]))&amp;":"&amp;ADDRESS(ROW(),COLUMN(NOTA[TANGGAL]))),-1)))</f>
        <v>45178</v>
      </c>
      <c r="AI104" s="41" t="str">
        <f ca="1">IF(NOTA[[#This Row],[NAMA BARANG]]="","",INDEX(NOTA[SUPPLIER],MATCH(,INDIRECT(ADDRESS(ROW(NOTA[ID]),COLUMN(NOTA[ID]))&amp;":"&amp;ADDRESS(ROW(),COLUMN(NOTA[ID]))),-1)))</f>
        <v>KENKO SINAR INDONESIA</v>
      </c>
      <c r="AJ104" s="41" t="str">
        <f ca="1">IF(NOTA[[#This Row],[ID_H]]="","",IF(NOTA[[#This Row],[FAKTUR]]="",INDIRECT(ADDRESS(ROW()-1,COLUMN())),NOTA[[#This Row],[FAKTUR]]))</f>
        <v>ARTO MORO</v>
      </c>
      <c r="AK104" s="38" t="str">
        <f ca="1">IF(NOTA[[#This Row],[ID]]="","",COUNTIF(NOTA[ID_H],NOTA[[#This Row],[ID_H]]))</f>
        <v/>
      </c>
      <c r="AL104" s="38">
        <f ca="1">IF(NOTA[[#This Row],[TGL.NOTA]]="",IF(NOTA[[#This Row],[SUPPLIER_H]]="","",AL103),MONTH(NOTA[[#This Row],[TGL.NOTA]]))</f>
        <v>9</v>
      </c>
      <c r="AM10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4" s="38" t="str">
        <f>IF(NOTA[[#This Row],[CONCAT4]]="","",_xlfn.IFNA(MATCH(NOTA[[#This Row],[CONCAT4]],[2]!RAW[CONCAT_H],0),FALSE))</f>
        <v/>
      </c>
      <c r="AR104" s="38">
        <f>IF(NOTA[[#This Row],[CONCAT1]]="","",MATCH(NOTA[[#This Row],[CONCAT1]],[3]!db[NB NOTA_C],0))</f>
        <v>1382</v>
      </c>
      <c r="AS104" s="38" t="str">
        <f>IF(NOTA[[#This Row],[QTY/ CTN]]="","",TRUE)</f>
        <v/>
      </c>
      <c r="AT104" s="38" t="str">
        <f ca="1">IF(NOTA[[#This Row],[ID_H]]="","",IF(NOTA[[#This Row],[Column3]]=TRUE,NOTA[[#This Row],[QTY/ CTN]],INDEX([3]!db[QTY/ CTN],NOTA[[#This Row],[//DB]])))</f>
        <v>60 LSN</v>
      </c>
      <c r="AU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V104" s="38" t="e">
        <f ca="1">IF(NOTA[[#This Row],[ID_H]]="","",MATCH(NOTA[[#This Row],[NB NOTA_C_QTY]],[4]!db[NB NOTA_C_QTY+F],0))</f>
        <v>#REF!</v>
      </c>
      <c r="AW104" s="53">
        <f ca="1">IF(NOTA[[#This Row],[NB NOTA_C_QTY]]="","",ROW()-2)</f>
        <v>102</v>
      </c>
    </row>
    <row r="105" spans="1:49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05" s="50" t="str">
        <f>IF(OR(NOTA[[#This Row],[QTY]]="",NOTA[[#This Row],[HARGA SATUAN]]="",),"",NOTA[[#This Row],[QTY]]*NOTA[[#This Row],[HARGA SATUAN]])</f>
        <v/>
      </c>
      <c r="AH105" s="39" t="str">
        <f ca="1">IF(NOTA[ID_H]="","",INDEX(NOTA[TANGGAL],MATCH(,INDIRECT(ADDRESS(ROW(NOTA[TANGGAL]),COLUMN(NOTA[TANGGAL]))&amp;":"&amp;ADDRESS(ROW(),COLUMN(NOTA[TANGGAL]))),-1)))</f>
        <v/>
      </c>
      <c r="AI105" s="41" t="str">
        <f ca="1">IF(NOTA[[#This Row],[NAMA BARANG]]="","",INDEX(NOTA[SUPPLIER],MATCH(,INDIRECT(ADDRESS(ROW(NOTA[ID]),COLUMN(NOTA[ID]))&amp;":"&amp;ADDRESS(ROW(),COLUMN(NOTA[ID]))),-1)))</f>
        <v/>
      </c>
      <c r="AJ105" s="41" t="str">
        <f ca="1">IF(NOTA[[#This Row],[ID_H]]="","",IF(NOTA[[#This Row],[FAKTUR]]="",INDIRECT(ADDRESS(ROW()-1,COLUMN())),NOTA[[#This Row],[FAKTUR]]))</f>
        <v/>
      </c>
      <c r="AK105" s="38" t="str">
        <f ca="1">IF(NOTA[[#This Row],[ID]]="","",COUNTIF(NOTA[ID_H],NOTA[[#This Row],[ID_H]]))</f>
        <v/>
      </c>
      <c r="AL105" s="38" t="str">
        <f ca="1">IF(NOTA[[#This Row],[TGL.NOTA]]="",IF(NOTA[[#This Row],[SUPPLIER_H]]="","",AL104),MONTH(NOTA[[#This Row],[TGL.NOTA]]))</f>
        <v/>
      </c>
      <c r="AM105" s="38" t="str">
        <f>LOWER(SUBSTITUTE(SUBSTITUTE(SUBSTITUTE(SUBSTITUTE(SUBSTITUTE(SUBSTITUTE(SUBSTITUTE(SUBSTITUTE(SUBSTITUTE(NOTA[NAMA BARANG]," ",),".",""),"-",""),"(",""),")",""),",",""),"/",""),"""",""),"+",""))</f>
        <v/>
      </c>
      <c r="AN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38" t="str">
        <f>IF(NOTA[[#This Row],[CONCAT4]]="","",_xlfn.IFNA(MATCH(NOTA[[#This Row],[CONCAT4]],[2]!RAW[CONCAT_H],0),FALSE))</f>
        <v/>
      </c>
      <c r="AR105" s="38" t="str">
        <f>IF(NOTA[[#This Row],[CONCAT1]]="","",MATCH(NOTA[[#This Row],[CONCAT1]],[3]!db[NB NOTA_C],0))</f>
        <v/>
      </c>
      <c r="AS105" s="38" t="str">
        <f>IF(NOTA[[#This Row],[QTY/ CTN]]="","",TRUE)</f>
        <v/>
      </c>
      <c r="AT105" s="38" t="str">
        <f ca="1">IF(NOTA[[#This Row],[ID_H]]="","",IF(NOTA[[#This Row],[Column3]]=TRUE,NOTA[[#This Row],[QTY/ CTN]],INDEX([3]!db[QTY/ CTN],NOTA[[#This Row],[//DB]])))</f>
        <v/>
      </c>
      <c r="AU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05" s="38" t="str">
        <f ca="1">IF(NOTA[[#This Row],[ID_H]]="","",MATCH(NOTA[[#This Row],[NB NOTA_C_QTY]],[4]!db[NB NOTA_C_QTY+F],0))</f>
        <v/>
      </c>
      <c r="AW105" s="53" t="str">
        <f ca="1">IF(NOTA[[#This Row],[NB NOTA_C_QTY]]="","",ROW()-2)</f>
        <v/>
      </c>
    </row>
    <row r="106" spans="1:49" s="38" customFormat="1" ht="20.100000000000001" customHeight="1" x14ac:dyDescent="0.25">
      <c r="A106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ATA_0909_860-2</v>
      </c>
      <c r="C106" s="38" t="e">
        <f ca="1">IF(NOTA[[#This Row],[ID_P]]="","",MATCH(NOTA[[#This Row],[ID_P]],[1]!B_MSK[N_ID],0))</f>
        <v>#REF!</v>
      </c>
      <c r="D106" s="38">
        <f ca="1">IF(NOTA[[#This Row],[NAMA BARANG]]="","",INDEX(NOTA[ID],MATCH(,INDIRECT(ADDRESS(ROW(NOTA[ID]),COLUMN(NOTA[ID]))&amp;":"&amp;ADDRESS(ROW(),COLUMN(NOTA[ID]))),-1)))</f>
        <v>16</v>
      </c>
      <c r="E106" s="46">
        <v>45178</v>
      </c>
      <c r="F106" s="37" t="s">
        <v>24</v>
      </c>
      <c r="G106" s="37" t="s">
        <v>23</v>
      </c>
      <c r="H106" s="47" t="s">
        <v>207</v>
      </c>
      <c r="I106" s="37"/>
      <c r="J106" s="39">
        <v>45175</v>
      </c>
      <c r="K106" s="37"/>
      <c r="L106" s="37" t="s">
        <v>208</v>
      </c>
      <c r="M106" s="40">
        <v>2</v>
      </c>
      <c r="N106" s="38">
        <v>288</v>
      </c>
      <c r="O106" s="37" t="s">
        <v>132</v>
      </c>
      <c r="P106" s="41">
        <v>23900</v>
      </c>
      <c r="Q106" s="42"/>
      <c r="R106" s="48" t="s">
        <v>215</v>
      </c>
      <c r="S106" s="49">
        <v>0.125</v>
      </c>
      <c r="T106" s="44">
        <v>0.05</v>
      </c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6883200</v>
      </c>
      <c r="Y106" s="50">
        <f>IF(NOTA[[#This Row],[JUMLAH]]="","",NOTA[[#This Row],[JUMLAH]]*NOTA[[#This Row],[DISC 1]])</f>
        <v>860400</v>
      </c>
      <c r="Z106" s="50">
        <f>IF(NOTA[[#This Row],[JUMLAH]]="","",(NOTA[[#This Row],[JUMLAH]]-NOTA[[#This Row],[DISC 1-]])*NOTA[[#This Row],[DISC 2]])</f>
        <v>301140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1161540</v>
      </c>
      <c r="AC106" s="50">
        <f>IF(NOTA[[#This Row],[JUMLAH]]="","",NOTA[[#This Row],[JUMLAH]]-NOTA[[#This Row],[DISC]])</f>
        <v>5721660</v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6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G106" s="50">
        <f>IF(OR(NOTA[[#This Row],[QTY]]="",NOTA[[#This Row],[HARGA SATUAN]]="",),"",NOTA[[#This Row],[QTY]]*NOTA[[#This Row],[HARGA SATUAN]])</f>
        <v>6883200</v>
      </c>
      <c r="AH106" s="39">
        <f ca="1">IF(NOTA[ID_H]="","",INDEX(NOTA[TANGGAL],MATCH(,INDIRECT(ADDRESS(ROW(NOTA[TANGGAL]),COLUMN(NOTA[TANGGAL]))&amp;":"&amp;ADDRESS(ROW(),COLUMN(NOTA[TANGGAL]))),-1)))</f>
        <v>45178</v>
      </c>
      <c r="AI106" s="41" t="str">
        <f ca="1">IF(NOTA[[#This Row],[NAMA BARANG]]="","",INDEX(NOTA[SUPPLIER],MATCH(,INDIRECT(ADDRESS(ROW(NOTA[ID]),COLUMN(NOTA[ID]))&amp;":"&amp;ADDRESS(ROW(),COLUMN(NOTA[ID]))),-1)))</f>
        <v>ATALI MAKMUR</v>
      </c>
      <c r="AJ106" s="41" t="str">
        <f ca="1">IF(NOTA[[#This Row],[ID_H]]="","",IF(NOTA[[#This Row],[FAKTUR]]="",INDIRECT(ADDRESS(ROW()-1,COLUMN())),NOTA[[#This Row],[FAKTUR]]))</f>
        <v>ARTO MORO</v>
      </c>
      <c r="AK106" s="38">
        <f ca="1">IF(NOTA[[#This Row],[ID]]="","",COUNTIF(NOTA[ID_H],NOTA[[#This Row],[ID_H]]))</f>
        <v>2</v>
      </c>
      <c r="AL106" s="38">
        <f>IF(NOTA[[#This Row],[TGL.NOTA]]="",IF(NOTA[[#This Row],[SUPPLIER_H]]="","",AL105),MONTH(NOTA[[#This Row],[TGL.NOTA]]))</f>
        <v>9</v>
      </c>
      <c r="AM106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10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MOROSA23091586045175crayonputartwcr12sjk</v>
      </c>
      <c r="AQ106" s="38" t="e">
        <f>IF(NOTA[[#This Row],[CONCAT4]]="","",_xlfn.IFNA(MATCH(NOTA[[#This Row],[CONCAT4]],[2]!RAW[CONCAT_H],0),FALSE))</f>
        <v>#REF!</v>
      </c>
      <c r="AR106" s="38">
        <f>IF(NOTA[[#This Row],[CONCAT1]]="","",MATCH(NOTA[[#This Row],[CONCAT1]],[3]!db[NB NOTA_C],0))</f>
        <v>669</v>
      </c>
      <c r="AS106" s="38" t="b">
        <f>IF(NOTA[[#This Row],[QTY/ CTN]]="","",TRUE)</f>
        <v>1</v>
      </c>
      <c r="AT106" s="38" t="str">
        <f ca="1">IF(NOTA[[#This Row],[ID_H]]="","",IF(NOTA[[#This Row],[Column3]]=TRUE,NOTA[[#This Row],[QTY/ CTN]],INDEX([3]!db[QTY/ CTN],NOTA[[#This Row],[//DB]])))</f>
        <v>12 LSN</v>
      </c>
      <c r="AU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V106" s="38" t="e">
        <f ca="1">IF(NOTA[[#This Row],[ID_H]]="","",MATCH(NOTA[[#This Row],[NB NOTA_C_QTY]],[4]!db[NB NOTA_C_QTY+F],0))</f>
        <v>#REF!</v>
      </c>
      <c r="AW106" s="53">
        <f ca="1">IF(NOTA[[#This Row],[NB NOTA_C_QTY]]="","",ROW()-2)</f>
        <v>104</v>
      </c>
    </row>
    <row r="107" spans="1:49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16</v>
      </c>
      <c r="E107" s="46"/>
      <c r="F107" s="37"/>
      <c r="G107" s="37"/>
      <c r="H107" s="47"/>
      <c r="I107" s="37"/>
      <c r="J107" s="39"/>
      <c r="K107" s="37"/>
      <c r="L107" s="37" t="s">
        <v>209</v>
      </c>
      <c r="M107" s="40">
        <v>2</v>
      </c>
      <c r="N107" s="38">
        <v>288</v>
      </c>
      <c r="O107" s="37" t="s">
        <v>132</v>
      </c>
      <c r="P107" s="41">
        <v>18600</v>
      </c>
      <c r="Q107" s="42"/>
      <c r="R107" s="48" t="s">
        <v>215</v>
      </c>
      <c r="S107" s="49">
        <v>0.125</v>
      </c>
      <c r="T107" s="44">
        <v>0.05</v>
      </c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5356800</v>
      </c>
      <c r="Y107" s="50">
        <f>IF(NOTA[[#This Row],[JUMLAH]]="","",NOTA[[#This Row],[JUMLAH]]*NOTA[[#This Row],[DISC 1]])</f>
        <v>669600</v>
      </c>
      <c r="Z107" s="50">
        <f>IF(NOTA[[#This Row],[JUMLAH]]="","",(NOTA[[#This Row],[JUMLAH]]-NOTA[[#This Row],[DISC 1-]])*NOTA[[#This Row],[DISC 2]])</f>
        <v>234360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903960</v>
      </c>
      <c r="AC107" s="50">
        <f>IF(NOTA[[#This Row],[JUMLAH]]="","",NOTA[[#This Row],[JUMLAH]]-NOTA[[#This Row],[DISC]])</f>
        <v>4452840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2065500</v>
      </c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10174500</v>
      </c>
      <c r="AF10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G107" s="50">
        <f>IF(OR(NOTA[[#This Row],[QTY]]="",NOTA[[#This Row],[HARGA SATUAN]]="",),"",NOTA[[#This Row],[QTY]]*NOTA[[#This Row],[HARGA SATUAN]])</f>
        <v>5356800</v>
      </c>
      <c r="AH107" s="39">
        <f ca="1">IF(NOTA[ID_H]="","",INDEX(NOTA[TANGGAL],MATCH(,INDIRECT(ADDRESS(ROW(NOTA[TANGGAL]),COLUMN(NOTA[TANGGAL]))&amp;":"&amp;ADDRESS(ROW(),COLUMN(NOTA[TANGGAL]))),-1)))</f>
        <v>45178</v>
      </c>
      <c r="AI107" s="41" t="str">
        <f ca="1">IF(NOTA[[#This Row],[NAMA BARANG]]="","",INDEX(NOTA[SUPPLIER],MATCH(,INDIRECT(ADDRESS(ROW(NOTA[ID]),COLUMN(NOTA[ID]))&amp;":"&amp;ADDRESS(ROW(),COLUMN(NOTA[ID]))),-1)))</f>
        <v>ATALI MAKMUR</v>
      </c>
      <c r="AJ107" s="41" t="str">
        <f ca="1">IF(NOTA[[#This Row],[ID_H]]="","",IF(NOTA[[#This Row],[FAKTUR]]="",INDIRECT(ADDRESS(ROW()-1,COLUMN())),NOTA[[#This Row],[FAKTUR]]))</f>
        <v>ARTO MORO</v>
      </c>
      <c r="AK107" s="38" t="str">
        <f ca="1">IF(NOTA[[#This Row],[ID]]="","",COUNTIF(NOTA[ID_H],NOTA[[#This Row],[ID_H]]))</f>
        <v/>
      </c>
      <c r="AL107" s="38">
        <f ca="1">IF(NOTA[[#This Row],[TGL.NOTA]]="",IF(NOTA[[#This Row],[SUPPLIER_H]]="","",AL106),MONTH(NOTA[[#This Row],[TGL.NOTA]]))</f>
        <v>9</v>
      </c>
      <c r="AM10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38" t="str">
        <f>IF(NOTA[[#This Row],[CONCAT4]]="","",_xlfn.IFNA(MATCH(NOTA[[#This Row],[CONCAT4]],[2]!RAW[CONCAT_H],0),FALSE))</f>
        <v/>
      </c>
      <c r="AR107" s="38">
        <f>IF(NOTA[[#This Row],[CONCAT1]]="","",MATCH(NOTA[[#This Row],[CONCAT1]],[3]!db[NB NOTA_C],0))</f>
        <v>668</v>
      </c>
      <c r="AS107" s="38" t="b">
        <f>IF(NOTA[[#This Row],[QTY/ CTN]]="","",TRUE)</f>
        <v>1</v>
      </c>
      <c r="AT107" s="38" t="str">
        <f ca="1">IF(NOTA[[#This Row],[ID_H]]="","",IF(NOTA[[#This Row],[Column3]]=TRUE,NOTA[[#This Row],[QTY/ CTN]],INDEX([3]!db[QTY/ CTN],NOTA[[#This Row],[//DB]])))</f>
        <v>12 LSN</v>
      </c>
      <c r="AU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V107" s="38" t="e">
        <f ca="1">IF(NOTA[[#This Row],[ID_H]]="","",MATCH(NOTA[[#This Row],[NB NOTA_C_QTY]],[4]!db[NB NOTA_C_QTY+F],0))</f>
        <v>#REF!</v>
      </c>
      <c r="AW107" s="53">
        <f ca="1">IF(NOTA[[#This Row],[NB NOTA_C_QTY]]="","",ROW()-2)</f>
        <v>105</v>
      </c>
    </row>
    <row r="108" spans="1:49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08" s="50" t="str">
        <f>IF(OR(NOTA[[#This Row],[QTY]]="",NOTA[[#This Row],[HARGA SATUAN]]="",),"",NOTA[[#This Row],[QTY]]*NOTA[[#This Row],[HARGA SATUAN]])</f>
        <v/>
      </c>
      <c r="AH108" s="39" t="str">
        <f ca="1">IF(NOTA[ID_H]="","",INDEX(NOTA[TANGGAL],MATCH(,INDIRECT(ADDRESS(ROW(NOTA[TANGGAL]),COLUMN(NOTA[TANGGAL]))&amp;":"&amp;ADDRESS(ROW(),COLUMN(NOTA[TANGGAL]))),-1)))</f>
        <v/>
      </c>
      <c r="AI108" s="41" t="str">
        <f ca="1">IF(NOTA[[#This Row],[NAMA BARANG]]="","",INDEX(NOTA[SUPPLIER],MATCH(,INDIRECT(ADDRESS(ROW(NOTA[ID]),COLUMN(NOTA[ID]))&amp;":"&amp;ADDRESS(ROW(),COLUMN(NOTA[ID]))),-1)))</f>
        <v/>
      </c>
      <c r="AJ108" s="41" t="str">
        <f ca="1">IF(NOTA[[#This Row],[ID_H]]="","",IF(NOTA[[#This Row],[FAKTUR]]="",INDIRECT(ADDRESS(ROW()-1,COLUMN())),NOTA[[#This Row],[FAKTUR]]))</f>
        <v/>
      </c>
      <c r="AK108" s="38" t="str">
        <f ca="1">IF(NOTA[[#This Row],[ID]]="","",COUNTIF(NOTA[ID_H],NOTA[[#This Row],[ID_H]]))</f>
        <v/>
      </c>
      <c r="AL108" s="38" t="str">
        <f ca="1">IF(NOTA[[#This Row],[TGL.NOTA]]="",IF(NOTA[[#This Row],[SUPPLIER_H]]="","",AL107),MONTH(NOTA[[#This Row],[TGL.NOTA]]))</f>
        <v/>
      </c>
      <c r="AM108" s="38" t="str">
        <f>LOWER(SUBSTITUTE(SUBSTITUTE(SUBSTITUTE(SUBSTITUTE(SUBSTITUTE(SUBSTITUTE(SUBSTITUTE(SUBSTITUTE(SUBSTITUTE(NOTA[NAMA BARANG]," ",),".",""),"-",""),"(",""),")",""),",",""),"/",""),"""",""),"+",""))</f>
        <v/>
      </c>
      <c r="AN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38" t="str">
        <f>IF(NOTA[[#This Row],[CONCAT4]]="","",_xlfn.IFNA(MATCH(NOTA[[#This Row],[CONCAT4]],[2]!RAW[CONCAT_H],0),FALSE))</f>
        <v/>
      </c>
      <c r="AR108" s="38" t="str">
        <f>IF(NOTA[[#This Row],[CONCAT1]]="","",MATCH(NOTA[[#This Row],[CONCAT1]],[3]!db[NB NOTA_C],0))</f>
        <v/>
      </c>
      <c r="AS108" s="38" t="str">
        <f>IF(NOTA[[#This Row],[QTY/ CTN]]="","",TRUE)</f>
        <v/>
      </c>
      <c r="AT108" s="38" t="str">
        <f ca="1">IF(NOTA[[#This Row],[ID_H]]="","",IF(NOTA[[#This Row],[Column3]]=TRUE,NOTA[[#This Row],[QTY/ CTN]],INDEX([3]!db[QTY/ CTN],NOTA[[#This Row],[//DB]])))</f>
        <v/>
      </c>
      <c r="AU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08" s="38" t="str">
        <f ca="1">IF(NOTA[[#This Row],[ID_H]]="","",MATCH(NOTA[[#This Row],[NB NOTA_C_QTY]],[4]!db[NB NOTA_C_QTY+F],0))</f>
        <v/>
      </c>
      <c r="AW108" s="53" t="str">
        <f ca="1">IF(NOTA[[#This Row],[NB NOTA_C_QTY]]="","",ROW()-2)</f>
        <v/>
      </c>
    </row>
    <row r="109" spans="1:49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ATA_0909_846-4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17</v>
      </c>
      <c r="E109" s="46">
        <v>45178</v>
      </c>
      <c r="F109" s="37" t="s">
        <v>24</v>
      </c>
      <c r="G109" s="37" t="s">
        <v>23</v>
      </c>
      <c r="H109" s="47" t="s">
        <v>210</v>
      </c>
      <c r="I109" s="37"/>
      <c r="J109" s="39">
        <v>45174</v>
      </c>
      <c r="K109" s="37"/>
      <c r="L109" s="37" t="s">
        <v>211</v>
      </c>
      <c r="M109" s="40">
        <v>2</v>
      </c>
      <c r="N109" s="38">
        <v>10</v>
      </c>
      <c r="O109" s="37" t="s">
        <v>212</v>
      </c>
      <c r="P109" s="41">
        <v>177000</v>
      </c>
      <c r="Q109" s="42"/>
      <c r="R109" s="48" t="s">
        <v>213</v>
      </c>
      <c r="S109" s="49">
        <v>0.125</v>
      </c>
      <c r="T109" s="44">
        <v>0.05</v>
      </c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1770000</v>
      </c>
      <c r="Y109" s="50">
        <f>IF(NOTA[[#This Row],[JUMLAH]]="","",NOTA[[#This Row],[JUMLAH]]*NOTA[[#This Row],[DISC 1]])</f>
        <v>221250</v>
      </c>
      <c r="Z109" s="50">
        <f>IF(NOTA[[#This Row],[JUMLAH]]="","",(NOTA[[#This Row],[JUMLAH]]-NOTA[[#This Row],[DISC 1-]])*NOTA[[#This Row],[DISC 2]])</f>
        <v>77437.5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298687.5</v>
      </c>
      <c r="AC109" s="50">
        <f>IF(NOTA[[#This Row],[JUMLAH]]="","",NOTA[[#This Row],[JUMLAH]]-NOTA[[#This Row],[DISC]])</f>
        <v>1471312.5</v>
      </c>
      <c r="AD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09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109" s="50">
        <f>IF(OR(NOTA[[#This Row],[QTY]]="",NOTA[[#This Row],[HARGA SATUAN]]="",),"",NOTA[[#This Row],[QTY]]*NOTA[[#This Row],[HARGA SATUAN]])</f>
        <v>1770000</v>
      </c>
      <c r="AH109" s="39">
        <f ca="1">IF(NOTA[ID_H]="","",INDEX(NOTA[TANGGAL],MATCH(,INDIRECT(ADDRESS(ROW(NOTA[TANGGAL]),COLUMN(NOTA[TANGGAL]))&amp;":"&amp;ADDRESS(ROW(),COLUMN(NOTA[TANGGAL]))),-1)))</f>
        <v>45178</v>
      </c>
      <c r="AI109" s="41" t="str">
        <f ca="1">IF(NOTA[[#This Row],[NAMA BARANG]]="","",INDEX(NOTA[SUPPLIER],MATCH(,INDIRECT(ADDRESS(ROW(NOTA[ID]),COLUMN(NOTA[ID]))&amp;":"&amp;ADDRESS(ROW(),COLUMN(NOTA[ID]))),-1)))</f>
        <v>ATALI MAKMUR</v>
      </c>
      <c r="AJ109" s="41" t="str">
        <f ca="1">IF(NOTA[[#This Row],[ID_H]]="","",IF(NOTA[[#This Row],[FAKTUR]]="",INDIRECT(ADDRESS(ROW()-1,COLUMN())),NOTA[[#This Row],[FAKTUR]]))</f>
        <v>ARTO MORO</v>
      </c>
      <c r="AK109" s="38">
        <f ca="1">IF(NOTA[[#This Row],[ID]]="","",COUNTIF(NOTA[ID_H],NOTA[[#This Row],[ID_H]]))</f>
        <v>4</v>
      </c>
      <c r="AL109" s="38">
        <f>IF(NOTA[[#This Row],[TGL.NOTA]]="",IF(NOTA[[#This Row],[SUPPLIER_H]]="","",AL108),MONTH(NOTA[[#This Row],[TGL.NOTA]]))</f>
        <v>9</v>
      </c>
      <c r="AM109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N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1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MOROSA23091584645174binderclip260jk</v>
      </c>
      <c r="AQ109" s="38" t="e">
        <f>IF(NOTA[[#This Row],[CONCAT4]]="","",_xlfn.IFNA(MATCH(NOTA[[#This Row],[CONCAT4]],[2]!RAW[CONCAT_H],0),FALSE))</f>
        <v>#REF!</v>
      </c>
      <c r="AR109" s="38">
        <f>IF(NOTA[[#This Row],[CONCAT1]]="","",MATCH(NOTA[[#This Row],[CONCAT1]],[3]!db[NB NOTA_C],0))</f>
        <v>252</v>
      </c>
      <c r="AS109" s="38" t="b">
        <f>IF(NOTA[[#This Row],[QTY/ CTN]]="","",TRUE)</f>
        <v>1</v>
      </c>
      <c r="AT109" s="38" t="str">
        <f ca="1">IF(NOTA[[#This Row],[ID_H]]="","",IF(NOTA[[#This Row],[Column3]]=TRUE,NOTA[[#This Row],[QTY/ CTN]],INDEX([3]!db[QTY/ CTN],NOTA[[#This Row],[//DB]])))</f>
        <v>5 GRS</v>
      </c>
      <c r="AU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V109" s="38" t="e">
        <f ca="1">IF(NOTA[[#This Row],[ID_H]]="","",MATCH(NOTA[[#This Row],[NB NOTA_C_QTY]],[4]!db[NB NOTA_C_QTY+F],0))</f>
        <v>#REF!</v>
      </c>
      <c r="AW109" s="53">
        <f ca="1">IF(NOTA[[#This Row],[NB NOTA_C_QTY]]="","",ROW()-2)</f>
        <v>107</v>
      </c>
    </row>
    <row r="110" spans="1:49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>
        <f ca="1">IF(NOTA[[#This Row],[NAMA BARANG]]="","",INDEX(NOTA[ID],MATCH(,INDIRECT(ADDRESS(ROW(NOTA[ID]),COLUMN(NOTA[ID]))&amp;":"&amp;ADDRESS(ROW(),COLUMN(NOTA[ID]))),-1)))</f>
        <v>17</v>
      </c>
      <c r="E110" s="46"/>
      <c r="F110" s="37"/>
      <c r="G110" s="37"/>
      <c r="H110" s="47"/>
      <c r="I110" s="37"/>
      <c r="J110" s="39"/>
      <c r="K110" s="37"/>
      <c r="L110" s="37" t="s">
        <v>214</v>
      </c>
      <c r="M110" s="40"/>
      <c r="N110" s="38">
        <v>12</v>
      </c>
      <c r="O110" s="37" t="s">
        <v>138</v>
      </c>
      <c r="P110" s="41">
        <v>13200</v>
      </c>
      <c r="Q110" s="42"/>
      <c r="R110" s="48" t="s">
        <v>216</v>
      </c>
      <c r="S110" s="49">
        <v>0.1</v>
      </c>
      <c r="T110" s="44">
        <v>0.05</v>
      </c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158400</v>
      </c>
      <c r="Y110" s="50">
        <f>IF(NOTA[[#This Row],[JUMLAH]]="","",NOTA[[#This Row],[JUMLAH]]*NOTA[[#This Row],[DISC 1]])</f>
        <v>15840</v>
      </c>
      <c r="Z110" s="50">
        <f>IF(NOTA[[#This Row],[JUMLAH]]="","",(NOTA[[#This Row],[JUMLAH]]-NOTA[[#This Row],[DISC 1-]])*NOTA[[#This Row],[DISC 2]])</f>
        <v>7128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22968</v>
      </c>
      <c r="AC110" s="50">
        <f>IF(NOTA[[#This Row],[JUMLAH]]="","",NOTA[[#This Row],[JUMLAH]]-NOTA[[#This Row],[DISC]])</f>
        <v>135432</v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110" s="50">
        <f>IF(OR(NOTA[[#This Row],[QTY]]="",NOTA[[#This Row],[HARGA SATUAN]]="",),"",NOTA[[#This Row],[QTY]]*NOTA[[#This Row],[HARGA SATUAN]])</f>
        <v>158400</v>
      </c>
      <c r="AH110" s="39">
        <f ca="1">IF(NOTA[ID_H]="","",INDEX(NOTA[TANGGAL],MATCH(,INDIRECT(ADDRESS(ROW(NOTA[TANGGAL]),COLUMN(NOTA[TANGGAL]))&amp;":"&amp;ADDRESS(ROW(),COLUMN(NOTA[TANGGAL]))),-1)))</f>
        <v>45178</v>
      </c>
      <c r="AI110" s="41" t="str">
        <f ca="1">IF(NOTA[[#This Row],[NAMA BARANG]]="","",INDEX(NOTA[SUPPLIER],MATCH(,INDIRECT(ADDRESS(ROW(NOTA[ID]),COLUMN(NOTA[ID]))&amp;":"&amp;ADDRESS(ROW(),COLUMN(NOTA[ID]))),-1)))</f>
        <v>ATALI MAKMUR</v>
      </c>
      <c r="AJ110" s="41" t="str">
        <f ca="1">IF(NOTA[[#This Row],[ID_H]]="","",IF(NOTA[[#This Row],[FAKTUR]]="",INDIRECT(ADDRESS(ROW()-1,COLUMN())),NOTA[[#This Row],[FAKTUR]]))</f>
        <v>ARTO MORO</v>
      </c>
      <c r="AK110" s="38" t="str">
        <f ca="1">IF(NOTA[[#This Row],[ID]]="","",COUNTIF(NOTA[ID_H],NOTA[[#This Row],[ID_H]]))</f>
        <v/>
      </c>
      <c r="AL110" s="38">
        <f ca="1">IF(NOTA[[#This Row],[TGL.NOTA]]="",IF(NOTA[[#This Row],[SUPPLIER_H]]="","",AL109),MONTH(NOTA[[#This Row],[TGL.NOTA]]))</f>
        <v>9</v>
      </c>
      <c r="AM11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38" t="str">
        <f>IF(NOTA[[#This Row],[CONCAT4]]="","",_xlfn.IFNA(MATCH(NOTA[[#This Row],[CONCAT4]],[2]!RAW[CONCAT_H],0),FALSE))</f>
        <v/>
      </c>
      <c r="AR110" s="38">
        <f>IF(NOTA[[#This Row],[CONCAT1]]="","",MATCH(NOTA[[#This Row],[CONCAT1]],[3]!db[NB NOTA_C],0))</f>
        <v>101</v>
      </c>
      <c r="AS110" s="38" t="b">
        <f>IF(NOTA[[#This Row],[QTY/ CTN]]="","",TRUE)</f>
        <v>1</v>
      </c>
      <c r="AT110" s="38" t="str">
        <f ca="1">IF(NOTA[[#This Row],[ID_H]]="","",IF(NOTA[[#This Row],[Column3]]=TRUE,NOTA[[#This Row],[QTY/ CTN]],INDEX([3]!db[QTY/ CTN],NOTA[[#This Row],[//DB]])))</f>
        <v>144 LSN</v>
      </c>
      <c r="AU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110" s="38" t="e">
        <f ca="1">IF(NOTA[[#This Row],[ID_H]]="","",MATCH(NOTA[[#This Row],[NB NOTA_C_QTY]],[4]!db[NB NOTA_C_QTY+F],0))</f>
        <v>#REF!</v>
      </c>
      <c r="AW110" s="53">
        <f ca="1">IF(NOTA[[#This Row],[NB NOTA_C_QTY]]="","",ROW()-2)</f>
        <v>108</v>
      </c>
    </row>
    <row r="111" spans="1:49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17</v>
      </c>
      <c r="E111" s="46"/>
      <c r="F111" s="37"/>
      <c r="G111" s="37"/>
      <c r="H111" s="47"/>
      <c r="I111" s="37"/>
      <c r="J111" s="39"/>
      <c r="K111" s="37"/>
      <c r="L111" s="37" t="s">
        <v>546</v>
      </c>
      <c r="M111" s="40">
        <v>1</v>
      </c>
      <c r="N111" s="38">
        <v>72</v>
      </c>
      <c r="O111" s="37" t="s">
        <v>126</v>
      </c>
      <c r="P111" s="41">
        <v>20700</v>
      </c>
      <c r="Q111" s="42"/>
      <c r="R111" s="48" t="s">
        <v>217</v>
      </c>
      <c r="S111" s="49">
        <v>0.125</v>
      </c>
      <c r="T111" s="44">
        <v>0.05</v>
      </c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1490400</v>
      </c>
      <c r="Y111" s="50">
        <f>IF(NOTA[[#This Row],[JUMLAH]]="","",NOTA[[#This Row],[JUMLAH]]*NOTA[[#This Row],[DISC 1]])</f>
        <v>186300</v>
      </c>
      <c r="Z111" s="50">
        <f>IF(NOTA[[#This Row],[JUMLAH]]="","",(NOTA[[#This Row],[JUMLAH]]-NOTA[[#This Row],[DISC 1-]])*NOTA[[#This Row],[DISC 2]])</f>
        <v>65205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251505</v>
      </c>
      <c r="AC111" s="50">
        <f>IF(NOTA[[#This Row],[JUMLAH]]="","",NOTA[[#This Row],[JUMLAH]]-NOTA[[#This Row],[DISC]])</f>
        <v>1238895</v>
      </c>
      <c r="AD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1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111" s="50">
        <f>IF(OR(NOTA[[#This Row],[QTY]]="",NOTA[[#This Row],[HARGA SATUAN]]="",),"",NOTA[[#This Row],[QTY]]*NOTA[[#This Row],[HARGA SATUAN]])</f>
        <v>1490400</v>
      </c>
      <c r="AH111" s="39">
        <f ca="1">IF(NOTA[ID_H]="","",INDEX(NOTA[TANGGAL],MATCH(,INDIRECT(ADDRESS(ROW(NOTA[TANGGAL]),COLUMN(NOTA[TANGGAL]))&amp;":"&amp;ADDRESS(ROW(),COLUMN(NOTA[TANGGAL]))),-1)))</f>
        <v>45178</v>
      </c>
      <c r="AI111" s="41" t="str">
        <f ca="1">IF(NOTA[[#This Row],[NAMA BARANG]]="","",INDEX(NOTA[SUPPLIER],MATCH(,INDIRECT(ADDRESS(ROW(NOTA[ID]),COLUMN(NOTA[ID]))&amp;":"&amp;ADDRESS(ROW(),COLUMN(NOTA[ID]))),-1)))</f>
        <v>ATALI MAKMUR</v>
      </c>
      <c r="AJ111" s="41" t="str">
        <f ca="1">IF(NOTA[[#This Row],[ID_H]]="","",IF(NOTA[[#This Row],[FAKTUR]]="",INDIRECT(ADDRESS(ROW()-1,COLUMN())),NOTA[[#This Row],[FAKTUR]]))</f>
        <v>ARTO MORO</v>
      </c>
      <c r="AK111" s="38" t="str">
        <f ca="1">IF(NOTA[[#This Row],[ID]]="","",COUNTIF(NOTA[ID_H],NOTA[[#This Row],[ID_H]]))</f>
        <v/>
      </c>
      <c r="AL111" s="38">
        <f ca="1">IF(NOTA[[#This Row],[TGL.NOTA]]="",IF(NOTA[[#This Row],[SUPPLIER_H]]="","",AL110),MONTH(NOTA[[#This Row],[TGL.NOTA]]))</f>
        <v>9</v>
      </c>
      <c r="AM111" s="38" t="str">
        <f>LOWER(SUBSTITUTE(SUBSTITUTE(SUBSTITUTE(SUBSTITUTE(SUBSTITUTE(SUBSTITUTE(SUBSTITUTE(SUBSTITUTE(SUBSTITUTE(NOTA[NAMA BARANG]," ",),".",""),"-",""),"(",""),")",""),",",""),"/",""),"""",""),"+",""))</f>
        <v>binderb5tsedm128educationjku</v>
      </c>
      <c r="AN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O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binderb5tsedm128educationjku14904000.1250.05</v>
      </c>
      <c r="AP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38" t="str">
        <f>IF(NOTA[[#This Row],[CONCAT4]]="","",_xlfn.IFNA(MATCH(NOTA[[#This Row],[CONCAT4]],[2]!RAW[CONCAT_H],0),FALSE))</f>
        <v/>
      </c>
      <c r="AR111" s="38">
        <f>IF(NOTA[[#This Row],[CONCAT1]]="","",MATCH(NOTA[[#This Row],[CONCAT1]],[3]!db[NB NOTA_C],0))</f>
        <v>233</v>
      </c>
      <c r="AS111" s="38" t="b">
        <f>IF(NOTA[[#This Row],[QTY/ CTN]]="","",TRUE)</f>
        <v>1</v>
      </c>
      <c r="AT111" s="38" t="str">
        <f ca="1">IF(NOTA[[#This Row],[ID_H]]="","",IF(NOTA[[#This Row],[Column3]]=TRUE,NOTA[[#This Row],[QTY/ CTN]],INDEX([3]!db[QTY/ CTN],NOTA[[#This Row],[//DB]])))</f>
        <v>72 PCS</v>
      </c>
      <c r="AU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binderb5tsedm128educationjku72pcsartomoro</v>
      </c>
      <c r="AV111" s="38" t="e">
        <f ca="1">IF(NOTA[[#This Row],[ID_H]]="","",MATCH(NOTA[[#This Row],[NB NOTA_C_QTY]],[4]!db[NB NOTA_C_QTY+F],0))</f>
        <v>#REF!</v>
      </c>
      <c r="AW111" s="53">
        <f ca="1">IF(NOTA[[#This Row],[NB NOTA_C_QTY]]="","",ROW()-2)</f>
        <v>109</v>
      </c>
    </row>
    <row r="112" spans="1:49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>
        <f ca="1">IF(NOTA[[#This Row],[NAMA BARANG]]="","",INDEX(NOTA[ID],MATCH(,INDIRECT(ADDRESS(ROW(NOTA[ID]),COLUMN(NOTA[ID]))&amp;":"&amp;ADDRESS(ROW(),COLUMN(NOTA[ID]))),-1)))</f>
        <v>17</v>
      </c>
      <c r="E112" s="46"/>
      <c r="F112" s="37"/>
      <c r="G112" s="37"/>
      <c r="H112" s="47"/>
      <c r="I112" s="37"/>
      <c r="J112" s="39"/>
      <c r="K112" s="37"/>
      <c r="L112" s="37" t="s">
        <v>547</v>
      </c>
      <c r="M112" s="40">
        <v>1</v>
      </c>
      <c r="N112" s="38">
        <v>72</v>
      </c>
      <c r="O112" s="37" t="s">
        <v>126</v>
      </c>
      <c r="P112" s="41">
        <v>20700</v>
      </c>
      <c r="Q112" s="42"/>
      <c r="R112" s="48" t="s">
        <v>217</v>
      </c>
      <c r="S112" s="49">
        <v>0.125</v>
      </c>
      <c r="T112" s="44">
        <v>0.05</v>
      </c>
      <c r="U112" s="44"/>
      <c r="V112" s="50">
        <v>135432</v>
      </c>
      <c r="W112" s="45"/>
      <c r="X112" s="50">
        <f>IF(NOTA[[#This Row],[HARGA/ CTN]]="",NOTA[[#This Row],[JUMLAH_H]],NOTA[[#This Row],[HARGA/ CTN]]*IF(NOTA[[#This Row],[C]]="",0,NOTA[[#This Row],[C]]))</f>
        <v>1490400</v>
      </c>
      <c r="Y112" s="50">
        <f>IF(NOTA[[#This Row],[JUMLAH]]="","",NOTA[[#This Row],[JUMLAH]]*NOTA[[#This Row],[DISC 1]])</f>
        <v>186300</v>
      </c>
      <c r="Z112" s="50">
        <f>IF(NOTA[[#This Row],[JUMLAH]]="","",(NOTA[[#This Row],[JUMLAH]]-NOTA[[#This Row],[DISC 1-]])*NOTA[[#This Row],[DISC 2]])</f>
        <v>65205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251505</v>
      </c>
      <c r="AC112" s="50">
        <f>IF(NOTA[[#This Row],[JUMLAH]]="","",NOTA[[#This Row],[JUMLAH]]-NOTA[[#This Row],[DISC]])</f>
        <v>1238895</v>
      </c>
      <c r="AD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960097.5</v>
      </c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3949102.5</v>
      </c>
      <c r="AF11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112" s="50">
        <f>IF(OR(NOTA[[#This Row],[QTY]]="",NOTA[[#This Row],[HARGA SATUAN]]="",),"",NOTA[[#This Row],[QTY]]*NOTA[[#This Row],[HARGA SATUAN]])</f>
        <v>1490400</v>
      </c>
      <c r="AH112" s="39">
        <f ca="1">IF(NOTA[ID_H]="","",INDEX(NOTA[TANGGAL],MATCH(,INDIRECT(ADDRESS(ROW(NOTA[TANGGAL]),COLUMN(NOTA[TANGGAL]))&amp;":"&amp;ADDRESS(ROW(),COLUMN(NOTA[TANGGAL]))),-1)))</f>
        <v>45178</v>
      </c>
      <c r="AI112" s="41" t="str">
        <f ca="1">IF(NOTA[[#This Row],[NAMA BARANG]]="","",INDEX(NOTA[SUPPLIER],MATCH(,INDIRECT(ADDRESS(ROW(NOTA[ID]),COLUMN(NOTA[ID]))&amp;":"&amp;ADDRESS(ROW(),COLUMN(NOTA[ID]))),-1)))</f>
        <v>ATALI MAKMUR</v>
      </c>
      <c r="AJ112" s="41" t="str">
        <f ca="1">IF(NOTA[[#This Row],[ID_H]]="","",IF(NOTA[[#This Row],[FAKTUR]]="",INDIRECT(ADDRESS(ROW()-1,COLUMN())),NOTA[[#This Row],[FAKTUR]]))</f>
        <v>ARTO MORO</v>
      </c>
      <c r="AK112" s="38" t="str">
        <f ca="1">IF(NOTA[[#This Row],[ID]]="","",COUNTIF(NOTA[ID_H],NOTA[[#This Row],[ID_H]]))</f>
        <v/>
      </c>
      <c r="AL112" s="38">
        <f ca="1">IF(NOTA[[#This Row],[TGL.NOTA]]="",IF(NOTA[[#This Row],[SUPPLIER_H]]="","",AL111),MONTH(NOTA[[#This Row],[TGL.NOTA]]))</f>
        <v>9</v>
      </c>
      <c r="AM112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N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O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binderb5tsclm125collegejku14904000.1250.05</v>
      </c>
      <c r="AP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38" t="str">
        <f>IF(NOTA[[#This Row],[CONCAT4]]="","",_xlfn.IFNA(MATCH(NOTA[[#This Row],[CONCAT4]],[2]!RAW[CONCAT_H],0),FALSE))</f>
        <v/>
      </c>
      <c r="AR112" s="38">
        <f>IF(NOTA[[#This Row],[CONCAT1]]="","",MATCH(NOTA[[#This Row],[CONCAT1]],[3]!db[NB NOTA_C],0))</f>
        <v>230</v>
      </c>
      <c r="AS112" s="38" t="b">
        <f>IF(NOTA[[#This Row],[QTY/ CTN]]="","",TRUE)</f>
        <v>1</v>
      </c>
      <c r="AT112" s="38" t="str">
        <f ca="1">IF(NOTA[[#This Row],[ID_H]]="","",IF(NOTA[[#This Row],[Column3]]=TRUE,NOTA[[#This Row],[QTY/ CTN]],INDEX([3]!db[QTY/ CTN],NOTA[[#This Row],[//DB]])))</f>
        <v>72 PCS</v>
      </c>
      <c r="AU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V112" s="38" t="e">
        <f ca="1">IF(NOTA[[#This Row],[ID_H]]="","",MATCH(NOTA[[#This Row],[NB NOTA_C_QTY]],[4]!db[NB NOTA_C_QTY+F],0))</f>
        <v>#REF!</v>
      </c>
      <c r="AW112" s="53">
        <f ca="1">IF(NOTA[[#This Row],[NB NOTA_C_QTY]]="","",ROW()-2)</f>
        <v>110</v>
      </c>
    </row>
    <row r="113" spans="1:49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13" s="50" t="str">
        <f>IF(OR(NOTA[[#This Row],[QTY]]="",NOTA[[#This Row],[HARGA SATUAN]]="",),"",NOTA[[#This Row],[QTY]]*NOTA[[#This Row],[HARGA SATUAN]])</f>
        <v/>
      </c>
      <c r="AH113" s="39" t="str">
        <f ca="1">IF(NOTA[ID_H]="","",INDEX(NOTA[TANGGAL],MATCH(,INDIRECT(ADDRESS(ROW(NOTA[TANGGAL]),COLUMN(NOTA[TANGGAL]))&amp;":"&amp;ADDRESS(ROW(),COLUMN(NOTA[TANGGAL]))),-1)))</f>
        <v/>
      </c>
      <c r="AI113" s="41" t="str">
        <f ca="1">IF(NOTA[[#This Row],[NAMA BARANG]]="","",INDEX(NOTA[SUPPLIER],MATCH(,INDIRECT(ADDRESS(ROW(NOTA[ID]),COLUMN(NOTA[ID]))&amp;":"&amp;ADDRESS(ROW(),COLUMN(NOTA[ID]))),-1)))</f>
        <v/>
      </c>
      <c r="AJ113" s="41" t="str">
        <f ca="1">IF(NOTA[[#This Row],[ID_H]]="","",IF(NOTA[[#This Row],[FAKTUR]]="",INDIRECT(ADDRESS(ROW()-1,COLUMN())),NOTA[[#This Row],[FAKTUR]]))</f>
        <v/>
      </c>
      <c r="AK113" s="38" t="str">
        <f ca="1">IF(NOTA[[#This Row],[ID]]="","",COUNTIF(NOTA[ID_H],NOTA[[#This Row],[ID_H]]))</f>
        <v/>
      </c>
      <c r="AL113" s="38" t="str">
        <f ca="1">IF(NOTA[[#This Row],[TGL.NOTA]]="",IF(NOTA[[#This Row],[SUPPLIER_H]]="","",AL112),MONTH(NOTA[[#This Row],[TGL.NOTA]]))</f>
        <v/>
      </c>
      <c r="AM113" s="38" t="str">
        <f>LOWER(SUBSTITUTE(SUBSTITUTE(SUBSTITUTE(SUBSTITUTE(SUBSTITUTE(SUBSTITUTE(SUBSTITUTE(SUBSTITUTE(SUBSTITUTE(NOTA[NAMA BARANG]," ",),".",""),"-",""),"(",""),")",""),",",""),"/",""),"""",""),"+",""))</f>
        <v/>
      </c>
      <c r="AN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38" t="str">
        <f>IF(NOTA[[#This Row],[CONCAT4]]="","",_xlfn.IFNA(MATCH(NOTA[[#This Row],[CONCAT4]],[2]!RAW[CONCAT_H],0),FALSE))</f>
        <v/>
      </c>
      <c r="AR113" s="38" t="str">
        <f>IF(NOTA[[#This Row],[CONCAT1]]="","",MATCH(NOTA[[#This Row],[CONCAT1]],[3]!db[NB NOTA_C],0))</f>
        <v/>
      </c>
      <c r="AS113" s="38" t="str">
        <f>IF(NOTA[[#This Row],[QTY/ CTN]]="","",TRUE)</f>
        <v/>
      </c>
      <c r="AT113" s="38" t="str">
        <f ca="1">IF(NOTA[[#This Row],[ID_H]]="","",IF(NOTA[[#This Row],[Column3]]=TRUE,NOTA[[#This Row],[QTY/ CTN]],INDEX([3]!db[QTY/ CTN],NOTA[[#This Row],[//DB]])))</f>
        <v/>
      </c>
      <c r="AU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13" s="38" t="str">
        <f ca="1">IF(NOTA[[#This Row],[ID_H]]="","",MATCH(NOTA[[#This Row],[NB NOTA_C_QTY]],[4]!db[NB NOTA_C_QTY+F],0))</f>
        <v/>
      </c>
      <c r="AW113" s="53" t="str">
        <f ca="1">IF(NOTA[[#This Row],[NB NOTA_C_QTY]]="","",ROW()-2)</f>
        <v/>
      </c>
    </row>
    <row r="114" spans="1:49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ATA_0909_845-11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18</v>
      </c>
      <c r="E114" s="46"/>
      <c r="F114" s="37" t="s">
        <v>24</v>
      </c>
      <c r="G114" s="37" t="s">
        <v>23</v>
      </c>
      <c r="H114" s="47" t="s">
        <v>218</v>
      </c>
      <c r="I114" s="37"/>
      <c r="J114" s="39">
        <v>45174</v>
      </c>
      <c r="K114" s="37"/>
      <c r="L114" s="37" t="s">
        <v>219</v>
      </c>
      <c r="M114" s="40">
        <v>2</v>
      </c>
      <c r="N114" s="38">
        <v>864</v>
      </c>
      <c r="O114" s="37" t="s">
        <v>126</v>
      </c>
      <c r="P114" s="41">
        <v>4400</v>
      </c>
      <c r="Q114" s="42"/>
      <c r="R114" s="48" t="s">
        <v>228</v>
      </c>
      <c r="S114" s="49">
        <v>0.125</v>
      </c>
      <c r="T114" s="44">
        <v>0.05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3801600</v>
      </c>
      <c r="Y114" s="50">
        <f>IF(NOTA[[#This Row],[JUMLAH]]="","",NOTA[[#This Row],[JUMLAH]]*NOTA[[#This Row],[DISC 1]])</f>
        <v>475200</v>
      </c>
      <c r="Z114" s="50">
        <f>IF(NOTA[[#This Row],[JUMLAH]]="","",(NOTA[[#This Row],[JUMLAH]]-NOTA[[#This Row],[DISC 1-]])*NOTA[[#This Row],[DISC 2]])</f>
        <v>166320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641520</v>
      </c>
      <c r="AC114" s="50">
        <f>IF(NOTA[[#This Row],[JUMLAH]]="","",NOTA[[#This Row],[JUMLAH]]-NOTA[[#This Row],[DISC]])</f>
        <v>3160080</v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G114" s="50">
        <f>IF(OR(NOTA[[#This Row],[QTY]]="",NOTA[[#This Row],[HARGA SATUAN]]="",),"",NOTA[[#This Row],[QTY]]*NOTA[[#This Row],[HARGA SATUAN]])</f>
        <v>3801600</v>
      </c>
      <c r="AH114" s="39">
        <f ca="1">IF(NOTA[ID_H]="","",INDEX(NOTA[TANGGAL],MATCH(,INDIRECT(ADDRESS(ROW(NOTA[TANGGAL]),COLUMN(NOTA[TANGGAL]))&amp;":"&amp;ADDRESS(ROW(),COLUMN(NOTA[TANGGAL]))),-1)))</f>
        <v>45178</v>
      </c>
      <c r="AI114" s="41" t="str">
        <f ca="1">IF(NOTA[[#This Row],[NAMA BARANG]]="","",INDEX(NOTA[SUPPLIER],MATCH(,INDIRECT(ADDRESS(ROW(NOTA[ID]),COLUMN(NOTA[ID]))&amp;":"&amp;ADDRESS(ROW(),COLUMN(NOTA[ID]))),-1)))</f>
        <v>ATALI MAKMUR</v>
      </c>
      <c r="AJ114" s="41" t="str">
        <f ca="1">IF(NOTA[[#This Row],[ID_H]]="","",IF(NOTA[[#This Row],[FAKTUR]]="",INDIRECT(ADDRESS(ROW()-1,COLUMN())),NOTA[[#This Row],[FAKTUR]]))</f>
        <v>ARTO MORO</v>
      </c>
      <c r="AK114" s="38">
        <f ca="1">IF(NOTA[[#This Row],[ID]]="","",COUNTIF(NOTA[ID_H],NOTA[[#This Row],[ID_H]]))</f>
        <v>11</v>
      </c>
      <c r="AL114" s="38">
        <f>IF(NOTA[[#This Row],[TGL.NOTA]]="",IF(NOTA[[#This Row],[SUPPLIER_H]]="","",AL113),MONTH(NOTA[[#This Row],[TGL.NOTA]]))</f>
        <v>9</v>
      </c>
      <c r="AM11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N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1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MOROSA23091584545174gluestickgs25jk</v>
      </c>
      <c r="AQ114" s="38" t="e">
        <f>IF(NOTA[[#This Row],[CONCAT4]]="","",_xlfn.IFNA(MATCH(NOTA[[#This Row],[CONCAT4]],[2]!RAW[CONCAT_H],0),FALSE))</f>
        <v>#REF!</v>
      </c>
      <c r="AR114" s="38">
        <f>IF(NOTA[[#This Row],[CONCAT1]]="","",MATCH(NOTA[[#This Row],[CONCAT1]],[3]!db[NB NOTA_C],0))</f>
        <v>1142</v>
      </c>
      <c r="AS114" s="38" t="b">
        <f>IF(NOTA[[#This Row],[QTY/ CTN]]="","",TRUE)</f>
        <v>1</v>
      </c>
      <c r="AT114" s="38" t="str">
        <f ca="1">IF(NOTA[[#This Row],[ID_H]]="","",IF(NOTA[[#This Row],[Column3]]=TRUE,NOTA[[#This Row],[QTY/ CTN]],INDEX([3]!db[QTY/ CTN],NOTA[[#This Row],[//DB]])))</f>
        <v>36 LSN</v>
      </c>
      <c r="AU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V114" s="38" t="e">
        <f ca="1">IF(NOTA[[#This Row],[ID_H]]="","",MATCH(NOTA[[#This Row],[NB NOTA_C_QTY]],[4]!db[NB NOTA_C_QTY+F],0))</f>
        <v>#REF!</v>
      </c>
      <c r="AW114" s="53">
        <f ca="1">IF(NOTA[[#This Row],[NB NOTA_C_QTY]]="","",ROW()-2)</f>
        <v>112</v>
      </c>
    </row>
    <row r="115" spans="1:49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18</v>
      </c>
      <c r="E115" s="46"/>
      <c r="F115" s="37"/>
      <c r="G115" s="37"/>
      <c r="H115" s="47"/>
      <c r="I115" s="37"/>
      <c r="J115" s="39"/>
      <c r="K115" s="37"/>
      <c r="L115" s="37" t="s">
        <v>220</v>
      </c>
      <c r="M115" s="40">
        <v>1</v>
      </c>
      <c r="N115" s="38">
        <v>30</v>
      </c>
      <c r="O115" s="37" t="s">
        <v>212</v>
      </c>
      <c r="P115" s="41">
        <v>104400</v>
      </c>
      <c r="Q115" s="42"/>
      <c r="R115" s="48" t="s">
        <v>221</v>
      </c>
      <c r="S115" s="49">
        <v>0.125</v>
      </c>
      <c r="T115" s="44">
        <v>0.05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3132000</v>
      </c>
      <c r="Y115" s="50">
        <f>IF(NOTA[[#This Row],[JUMLAH]]="","",NOTA[[#This Row],[JUMLAH]]*NOTA[[#This Row],[DISC 1]])</f>
        <v>391500</v>
      </c>
      <c r="Z115" s="50">
        <f>IF(NOTA[[#This Row],[JUMLAH]]="","",(NOTA[[#This Row],[JUMLAH]]-NOTA[[#This Row],[DISC 1-]])*NOTA[[#This Row],[DISC 2]])</f>
        <v>137025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528525</v>
      </c>
      <c r="AC115" s="50">
        <f>IF(NOTA[[#This Row],[JUMLAH]]="","",NOTA[[#This Row],[JUMLAH]]-NOTA[[#This Row],[DISC]])</f>
        <v>2603475</v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5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115" s="50">
        <f>IF(OR(NOTA[[#This Row],[QTY]]="",NOTA[[#This Row],[HARGA SATUAN]]="",),"",NOTA[[#This Row],[QTY]]*NOTA[[#This Row],[HARGA SATUAN]])</f>
        <v>3132000</v>
      </c>
      <c r="AH115" s="39">
        <f ca="1">IF(NOTA[ID_H]="","",INDEX(NOTA[TANGGAL],MATCH(,INDIRECT(ADDRESS(ROW(NOTA[TANGGAL]),COLUMN(NOTA[TANGGAL]))&amp;":"&amp;ADDRESS(ROW(),COLUMN(NOTA[TANGGAL]))),-1)))</f>
        <v>45178</v>
      </c>
      <c r="AI115" s="41" t="str">
        <f ca="1">IF(NOTA[[#This Row],[NAMA BARANG]]="","",INDEX(NOTA[SUPPLIER],MATCH(,INDIRECT(ADDRESS(ROW(NOTA[ID]),COLUMN(NOTA[ID]))&amp;":"&amp;ADDRESS(ROW(),COLUMN(NOTA[ID]))),-1)))</f>
        <v>ATALI MAKMUR</v>
      </c>
      <c r="AJ115" s="41" t="str">
        <f ca="1">IF(NOTA[[#This Row],[ID_H]]="","",IF(NOTA[[#This Row],[FAKTUR]]="",INDIRECT(ADDRESS(ROW()-1,COLUMN())),NOTA[[#This Row],[FAKTUR]]))</f>
        <v>ARTO MORO</v>
      </c>
      <c r="AK115" s="38" t="str">
        <f ca="1">IF(NOTA[[#This Row],[ID]]="","",COUNTIF(NOTA[ID_H],NOTA[[#This Row],[ID_H]]))</f>
        <v/>
      </c>
      <c r="AL115" s="38">
        <f ca="1">IF(NOTA[[#This Row],[TGL.NOTA]]="",IF(NOTA[[#This Row],[SUPPLIER_H]]="","",AL114),MONTH(NOTA[[#This Row],[TGL.NOTA]]))</f>
        <v>9</v>
      </c>
      <c r="AM115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5" s="38" t="str">
        <f>IF(NOTA[[#This Row],[CONCAT4]]="","",_xlfn.IFNA(MATCH(NOTA[[#This Row],[CONCAT4]],[2]!RAW[CONCAT_H],0),FALSE))</f>
        <v/>
      </c>
      <c r="AR115" s="38">
        <f>IF(NOTA[[#This Row],[CONCAT1]]="","",MATCH(NOTA[[#This Row],[CONCAT1]],[3]!db[NB NOTA_C],0))</f>
        <v>2174</v>
      </c>
      <c r="AS115" s="38" t="b">
        <f>IF(NOTA[[#This Row],[QTY/ CTN]]="","",TRUE)</f>
        <v>1</v>
      </c>
      <c r="AT115" s="38" t="str">
        <f ca="1">IF(NOTA[[#This Row],[ID_H]]="","",IF(NOTA[[#This Row],[Column3]]=TRUE,NOTA[[#This Row],[QTY/ CTN]],INDEX([3]!db[QTY/ CTN],NOTA[[#This Row],[//DB]])))</f>
        <v>30 GRS</v>
      </c>
      <c r="AU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115" s="38" t="e">
        <f ca="1">IF(NOTA[[#This Row],[ID_H]]="","",MATCH(NOTA[[#This Row],[NB NOTA_C_QTY]],[4]!db[NB NOTA_C_QTY+F],0))</f>
        <v>#REF!</v>
      </c>
      <c r="AW115" s="53">
        <f ca="1">IF(NOTA[[#This Row],[NB NOTA_C_QTY]]="","",ROW()-2)</f>
        <v>113</v>
      </c>
    </row>
    <row r="116" spans="1:49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18</v>
      </c>
      <c r="E116" s="46"/>
      <c r="F116" s="37"/>
      <c r="G116" s="37"/>
      <c r="H116" s="47"/>
      <c r="I116" s="37"/>
      <c r="J116" s="39"/>
      <c r="K116" s="37"/>
      <c r="L116" s="37" t="s">
        <v>222</v>
      </c>
      <c r="M116" s="40">
        <v>1</v>
      </c>
      <c r="N116" s="38">
        <v>72</v>
      </c>
      <c r="O116" s="37" t="s">
        <v>126</v>
      </c>
      <c r="P116" s="41">
        <v>15800</v>
      </c>
      <c r="Q116" s="42"/>
      <c r="R116" s="48" t="s">
        <v>217</v>
      </c>
      <c r="S116" s="49">
        <v>0.125</v>
      </c>
      <c r="T116" s="44">
        <v>0.05</v>
      </c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1137600</v>
      </c>
      <c r="Y116" s="50">
        <f>IF(NOTA[[#This Row],[JUMLAH]]="","",NOTA[[#This Row],[JUMLAH]]*NOTA[[#This Row],[DISC 1]])</f>
        <v>142200</v>
      </c>
      <c r="Z116" s="50">
        <f>IF(NOTA[[#This Row],[JUMLAH]]="","",(NOTA[[#This Row],[JUMLAH]]-NOTA[[#This Row],[DISC 1-]])*NOTA[[#This Row],[DISC 2]])</f>
        <v>49770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191970</v>
      </c>
      <c r="AC116" s="50">
        <f>IF(NOTA[[#This Row],[JUMLAH]]="","",NOTA[[#This Row],[JUMLAH]]-NOTA[[#This Row],[DISC]])</f>
        <v>945630</v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6" s="50">
        <f>IF(OR(NOTA[[#This Row],[QTY]]="",NOTA[[#This Row],[HARGA SATUAN]]="",),"",NOTA[[#This Row],[QTY]]*NOTA[[#This Row],[HARGA SATUAN]])</f>
        <v>1137600</v>
      </c>
      <c r="AH116" s="39">
        <f ca="1">IF(NOTA[ID_H]="","",INDEX(NOTA[TANGGAL],MATCH(,INDIRECT(ADDRESS(ROW(NOTA[TANGGAL]),COLUMN(NOTA[TANGGAL]))&amp;":"&amp;ADDRESS(ROW(),COLUMN(NOTA[TANGGAL]))),-1)))</f>
        <v>45178</v>
      </c>
      <c r="AI116" s="41" t="str">
        <f ca="1">IF(NOTA[[#This Row],[NAMA BARANG]]="","",INDEX(NOTA[SUPPLIER],MATCH(,INDIRECT(ADDRESS(ROW(NOTA[ID]),COLUMN(NOTA[ID]))&amp;":"&amp;ADDRESS(ROW(),COLUMN(NOTA[ID]))),-1)))</f>
        <v>ATALI MAKMUR</v>
      </c>
      <c r="AJ116" s="41" t="str">
        <f ca="1">IF(NOTA[[#This Row],[ID_H]]="","",IF(NOTA[[#This Row],[FAKTUR]]="",INDIRECT(ADDRESS(ROW()-1,COLUMN())),NOTA[[#This Row],[FAKTUR]]))</f>
        <v>ARTO MORO</v>
      </c>
      <c r="AK116" s="38" t="str">
        <f ca="1">IF(NOTA[[#This Row],[ID]]="","",COUNTIF(NOTA[ID_H],NOTA[[#This Row],[ID_H]]))</f>
        <v/>
      </c>
      <c r="AL116" s="38">
        <f ca="1">IF(NOTA[[#This Row],[TGL.NOTA]]="",IF(NOTA[[#This Row],[SUPPLIER_H]]="","",AL115),MONTH(NOTA[[#This Row],[TGL.NOTA]]))</f>
        <v>9</v>
      </c>
      <c r="AM116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N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38" t="str">
        <f>IF(NOTA[[#This Row],[CONCAT4]]="","",_xlfn.IFNA(MATCH(NOTA[[#This Row],[CONCAT4]],[2]!RAW[CONCAT_H],0),FALSE))</f>
        <v/>
      </c>
      <c r="AR116" s="38">
        <f>IF(NOTA[[#This Row],[CONCAT1]]="","",MATCH(NOTA[[#This Row],[CONCAT1]],[3]!db[NB NOTA_C],0))</f>
        <v>181</v>
      </c>
      <c r="AS116" s="38" t="b">
        <f>IF(NOTA[[#This Row],[QTY/ CTN]]="","",TRUE)</f>
        <v>1</v>
      </c>
      <c r="AT116" s="38" t="str">
        <f ca="1">IF(NOTA[[#This Row],[ID_H]]="","",IF(NOTA[[#This Row],[Column3]]=TRUE,NOTA[[#This Row],[QTY/ CTN]],INDEX([3]!db[QTY/ CTN],NOTA[[#This Row],[//DB]])))</f>
        <v>72 PCS</v>
      </c>
      <c r="AU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V116" s="38" t="e">
        <f ca="1">IF(NOTA[[#This Row],[ID_H]]="","",MATCH(NOTA[[#This Row],[NB NOTA_C_QTY]],[4]!db[NB NOTA_C_QTY+F],0))</f>
        <v>#REF!</v>
      </c>
      <c r="AW116" s="53">
        <f ca="1">IF(NOTA[[#This Row],[NB NOTA_C_QTY]]="","",ROW()-2)</f>
        <v>114</v>
      </c>
    </row>
    <row r="117" spans="1:49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18</v>
      </c>
      <c r="E117" s="46"/>
      <c r="F117" s="37"/>
      <c r="G117" s="37"/>
      <c r="H117" s="47"/>
      <c r="I117" s="37"/>
      <c r="J117" s="39"/>
      <c r="K117" s="37"/>
      <c r="L117" s="37" t="s">
        <v>224</v>
      </c>
      <c r="M117" s="40">
        <v>1</v>
      </c>
      <c r="N117" s="38">
        <v>72</v>
      </c>
      <c r="O117" s="37" t="s">
        <v>126</v>
      </c>
      <c r="P117" s="41">
        <v>15800</v>
      </c>
      <c r="Q117" s="42"/>
      <c r="R117" s="48" t="s">
        <v>217</v>
      </c>
      <c r="S117" s="49">
        <v>0.125</v>
      </c>
      <c r="T117" s="44">
        <v>0.05</v>
      </c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1137600</v>
      </c>
      <c r="Y117" s="50">
        <f>IF(NOTA[[#This Row],[JUMLAH]]="","",NOTA[[#This Row],[JUMLAH]]*NOTA[[#This Row],[DISC 1]])</f>
        <v>142200</v>
      </c>
      <c r="Z117" s="50">
        <f>IF(NOTA[[#This Row],[JUMLAH]]="","",(NOTA[[#This Row],[JUMLAH]]-NOTA[[#This Row],[DISC 1-]])*NOTA[[#This Row],[DISC 2]])</f>
        <v>49770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191970</v>
      </c>
      <c r="AC117" s="50">
        <f>IF(NOTA[[#This Row],[JUMLAH]]="","",NOTA[[#This Row],[JUMLAH]]-NOTA[[#This Row],[DISC]])</f>
        <v>945630</v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7" s="50">
        <f>IF(OR(NOTA[[#This Row],[QTY]]="",NOTA[[#This Row],[HARGA SATUAN]]="",),"",NOTA[[#This Row],[QTY]]*NOTA[[#This Row],[HARGA SATUAN]])</f>
        <v>1137600</v>
      </c>
      <c r="AH117" s="39">
        <f ca="1">IF(NOTA[ID_H]="","",INDEX(NOTA[TANGGAL],MATCH(,INDIRECT(ADDRESS(ROW(NOTA[TANGGAL]),COLUMN(NOTA[TANGGAL]))&amp;":"&amp;ADDRESS(ROW(),COLUMN(NOTA[TANGGAL]))),-1)))</f>
        <v>45178</v>
      </c>
      <c r="AI117" s="41" t="str">
        <f ca="1">IF(NOTA[[#This Row],[NAMA BARANG]]="","",INDEX(NOTA[SUPPLIER],MATCH(,INDIRECT(ADDRESS(ROW(NOTA[ID]),COLUMN(NOTA[ID]))&amp;":"&amp;ADDRESS(ROW(),COLUMN(NOTA[ID]))),-1)))</f>
        <v>ATALI MAKMUR</v>
      </c>
      <c r="AJ117" s="41" t="str">
        <f ca="1">IF(NOTA[[#This Row],[ID_H]]="","",IF(NOTA[[#This Row],[FAKTUR]]="",INDIRECT(ADDRESS(ROW()-1,COLUMN())),NOTA[[#This Row],[FAKTUR]]))</f>
        <v>ARTO MORO</v>
      </c>
      <c r="AK117" s="38" t="str">
        <f ca="1">IF(NOTA[[#This Row],[ID]]="","",COUNTIF(NOTA[ID_H],NOTA[[#This Row],[ID_H]]))</f>
        <v/>
      </c>
      <c r="AL117" s="38">
        <f ca="1">IF(NOTA[[#This Row],[TGL.NOTA]]="",IF(NOTA[[#This Row],[SUPPLIER_H]]="","",AL116),MONTH(NOTA[[#This Row],[TGL.NOTA]]))</f>
        <v>9</v>
      </c>
      <c r="AM117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N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38" t="str">
        <f>IF(NOTA[[#This Row],[CONCAT4]]="","",_xlfn.IFNA(MATCH(NOTA[[#This Row],[CONCAT4]],[2]!RAW[CONCAT_H],0),FALSE))</f>
        <v/>
      </c>
      <c r="AR117" s="38">
        <f>IF(NOTA[[#This Row],[CONCAT1]]="","",MATCH(NOTA[[#This Row],[CONCAT1]],[3]!db[NB NOTA_C],0))</f>
        <v>186</v>
      </c>
      <c r="AS117" s="38" t="b">
        <f>IF(NOTA[[#This Row],[QTY/ CTN]]="","",TRUE)</f>
        <v>1</v>
      </c>
      <c r="AT117" s="38" t="str">
        <f ca="1">IF(NOTA[[#This Row],[ID_H]]="","",IF(NOTA[[#This Row],[Column3]]=TRUE,NOTA[[#This Row],[QTY/ CTN]],INDEX([3]!db[QTY/ CTN],NOTA[[#This Row],[//DB]])))</f>
        <v>72 PCS</v>
      </c>
      <c r="AU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V117" s="38" t="e">
        <f ca="1">IF(NOTA[[#This Row],[ID_H]]="","",MATCH(NOTA[[#This Row],[NB NOTA_C_QTY]],[4]!db[NB NOTA_C_QTY+F],0))</f>
        <v>#REF!</v>
      </c>
      <c r="AW117" s="53">
        <f ca="1">IF(NOTA[[#This Row],[NB NOTA_C_QTY]]="","",ROW()-2)</f>
        <v>115</v>
      </c>
    </row>
    <row r="118" spans="1:49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18</v>
      </c>
      <c r="E118" s="46"/>
      <c r="F118" s="37"/>
      <c r="G118" s="37"/>
      <c r="H118" s="47"/>
      <c r="I118" s="37"/>
      <c r="J118" s="39"/>
      <c r="K118" s="37"/>
      <c r="L118" s="37" t="s">
        <v>223</v>
      </c>
      <c r="M118" s="40">
        <v>1</v>
      </c>
      <c r="N118" s="38">
        <v>72</v>
      </c>
      <c r="O118" s="37" t="s">
        <v>126</v>
      </c>
      <c r="P118" s="41">
        <v>15800</v>
      </c>
      <c r="Q118" s="42"/>
      <c r="R118" s="48" t="s">
        <v>217</v>
      </c>
      <c r="S118" s="49">
        <v>0.125</v>
      </c>
      <c r="T118" s="44">
        <v>0.05</v>
      </c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1137600</v>
      </c>
      <c r="Y118" s="50">
        <f>IF(NOTA[[#This Row],[JUMLAH]]="","",NOTA[[#This Row],[JUMLAH]]*NOTA[[#This Row],[DISC 1]])</f>
        <v>142200</v>
      </c>
      <c r="Z118" s="50">
        <f>IF(NOTA[[#This Row],[JUMLAH]]="","",(NOTA[[#This Row],[JUMLAH]]-NOTA[[#This Row],[DISC 1-]])*NOTA[[#This Row],[DISC 2]])</f>
        <v>49770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191970</v>
      </c>
      <c r="AC118" s="50">
        <f>IF(NOTA[[#This Row],[JUMLAH]]="","",NOTA[[#This Row],[JUMLAH]]-NOTA[[#This Row],[DISC]])</f>
        <v>945630</v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8" s="50">
        <f>IF(OR(NOTA[[#This Row],[QTY]]="",NOTA[[#This Row],[HARGA SATUAN]]="",),"",NOTA[[#This Row],[QTY]]*NOTA[[#This Row],[HARGA SATUAN]])</f>
        <v>1137600</v>
      </c>
      <c r="AH118" s="39">
        <f ca="1">IF(NOTA[ID_H]="","",INDEX(NOTA[TANGGAL],MATCH(,INDIRECT(ADDRESS(ROW(NOTA[TANGGAL]),COLUMN(NOTA[TANGGAL]))&amp;":"&amp;ADDRESS(ROW(),COLUMN(NOTA[TANGGAL]))),-1)))</f>
        <v>45178</v>
      </c>
      <c r="AI118" s="41" t="str">
        <f ca="1">IF(NOTA[[#This Row],[NAMA BARANG]]="","",INDEX(NOTA[SUPPLIER],MATCH(,INDIRECT(ADDRESS(ROW(NOTA[ID]),COLUMN(NOTA[ID]))&amp;":"&amp;ADDRESS(ROW(),COLUMN(NOTA[ID]))),-1)))</f>
        <v>ATALI MAKMUR</v>
      </c>
      <c r="AJ118" s="41" t="str">
        <f ca="1">IF(NOTA[[#This Row],[ID_H]]="","",IF(NOTA[[#This Row],[FAKTUR]]="",INDIRECT(ADDRESS(ROW()-1,COLUMN())),NOTA[[#This Row],[FAKTUR]]))</f>
        <v>ARTO MORO</v>
      </c>
      <c r="AK118" s="38" t="str">
        <f ca="1">IF(NOTA[[#This Row],[ID]]="","",COUNTIF(NOTA[ID_H],NOTA[[#This Row],[ID_H]]))</f>
        <v/>
      </c>
      <c r="AL118" s="38">
        <f ca="1">IF(NOTA[[#This Row],[TGL.NOTA]]="",IF(NOTA[[#This Row],[SUPPLIER_H]]="","",AL117),MONTH(NOTA[[#This Row],[TGL.NOTA]]))</f>
        <v>9</v>
      </c>
      <c r="AM118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N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8" s="38" t="str">
        <f>IF(NOTA[[#This Row],[CONCAT4]]="","",_xlfn.IFNA(MATCH(NOTA[[#This Row],[CONCAT4]],[2]!RAW[CONCAT_H],0),FALSE))</f>
        <v/>
      </c>
      <c r="AR118" s="38">
        <f>IF(NOTA[[#This Row],[CONCAT1]]="","",MATCH(NOTA[[#This Row],[CONCAT1]],[3]!db[NB NOTA_C],0))</f>
        <v>182</v>
      </c>
      <c r="AS118" s="38" t="b">
        <f>IF(NOTA[[#This Row],[QTY/ CTN]]="","",TRUE)</f>
        <v>1</v>
      </c>
      <c r="AT118" s="38" t="str">
        <f ca="1">IF(NOTA[[#This Row],[ID_H]]="","",IF(NOTA[[#This Row],[Column3]]=TRUE,NOTA[[#This Row],[QTY/ CTN]],INDEX([3]!db[QTY/ CTN],NOTA[[#This Row],[//DB]])))</f>
        <v>72 PCS</v>
      </c>
      <c r="AU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V118" s="38" t="e">
        <f ca="1">IF(NOTA[[#This Row],[ID_H]]="","",MATCH(NOTA[[#This Row],[NB NOTA_C_QTY]],[4]!db[NB NOTA_C_QTY+F],0))</f>
        <v>#REF!</v>
      </c>
      <c r="AW118" s="53">
        <f ca="1">IF(NOTA[[#This Row],[NB NOTA_C_QTY]]="","",ROW()-2)</f>
        <v>116</v>
      </c>
    </row>
    <row r="119" spans="1:49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18</v>
      </c>
      <c r="E119" s="46"/>
      <c r="F119" s="37"/>
      <c r="G119" s="37"/>
      <c r="H119" s="47"/>
      <c r="I119" s="37"/>
      <c r="J119" s="39"/>
      <c r="K119" s="37"/>
      <c r="L119" s="37" t="s">
        <v>230</v>
      </c>
      <c r="M119" s="40">
        <v>1</v>
      </c>
      <c r="N119" s="38">
        <v>72</v>
      </c>
      <c r="O119" s="37" t="s">
        <v>126</v>
      </c>
      <c r="P119" s="41">
        <v>15800</v>
      </c>
      <c r="Q119" s="42"/>
      <c r="R119" s="48" t="s">
        <v>217</v>
      </c>
      <c r="S119" s="49">
        <v>0.125</v>
      </c>
      <c r="T119" s="44">
        <v>0.05</v>
      </c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1137600</v>
      </c>
      <c r="Y119" s="50">
        <f>IF(NOTA[[#This Row],[JUMLAH]]="","",NOTA[[#This Row],[JUMLAH]]*NOTA[[#This Row],[DISC 1]])</f>
        <v>142200</v>
      </c>
      <c r="Z119" s="50">
        <f>IF(NOTA[[#This Row],[JUMLAH]]="","",(NOTA[[#This Row],[JUMLAH]]-NOTA[[#This Row],[DISC 1-]])*NOTA[[#This Row],[DISC 2]])</f>
        <v>49770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191970</v>
      </c>
      <c r="AC119" s="50">
        <f>IF(NOTA[[#This Row],[JUMLAH]]="","",NOTA[[#This Row],[JUMLAH]]-NOTA[[#This Row],[DISC]])</f>
        <v>945630</v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1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19" s="50">
        <f>IF(OR(NOTA[[#This Row],[QTY]]="",NOTA[[#This Row],[HARGA SATUAN]]="",),"",NOTA[[#This Row],[QTY]]*NOTA[[#This Row],[HARGA SATUAN]])</f>
        <v>1137600</v>
      </c>
      <c r="AH119" s="39">
        <f ca="1">IF(NOTA[ID_H]="","",INDEX(NOTA[TANGGAL],MATCH(,INDIRECT(ADDRESS(ROW(NOTA[TANGGAL]),COLUMN(NOTA[TANGGAL]))&amp;":"&amp;ADDRESS(ROW(),COLUMN(NOTA[TANGGAL]))),-1)))</f>
        <v>45178</v>
      </c>
      <c r="AI119" s="41" t="str">
        <f ca="1">IF(NOTA[[#This Row],[NAMA BARANG]]="","",INDEX(NOTA[SUPPLIER],MATCH(,INDIRECT(ADDRESS(ROW(NOTA[ID]),COLUMN(NOTA[ID]))&amp;":"&amp;ADDRESS(ROW(),COLUMN(NOTA[ID]))),-1)))</f>
        <v>ATALI MAKMUR</v>
      </c>
      <c r="AJ119" s="41" t="str">
        <f ca="1">IF(NOTA[[#This Row],[ID_H]]="","",IF(NOTA[[#This Row],[FAKTUR]]="",INDIRECT(ADDRESS(ROW()-1,COLUMN())),NOTA[[#This Row],[FAKTUR]]))</f>
        <v>ARTO MORO</v>
      </c>
      <c r="AK119" s="38" t="str">
        <f ca="1">IF(NOTA[[#This Row],[ID]]="","",COUNTIF(NOTA[ID_H],NOTA[[#This Row],[ID_H]]))</f>
        <v/>
      </c>
      <c r="AL119" s="38">
        <f ca="1">IF(NOTA[[#This Row],[TGL.NOTA]]="",IF(NOTA[[#This Row],[SUPPLIER_H]]="","",AL118),MONTH(NOTA[[#This Row],[TGL.NOTA]]))</f>
        <v>9</v>
      </c>
      <c r="AM11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N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38" t="str">
        <f>IF(NOTA[[#This Row],[CONCAT4]]="","",_xlfn.IFNA(MATCH(NOTA[[#This Row],[CONCAT4]],[2]!RAW[CONCAT_H],0),FALSE))</f>
        <v/>
      </c>
      <c r="AR119" s="38">
        <f>IF(NOTA[[#This Row],[CONCAT1]]="","",MATCH(NOTA[[#This Row],[CONCAT1]],[3]!db[NB NOTA_C],0))</f>
        <v>176</v>
      </c>
      <c r="AS119" s="38" t="b">
        <f>IF(NOTA[[#This Row],[QTY/ CTN]]="","",TRUE)</f>
        <v>1</v>
      </c>
      <c r="AT119" s="38" t="str">
        <f ca="1">IF(NOTA[[#This Row],[ID_H]]="","",IF(NOTA[[#This Row],[Column3]]=TRUE,NOTA[[#This Row],[QTY/ CTN]],INDEX([3]!db[QTY/ CTN],NOTA[[#This Row],[//DB]])))</f>
        <v>72 PCS</v>
      </c>
      <c r="AU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V119" s="38" t="e">
        <f ca="1">IF(NOTA[[#This Row],[ID_H]]="","",MATCH(NOTA[[#This Row],[NB NOTA_C_QTY]],[4]!db[NB NOTA_C_QTY+F],0))</f>
        <v>#REF!</v>
      </c>
      <c r="AW119" s="53">
        <f ca="1">IF(NOTA[[#This Row],[NB NOTA_C_QTY]]="","",ROW()-2)</f>
        <v>117</v>
      </c>
    </row>
    <row r="120" spans="1:49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18</v>
      </c>
      <c r="E120" s="46"/>
      <c r="F120" s="37"/>
      <c r="G120" s="37"/>
      <c r="H120" s="47"/>
      <c r="I120" s="37"/>
      <c r="J120" s="39"/>
      <c r="K120" s="37"/>
      <c r="L120" s="37" t="s">
        <v>232</v>
      </c>
      <c r="M120" s="40">
        <v>1</v>
      </c>
      <c r="N120" s="38">
        <v>72</v>
      </c>
      <c r="O120" s="37" t="s">
        <v>126</v>
      </c>
      <c r="P120" s="41">
        <v>15800</v>
      </c>
      <c r="Q120" s="42"/>
      <c r="R120" s="48" t="s">
        <v>217</v>
      </c>
      <c r="S120" s="49">
        <v>0.125</v>
      </c>
      <c r="T120" s="44">
        <v>0.05</v>
      </c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1137600</v>
      </c>
      <c r="Y120" s="50">
        <f>IF(NOTA[[#This Row],[JUMLAH]]="","",NOTA[[#This Row],[JUMLAH]]*NOTA[[#This Row],[DISC 1]])</f>
        <v>142200</v>
      </c>
      <c r="Z120" s="50">
        <f>IF(NOTA[[#This Row],[JUMLAH]]="","",(NOTA[[#This Row],[JUMLAH]]-NOTA[[#This Row],[DISC 1-]])*NOTA[[#This Row],[DISC 2]])</f>
        <v>49770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191970</v>
      </c>
      <c r="AC120" s="50">
        <f>IF(NOTA[[#This Row],[JUMLAH]]="","",NOTA[[#This Row],[JUMLAH]]-NOTA[[#This Row],[DISC]])</f>
        <v>945630</v>
      </c>
      <c r="AD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20" s="50">
        <f>IF(OR(NOTA[[#This Row],[QTY]]="",NOTA[[#This Row],[HARGA SATUAN]]="",),"",NOTA[[#This Row],[QTY]]*NOTA[[#This Row],[HARGA SATUAN]])</f>
        <v>1137600</v>
      </c>
      <c r="AH120" s="39">
        <f ca="1">IF(NOTA[ID_H]="","",INDEX(NOTA[TANGGAL],MATCH(,INDIRECT(ADDRESS(ROW(NOTA[TANGGAL]),COLUMN(NOTA[TANGGAL]))&amp;":"&amp;ADDRESS(ROW(),COLUMN(NOTA[TANGGAL]))),-1)))</f>
        <v>45178</v>
      </c>
      <c r="AI120" s="41" t="str">
        <f ca="1">IF(NOTA[[#This Row],[NAMA BARANG]]="","",INDEX(NOTA[SUPPLIER],MATCH(,INDIRECT(ADDRESS(ROW(NOTA[ID]),COLUMN(NOTA[ID]))&amp;":"&amp;ADDRESS(ROW(),COLUMN(NOTA[ID]))),-1)))</f>
        <v>ATALI MAKMUR</v>
      </c>
      <c r="AJ120" s="41" t="str">
        <f ca="1">IF(NOTA[[#This Row],[ID_H]]="","",IF(NOTA[[#This Row],[FAKTUR]]="",INDIRECT(ADDRESS(ROW()-1,COLUMN())),NOTA[[#This Row],[FAKTUR]]))</f>
        <v>ARTO MORO</v>
      </c>
      <c r="AK120" s="38" t="str">
        <f ca="1">IF(NOTA[[#This Row],[ID]]="","",COUNTIF(NOTA[ID_H],NOTA[[#This Row],[ID_H]]))</f>
        <v/>
      </c>
      <c r="AL120" s="38">
        <f ca="1">IF(NOTA[[#This Row],[TGL.NOTA]]="",IF(NOTA[[#This Row],[SUPPLIER_H]]="","",AL119),MONTH(NOTA[[#This Row],[TGL.NOTA]]))</f>
        <v>9</v>
      </c>
      <c r="AM12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N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O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0" s="38" t="str">
        <f>IF(NOTA[[#This Row],[CONCAT4]]="","",_xlfn.IFNA(MATCH(NOTA[[#This Row],[CONCAT4]],[2]!RAW[CONCAT_H],0),FALSE))</f>
        <v/>
      </c>
      <c r="AR120" s="38">
        <f>IF(NOTA[[#This Row],[CONCAT1]]="","",MATCH(NOTA[[#This Row],[CONCAT1]],[3]!db[NB NOTA_C],0))</f>
        <v>198</v>
      </c>
      <c r="AS120" s="38" t="b">
        <f>IF(NOTA[[#This Row],[QTY/ CTN]]="","",TRUE)</f>
        <v>1</v>
      </c>
      <c r="AT120" s="38" t="str">
        <f ca="1">IF(NOTA[[#This Row],[ID_H]]="","",IF(NOTA[[#This Row],[Column3]]=TRUE,NOTA[[#This Row],[QTY/ CTN]],INDEX([3]!db[QTY/ CTN],NOTA[[#This Row],[//DB]])))</f>
        <v>72 PCS</v>
      </c>
      <c r="AU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V120" s="38" t="e">
        <f ca="1">IF(NOTA[[#This Row],[ID_H]]="","",MATCH(NOTA[[#This Row],[NB NOTA_C_QTY]],[4]!db[NB NOTA_C_QTY+F],0))</f>
        <v>#REF!</v>
      </c>
      <c r="AW120" s="53">
        <f ca="1">IF(NOTA[[#This Row],[NB NOTA_C_QTY]]="","",ROW()-2)</f>
        <v>118</v>
      </c>
    </row>
    <row r="121" spans="1:49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18</v>
      </c>
      <c r="E121" s="46"/>
      <c r="F121" s="37"/>
      <c r="G121" s="37"/>
      <c r="H121" s="47"/>
      <c r="I121" s="37"/>
      <c r="J121" s="39"/>
      <c r="K121" s="37"/>
      <c r="L121" s="37" t="s">
        <v>231</v>
      </c>
      <c r="M121" s="40">
        <v>1</v>
      </c>
      <c r="N121" s="38">
        <v>72</v>
      </c>
      <c r="O121" s="37" t="s">
        <v>126</v>
      </c>
      <c r="P121" s="41">
        <v>15800</v>
      </c>
      <c r="Q121" s="42"/>
      <c r="R121" s="48" t="s">
        <v>217</v>
      </c>
      <c r="S121" s="49">
        <v>0.125</v>
      </c>
      <c r="T121" s="44">
        <v>0.05</v>
      </c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1137600</v>
      </c>
      <c r="Y121" s="50">
        <f>IF(NOTA[[#This Row],[JUMLAH]]="","",NOTA[[#This Row],[JUMLAH]]*NOTA[[#This Row],[DISC 1]])</f>
        <v>142200</v>
      </c>
      <c r="Z121" s="50">
        <f>IF(NOTA[[#This Row],[JUMLAH]]="","",(NOTA[[#This Row],[JUMLAH]]-NOTA[[#This Row],[DISC 1-]])*NOTA[[#This Row],[DISC 2]])</f>
        <v>49770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191970</v>
      </c>
      <c r="AC121" s="50">
        <f>IF(NOTA[[#This Row],[JUMLAH]]="","",NOTA[[#This Row],[JUMLAH]]-NOTA[[#This Row],[DISC]])</f>
        <v>945630</v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21" s="50">
        <f>IF(OR(NOTA[[#This Row],[QTY]]="",NOTA[[#This Row],[HARGA SATUAN]]="",),"",NOTA[[#This Row],[QTY]]*NOTA[[#This Row],[HARGA SATUAN]])</f>
        <v>1137600</v>
      </c>
      <c r="AH121" s="39">
        <f ca="1">IF(NOTA[ID_H]="","",INDEX(NOTA[TANGGAL],MATCH(,INDIRECT(ADDRESS(ROW(NOTA[TANGGAL]),COLUMN(NOTA[TANGGAL]))&amp;":"&amp;ADDRESS(ROW(),COLUMN(NOTA[TANGGAL]))),-1)))</f>
        <v>45178</v>
      </c>
      <c r="AI121" s="41" t="str">
        <f ca="1">IF(NOTA[[#This Row],[NAMA BARANG]]="","",INDEX(NOTA[SUPPLIER],MATCH(,INDIRECT(ADDRESS(ROW(NOTA[ID]),COLUMN(NOTA[ID]))&amp;":"&amp;ADDRESS(ROW(),COLUMN(NOTA[ID]))),-1)))</f>
        <v>ATALI MAKMUR</v>
      </c>
      <c r="AJ121" s="41" t="str">
        <f ca="1">IF(NOTA[[#This Row],[ID_H]]="","",IF(NOTA[[#This Row],[FAKTUR]]="",INDIRECT(ADDRESS(ROW()-1,COLUMN())),NOTA[[#This Row],[FAKTUR]]))</f>
        <v>ARTO MORO</v>
      </c>
      <c r="AK121" s="38" t="str">
        <f ca="1">IF(NOTA[[#This Row],[ID]]="","",COUNTIF(NOTA[ID_H],NOTA[[#This Row],[ID_H]]))</f>
        <v/>
      </c>
      <c r="AL121" s="38">
        <f ca="1">IF(NOTA[[#This Row],[TGL.NOTA]]="",IF(NOTA[[#This Row],[SUPPLIER_H]]="","",AL120),MONTH(NOTA[[#This Row],[TGL.NOTA]]))</f>
        <v>9</v>
      </c>
      <c r="AM121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N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38" t="str">
        <f>IF(NOTA[[#This Row],[CONCAT4]]="","",_xlfn.IFNA(MATCH(NOTA[[#This Row],[CONCAT4]],[2]!RAW[CONCAT_H],0),FALSE))</f>
        <v/>
      </c>
      <c r="AR121" s="38">
        <f>IF(NOTA[[#This Row],[CONCAT1]]="","",MATCH(NOTA[[#This Row],[CONCAT1]],[3]!db[NB NOTA_C],0))</f>
        <v>183</v>
      </c>
      <c r="AS121" s="38" t="b">
        <f>IF(NOTA[[#This Row],[QTY/ CTN]]="","",TRUE)</f>
        <v>1</v>
      </c>
      <c r="AT121" s="38" t="str">
        <f ca="1">IF(NOTA[[#This Row],[ID_H]]="","",IF(NOTA[[#This Row],[Column3]]=TRUE,NOTA[[#This Row],[QTY/ CTN]],INDEX([3]!db[QTY/ CTN],NOTA[[#This Row],[//DB]])))</f>
        <v>72 PCS</v>
      </c>
      <c r="AU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V121" s="38" t="e">
        <f ca="1">IF(NOTA[[#This Row],[ID_H]]="","",MATCH(NOTA[[#This Row],[NB NOTA_C_QTY]],[4]!db[NB NOTA_C_QTY+F],0))</f>
        <v>#REF!</v>
      </c>
      <c r="AW121" s="53">
        <f ca="1">IF(NOTA[[#This Row],[NB NOTA_C_QTY]]="","",ROW()-2)</f>
        <v>119</v>
      </c>
    </row>
    <row r="122" spans="1:49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18</v>
      </c>
      <c r="E122" s="46"/>
      <c r="F122" s="37"/>
      <c r="G122" s="37"/>
      <c r="H122" s="47"/>
      <c r="I122" s="37"/>
      <c r="J122" s="39"/>
      <c r="K122" s="37"/>
      <c r="L122" s="37" t="s">
        <v>545</v>
      </c>
      <c r="M122" s="40">
        <v>1</v>
      </c>
      <c r="N122" s="38">
        <v>72</v>
      </c>
      <c r="O122" s="37" t="s">
        <v>126</v>
      </c>
      <c r="P122" s="41">
        <v>15800</v>
      </c>
      <c r="Q122" s="42"/>
      <c r="R122" s="48" t="s">
        <v>217</v>
      </c>
      <c r="S122" s="49">
        <v>0.125</v>
      </c>
      <c r="T122" s="44">
        <v>0.05</v>
      </c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1137600</v>
      </c>
      <c r="Y122" s="50">
        <f>IF(NOTA[[#This Row],[JUMLAH]]="","",NOTA[[#This Row],[JUMLAH]]*NOTA[[#This Row],[DISC 1]])</f>
        <v>142200</v>
      </c>
      <c r="Z122" s="50">
        <f>IF(NOTA[[#This Row],[JUMLAH]]="","",(NOTA[[#This Row],[JUMLAH]]-NOTA[[#This Row],[DISC 1-]])*NOTA[[#This Row],[DISC 2]])</f>
        <v>49770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191970</v>
      </c>
      <c r="AC122" s="50">
        <f>IF(NOTA[[#This Row],[JUMLAH]]="","",NOTA[[#This Row],[JUMLAH]]-NOTA[[#This Row],[DISC]])</f>
        <v>945630</v>
      </c>
      <c r="AD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22" s="50">
        <f>IF(OR(NOTA[[#This Row],[QTY]]="",NOTA[[#This Row],[HARGA SATUAN]]="",),"",NOTA[[#This Row],[QTY]]*NOTA[[#This Row],[HARGA SATUAN]])</f>
        <v>1137600</v>
      </c>
      <c r="AH122" s="39">
        <f ca="1">IF(NOTA[ID_H]="","",INDEX(NOTA[TANGGAL],MATCH(,INDIRECT(ADDRESS(ROW(NOTA[TANGGAL]),COLUMN(NOTA[TANGGAL]))&amp;":"&amp;ADDRESS(ROW(),COLUMN(NOTA[TANGGAL]))),-1)))</f>
        <v>45178</v>
      </c>
      <c r="AI122" s="41" t="str">
        <f ca="1">IF(NOTA[[#This Row],[NAMA BARANG]]="","",INDEX(NOTA[SUPPLIER],MATCH(,INDIRECT(ADDRESS(ROW(NOTA[ID]),COLUMN(NOTA[ID]))&amp;":"&amp;ADDRESS(ROW(),COLUMN(NOTA[ID]))),-1)))</f>
        <v>ATALI MAKMUR</v>
      </c>
      <c r="AJ122" s="41" t="str">
        <f ca="1">IF(NOTA[[#This Row],[ID_H]]="","",IF(NOTA[[#This Row],[FAKTUR]]="",INDIRECT(ADDRESS(ROW()-1,COLUMN())),NOTA[[#This Row],[FAKTUR]]))</f>
        <v>ARTO MORO</v>
      </c>
      <c r="AK122" s="38" t="str">
        <f ca="1">IF(NOTA[[#This Row],[ID]]="","",COUNTIF(NOTA[ID_H],NOTA[[#This Row],[ID_H]]))</f>
        <v/>
      </c>
      <c r="AL122" s="38">
        <f ca="1">IF(NOTA[[#This Row],[TGL.NOTA]]="",IF(NOTA[[#This Row],[SUPPLIER_H]]="","",AL121),MONTH(NOTA[[#This Row],[TGL.NOTA]]))</f>
        <v>9</v>
      </c>
      <c r="AM122" s="38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N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O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bindera5tsedm503educationjku11376000.1250.05</v>
      </c>
      <c r="AP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38" t="str">
        <f>IF(NOTA[[#This Row],[CONCAT4]]="","",_xlfn.IFNA(MATCH(NOTA[[#This Row],[CONCAT4]],[2]!RAW[CONCAT_H],0),FALSE))</f>
        <v/>
      </c>
      <c r="AR122" s="38">
        <f>IF(NOTA[[#This Row],[CONCAT1]]="","",MATCH(NOTA[[#This Row],[CONCAT1]],[3]!db[NB NOTA_C],0))</f>
        <v>189</v>
      </c>
      <c r="AS122" s="38" t="b">
        <f>IF(NOTA[[#This Row],[QTY/ CTN]]="","",TRUE)</f>
        <v>1</v>
      </c>
      <c r="AT122" s="38" t="str">
        <f ca="1">IF(NOTA[[#This Row],[ID_H]]="","",IF(NOTA[[#This Row],[Column3]]=TRUE,NOTA[[#This Row],[QTY/ CTN]],INDEX([3]!db[QTY/ CTN],NOTA[[#This Row],[//DB]])))</f>
        <v>72 PCS</v>
      </c>
      <c r="AU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bindera5tsedm503educationjku72pcsartomoro</v>
      </c>
      <c r="AV122" s="38" t="e">
        <f ca="1">IF(NOTA[[#This Row],[ID_H]]="","",MATCH(NOTA[[#This Row],[NB NOTA_C_QTY]],[4]!db[NB NOTA_C_QTY+F],0))</f>
        <v>#REF!</v>
      </c>
      <c r="AW122" s="53">
        <f ca="1">IF(NOTA[[#This Row],[NB NOTA_C_QTY]]="","",ROW()-2)</f>
        <v>120</v>
      </c>
    </row>
    <row r="123" spans="1:49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18</v>
      </c>
      <c r="E123" s="46"/>
      <c r="F123" s="37"/>
      <c r="G123" s="37"/>
      <c r="H123" s="47"/>
      <c r="I123" s="37"/>
      <c r="J123" s="39"/>
      <c r="K123" s="37"/>
      <c r="L123" s="37" t="s">
        <v>225</v>
      </c>
      <c r="M123" s="40">
        <v>2</v>
      </c>
      <c r="N123" s="38">
        <v>48</v>
      </c>
      <c r="O123" s="37" t="s">
        <v>126</v>
      </c>
      <c r="P123" s="41">
        <v>19000</v>
      </c>
      <c r="Q123" s="42"/>
      <c r="R123" s="48" t="s">
        <v>226</v>
      </c>
      <c r="S123" s="49">
        <v>0.125</v>
      </c>
      <c r="T123" s="44">
        <v>0.05</v>
      </c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912000</v>
      </c>
      <c r="Y123" s="50">
        <f>IF(NOTA[[#This Row],[JUMLAH]]="","",NOTA[[#This Row],[JUMLAH]]*NOTA[[#This Row],[DISC 1]])</f>
        <v>114000</v>
      </c>
      <c r="Z123" s="50">
        <f>IF(NOTA[[#This Row],[JUMLAH]]="","",(NOTA[[#This Row],[JUMLAH]]-NOTA[[#This Row],[DISC 1-]])*NOTA[[#This Row],[DISC 2]])</f>
        <v>39900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153900</v>
      </c>
      <c r="AC123" s="50">
        <f>IF(NOTA[[#This Row],[JUMLAH]]="","",NOTA[[#This Row],[JUMLAH]]-NOTA[[#This Row],[DISC]])</f>
        <v>758100</v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G123" s="50">
        <f>IF(OR(NOTA[[#This Row],[QTY]]="",NOTA[[#This Row],[HARGA SATUAN]]="",),"",NOTA[[#This Row],[QTY]]*NOTA[[#This Row],[HARGA SATUAN]])</f>
        <v>912000</v>
      </c>
      <c r="AH123" s="39">
        <f ca="1">IF(NOTA[ID_H]="","",INDEX(NOTA[TANGGAL],MATCH(,INDIRECT(ADDRESS(ROW(NOTA[TANGGAL]),COLUMN(NOTA[TANGGAL]))&amp;":"&amp;ADDRESS(ROW(),COLUMN(NOTA[TANGGAL]))),-1)))</f>
        <v>45178</v>
      </c>
      <c r="AI123" s="41" t="str">
        <f ca="1">IF(NOTA[[#This Row],[NAMA BARANG]]="","",INDEX(NOTA[SUPPLIER],MATCH(,INDIRECT(ADDRESS(ROW(NOTA[ID]),COLUMN(NOTA[ID]))&amp;":"&amp;ADDRESS(ROW(),COLUMN(NOTA[ID]))),-1)))</f>
        <v>ATALI MAKMUR</v>
      </c>
      <c r="AJ123" s="41" t="str">
        <f ca="1">IF(NOTA[[#This Row],[ID_H]]="","",IF(NOTA[[#This Row],[FAKTUR]]="",INDIRECT(ADDRESS(ROW()-1,COLUMN())),NOTA[[#This Row],[FAKTUR]]))</f>
        <v>ARTO MORO</v>
      </c>
      <c r="AK123" s="38" t="str">
        <f ca="1">IF(NOTA[[#This Row],[ID]]="","",COUNTIF(NOTA[ID_H],NOTA[[#This Row],[ID_H]]))</f>
        <v/>
      </c>
      <c r="AL123" s="38">
        <f ca="1">IF(NOTA[[#This Row],[TGL.NOTA]]="",IF(NOTA[[#This Row],[SUPPLIER_H]]="","",AL121),MONTH(NOTA[[#This Row],[TGL.NOTA]]))</f>
        <v>9</v>
      </c>
      <c r="AM12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N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38" t="str">
        <f>IF(NOTA[[#This Row],[CONCAT4]]="","",_xlfn.IFNA(MATCH(NOTA[[#This Row],[CONCAT4]],[2]!RAW[CONCAT_H],0),FALSE))</f>
        <v/>
      </c>
      <c r="AR123" s="38">
        <f>IF(NOTA[[#This Row],[CONCAT1]]="","",MATCH(NOTA[[#This Row],[CONCAT1]],[3]!db[NB NOTA_C],0))</f>
        <v>2527</v>
      </c>
      <c r="AS123" s="38" t="b">
        <f>IF(NOTA[[#This Row],[QTY/ CTN]]="","",TRUE)</f>
        <v>1</v>
      </c>
      <c r="AT123" s="38" t="str">
        <f ca="1">IF(NOTA[[#This Row],[ID_H]]="","",IF(NOTA[[#This Row],[Column3]]=TRUE,NOTA[[#This Row],[QTY/ CTN]],INDEX([3]!db[QTY/ CTN],NOTA[[#This Row],[//DB]])))</f>
        <v>24 PCS</v>
      </c>
      <c r="AU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123" s="38" t="e">
        <f ca="1">IF(NOTA[[#This Row],[ID_H]]="","",MATCH(NOTA[[#This Row],[NB NOTA_C_QTY]],[4]!db[NB NOTA_C_QTY+F],0))</f>
        <v>#REF!</v>
      </c>
      <c r="AW123" s="53">
        <f ca="1">IF(NOTA[[#This Row],[NB NOTA_C_QTY]]="","",ROW()-2)</f>
        <v>121</v>
      </c>
    </row>
    <row r="124" spans="1:49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18</v>
      </c>
      <c r="E124" s="46"/>
      <c r="F124" s="37"/>
      <c r="G124" s="37"/>
      <c r="H124" s="47"/>
      <c r="I124" s="37"/>
      <c r="J124" s="39"/>
      <c r="K124" s="37"/>
      <c r="L124" s="37" t="s">
        <v>227</v>
      </c>
      <c r="M124" s="40">
        <v>1</v>
      </c>
      <c r="N124" s="38">
        <v>768</v>
      </c>
      <c r="O124" s="37" t="s">
        <v>126</v>
      </c>
      <c r="P124" s="41">
        <v>2100</v>
      </c>
      <c r="Q124" s="42"/>
      <c r="R124" s="48" t="s">
        <v>229</v>
      </c>
      <c r="S124" s="49">
        <v>0.125</v>
      </c>
      <c r="T124" s="44">
        <v>0.05</v>
      </c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1612800</v>
      </c>
      <c r="Y124" s="50">
        <f>IF(NOTA[[#This Row],[JUMLAH]]="","",NOTA[[#This Row],[JUMLAH]]*NOTA[[#This Row],[DISC 1]])</f>
        <v>201600</v>
      </c>
      <c r="Z124" s="50">
        <f>IF(NOTA[[#This Row],[JUMLAH]]="","",(NOTA[[#This Row],[JUMLAH]]-NOTA[[#This Row],[DISC 1-]])*NOTA[[#This Row],[DISC 2]])</f>
        <v>70560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272160</v>
      </c>
      <c r="AC124" s="50">
        <f>IF(NOTA[[#This Row],[JUMLAH]]="","",NOTA[[#This Row],[JUMLAH]]-NOTA[[#This Row],[DISC]])</f>
        <v>1340640</v>
      </c>
      <c r="AD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2939895</v>
      </c>
      <c r="AE1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14481705</v>
      </c>
      <c r="AF12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G124" s="50">
        <f>IF(OR(NOTA[[#This Row],[QTY]]="",NOTA[[#This Row],[HARGA SATUAN]]="",),"",NOTA[[#This Row],[QTY]]*NOTA[[#This Row],[HARGA SATUAN]])</f>
        <v>1612800</v>
      </c>
      <c r="AH124" s="39">
        <f ca="1">IF(NOTA[ID_H]="","",INDEX(NOTA[TANGGAL],MATCH(,INDIRECT(ADDRESS(ROW(NOTA[TANGGAL]),COLUMN(NOTA[TANGGAL]))&amp;":"&amp;ADDRESS(ROW(),COLUMN(NOTA[TANGGAL]))),-1)))</f>
        <v>45178</v>
      </c>
      <c r="AI124" s="41" t="str">
        <f ca="1">IF(NOTA[[#This Row],[NAMA BARANG]]="","",INDEX(NOTA[SUPPLIER],MATCH(,INDIRECT(ADDRESS(ROW(NOTA[ID]),COLUMN(NOTA[ID]))&amp;":"&amp;ADDRESS(ROW(),COLUMN(NOTA[ID]))),-1)))</f>
        <v>ATALI MAKMUR</v>
      </c>
      <c r="AJ124" s="41" t="str">
        <f ca="1">IF(NOTA[[#This Row],[ID_H]]="","",IF(NOTA[[#This Row],[FAKTUR]]="",INDIRECT(ADDRESS(ROW()-1,COLUMN())),NOTA[[#This Row],[FAKTUR]]))</f>
        <v>ARTO MORO</v>
      </c>
      <c r="AK124" s="38" t="str">
        <f ca="1">IF(NOTA[[#This Row],[ID]]="","",COUNTIF(NOTA[ID_H],NOTA[[#This Row],[ID_H]]))</f>
        <v/>
      </c>
      <c r="AL124" s="38">
        <f ca="1">IF(NOTA[[#This Row],[TGL.NOTA]]="",IF(NOTA[[#This Row],[SUPPLIER_H]]="","",AL123),MONTH(NOTA[[#This Row],[TGL.NOTA]]))</f>
        <v>9</v>
      </c>
      <c r="AM12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38" t="str">
        <f>IF(NOTA[[#This Row],[CONCAT4]]="","",_xlfn.IFNA(MATCH(NOTA[[#This Row],[CONCAT4]],[2]!RAW[CONCAT_H],0),FALSE))</f>
        <v/>
      </c>
      <c r="AR124" s="38">
        <f>IF(NOTA[[#This Row],[CONCAT1]]="","",MATCH(NOTA[[#This Row],[CONCAT1]],[3]!db[NB NOTA_C],0))</f>
        <v>1135</v>
      </c>
      <c r="AS124" s="38" t="b">
        <f>IF(NOTA[[#This Row],[QTY/ CTN]]="","",TRUE)</f>
        <v>1</v>
      </c>
      <c r="AT124" s="38" t="str">
        <f ca="1">IF(NOTA[[#This Row],[ID_H]]="","",IF(NOTA[[#This Row],[Column3]]=TRUE,NOTA[[#This Row],[QTY/ CTN]],INDEX([3]!db[QTY/ CTN],NOTA[[#This Row],[//DB]])))</f>
        <v>64 LSN</v>
      </c>
      <c r="AU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124" s="38" t="e">
        <f ca="1">IF(NOTA[[#This Row],[ID_H]]="","",MATCH(NOTA[[#This Row],[NB NOTA_C_QTY]],[4]!db[NB NOTA_C_QTY+F],0))</f>
        <v>#REF!</v>
      </c>
      <c r="AW124" s="53">
        <f ca="1">IF(NOTA[[#This Row],[NB NOTA_C_QTY]]="","",ROW()-2)</f>
        <v>122</v>
      </c>
    </row>
    <row r="125" spans="1:49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25" s="50" t="str">
        <f>IF(OR(NOTA[[#This Row],[QTY]]="",NOTA[[#This Row],[HARGA SATUAN]]="",),"",NOTA[[#This Row],[QTY]]*NOTA[[#This Row],[HARGA SATUAN]])</f>
        <v/>
      </c>
      <c r="AH125" s="39" t="str">
        <f ca="1">IF(NOTA[ID_H]="","",INDEX(NOTA[TANGGAL],MATCH(,INDIRECT(ADDRESS(ROW(NOTA[TANGGAL]),COLUMN(NOTA[TANGGAL]))&amp;":"&amp;ADDRESS(ROW(),COLUMN(NOTA[TANGGAL]))),-1)))</f>
        <v/>
      </c>
      <c r="AI125" s="41" t="str">
        <f ca="1">IF(NOTA[[#This Row],[NAMA BARANG]]="","",INDEX(NOTA[SUPPLIER],MATCH(,INDIRECT(ADDRESS(ROW(NOTA[ID]),COLUMN(NOTA[ID]))&amp;":"&amp;ADDRESS(ROW(),COLUMN(NOTA[ID]))),-1)))</f>
        <v/>
      </c>
      <c r="AJ125" s="41" t="str">
        <f ca="1">IF(NOTA[[#This Row],[ID_H]]="","",IF(NOTA[[#This Row],[FAKTUR]]="",INDIRECT(ADDRESS(ROW()-1,COLUMN())),NOTA[[#This Row],[FAKTUR]]))</f>
        <v/>
      </c>
      <c r="AK125" s="38" t="str">
        <f ca="1">IF(NOTA[[#This Row],[ID]]="","",COUNTIF(NOTA[ID_H],NOTA[[#This Row],[ID_H]]))</f>
        <v/>
      </c>
      <c r="AL125" s="38" t="str">
        <f ca="1">IF(NOTA[[#This Row],[TGL.NOTA]]="",IF(NOTA[[#This Row],[SUPPLIER_H]]="","",AL124),MONTH(NOTA[[#This Row],[TGL.NOTA]]))</f>
        <v/>
      </c>
      <c r="AM125" s="38" t="str">
        <f>LOWER(SUBSTITUTE(SUBSTITUTE(SUBSTITUTE(SUBSTITUTE(SUBSTITUTE(SUBSTITUTE(SUBSTITUTE(SUBSTITUTE(SUBSTITUTE(NOTA[NAMA BARANG]," ",),".",""),"-",""),"(",""),")",""),",",""),"/",""),"""",""),"+",""))</f>
        <v/>
      </c>
      <c r="AN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38" t="str">
        <f>IF(NOTA[[#This Row],[CONCAT4]]="","",_xlfn.IFNA(MATCH(NOTA[[#This Row],[CONCAT4]],[2]!RAW[CONCAT_H],0),FALSE))</f>
        <v/>
      </c>
      <c r="AR125" s="38" t="str">
        <f>IF(NOTA[[#This Row],[CONCAT1]]="","",MATCH(NOTA[[#This Row],[CONCAT1]],[3]!db[NB NOTA_C],0))</f>
        <v/>
      </c>
      <c r="AS125" s="38" t="str">
        <f>IF(NOTA[[#This Row],[QTY/ CTN]]="","",TRUE)</f>
        <v/>
      </c>
      <c r="AT125" s="38" t="str">
        <f ca="1">IF(NOTA[[#This Row],[ID_H]]="","",IF(NOTA[[#This Row],[Column3]]=TRUE,NOTA[[#This Row],[QTY/ CTN]],INDEX([3]!db[QTY/ CTN],NOTA[[#This Row],[//DB]])))</f>
        <v/>
      </c>
      <c r="AU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25" s="38" t="str">
        <f ca="1">IF(NOTA[[#This Row],[ID_H]]="","",MATCH(NOTA[[#This Row],[NB NOTA_C_QTY]],[4]!db[NB NOTA_C_QTY+F],0))</f>
        <v/>
      </c>
      <c r="AW125" s="53" t="str">
        <f ca="1">IF(NOTA[[#This Row],[NB NOTA_C_QTY]]="","",ROW()-2)</f>
        <v/>
      </c>
    </row>
    <row r="126" spans="1:49" s="38" customFormat="1" ht="20.100000000000001" customHeight="1" x14ac:dyDescent="0.25">
      <c r="A126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ATA_0909_844-12</v>
      </c>
      <c r="C126" s="38" t="e">
        <f ca="1">IF(NOTA[[#This Row],[ID_P]]="","",MATCH(NOTA[[#This Row],[ID_P]],[1]!B_MSK[N_ID],0))</f>
        <v>#REF!</v>
      </c>
      <c r="D126" s="38">
        <f ca="1">IF(NOTA[[#This Row],[NAMA BARANG]]="","",INDEX(NOTA[ID],MATCH(,INDIRECT(ADDRESS(ROW(NOTA[ID]),COLUMN(NOTA[ID]))&amp;":"&amp;ADDRESS(ROW(),COLUMN(NOTA[ID]))),-1)))</f>
        <v>19</v>
      </c>
      <c r="E126" s="46"/>
      <c r="F126" s="37" t="s">
        <v>24</v>
      </c>
      <c r="G126" s="37" t="s">
        <v>23</v>
      </c>
      <c r="H126" s="47" t="s">
        <v>233</v>
      </c>
      <c r="I126" s="37"/>
      <c r="J126" s="39">
        <v>45174</v>
      </c>
      <c r="K126" s="37"/>
      <c r="L126" s="37" t="s">
        <v>234</v>
      </c>
      <c r="M126" s="40">
        <v>2</v>
      </c>
      <c r="N126" s="38">
        <v>288</v>
      </c>
      <c r="O126" s="37" t="s">
        <v>126</v>
      </c>
      <c r="P126" s="41">
        <v>4350</v>
      </c>
      <c r="Q126" s="42"/>
      <c r="R126" s="48"/>
      <c r="S126" s="49">
        <v>0.125</v>
      </c>
      <c r="T126" s="44">
        <v>0.05</v>
      </c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1252800</v>
      </c>
      <c r="Y126" s="50">
        <f>IF(NOTA[[#This Row],[JUMLAH]]="","",NOTA[[#This Row],[JUMLAH]]*NOTA[[#This Row],[DISC 1]])</f>
        <v>156600</v>
      </c>
      <c r="Z126" s="50">
        <f>IF(NOTA[[#This Row],[JUMLAH]]="","",(NOTA[[#This Row],[JUMLAH]]-NOTA[[#This Row],[DISC 1-]])*NOTA[[#This Row],[DISC 2]])</f>
        <v>54810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211410</v>
      </c>
      <c r="AC126" s="50">
        <f>IF(NOTA[[#This Row],[JUMLAH]]="","",NOTA[[#This Row],[JUMLAH]]-NOTA[[#This Row],[DISC]])</f>
        <v>1041390</v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G126" s="50">
        <f>IF(OR(NOTA[[#This Row],[QTY]]="",NOTA[[#This Row],[HARGA SATUAN]]="",),"",NOTA[[#This Row],[QTY]]*NOTA[[#This Row],[HARGA SATUAN]])</f>
        <v>1252800</v>
      </c>
      <c r="AH126" s="39">
        <f ca="1">IF(NOTA[ID_H]="","",INDEX(NOTA[TANGGAL],MATCH(,INDIRECT(ADDRESS(ROW(NOTA[TANGGAL]),COLUMN(NOTA[TANGGAL]))&amp;":"&amp;ADDRESS(ROW(),COLUMN(NOTA[TANGGAL]))),-1)))</f>
        <v>45178</v>
      </c>
      <c r="AI126" s="41" t="str">
        <f ca="1">IF(NOTA[[#This Row],[NAMA BARANG]]="","",INDEX(NOTA[SUPPLIER],MATCH(,INDIRECT(ADDRESS(ROW(NOTA[ID]),COLUMN(NOTA[ID]))&amp;":"&amp;ADDRESS(ROW(),COLUMN(NOTA[ID]))),-1)))</f>
        <v>ATALI MAKMUR</v>
      </c>
      <c r="AJ126" s="41" t="str">
        <f ca="1">IF(NOTA[[#This Row],[ID_H]]="","",IF(NOTA[[#This Row],[FAKTUR]]="",INDIRECT(ADDRESS(ROW()-1,COLUMN())),NOTA[[#This Row],[FAKTUR]]))</f>
        <v>ARTO MORO</v>
      </c>
      <c r="AK126" s="38">
        <f ca="1">IF(NOTA[[#This Row],[ID]]="","",COUNTIF(NOTA[ID_H],NOTA[[#This Row],[ID_H]]))</f>
        <v>12</v>
      </c>
      <c r="AL126" s="38">
        <f>IF(NOTA[[#This Row],[TGL.NOTA]]="",IF(NOTA[[#This Row],[SUPPLIER_H]]="","",AL125),MONTH(NOTA[[#This Row],[TGL.NOTA]]))</f>
        <v>9</v>
      </c>
      <c r="AM12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12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MOROSA23091584445174scissorssc828jk</v>
      </c>
      <c r="AQ126" s="38" t="e">
        <f>IF(NOTA[[#This Row],[CONCAT4]]="","",_xlfn.IFNA(MATCH(NOTA[[#This Row],[CONCAT4]],[2]!RAW[CONCAT_H],0),FALSE))</f>
        <v>#REF!</v>
      </c>
      <c r="AR126" s="38">
        <f>IF(NOTA[[#This Row],[CONCAT1]]="","",MATCH(NOTA[[#This Row],[CONCAT1]],[3]!db[NB NOTA_C],0))</f>
        <v>2394</v>
      </c>
      <c r="AS126" s="38" t="str">
        <f>IF(NOTA[[#This Row],[QTY/ CTN]]="","",TRUE)</f>
        <v/>
      </c>
      <c r="AT126" s="38" t="str">
        <f ca="1">IF(NOTA[[#This Row],[ID_H]]="","",IF(NOTA[[#This Row],[Column3]]=TRUE,NOTA[[#This Row],[QTY/ CTN]],INDEX([3]!db[QTY/ CTN],NOTA[[#This Row],[//DB]])))</f>
        <v>12 LSN</v>
      </c>
      <c r="AU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126" s="38" t="e">
        <f ca="1">IF(NOTA[[#This Row],[ID_H]]="","",MATCH(NOTA[[#This Row],[NB NOTA_C_QTY]],[4]!db[NB NOTA_C_QTY+F],0))</f>
        <v>#REF!</v>
      </c>
      <c r="AW126" s="53">
        <f ca="1">IF(NOTA[[#This Row],[NB NOTA_C_QTY]]="","",ROW()-2)</f>
        <v>124</v>
      </c>
    </row>
    <row r="127" spans="1:49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19</v>
      </c>
      <c r="E127" s="46"/>
      <c r="F127" s="37"/>
      <c r="G127" s="37"/>
      <c r="H127" s="47"/>
      <c r="I127" s="37"/>
      <c r="J127" s="39"/>
      <c r="K127" s="37"/>
      <c r="L127" s="37" t="s">
        <v>235</v>
      </c>
      <c r="M127" s="40">
        <v>2</v>
      </c>
      <c r="N127" s="38">
        <v>288</v>
      </c>
      <c r="O127" s="37" t="s">
        <v>126</v>
      </c>
      <c r="P127" s="41">
        <v>6500</v>
      </c>
      <c r="Q127" s="42"/>
      <c r="R127" s="48"/>
      <c r="S127" s="49">
        <v>0.125</v>
      </c>
      <c r="T127" s="44">
        <v>0.05</v>
      </c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1872000</v>
      </c>
      <c r="Y127" s="50">
        <f>IF(NOTA[[#This Row],[JUMLAH]]="","",NOTA[[#This Row],[JUMLAH]]*NOTA[[#This Row],[DISC 1]])</f>
        <v>234000</v>
      </c>
      <c r="Z127" s="50">
        <f>IF(NOTA[[#This Row],[JUMLAH]]="","",(NOTA[[#This Row],[JUMLAH]]-NOTA[[#This Row],[DISC 1-]])*NOTA[[#This Row],[DISC 2]])</f>
        <v>81900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315900</v>
      </c>
      <c r="AC127" s="50">
        <f>IF(NOTA[[#This Row],[JUMLAH]]="","",NOTA[[#This Row],[JUMLAH]]-NOTA[[#This Row],[DISC]])</f>
        <v>1556100</v>
      </c>
      <c r="AD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7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G127" s="50">
        <f>IF(OR(NOTA[[#This Row],[QTY]]="",NOTA[[#This Row],[HARGA SATUAN]]="",),"",NOTA[[#This Row],[QTY]]*NOTA[[#This Row],[HARGA SATUAN]])</f>
        <v>1872000</v>
      </c>
      <c r="AH127" s="39">
        <f ca="1">IF(NOTA[ID_H]="","",INDEX(NOTA[TANGGAL],MATCH(,INDIRECT(ADDRESS(ROW(NOTA[TANGGAL]),COLUMN(NOTA[TANGGAL]))&amp;":"&amp;ADDRESS(ROW(),COLUMN(NOTA[TANGGAL]))),-1)))</f>
        <v>45178</v>
      </c>
      <c r="AI127" s="41" t="str">
        <f ca="1">IF(NOTA[[#This Row],[NAMA BARANG]]="","",INDEX(NOTA[SUPPLIER],MATCH(,INDIRECT(ADDRESS(ROW(NOTA[ID]),COLUMN(NOTA[ID]))&amp;":"&amp;ADDRESS(ROW(),COLUMN(NOTA[ID]))),-1)))</f>
        <v>ATALI MAKMUR</v>
      </c>
      <c r="AJ127" s="41" t="str">
        <f ca="1">IF(NOTA[[#This Row],[ID_H]]="","",IF(NOTA[[#This Row],[FAKTUR]]="",INDIRECT(ADDRESS(ROW()-1,COLUMN())),NOTA[[#This Row],[FAKTUR]]))</f>
        <v>ARTO MORO</v>
      </c>
      <c r="AK127" s="38" t="str">
        <f ca="1">IF(NOTA[[#This Row],[ID]]="","",COUNTIF(NOTA[ID_H],NOTA[[#This Row],[ID_H]]))</f>
        <v/>
      </c>
      <c r="AL127" s="38">
        <f ca="1">IF(NOTA[[#This Row],[TGL.NOTA]]="",IF(NOTA[[#This Row],[SUPPLIER_H]]="","",AL126),MONTH(NOTA[[#This Row],[TGL.NOTA]]))</f>
        <v>9</v>
      </c>
      <c r="AM127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N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38" t="str">
        <f>IF(NOTA[[#This Row],[CONCAT4]]="","",_xlfn.IFNA(MATCH(NOTA[[#This Row],[CONCAT4]],[2]!RAW[CONCAT_H],0),FALSE))</f>
        <v/>
      </c>
      <c r="AR127" s="38">
        <f>IF(NOTA[[#This Row],[CONCAT1]]="","",MATCH(NOTA[[#This Row],[CONCAT1]],[3]!db[NB NOTA_C],0))</f>
        <v>2395</v>
      </c>
      <c r="AS127" s="38" t="str">
        <f>IF(NOTA[[#This Row],[QTY/ CTN]]="","",TRUE)</f>
        <v/>
      </c>
      <c r="AT127" s="38" t="str">
        <f ca="1">IF(NOTA[[#This Row],[ID_H]]="","",IF(NOTA[[#This Row],[Column3]]=TRUE,NOTA[[#This Row],[QTY/ CTN]],INDEX([3]!db[QTY/ CTN],NOTA[[#This Row],[//DB]])))</f>
        <v>12 LSN</v>
      </c>
      <c r="AU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V127" s="38" t="e">
        <f ca="1">IF(NOTA[[#This Row],[ID_H]]="","",MATCH(NOTA[[#This Row],[NB NOTA_C_QTY]],[4]!db[NB NOTA_C_QTY+F],0))</f>
        <v>#REF!</v>
      </c>
      <c r="AW127" s="53">
        <f ca="1">IF(NOTA[[#This Row],[NB NOTA_C_QTY]]="","",ROW()-2)</f>
        <v>125</v>
      </c>
    </row>
    <row r="128" spans="1:49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19</v>
      </c>
      <c r="E128" s="46"/>
      <c r="F128" s="37"/>
      <c r="G128" s="37"/>
      <c r="H128" s="47"/>
      <c r="I128" s="37"/>
      <c r="J128" s="39"/>
      <c r="K128" s="37"/>
      <c r="L128" s="37" t="s">
        <v>236</v>
      </c>
      <c r="M128" s="40">
        <v>2</v>
      </c>
      <c r="N128" s="38">
        <v>288</v>
      </c>
      <c r="O128" s="37" t="s">
        <v>126</v>
      </c>
      <c r="P128" s="41">
        <v>9750</v>
      </c>
      <c r="Q128" s="42"/>
      <c r="R128" s="48"/>
      <c r="S128" s="49">
        <v>0.125</v>
      </c>
      <c r="T128" s="44">
        <v>0.05</v>
      </c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2808000</v>
      </c>
      <c r="Y128" s="50">
        <f>IF(NOTA[[#This Row],[JUMLAH]]="","",NOTA[[#This Row],[JUMLAH]]*NOTA[[#This Row],[DISC 1]])</f>
        <v>351000</v>
      </c>
      <c r="Z128" s="50">
        <f>IF(NOTA[[#This Row],[JUMLAH]]="","",(NOTA[[#This Row],[JUMLAH]]-NOTA[[#This Row],[DISC 1-]])*NOTA[[#This Row],[DISC 2]])</f>
        <v>122850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473850</v>
      </c>
      <c r="AC128" s="50">
        <f>IF(NOTA[[#This Row],[JUMLAH]]="","",NOTA[[#This Row],[JUMLAH]]-NOTA[[#This Row],[DISC]])</f>
        <v>2334150</v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8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G128" s="50">
        <f>IF(OR(NOTA[[#This Row],[QTY]]="",NOTA[[#This Row],[HARGA SATUAN]]="",),"",NOTA[[#This Row],[QTY]]*NOTA[[#This Row],[HARGA SATUAN]])</f>
        <v>2808000</v>
      </c>
      <c r="AH128" s="39">
        <f ca="1">IF(NOTA[ID_H]="","",INDEX(NOTA[TANGGAL],MATCH(,INDIRECT(ADDRESS(ROW(NOTA[TANGGAL]),COLUMN(NOTA[TANGGAL]))&amp;":"&amp;ADDRESS(ROW(),COLUMN(NOTA[TANGGAL]))),-1)))</f>
        <v>45178</v>
      </c>
      <c r="AI128" s="41" t="str">
        <f ca="1">IF(NOTA[[#This Row],[NAMA BARANG]]="","",INDEX(NOTA[SUPPLIER],MATCH(,INDIRECT(ADDRESS(ROW(NOTA[ID]),COLUMN(NOTA[ID]))&amp;":"&amp;ADDRESS(ROW(),COLUMN(NOTA[ID]))),-1)))</f>
        <v>ATALI MAKMUR</v>
      </c>
      <c r="AJ128" s="41" t="str">
        <f ca="1">IF(NOTA[[#This Row],[ID_H]]="","",IF(NOTA[[#This Row],[FAKTUR]]="",INDIRECT(ADDRESS(ROW()-1,COLUMN())),NOTA[[#This Row],[FAKTUR]]))</f>
        <v>ARTO MORO</v>
      </c>
      <c r="AK128" s="38" t="str">
        <f ca="1">IF(NOTA[[#This Row],[ID]]="","",COUNTIF(NOTA[ID_H],NOTA[[#This Row],[ID_H]]))</f>
        <v/>
      </c>
      <c r="AL128" s="38">
        <f ca="1">IF(NOTA[[#This Row],[TGL.NOTA]]="",IF(NOTA[[#This Row],[SUPPLIER_H]]="","",AL127),MONTH(NOTA[[#This Row],[TGL.NOTA]]))</f>
        <v>9</v>
      </c>
      <c r="AM128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N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38" t="str">
        <f>IF(NOTA[[#This Row],[CONCAT4]]="","",_xlfn.IFNA(MATCH(NOTA[[#This Row],[CONCAT4]],[2]!RAW[CONCAT_H],0),FALSE))</f>
        <v/>
      </c>
      <c r="AR128" s="38">
        <f>IF(NOTA[[#This Row],[CONCAT1]]="","",MATCH(NOTA[[#This Row],[CONCAT1]],[3]!db[NB NOTA_C],0))</f>
        <v>2397</v>
      </c>
      <c r="AS128" s="38" t="str">
        <f>IF(NOTA[[#This Row],[QTY/ CTN]]="","",TRUE)</f>
        <v/>
      </c>
      <c r="AT128" s="38" t="str">
        <f ca="1">IF(NOTA[[#This Row],[ID_H]]="","",IF(NOTA[[#This Row],[Column3]]=TRUE,NOTA[[#This Row],[QTY/ CTN]],INDEX([3]!db[QTY/ CTN],NOTA[[#This Row],[//DB]])))</f>
        <v>12 LSN</v>
      </c>
      <c r="AU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V128" s="38" t="e">
        <f ca="1">IF(NOTA[[#This Row],[ID_H]]="","",MATCH(NOTA[[#This Row],[NB NOTA_C_QTY]],[4]!db[NB NOTA_C_QTY+F],0))</f>
        <v>#REF!</v>
      </c>
      <c r="AW128" s="53">
        <f ca="1">IF(NOTA[[#This Row],[NB NOTA_C_QTY]]="","",ROW()-2)</f>
        <v>126</v>
      </c>
    </row>
    <row r="129" spans="1:49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19</v>
      </c>
      <c r="E129" s="46"/>
      <c r="F129" s="37"/>
      <c r="G129" s="37"/>
      <c r="H129" s="47"/>
      <c r="I129" s="37"/>
      <c r="J129" s="39"/>
      <c r="K129" s="37"/>
      <c r="L129" s="37" t="s">
        <v>237</v>
      </c>
      <c r="M129" s="40">
        <v>1</v>
      </c>
      <c r="N129" s="38">
        <v>24</v>
      </c>
      <c r="O129" s="37" t="s">
        <v>132</v>
      </c>
      <c r="P129" s="41">
        <v>66900</v>
      </c>
      <c r="Q129" s="42"/>
      <c r="R129" s="48"/>
      <c r="S129" s="49">
        <v>0.125</v>
      </c>
      <c r="T129" s="44">
        <v>0.05</v>
      </c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1605600</v>
      </c>
      <c r="Y129" s="50">
        <f>IF(NOTA[[#This Row],[JUMLAH]]="","",NOTA[[#This Row],[JUMLAH]]*NOTA[[#This Row],[DISC 1]])</f>
        <v>200700</v>
      </c>
      <c r="Z129" s="50">
        <f>IF(NOTA[[#This Row],[JUMLAH]]="","",(NOTA[[#This Row],[JUMLAH]]-NOTA[[#This Row],[DISC 1-]])*NOTA[[#This Row],[DISC 2]])</f>
        <v>70245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270945</v>
      </c>
      <c r="AC129" s="50">
        <f>IF(NOTA[[#This Row],[JUMLAH]]="","",NOTA[[#This Row],[JUMLAH]]-NOTA[[#This Row],[DISC]])</f>
        <v>1334655</v>
      </c>
      <c r="AD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2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G129" s="50">
        <f>IF(OR(NOTA[[#This Row],[QTY]]="",NOTA[[#This Row],[HARGA SATUAN]]="",),"",NOTA[[#This Row],[QTY]]*NOTA[[#This Row],[HARGA SATUAN]])</f>
        <v>1605600</v>
      </c>
      <c r="AH129" s="39">
        <f ca="1">IF(NOTA[ID_H]="","",INDEX(NOTA[TANGGAL],MATCH(,INDIRECT(ADDRESS(ROW(NOTA[TANGGAL]),COLUMN(NOTA[TANGGAL]))&amp;":"&amp;ADDRESS(ROW(),COLUMN(NOTA[TANGGAL]))),-1)))</f>
        <v>45178</v>
      </c>
      <c r="AI129" s="41" t="str">
        <f ca="1">IF(NOTA[[#This Row],[NAMA BARANG]]="","",INDEX(NOTA[SUPPLIER],MATCH(,INDIRECT(ADDRESS(ROW(NOTA[ID]),COLUMN(NOTA[ID]))&amp;":"&amp;ADDRESS(ROW(),COLUMN(NOTA[ID]))),-1)))</f>
        <v>ATALI MAKMUR</v>
      </c>
      <c r="AJ129" s="41" t="str">
        <f ca="1">IF(NOTA[[#This Row],[ID_H]]="","",IF(NOTA[[#This Row],[FAKTUR]]="",INDIRECT(ADDRESS(ROW()-1,COLUMN())),NOTA[[#This Row],[FAKTUR]]))</f>
        <v>ARTO MORO</v>
      </c>
      <c r="AK129" s="38" t="str">
        <f ca="1">IF(NOTA[[#This Row],[ID]]="","",COUNTIF(NOTA[ID_H],NOTA[[#This Row],[ID_H]]))</f>
        <v/>
      </c>
      <c r="AL129" s="38">
        <f ca="1">IF(NOTA[[#This Row],[TGL.NOTA]]="",IF(NOTA[[#This Row],[SUPPLIER_H]]="","",AL128),MONTH(NOTA[[#This Row],[TGL.NOTA]]))</f>
        <v>9</v>
      </c>
      <c r="AM12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9" s="38" t="str">
        <f>IF(NOTA[[#This Row],[CONCAT4]]="","",_xlfn.IFNA(MATCH(NOTA[[#This Row],[CONCAT4]],[2]!RAW[CONCAT_H],0),FALSE))</f>
        <v/>
      </c>
      <c r="AR129" s="38">
        <f>IF(NOTA[[#This Row],[CONCAT1]]="","",MATCH(NOTA[[#This Row],[CONCAT1]],[3]!db[NB NOTA_C],0))</f>
        <v>1900</v>
      </c>
      <c r="AS129" s="38" t="str">
        <f>IF(NOTA[[#This Row],[QTY/ CTN]]="","",TRUE)</f>
        <v/>
      </c>
      <c r="AT129" s="38" t="str">
        <f ca="1">IF(NOTA[[#This Row],[ID_H]]="","",IF(NOTA[[#This Row],[Column3]]=TRUE,NOTA[[#This Row],[QTY/ CTN]],INDEX([3]!db[QTY/ CTN],NOTA[[#This Row],[//DB]])))</f>
        <v>4 BOX (6 SET)</v>
      </c>
      <c r="AU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V129" s="38" t="e">
        <f ca="1">IF(NOTA[[#This Row],[ID_H]]="","",MATCH(NOTA[[#This Row],[NB NOTA_C_QTY]],[4]!db[NB NOTA_C_QTY+F],0))</f>
        <v>#REF!</v>
      </c>
      <c r="AW129" s="53">
        <f ca="1">IF(NOTA[[#This Row],[NB NOTA_C_QTY]]="","",ROW()-2)</f>
        <v>127</v>
      </c>
    </row>
    <row r="130" spans="1:49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19</v>
      </c>
      <c r="E130" s="46"/>
      <c r="F130" s="37"/>
      <c r="G130" s="37"/>
      <c r="H130" s="47"/>
      <c r="I130" s="37"/>
      <c r="J130" s="39"/>
      <c r="K130" s="37"/>
      <c r="L130" s="37" t="s">
        <v>238</v>
      </c>
      <c r="M130" s="40">
        <v>2</v>
      </c>
      <c r="N130" s="38">
        <v>2000</v>
      </c>
      <c r="O130" s="37" t="s">
        <v>239</v>
      </c>
      <c r="P130" s="41">
        <v>2050</v>
      </c>
      <c r="Q130" s="42"/>
      <c r="R130" s="48"/>
      <c r="S130" s="49">
        <v>0.125</v>
      </c>
      <c r="T130" s="44">
        <v>0.05</v>
      </c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4100000</v>
      </c>
      <c r="Y130" s="50">
        <f>IF(NOTA[[#This Row],[JUMLAH]]="","",NOTA[[#This Row],[JUMLAH]]*NOTA[[#This Row],[DISC 1]])</f>
        <v>512500</v>
      </c>
      <c r="Z130" s="50">
        <f>IF(NOTA[[#This Row],[JUMLAH]]="","",(NOTA[[#This Row],[JUMLAH]]-NOTA[[#This Row],[DISC 1-]])*NOTA[[#This Row],[DISC 2]])</f>
        <v>179375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691875</v>
      </c>
      <c r="AC130" s="50">
        <f>IF(NOTA[[#This Row],[JUMLAH]]="","",NOTA[[#This Row],[JUMLAH]]-NOTA[[#This Row],[DISC]])</f>
        <v>3408125</v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G130" s="50">
        <f>IF(OR(NOTA[[#This Row],[QTY]]="",NOTA[[#This Row],[HARGA SATUAN]]="",),"",NOTA[[#This Row],[QTY]]*NOTA[[#This Row],[HARGA SATUAN]])</f>
        <v>4100000</v>
      </c>
      <c r="AH130" s="39">
        <f ca="1">IF(NOTA[ID_H]="","",INDEX(NOTA[TANGGAL],MATCH(,INDIRECT(ADDRESS(ROW(NOTA[TANGGAL]),COLUMN(NOTA[TANGGAL]))&amp;":"&amp;ADDRESS(ROW(),COLUMN(NOTA[TANGGAL]))),-1)))</f>
        <v>45178</v>
      </c>
      <c r="AI130" s="41" t="str">
        <f ca="1">IF(NOTA[[#This Row],[NAMA BARANG]]="","",INDEX(NOTA[SUPPLIER],MATCH(,INDIRECT(ADDRESS(ROW(NOTA[ID]),COLUMN(NOTA[ID]))&amp;":"&amp;ADDRESS(ROW(),COLUMN(NOTA[ID]))),-1)))</f>
        <v>ATALI MAKMUR</v>
      </c>
      <c r="AJ130" s="41" t="str">
        <f ca="1">IF(NOTA[[#This Row],[ID_H]]="","",IF(NOTA[[#This Row],[FAKTUR]]="",INDIRECT(ADDRESS(ROW()-1,COLUMN())),NOTA[[#This Row],[FAKTUR]]))</f>
        <v>ARTO MORO</v>
      </c>
      <c r="AK130" s="38" t="str">
        <f ca="1">IF(NOTA[[#This Row],[ID]]="","",COUNTIF(NOTA[ID_H],NOTA[[#This Row],[ID_H]]))</f>
        <v/>
      </c>
      <c r="AL130" s="38">
        <f ca="1">IF(NOTA[[#This Row],[TGL.NOTA]]="",IF(NOTA[[#This Row],[SUPPLIER_H]]="","",AL129),MONTH(NOTA[[#This Row],[TGL.NOTA]]))</f>
        <v>9</v>
      </c>
      <c r="AM13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38" t="str">
        <f>IF(NOTA[[#This Row],[CONCAT4]]="","",_xlfn.IFNA(MATCH(NOTA[[#This Row],[CONCAT4]],[2]!RAW[CONCAT_H],0),FALSE))</f>
        <v/>
      </c>
      <c r="AR130" s="38">
        <f>IF(NOTA[[#This Row],[CONCAT1]]="","",MATCH(NOTA[[#This Row],[CONCAT1]],[3]!db[NB NOTA_C],0))</f>
        <v>1624</v>
      </c>
      <c r="AS130" s="38" t="str">
        <f>IF(NOTA[[#This Row],[QTY/ CTN]]="","",TRUE)</f>
        <v/>
      </c>
      <c r="AT130" s="38" t="str">
        <f ca="1">IF(NOTA[[#This Row],[ID_H]]="","",IF(NOTA[[#This Row],[Column3]]=TRUE,NOTA[[#This Row],[QTY/ CTN]],INDEX([3]!db[QTY/ CTN],NOTA[[#This Row],[//DB]])))</f>
        <v>100 PAK (10 ROL)</v>
      </c>
      <c r="AU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130" s="38" t="e">
        <f ca="1">IF(NOTA[[#This Row],[ID_H]]="","",MATCH(NOTA[[#This Row],[NB NOTA_C_QTY]],[4]!db[NB NOTA_C_QTY+F],0))</f>
        <v>#REF!</v>
      </c>
      <c r="AW130" s="53">
        <f ca="1">IF(NOTA[[#This Row],[NB NOTA_C_QTY]]="","",ROW()-2)</f>
        <v>128</v>
      </c>
    </row>
    <row r="131" spans="1:49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19</v>
      </c>
      <c r="E131" s="46"/>
      <c r="F131" s="37"/>
      <c r="G131" s="37"/>
      <c r="H131" s="47"/>
      <c r="I131" s="37"/>
      <c r="J131" s="39"/>
      <c r="K131" s="37"/>
      <c r="L131" s="37" t="s">
        <v>240</v>
      </c>
      <c r="M131" s="40">
        <v>6</v>
      </c>
      <c r="N131" s="38">
        <v>4320</v>
      </c>
      <c r="O131" s="37" t="s">
        <v>126</v>
      </c>
      <c r="P131" s="41">
        <v>4800</v>
      </c>
      <c r="Q131" s="42"/>
      <c r="R131" s="48"/>
      <c r="S131" s="49">
        <v>0.125</v>
      </c>
      <c r="T131" s="44">
        <v>0.05</v>
      </c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20736000</v>
      </c>
      <c r="Y131" s="50">
        <f>IF(NOTA[[#This Row],[JUMLAH]]="","",NOTA[[#This Row],[JUMLAH]]*NOTA[[#This Row],[DISC 1]])</f>
        <v>2592000</v>
      </c>
      <c r="Z131" s="50">
        <f>IF(NOTA[[#This Row],[JUMLAH]]="","",(NOTA[[#This Row],[JUMLAH]]-NOTA[[#This Row],[DISC 1-]])*NOTA[[#This Row],[DISC 2]])</f>
        <v>907200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3499200</v>
      </c>
      <c r="AC131" s="50">
        <f>IF(NOTA[[#This Row],[JUMLAH]]="","",NOTA[[#This Row],[JUMLAH]]-NOTA[[#This Row],[DISC]])</f>
        <v>17236800</v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131" s="50">
        <f>IF(OR(NOTA[[#This Row],[QTY]]="",NOTA[[#This Row],[HARGA SATUAN]]="",),"",NOTA[[#This Row],[QTY]]*NOTA[[#This Row],[HARGA SATUAN]])</f>
        <v>20736000</v>
      </c>
      <c r="AH131" s="39">
        <f ca="1">IF(NOTA[ID_H]="","",INDEX(NOTA[TANGGAL],MATCH(,INDIRECT(ADDRESS(ROW(NOTA[TANGGAL]),COLUMN(NOTA[TANGGAL]))&amp;":"&amp;ADDRESS(ROW(),COLUMN(NOTA[TANGGAL]))),-1)))</f>
        <v>45178</v>
      </c>
      <c r="AI131" s="41" t="str">
        <f ca="1">IF(NOTA[[#This Row],[NAMA BARANG]]="","",INDEX(NOTA[SUPPLIER],MATCH(,INDIRECT(ADDRESS(ROW(NOTA[ID]),COLUMN(NOTA[ID]))&amp;":"&amp;ADDRESS(ROW(),COLUMN(NOTA[ID]))),-1)))</f>
        <v>ATALI MAKMUR</v>
      </c>
      <c r="AJ131" s="41" t="str">
        <f ca="1">IF(NOTA[[#This Row],[ID_H]]="","",IF(NOTA[[#This Row],[FAKTUR]]="",INDIRECT(ADDRESS(ROW()-1,COLUMN())),NOTA[[#This Row],[FAKTUR]]))</f>
        <v>ARTO MORO</v>
      </c>
      <c r="AK131" s="38" t="str">
        <f ca="1">IF(NOTA[[#This Row],[ID]]="","",COUNTIF(NOTA[ID_H],NOTA[[#This Row],[ID_H]]))</f>
        <v/>
      </c>
      <c r="AL131" s="38">
        <f ca="1">IF(NOTA[[#This Row],[TGL.NOTA]]="",IF(NOTA[[#This Row],[SUPPLIER_H]]="","",AL130),MONTH(NOTA[[#This Row],[TGL.NOTA]]))</f>
        <v>9</v>
      </c>
      <c r="AM13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38" t="str">
        <f>IF(NOTA[[#This Row],[CONCAT4]]="","",_xlfn.IFNA(MATCH(NOTA[[#This Row],[CONCAT4]],[2]!RAW[CONCAT_H],0),FALSE))</f>
        <v/>
      </c>
      <c r="AR131" s="38">
        <f>IF(NOTA[[#This Row],[CONCAT1]]="","",MATCH(NOTA[[#This Row],[CONCAT1]],[3]!db[NB NOTA_C],0))</f>
        <v>631</v>
      </c>
      <c r="AS131" s="38" t="str">
        <f>IF(NOTA[[#This Row],[QTY/ CTN]]="","",TRUE)</f>
        <v/>
      </c>
      <c r="AT131" s="38" t="str">
        <f ca="1">IF(NOTA[[#This Row],[ID_H]]="","",IF(NOTA[[#This Row],[Column3]]=TRUE,NOTA[[#This Row],[QTY/ CTN]],INDEX([3]!db[QTY/ CTN],NOTA[[#This Row],[//DB]])))</f>
        <v>60 LSN</v>
      </c>
      <c r="AU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131" s="38" t="e">
        <f ca="1">IF(NOTA[[#This Row],[ID_H]]="","",MATCH(NOTA[[#This Row],[NB NOTA_C_QTY]],[4]!db[NB NOTA_C_QTY+F],0))</f>
        <v>#REF!</v>
      </c>
      <c r="AW131" s="53">
        <f ca="1">IF(NOTA[[#This Row],[NB NOTA_C_QTY]]="","",ROW()-2)</f>
        <v>129</v>
      </c>
    </row>
    <row r="132" spans="1:49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19</v>
      </c>
      <c r="E132" s="46"/>
      <c r="F132" s="37"/>
      <c r="G132" s="37"/>
      <c r="H132" s="47"/>
      <c r="I132" s="37"/>
      <c r="J132" s="39"/>
      <c r="K132" s="37"/>
      <c r="L132" s="37" t="s">
        <v>241</v>
      </c>
      <c r="M132" s="40"/>
      <c r="N132" s="38">
        <v>180</v>
      </c>
      <c r="O132" s="37" t="s">
        <v>126</v>
      </c>
      <c r="P132" s="41">
        <v>3700</v>
      </c>
      <c r="Q132" s="42"/>
      <c r="R132" s="48"/>
      <c r="S132" s="49">
        <v>0.125</v>
      </c>
      <c r="T132" s="44">
        <v>0.05</v>
      </c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666000</v>
      </c>
      <c r="Y132" s="50">
        <f>IF(NOTA[[#This Row],[JUMLAH]]="","",NOTA[[#This Row],[JUMLAH]]*NOTA[[#This Row],[DISC 1]])</f>
        <v>83250</v>
      </c>
      <c r="Z132" s="50">
        <f>IF(NOTA[[#This Row],[JUMLAH]]="","",(NOTA[[#This Row],[JUMLAH]]-NOTA[[#This Row],[DISC 1-]])*NOTA[[#This Row],[DISC 2]])</f>
        <v>29137.5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112387.5</v>
      </c>
      <c r="AC132" s="50">
        <f>IF(NOTA[[#This Row],[JUMLAH]]="","",NOTA[[#This Row],[JUMLAH]]-NOTA[[#This Row],[DISC]])</f>
        <v>553612.5</v>
      </c>
      <c r="AD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2" s="50">
        <f>IF(OR(NOTA[[#This Row],[QTY]]="",NOTA[[#This Row],[HARGA SATUAN]]="",),"",NOTA[[#This Row],[QTY]]*NOTA[[#This Row],[HARGA SATUAN]])</f>
        <v>666000</v>
      </c>
      <c r="AH132" s="39">
        <f ca="1">IF(NOTA[ID_H]="","",INDEX(NOTA[TANGGAL],MATCH(,INDIRECT(ADDRESS(ROW(NOTA[TANGGAL]),COLUMN(NOTA[TANGGAL]))&amp;":"&amp;ADDRESS(ROW(),COLUMN(NOTA[TANGGAL]))),-1)))</f>
        <v>45178</v>
      </c>
      <c r="AI132" s="41" t="str">
        <f ca="1">IF(NOTA[[#This Row],[NAMA BARANG]]="","",INDEX(NOTA[SUPPLIER],MATCH(,INDIRECT(ADDRESS(ROW(NOTA[ID]),COLUMN(NOTA[ID]))&amp;":"&amp;ADDRESS(ROW(),COLUMN(NOTA[ID]))),-1)))</f>
        <v>ATALI MAKMUR</v>
      </c>
      <c r="AJ132" s="41" t="str">
        <f ca="1">IF(NOTA[[#This Row],[ID_H]]="","",IF(NOTA[[#This Row],[FAKTUR]]="",INDIRECT(ADDRESS(ROW()-1,COLUMN())),NOTA[[#This Row],[FAKTUR]]))</f>
        <v>ARTO MORO</v>
      </c>
      <c r="AK132" s="38" t="str">
        <f ca="1">IF(NOTA[[#This Row],[ID]]="","",COUNTIF(NOTA[ID_H],NOTA[[#This Row],[ID_H]]))</f>
        <v/>
      </c>
      <c r="AL132" s="38">
        <f ca="1">IF(NOTA[[#This Row],[TGL.NOTA]]="",IF(NOTA[[#This Row],[SUPPLIER_H]]="","",AL131),MONTH(NOTA[[#This Row],[TGL.NOTA]]))</f>
        <v>9</v>
      </c>
      <c r="AM13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N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O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P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2" s="38" t="str">
        <f>IF(NOTA[[#This Row],[CONCAT4]]="","",_xlfn.IFNA(MATCH(NOTA[[#This Row],[CONCAT4]],[2]!RAW[CONCAT_H],0),FALSE))</f>
        <v/>
      </c>
      <c r="AR132" s="38">
        <f>IF(NOTA[[#This Row],[CONCAT1]]="","",MATCH(NOTA[[#This Row],[CONCAT1]],[3]!db[NB NOTA_C],0))</f>
        <v>1190</v>
      </c>
      <c r="AS132" s="38" t="str">
        <f>IF(NOTA[[#This Row],[QTY/ CTN]]="","",TRUE)</f>
        <v/>
      </c>
      <c r="AT132" s="38" t="str">
        <f ca="1">IF(NOTA[[#This Row],[ID_H]]="","",IF(NOTA[[#This Row],[Column3]]=TRUE,NOTA[[#This Row],[QTY/ CTN]],INDEX([3]!db[QTY/ CTN],NOTA[[#This Row],[//DB]])))</f>
        <v>72 BOX (10 PCS)</v>
      </c>
      <c r="AU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V132" s="38" t="e">
        <f ca="1">IF(NOTA[[#This Row],[ID_H]]="","",MATCH(NOTA[[#This Row],[NB NOTA_C_QTY]],[4]!db[NB NOTA_C_QTY+F],0))</f>
        <v>#REF!</v>
      </c>
      <c r="AW132" s="53">
        <f ca="1">IF(NOTA[[#This Row],[NB NOTA_C_QTY]]="","",ROW()-2)</f>
        <v>130</v>
      </c>
    </row>
    <row r="133" spans="1:49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19</v>
      </c>
      <c r="E133" s="46"/>
      <c r="F133" s="37"/>
      <c r="G133" s="37"/>
      <c r="H133" s="47"/>
      <c r="I133" s="37"/>
      <c r="J133" s="39"/>
      <c r="K133" s="37"/>
      <c r="L133" s="37" t="s">
        <v>246</v>
      </c>
      <c r="M133" s="40"/>
      <c r="N133" s="38">
        <v>180</v>
      </c>
      <c r="O133" s="37" t="s">
        <v>126</v>
      </c>
      <c r="P133" s="41">
        <v>3700</v>
      </c>
      <c r="Q133" s="42"/>
      <c r="R133" s="48"/>
      <c r="S133" s="49">
        <v>0.125</v>
      </c>
      <c r="T133" s="44">
        <v>0.05</v>
      </c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666000</v>
      </c>
      <c r="Y133" s="50">
        <f>IF(NOTA[[#This Row],[JUMLAH]]="","",NOTA[[#This Row],[JUMLAH]]*NOTA[[#This Row],[DISC 1]])</f>
        <v>83250</v>
      </c>
      <c r="Z133" s="50">
        <f>IF(NOTA[[#This Row],[JUMLAH]]="","",(NOTA[[#This Row],[JUMLAH]]-NOTA[[#This Row],[DISC 1-]])*NOTA[[#This Row],[DISC 2]])</f>
        <v>29137.5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112387.5</v>
      </c>
      <c r="AC133" s="50">
        <f>IF(NOTA[[#This Row],[JUMLAH]]="","",NOTA[[#This Row],[JUMLAH]]-NOTA[[#This Row],[DISC]])</f>
        <v>553612.5</v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3" s="50">
        <f>IF(OR(NOTA[[#This Row],[QTY]]="",NOTA[[#This Row],[HARGA SATUAN]]="",),"",NOTA[[#This Row],[QTY]]*NOTA[[#This Row],[HARGA SATUAN]])</f>
        <v>666000</v>
      </c>
      <c r="AH133" s="39">
        <f ca="1">IF(NOTA[ID_H]="","",INDEX(NOTA[TANGGAL],MATCH(,INDIRECT(ADDRESS(ROW(NOTA[TANGGAL]),COLUMN(NOTA[TANGGAL]))&amp;":"&amp;ADDRESS(ROW(),COLUMN(NOTA[TANGGAL]))),-1)))</f>
        <v>45178</v>
      </c>
      <c r="AI133" s="41" t="str">
        <f ca="1">IF(NOTA[[#This Row],[NAMA BARANG]]="","",INDEX(NOTA[SUPPLIER],MATCH(,INDIRECT(ADDRESS(ROW(NOTA[ID]),COLUMN(NOTA[ID]))&amp;":"&amp;ADDRESS(ROW(),COLUMN(NOTA[ID]))),-1)))</f>
        <v>ATALI MAKMUR</v>
      </c>
      <c r="AJ133" s="41" t="str">
        <f ca="1">IF(NOTA[[#This Row],[ID_H]]="","",IF(NOTA[[#This Row],[FAKTUR]]="",INDIRECT(ADDRESS(ROW()-1,COLUMN())),NOTA[[#This Row],[FAKTUR]]))</f>
        <v>ARTO MORO</v>
      </c>
      <c r="AK133" s="38" t="str">
        <f ca="1">IF(NOTA[[#This Row],[ID]]="","",COUNTIF(NOTA[ID_H],NOTA[[#This Row],[ID_H]]))</f>
        <v/>
      </c>
      <c r="AL133" s="38">
        <f ca="1">IF(NOTA[[#This Row],[TGL.NOTA]]="",IF(NOTA[[#This Row],[SUPPLIER_H]]="","",AL132),MONTH(NOTA[[#This Row],[TGL.NOTA]]))</f>
        <v>9</v>
      </c>
      <c r="AM13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N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O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P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38" t="str">
        <f>IF(NOTA[[#This Row],[CONCAT4]]="","",_xlfn.IFNA(MATCH(NOTA[[#This Row],[CONCAT4]],[2]!RAW[CONCAT_H],0),FALSE))</f>
        <v/>
      </c>
      <c r="AR133" s="38">
        <f>IF(NOTA[[#This Row],[CONCAT1]]="","",MATCH(NOTA[[#This Row],[CONCAT1]],[3]!db[NB NOTA_C],0))</f>
        <v>1193</v>
      </c>
      <c r="AS133" s="38" t="str">
        <f>IF(NOTA[[#This Row],[QTY/ CTN]]="","",TRUE)</f>
        <v/>
      </c>
      <c r="AT133" s="38" t="str">
        <f ca="1">IF(NOTA[[#This Row],[ID_H]]="","",IF(NOTA[[#This Row],[Column3]]=TRUE,NOTA[[#This Row],[QTY/ CTN]],INDEX([3]!db[QTY/ CTN],NOTA[[#This Row],[//DB]])))</f>
        <v>72 BOX (10 PCS)</v>
      </c>
      <c r="AU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V133" s="38" t="e">
        <f ca="1">IF(NOTA[[#This Row],[ID_H]]="","",MATCH(NOTA[[#This Row],[NB NOTA_C_QTY]],[4]!db[NB NOTA_C_QTY+F],0))</f>
        <v>#REF!</v>
      </c>
      <c r="AW133" s="53">
        <f ca="1">IF(NOTA[[#This Row],[NB NOTA_C_QTY]]="","",ROW()-2)</f>
        <v>131</v>
      </c>
    </row>
    <row r="134" spans="1:49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19</v>
      </c>
      <c r="E134" s="46"/>
      <c r="F134" s="37"/>
      <c r="G134" s="37"/>
      <c r="H134" s="47"/>
      <c r="I134" s="37"/>
      <c r="J134" s="39"/>
      <c r="K134" s="37"/>
      <c r="L134" s="37" t="s">
        <v>242</v>
      </c>
      <c r="M134" s="40"/>
      <c r="N134" s="38">
        <v>180</v>
      </c>
      <c r="O134" s="37" t="s">
        <v>126</v>
      </c>
      <c r="P134" s="41">
        <v>3700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666000</v>
      </c>
      <c r="Y134" s="50">
        <f>IF(NOTA[[#This Row],[JUMLAH]]="","",NOTA[[#This Row],[JUMLAH]]*NOTA[[#This Row],[DISC 1]])</f>
        <v>83250</v>
      </c>
      <c r="Z134" s="50">
        <f>IF(NOTA[[#This Row],[JUMLAH]]="","",(NOTA[[#This Row],[JUMLAH]]-NOTA[[#This Row],[DISC 1-]])*NOTA[[#This Row],[DISC 2]])</f>
        <v>29137.5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112387.5</v>
      </c>
      <c r="AC134" s="50">
        <f>IF(NOTA[[#This Row],[JUMLAH]]="","",NOTA[[#This Row],[JUMLAH]]-NOTA[[#This Row],[DISC]])</f>
        <v>553612.5</v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4" s="50">
        <f>IF(OR(NOTA[[#This Row],[QTY]]="",NOTA[[#This Row],[HARGA SATUAN]]="",),"",NOTA[[#This Row],[QTY]]*NOTA[[#This Row],[HARGA SATUAN]])</f>
        <v>666000</v>
      </c>
      <c r="AH134" s="39">
        <f ca="1">IF(NOTA[ID_H]="","",INDEX(NOTA[TANGGAL],MATCH(,INDIRECT(ADDRESS(ROW(NOTA[TANGGAL]),COLUMN(NOTA[TANGGAL]))&amp;":"&amp;ADDRESS(ROW(),COLUMN(NOTA[TANGGAL]))),-1)))</f>
        <v>45178</v>
      </c>
      <c r="AI134" s="41" t="str">
        <f ca="1">IF(NOTA[[#This Row],[NAMA BARANG]]="","",INDEX(NOTA[SUPPLIER],MATCH(,INDIRECT(ADDRESS(ROW(NOTA[ID]),COLUMN(NOTA[ID]))&amp;":"&amp;ADDRESS(ROW(),COLUMN(NOTA[ID]))),-1)))</f>
        <v>ATALI MAKMUR</v>
      </c>
      <c r="AJ134" s="41" t="str">
        <f ca="1">IF(NOTA[[#This Row],[ID_H]]="","",IF(NOTA[[#This Row],[FAKTUR]]="",INDIRECT(ADDRESS(ROW()-1,COLUMN())),NOTA[[#This Row],[FAKTUR]]))</f>
        <v>ARTO MORO</v>
      </c>
      <c r="AK134" s="38" t="str">
        <f ca="1">IF(NOTA[[#This Row],[ID]]="","",COUNTIF(NOTA[ID_H],NOTA[[#This Row],[ID_H]]))</f>
        <v/>
      </c>
      <c r="AL134" s="38">
        <f ca="1">IF(NOTA[[#This Row],[TGL.NOTA]]="",IF(NOTA[[#This Row],[SUPPLIER_H]]="","",AL133),MONTH(NOTA[[#This Row],[TGL.NOTA]]))</f>
        <v>9</v>
      </c>
      <c r="AM13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N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O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P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38" t="str">
        <f>IF(NOTA[[#This Row],[CONCAT4]]="","",_xlfn.IFNA(MATCH(NOTA[[#This Row],[CONCAT4]],[2]!RAW[CONCAT_H],0),FALSE))</f>
        <v/>
      </c>
      <c r="AR134" s="38">
        <f>IF(NOTA[[#This Row],[CONCAT1]]="","",MATCH(NOTA[[#This Row],[CONCAT1]],[3]!db[NB NOTA_C],0))</f>
        <v>1194</v>
      </c>
      <c r="AS134" s="38" t="str">
        <f>IF(NOTA[[#This Row],[QTY/ CTN]]="","",TRUE)</f>
        <v/>
      </c>
      <c r="AT134" s="38" t="str">
        <f ca="1">IF(NOTA[[#This Row],[ID_H]]="","",IF(NOTA[[#This Row],[Column3]]=TRUE,NOTA[[#This Row],[QTY/ CTN]],INDEX([3]!db[QTY/ CTN],NOTA[[#This Row],[//DB]])))</f>
        <v>72 BOX (10 PCS)</v>
      </c>
      <c r="AU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V134" s="38" t="e">
        <f ca="1">IF(NOTA[[#This Row],[ID_H]]="","",MATCH(NOTA[[#This Row],[NB NOTA_C_QTY]],[4]!db[NB NOTA_C_QTY+F],0))</f>
        <v>#REF!</v>
      </c>
      <c r="AW134" s="53">
        <f ca="1">IF(NOTA[[#This Row],[NB NOTA_C_QTY]]="","",ROW()-2)</f>
        <v>132</v>
      </c>
    </row>
    <row r="135" spans="1:49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19</v>
      </c>
      <c r="E135" s="46"/>
      <c r="F135" s="37"/>
      <c r="G135" s="37"/>
      <c r="H135" s="47"/>
      <c r="I135" s="37"/>
      <c r="J135" s="39"/>
      <c r="K135" s="37"/>
      <c r="L135" s="37" t="s">
        <v>243</v>
      </c>
      <c r="M135" s="40"/>
      <c r="N135" s="38">
        <v>180</v>
      </c>
      <c r="O135" s="37" t="s">
        <v>126</v>
      </c>
      <c r="P135" s="41">
        <v>3700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666000</v>
      </c>
      <c r="Y135" s="50">
        <f>IF(NOTA[[#This Row],[JUMLAH]]="","",NOTA[[#This Row],[JUMLAH]]*NOTA[[#This Row],[DISC 1]])</f>
        <v>83250</v>
      </c>
      <c r="Z135" s="50">
        <f>IF(NOTA[[#This Row],[JUMLAH]]="","",(NOTA[[#This Row],[JUMLAH]]-NOTA[[#This Row],[DISC 1-]])*NOTA[[#This Row],[DISC 2]])</f>
        <v>29137.5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112387.5</v>
      </c>
      <c r="AC135" s="50">
        <f>IF(NOTA[[#This Row],[JUMLAH]]="","",NOTA[[#This Row],[JUMLAH]]-NOTA[[#This Row],[DISC]])</f>
        <v>553612.5</v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135" s="50">
        <f>IF(OR(NOTA[[#This Row],[QTY]]="",NOTA[[#This Row],[HARGA SATUAN]]="",),"",NOTA[[#This Row],[QTY]]*NOTA[[#This Row],[HARGA SATUAN]])</f>
        <v>666000</v>
      </c>
      <c r="AH135" s="39">
        <f ca="1">IF(NOTA[ID_H]="","",INDEX(NOTA[TANGGAL],MATCH(,INDIRECT(ADDRESS(ROW(NOTA[TANGGAL]),COLUMN(NOTA[TANGGAL]))&amp;":"&amp;ADDRESS(ROW(),COLUMN(NOTA[TANGGAL]))),-1)))</f>
        <v>45178</v>
      </c>
      <c r="AI135" s="41" t="str">
        <f ca="1">IF(NOTA[[#This Row],[NAMA BARANG]]="","",INDEX(NOTA[SUPPLIER],MATCH(,INDIRECT(ADDRESS(ROW(NOTA[ID]),COLUMN(NOTA[ID]))&amp;":"&amp;ADDRESS(ROW(),COLUMN(NOTA[ID]))),-1)))</f>
        <v>ATALI MAKMUR</v>
      </c>
      <c r="AJ135" s="41" t="str">
        <f ca="1">IF(NOTA[[#This Row],[ID_H]]="","",IF(NOTA[[#This Row],[FAKTUR]]="",INDIRECT(ADDRESS(ROW()-1,COLUMN())),NOTA[[#This Row],[FAKTUR]]))</f>
        <v>ARTO MORO</v>
      </c>
      <c r="AK135" s="38" t="str">
        <f ca="1">IF(NOTA[[#This Row],[ID]]="","",COUNTIF(NOTA[ID_H],NOTA[[#This Row],[ID_H]]))</f>
        <v/>
      </c>
      <c r="AL135" s="38">
        <f ca="1">IF(NOTA[[#This Row],[TGL.NOTA]]="",IF(NOTA[[#This Row],[SUPPLIER_H]]="","",AL134),MONTH(NOTA[[#This Row],[TGL.NOTA]]))</f>
        <v>9</v>
      </c>
      <c r="AM13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N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O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P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38" t="str">
        <f>IF(NOTA[[#This Row],[CONCAT4]]="","",_xlfn.IFNA(MATCH(NOTA[[#This Row],[CONCAT4]],[2]!RAW[CONCAT_H],0),FALSE))</f>
        <v/>
      </c>
      <c r="AR135" s="38">
        <f>IF(NOTA[[#This Row],[CONCAT1]]="","",MATCH(NOTA[[#This Row],[CONCAT1]],[3]!db[NB NOTA_C],0))</f>
        <v>1195</v>
      </c>
      <c r="AS135" s="38" t="str">
        <f>IF(NOTA[[#This Row],[QTY/ CTN]]="","",TRUE)</f>
        <v/>
      </c>
      <c r="AT135" s="38" t="str">
        <f ca="1">IF(NOTA[[#This Row],[ID_H]]="","",IF(NOTA[[#This Row],[Column3]]=TRUE,NOTA[[#This Row],[QTY/ CTN]],INDEX([3]!db[QTY/ CTN],NOTA[[#This Row],[//DB]])))</f>
        <v>72 BOX (10 PCS)</v>
      </c>
      <c r="AU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V135" s="38" t="e">
        <f ca="1">IF(NOTA[[#This Row],[ID_H]]="","",MATCH(NOTA[[#This Row],[NB NOTA_C_QTY]],[4]!db[NB NOTA_C_QTY+F],0))</f>
        <v>#REF!</v>
      </c>
      <c r="AW135" s="53">
        <f ca="1">IF(NOTA[[#This Row],[NB NOTA_C_QTY]]="","",ROW()-2)</f>
        <v>133</v>
      </c>
    </row>
    <row r="136" spans="1:49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19</v>
      </c>
      <c r="E136" s="46"/>
      <c r="F136" s="37"/>
      <c r="G136" s="37"/>
      <c r="H136" s="47"/>
      <c r="I136" s="37"/>
      <c r="J136" s="39"/>
      <c r="K136" s="37"/>
      <c r="L136" s="37" t="s">
        <v>244</v>
      </c>
      <c r="M136" s="40">
        <v>1</v>
      </c>
      <c r="N136" s="38">
        <v>240</v>
      </c>
      <c r="O136" s="37" t="s">
        <v>132</v>
      </c>
      <c r="P136" s="41">
        <v>10600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2544000</v>
      </c>
      <c r="Y136" s="50">
        <f>IF(NOTA[[#This Row],[JUMLAH]]="","",NOTA[[#This Row],[JUMLAH]]*NOTA[[#This Row],[DISC 1]])</f>
        <v>318000</v>
      </c>
      <c r="Z136" s="50">
        <f>IF(NOTA[[#This Row],[JUMLAH]]="","",(NOTA[[#This Row],[JUMLAH]]-NOTA[[#This Row],[DISC 1-]])*NOTA[[#This Row],[DISC 2]])</f>
        <v>111300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429300</v>
      </c>
      <c r="AC136" s="50">
        <f>IF(NOTA[[#This Row],[JUMLAH]]="","",NOTA[[#This Row],[JUMLAH]]-NOTA[[#This Row],[DISC]])</f>
        <v>2114700</v>
      </c>
      <c r="AD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G136" s="50">
        <f>IF(OR(NOTA[[#This Row],[QTY]]="",NOTA[[#This Row],[HARGA SATUAN]]="",),"",NOTA[[#This Row],[QTY]]*NOTA[[#This Row],[HARGA SATUAN]])</f>
        <v>2544000</v>
      </c>
      <c r="AH136" s="39">
        <f ca="1">IF(NOTA[ID_H]="","",INDEX(NOTA[TANGGAL],MATCH(,INDIRECT(ADDRESS(ROW(NOTA[TANGGAL]),COLUMN(NOTA[TANGGAL]))&amp;":"&amp;ADDRESS(ROW(),COLUMN(NOTA[TANGGAL]))),-1)))</f>
        <v>45178</v>
      </c>
      <c r="AI136" s="41" t="str">
        <f ca="1">IF(NOTA[[#This Row],[NAMA BARANG]]="","",INDEX(NOTA[SUPPLIER],MATCH(,INDIRECT(ADDRESS(ROW(NOTA[ID]),COLUMN(NOTA[ID]))&amp;":"&amp;ADDRESS(ROW(),COLUMN(NOTA[ID]))),-1)))</f>
        <v>ATALI MAKMUR</v>
      </c>
      <c r="AJ136" s="41" t="str">
        <f ca="1">IF(NOTA[[#This Row],[ID_H]]="","",IF(NOTA[[#This Row],[FAKTUR]]="",INDIRECT(ADDRESS(ROW()-1,COLUMN())),NOTA[[#This Row],[FAKTUR]]))</f>
        <v>ARTO MORO</v>
      </c>
      <c r="AK136" s="38" t="str">
        <f ca="1">IF(NOTA[[#This Row],[ID]]="","",COUNTIF(NOTA[ID_H],NOTA[[#This Row],[ID_H]]))</f>
        <v/>
      </c>
      <c r="AL136" s="38">
        <f ca="1">IF(NOTA[[#This Row],[TGL.NOTA]]="",IF(NOTA[[#This Row],[SUPPLIER_H]]="","",AL135),MONTH(NOTA[[#This Row],[TGL.NOTA]]))</f>
        <v>9</v>
      </c>
      <c r="AM136" s="38" t="str">
        <f>LOWER(SUBSTITUTE(SUBSTITUTE(SUBSTITUTE(SUBSTITUTE(SUBSTITUTE(SUBSTITUTE(SUBSTITUTE(SUBSTITUTE(SUBSTITUTE(NOTA[NAMA BARANG]," ",),".",""),"-",""),"(",""),")",""),",",""),"/",""),"""",""),"+",""))</f>
        <v>brushbr5jk</v>
      </c>
      <c r="AN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O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P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38" t="str">
        <f>IF(NOTA[[#This Row],[CONCAT4]]="","",_xlfn.IFNA(MATCH(NOTA[[#This Row],[CONCAT4]],[2]!RAW[CONCAT_H],0),FALSE))</f>
        <v/>
      </c>
      <c r="AR136" s="38">
        <f>IF(NOTA[[#This Row],[CONCAT1]]="","",MATCH(NOTA[[#This Row],[CONCAT1]],[3]!db[NB NOTA_C],0))</f>
        <v>395</v>
      </c>
      <c r="AS136" s="38" t="str">
        <f>IF(NOTA[[#This Row],[QTY/ CTN]]="","",TRUE)</f>
        <v/>
      </c>
      <c r="AT136" s="38" t="str">
        <f ca="1">IF(NOTA[[#This Row],[ID_H]]="","",IF(NOTA[[#This Row],[Column3]]=TRUE,NOTA[[#This Row],[QTY/ CTN]],INDEX([3]!db[QTY/ CTN],NOTA[[#This Row],[//DB]])))</f>
        <v>10 BOX (24 SET)</v>
      </c>
      <c r="AU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V136" s="38" t="e">
        <f ca="1">IF(NOTA[[#This Row],[ID_H]]="","",MATCH(NOTA[[#This Row],[NB NOTA_C_QTY]],[4]!db[NB NOTA_C_QTY+F],0))</f>
        <v>#REF!</v>
      </c>
      <c r="AW136" s="53">
        <f ca="1">IF(NOTA[[#This Row],[NB NOTA_C_QTY]]="","",ROW()-2)</f>
        <v>134</v>
      </c>
    </row>
    <row r="137" spans="1:49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19</v>
      </c>
      <c r="E137" s="46"/>
      <c r="F137" s="37"/>
      <c r="G137" s="37"/>
      <c r="H137" s="47"/>
      <c r="I137" s="37"/>
      <c r="J137" s="39"/>
      <c r="K137" s="37"/>
      <c r="L137" s="37" t="s">
        <v>245</v>
      </c>
      <c r="M137" s="40">
        <v>1</v>
      </c>
      <c r="N137" s="38">
        <v>24</v>
      </c>
      <c r="O137" s="37" t="s">
        <v>132</v>
      </c>
      <c r="P137" s="41">
        <v>58900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1413600</v>
      </c>
      <c r="Y137" s="50">
        <f>IF(NOTA[[#This Row],[JUMLAH]]="","",NOTA[[#This Row],[JUMLAH]]*NOTA[[#This Row],[DISC 1]])</f>
        <v>176700</v>
      </c>
      <c r="Z137" s="50">
        <f>IF(NOTA[[#This Row],[JUMLAH]]="","",(NOTA[[#This Row],[JUMLAH]]-NOTA[[#This Row],[DISC 1-]])*NOTA[[#This Row],[DISC 2]])</f>
        <v>61845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238545</v>
      </c>
      <c r="AC137" s="50">
        <f>IF(NOTA[[#This Row],[JUMLAH]]="","",NOTA[[#This Row],[JUMLAH]]-NOTA[[#This Row],[DISC]])</f>
        <v>1175055</v>
      </c>
      <c r="AD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6580575</v>
      </c>
      <c r="AE1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32415425</v>
      </c>
      <c r="AF13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137" s="50">
        <f>IF(OR(NOTA[[#This Row],[QTY]]="",NOTA[[#This Row],[HARGA SATUAN]]="",),"",NOTA[[#This Row],[QTY]]*NOTA[[#This Row],[HARGA SATUAN]])</f>
        <v>1413600</v>
      </c>
      <c r="AH137" s="39">
        <f ca="1">IF(NOTA[ID_H]="","",INDEX(NOTA[TANGGAL],MATCH(,INDIRECT(ADDRESS(ROW(NOTA[TANGGAL]),COLUMN(NOTA[TANGGAL]))&amp;":"&amp;ADDRESS(ROW(),COLUMN(NOTA[TANGGAL]))),-1)))</f>
        <v>45178</v>
      </c>
      <c r="AI137" s="41" t="str">
        <f ca="1">IF(NOTA[[#This Row],[NAMA BARANG]]="","",INDEX(NOTA[SUPPLIER],MATCH(,INDIRECT(ADDRESS(ROW(NOTA[ID]),COLUMN(NOTA[ID]))&amp;":"&amp;ADDRESS(ROW(),COLUMN(NOTA[ID]))),-1)))</f>
        <v>ATALI MAKMUR</v>
      </c>
      <c r="AJ137" s="41" t="str">
        <f ca="1">IF(NOTA[[#This Row],[ID_H]]="","",IF(NOTA[[#This Row],[FAKTUR]]="",INDIRECT(ADDRESS(ROW()-1,COLUMN())),NOTA[[#This Row],[FAKTUR]]))</f>
        <v>ARTO MORO</v>
      </c>
      <c r="AK137" s="38" t="str">
        <f ca="1">IF(NOTA[[#This Row],[ID]]="","",COUNTIF(NOTA[ID_H],NOTA[[#This Row],[ID_H]]))</f>
        <v/>
      </c>
      <c r="AL137" s="38">
        <f ca="1">IF(NOTA[[#This Row],[TGL.NOTA]]="",IF(NOTA[[#This Row],[SUPPLIER_H]]="","",AL136),MONTH(NOTA[[#This Row],[TGL.NOTA]]))</f>
        <v>9</v>
      </c>
      <c r="AM13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38" t="str">
        <f>IF(NOTA[[#This Row],[CONCAT4]]="","",_xlfn.IFNA(MATCH(NOTA[[#This Row],[CONCAT4]],[2]!RAW[CONCAT_H],0),FALSE))</f>
        <v/>
      </c>
      <c r="AR137" s="38">
        <f>IF(NOTA[[#This Row],[CONCAT1]]="","",MATCH(NOTA[[#This Row],[CONCAT1]],[3]!db[NB NOTA_C],0))</f>
        <v>1899</v>
      </c>
      <c r="AS137" s="38" t="str">
        <f>IF(NOTA[[#This Row],[QTY/ CTN]]="","",TRUE)</f>
        <v/>
      </c>
      <c r="AT137" s="38" t="str">
        <f ca="1">IF(NOTA[[#This Row],[ID_H]]="","",IF(NOTA[[#This Row],[Column3]]=TRUE,NOTA[[#This Row],[QTY/ CTN]],INDEX([3]!db[QTY/ CTN],NOTA[[#This Row],[//DB]])))</f>
        <v>4 BOX (6 SET)</v>
      </c>
      <c r="AU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137" s="38" t="e">
        <f ca="1">IF(NOTA[[#This Row],[ID_H]]="","",MATCH(NOTA[[#This Row],[NB NOTA_C_QTY]],[4]!db[NB NOTA_C_QTY+F],0))</f>
        <v>#REF!</v>
      </c>
      <c r="AW137" s="53">
        <f ca="1">IF(NOTA[[#This Row],[NB NOTA_C_QTY]]="","",ROW()-2)</f>
        <v>135</v>
      </c>
    </row>
    <row r="138" spans="1:49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38" s="50" t="str">
        <f>IF(OR(NOTA[[#This Row],[QTY]]="",NOTA[[#This Row],[HARGA SATUAN]]="",),"",NOTA[[#This Row],[QTY]]*NOTA[[#This Row],[HARGA SATUAN]])</f>
        <v/>
      </c>
      <c r="AH138" s="39" t="str">
        <f ca="1">IF(NOTA[ID_H]="","",INDEX(NOTA[TANGGAL],MATCH(,INDIRECT(ADDRESS(ROW(NOTA[TANGGAL]),COLUMN(NOTA[TANGGAL]))&amp;":"&amp;ADDRESS(ROW(),COLUMN(NOTA[TANGGAL]))),-1)))</f>
        <v/>
      </c>
      <c r="AI138" s="41" t="str">
        <f ca="1">IF(NOTA[[#This Row],[NAMA BARANG]]="","",INDEX(NOTA[SUPPLIER],MATCH(,INDIRECT(ADDRESS(ROW(NOTA[ID]),COLUMN(NOTA[ID]))&amp;":"&amp;ADDRESS(ROW(),COLUMN(NOTA[ID]))),-1)))</f>
        <v/>
      </c>
      <c r="AJ138" s="41" t="str">
        <f ca="1">IF(NOTA[[#This Row],[ID_H]]="","",IF(NOTA[[#This Row],[FAKTUR]]="",INDIRECT(ADDRESS(ROW()-1,COLUMN())),NOTA[[#This Row],[FAKTUR]]))</f>
        <v/>
      </c>
      <c r="AK138" s="38" t="str">
        <f ca="1">IF(NOTA[[#This Row],[ID]]="","",COUNTIF(NOTA[ID_H],NOTA[[#This Row],[ID_H]]))</f>
        <v/>
      </c>
      <c r="AL138" s="38" t="str">
        <f ca="1">IF(NOTA[[#This Row],[TGL.NOTA]]="",IF(NOTA[[#This Row],[SUPPLIER_H]]="","",AL137),MONTH(NOTA[[#This Row],[TGL.NOTA]]))</f>
        <v/>
      </c>
      <c r="AM138" s="38" t="str">
        <f>LOWER(SUBSTITUTE(SUBSTITUTE(SUBSTITUTE(SUBSTITUTE(SUBSTITUTE(SUBSTITUTE(SUBSTITUTE(SUBSTITUTE(SUBSTITUTE(NOTA[NAMA BARANG]," ",),".",""),"-",""),"(",""),")",""),",",""),"/",""),"""",""),"+",""))</f>
        <v/>
      </c>
      <c r="AN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38" t="str">
        <f>IF(NOTA[[#This Row],[CONCAT4]]="","",_xlfn.IFNA(MATCH(NOTA[[#This Row],[CONCAT4]],[2]!RAW[CONCAT_H],0),FALSE))</f>
        <v/>
      </c>
      <c r="AR138" s="38" t="str">
        <f>IF(NOTA[[#This Row],[CONCAT1]]="","",MATCH(NOTA[[#This Row],[CONCAT1]],[3]!db[NB NOTA_C],0))</f>
        <v/>
      </c>
      <c r="AS138" s="38" t="str">
        <f>IF(NOTA[[#This Row],[QTY/ CTN]]="","",TRUE)</f>
        <v/>
      </c>
      <c r="AT138" s="38" t="str">
        <f ca="1">IF(NOTA[[#This Row],[ID_H]]="","",IF(NOTA[[#This Row],[Column3]]=TRUE,NOTA[[#This Row],[QTY/ CTN]],INDEX([3]!db[QTY/ CTN],NOTA[[#This Row],[//DB]])))</f>
        <v/>
      </c>
      <c r="AU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38" s="38" t="str">
        <f ca="1">IF(NOTA[[#This Row],[ID_H]]="","",MATCH(NOTA[[#This Row],[NB NOTA_C_QTY]],[4]!db[NB NOTA_C_QTY+F],0))</f>
        <v/>
      </c>
      <c r="AW138" s="53" t="str">
        <f ca="1">IF(NOTA[[#This Row],[NB NOTA_C_QTY]]="","",ROW()-2)</f>
        <v/>
      </c>
    </row>
    <row r="139" spans="1:49" s="38" customFormat="1" ht="20.100000000000001" customHeight="1" x14ac:dyDescent="0.25">
      <c r="A13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ATA_0909_843-11</v>
      </c>
      <c r="C139" s="38" t="e">
        <f ca="1">IF(NOTA[[#This Row],[ID_P]]="","",MATCH(NOTA[[#This Row],[ID_P]],[1]!B_MSK[N_ID],0))</f>
        <v>#REF!</v>
      </c>
      <c r="D139" s="38">
        <f ca="1">IF(NOTA[[#This Row],[NAMA BARANG]]="","",INDEX(NOTA[ID],MATCH(,INDIRECT(ADDRESS(ROW(NOTA[ID]),COLUMN(NOTA[ID]))&amp;":"&amp;ADDRESS(ROW(),COLUMN(NOTA[ID]))),-1)))</f>
        <v>20</v>
      </c>
      <c r="E139" s="46"/>
      <c r="F139" s="37" t="s">
        <v>24</v>
      </c>
      <c r="G139" s="37" t="s">
        <v>23</v>
      </c>
      <c r="H139" s="47" t="s">
        <v>247</v>
      </c>
      <c r="I139" s="37"/>
      <c r="J139" s="39">
        <v>45174</v>
      </c>
      <c r="K139" s="37"/>
      <c r="L139" s="37" t="s">
        <v>248</v>
      </c>
      <c r="M139" s="40"/>
      <c r="N139" s="38">
        <v>216</v>
      </c>
      <c r="O139" s="37" t="s">
        <v>126</v>
      </c>
      <c r="P139" s="41">
        <v>4800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1036800</v>
      </c>
      <c r="Y139" s="50">
        <f>IF(NOTA[[#This Row],[JUMLAH]]="","",NOTA[[#This Row],[JUMLAH]]*NOTA[[#This Row],[DISC 1]])</f>
        <v>129600</v>
      </c>
      <c r="Z139" s="50">
        <f>IF(NOTA[[#This Row],[JUMLAH]]="","",(NOTA[[#This Row],[JUMLAH]]-NOTA[[#This Row],[DISC 1-]])*NOTA[[#This Row],[DISC 2]])</f>
        <v>45360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174960</v>
      </c>
      <c r="AC139" s="50">
        <f>IF(NOTA[[#This Row],[JUMLAH]]="","",NOTA[[#This Row],[JUMLAH]]-NOTA[[#This Row],[DISC]])</f>
        <v>861840</v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39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39" s="50">
        <f>IF(OR(NOTA[[#This Row],[QTY]]="",NOTA[[#This Row],[HARGA SATUAN]]="",),"",NOTA[[#This Row],[QTY]]*NOTA[[#This Row],[HARGA SATUAN]])</f>
        <v>1036800</v>
      </c>
      <c r="AH139" s="39">
        <f ca="1">IF(NOTA[ID_H]="","",INDEX(NOTA[TANGGAL],MATCH(,INDIRECT(ADDRESS(ROW(NOTA[TANGGAL]),COLUMN(NOTA[TANGGAL]))&amp;":"&amp;ADDRESS(ROW(),COLUMN(NOTA[TANGGAL]))),-1)))</f>
        <v>45178</v>
      </c>
      <c r="AI139" s="41" t="str">
        <f ca="1">IF(NOTA[[#This Row],[NAMA BARANG]]="","",INDEX(NOTA[SUPPLIER],MATCH(,INDIRECT(ADDRESS(ROW(NOTA[ID]),COLUMN(NOTA[ID]))&amp;":"&amp;ADDRESS(ROW(),COLUMN(NOTA[ID]))),-1)))</f>
        <v>ATALI MAKMUR</v>
      </c>
      <c r="AJ139" s="41" t="str">
        <f ca="1">IF(NOTA[[#This Row],[ID_H]]="","",IF(NOTA[[#This Row],[FAKTUR]]="",INDIRECT(ADDRESS(ROW()-1,COLUMN())),NOTA[[#This Row],[FAKTUR]]))</f>
        <v>ARTO MORO</v>
      </c>
      <c r="AK139" s="38">
        <f ca="1">IF(NOTA[[#This Row],[ID]]="","",COUNTIF(NOTA[ID_H],NOTA[[#This Row],[ID_H]]))</f>
        <v>11</v>
      </c>
      <c r="AL139" s="38">
        <f>IF(NOTA[[#This Row],[TGL.NOTA]]="",IF(NOTA[[#This Row],[SUPPLIER_H]]="","",AL138),MONTH(NOTA[[#This Row],[TGL.NOTA]]))</f>
        <v>9</v>
      </c>
      <c r="AM139" s="38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N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pencilcasepc0719pstl35bluejk10368000.1250.05</v>
      </c>
      <c r="AO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P13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MOROSA23091584345174pencilcasepc0719pstl35bluejk</v>
      </c>
      <c r="AQ139" s="38" t="e">
        <f>IF(NOTA[[#This Row],[CONCAT4]]="","",_xlfn.IFNA(MATCH(NOTA[[#This Row],[CONCAT4]],[2]!RAW[CONCAT_H],0),FALSE))</f>
        <v>#REF!</v>
      </c>
      <c r="AR139" s="38">
        <f>IF(NOTA[[#This Row],[CONCAT1]]="","",MATCH(NOTA[[#This Row],[CONCAT1]],[3]!db[NB NOTA_C],0))</f>
        <v>2158</v>
      </c>
      <c r="AS139" s="38" t="str">
        <f>IF(NOTA[[#This Row],[QTY/ CTN]]="","",TRUE)</f>
        <v/>
      </c>
      <c r="AT139" s="38" t="str">
        <f ca="1">IF(NOTA[[#This Row],[ID_H]]="","",IF(NOTA[[#This Row],[Column3]]=TRUE,NOTA[[#This Row],[QTY/ CTN]],INDEX([3]!db[QTY/ CTN],NOTA[[#This Row],[//DB]])))</f>
        <v>288 PCS</v>
      </c>
      <c r="AU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V139" s="38" t="e">
        <f ca="1">IF(NOTA[[#This Row],[ID_H]]="","",MATCH(NOTA[[#This Row],[NB NOTA_C_QTY]],[4]!db[NB NOTA_C_QTY+F],0))</f>
        <v>#REF!</v>
      </c>
      <c r="AW139" s="53">
        <f ca="1">IF(NOTA[[#This Row],[NB NOTA_C_QTY]]="","",ROW()-2)</f>
        <v>137</v>
      </c>
    </row>
    <row r="140" spans="1:49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20</v>
      </c>
      <c r="E140" s="46"/>
      <c r="F140" s="37"/>
      <c r="G140" s="37"/>
      <c r="H140" s="47"/>
      <c r="I140" s="37"/>
      <c r="J140" s="39"/>
      <c r="K140" s="37"/>
      <c r="L140" s="37" t="s">
        <v>249</v>
      </c>
      <c r="M140" s="40"/>
      <c r="N140" s="38">
        <v>216</v>
      </c>
      <c r="O140" s="37" t="s">
        <v>126</v>
      </c>
      <c r="P140" s="41">
        <v>4800</v>
      </c>
      <c r="Q140" s="42"/>
      <c r="R140" s="48"/>
      <c r="S140" s="49">
        <v>0.125</v>
      </c>
      <c r="T140" s="44">
        <v>0.05</v>
      </c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1036800</v>
      </c>
      <c r="Y140" s="50">
        <f>IF(NOTA[[#This Row],[JUMLAH]]="","",NOTA[[#This Row],[JUMLAH]]*NOTA[[#This Row],[DISC 1]])</f>
        <v>129600</v>
      </c>
      <c r="Z140" s="50">
        <f>IF(NOTA[[#This Row],[JUMLAH]]="","",(NOTA[[#This Row],[JUMLAH]]-NOTA[[#This Row],[DISC 1-]])*NOTA[[#This Row],[DISC 2]])</f>
        <v>45360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174960</v>
      </c>
      <c r="AC140" s="50">
        <f>IF(NOTA[[#This Row],[JUMLAH]]="","",NOTA[[#This Row],[JUMLAH]]-NOTA[[#This Row],[DISC]])</f>
        <v>861840</v>
      </c>
      <c r="AD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0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40" s="50">
        <f>IF(OR(NOTA[[#This Row],[QTY]]="",NOTA[[#This Row],[HARGA SATUAN]]="",),"",NOTA[[#This Row],[QTY]]*NOTA[[#This Row],[HARGA SATUAN]])</f>
        <v>1036800</v>
      </c>
      <c r="AH140" s="39">
        <f ca="1">IF(NOTA[ID_H]="","",INDEX(NOTA[TANGGAL],MATCH(,INDIRECT(ADDRESS(ROW(NOTA[TANGGAL]),COLUMN(NOTA[TANGGAL]))&amp;":"&amp;ADDRESS(ROW(),COLUMN(NOTA[TANGGAL]))),-1)))</f>
        <v>45178</v>
      </c>
      <c r="AI140" s="41" t="str">
        <f ca="1">IF(NOTA[[#This Row],[NAMA BARANG]]="","",INDEX(NOTA[SUPPLIER],MATCH(,INDIRECT(ADDRESS(ROW(NOTA[ID]),COLUMN(NOTA[ID]))&amp;":"&amp;ADDRESS(ROW(),COLUMN(NOTA[ID]))),-1)))</f>
        <v>ATALI MAKMUR</v>
      </c>
      <c r="AJ140" s="41" t="str">
        <f ca="1">IF(NOTA[[#This Row],[ID_H]]="","",IF(NOTA[[#This Row],[FAKTUR]]="",INDIRECT(ADDRESS(ROW()-1,COLUMN())),NOTA[[#This Row],[FAKTUR]]))</f>
        <v>ARTO MORO</v>
      </c>
      <c r="AK140" s="38" t="str">
        <f ca="1">IF(NOTA[[#This Row],[ID]]="","",COUNTIF(NOTA[ID_H],NOTA[[#This Row],[ID_H]]))</f>
        <v/>
      </c>
      <c r="AL140" s="38">
        <f ca="1">IF(NOTA[[#This Row],[TGL.NOTA]]="",IF(NOTA[[#This Row],[SUPPLIER_H]]="","",AL139),MONTH(NOTA[[#This Row],[TGL.NOTA]]))</f>
        <v>9</v>
      </c>
      <c r="AM140" s="38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N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pencilcasepc0719pstl35greenjk10368000.1250.05</v>
      </c>
      <c r="AO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P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38" t="str">
        <f>IF(NOTA[[#This Row],[CONCAT4]]="","",_xlfn.IFNA(MATCH(NOTA[[#This Row],[CONCAT4]],[2]!RAW[CONCAT_H],0),FALSE))</f>
        <v/>
      </c>
      <c r="AR140" s="38">
        <f>IF(NOTA[[#This Row],[CONCAT1]]="","",MATCH(NOTA[[#This Row],[CONCAT1]],[3]!db[NB NOTA_C],0))</f>
        <v>2159</v>
      </c>
      <c r="AS140" s="38" t="str">
        <f>IF(NOTA[[#This Row],[QTY/ CTN]]="","",TRUE)</f>
        <v/>
      </c>
      <c r="AT140" s="38" t="str">
        <f ca="1">IF(NOTA[[#This Row],[ID_H]]="","",IF(NOTA[[#This Row],[Column3]]=TRUE,NOTA[[#This Row],[QTY/ CTN]],INDEX([3]!db[QTY/ CTN],NOTA[[#This Row],[//DB]])))</f>
        <v>288 PCS</v>
      </c>
      <c r="AU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V140" s="38" t="e">
        <f ca="1">IF(NOTA[[#This Row],[ID_H]]="","",MATCH(NOTA[[#This Row],[NB NOTA_C_QTY]],[4]!db[NB NOTA_C_QTY+F],0))</f>
        <v>#REF!</v>
      </c>
      <c r="AW140" s="53">
        <f ca="1">IF(NOTA[[#This Row],[NB NOTA_C_QTY]]="","",ROW()-2)</f>
        <v>138</v>
      </c>
    </row>
    <row r="141" spans="1:49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20</v>
      </c>
      <c r="E141" s="46"/>
      <c r="F141" s="37"/>
      <c r="G141" s="37"/>
      <c r="H141" s="47"/>
      <c r="I141" s="37"/>
      <c r="J141" s="39"/>
      <c r="K141" s="37"/>
      <c r="L141" s="37" t="s">
        <v>250</v>
      </c>
      <c r="M141" s="40"/>
      <c r="N141" s="38">
        <v>216</v>
      </c>
      <c r="O141" s="37" t="s">
        <v>126</v>
      </c>
      <c r="P141" s="41">
        <v>4800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1036800</v>
      </c>
      <c r="Y141" s="50">
        <f>IF(NOTA[[#This Row],[JUMLAH]]="","",NOTA[[#This Row],[JUMLAH]]*NOTA[[#This Row],[DISC 1]])</f>
        <v>129600</v>
      </c>
      <c r="Z141" s="50">
        <f>IF(NOTA[[#This Row],[JUMLAH]]="","",(NOTA[[#This Row],[JUMLAH]]-NOTA[[#This Row],[DISC 1-]])*NOTA[[#This Row],[DISC 2]])</f>
        <v>45360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174960</v>
      </c>
      <c r="AC141" s="50">
        <f>IF(NOTA[[#This Row],[JUMLAH]]="","",NOTA[[#This Row],[JUMLAH]]-NOTA[[#This Row],[DISC]])</f>
        <v>861840</v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1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41" s="50">
        <f>IF(OR(NOTA[[#This Row],[QTY]]="",NOTA[[#This Row],[HARGA SATUAN]]="",),"",NOTA[[#This Row],[QTY]]*NOTA[[#This Row],[HARGA SATUAN]])</f>
        <v>1036800</v>
      </c>
      <c r="AH141" s="39">
        <f ca="1">IF(NOTA[ID_H]="","",INDEX(NOTA[TANGGAL],MATCH(,INDIRECT(ADDRESS(ROW(NOTA[TANGGAL]),COLUMN(NOTA[TANGGAL]))&amp;":"&amp;ADDRESS(ROW(),COLUMN(NOTA[TANGGAL]))),-1)))</f>
        <v>45178</v>
      </c>
      <c r="AI141" s="41" t="str">
        <f ca="1">IF(NOTA[[#This Row],[NAMA BARANG]]="","",INDEX(NOTA[SUPPLIER],MATCH(,INDIRECT(ADDRESS(ROW(NOTA[ID]),COLUMN(NOTA[ID]))&amp;":"&amp;ADDRESS(ROW(),COLUMN(NOTA[ID]))),-1)))</f>
        <v>ATALI MAKMUR</v>
      </c>
      <c r="AJ141" s="41" t="str">
        <f ca="1">IF(NOTA[[#This Row],[ID_H]]="","",IF(NOTA[[#This Row],[FAKTUR]]="",INDIRECT(ADDRESS(ROW()-1,COLUMN())),NOTA[[#This Row],[FAKTUR]]))</f>
        <v>ARTO MORO</v>
      </c>
      <c r="AK141" s="38" t="str">
        <f ca="1">IF(NOTA[[#This Row],[ID]]="","",COUNTIF(NOTA[ID_H],NOTA[[#This Row],[ID_H]]))</f>
        <v/>
      </c>
      <c r="AL141" s="38">
        <f ca="1">IF(NOTA[[#This Row],[TGL.NOTA]]="",IF(NOTA[[#This Row],[SUPPLIER_H]]="","",AL140),MONTH(NOTA[[#This Row],[TGL.NOTA]]))</f>
        <v>9</v>
      </c>
      <c r="AM141" s="38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N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pencilcasepc0719pstl35pinkjk10368000.1250.05</v>
      </c>
      <c r="AO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P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38" t="str">
        <f>IF(NOTA[[#This Row],[CONCAT4]]="","",_xlfn.IFNA(MATCH(NOTA[[#This Row],[CONCAT4]],[2]!RAW[CONCAT_H],0),FALSE))</f>
        <v/>
      </c>
      <c r="AR141" s="38">
        <f>IF(NOTA[[#This Row],[CONCAT1]]="","",MATCH(NOTA[[#This Row],[CONCAT1]],[3]!db[NB NOTA_C],0))</f>
        <v>2160</v>
      </c>
      <c r="AS141" s="38" t="str">
        <f>IF(NOTA[[#This Row],[QTY/ CTN]]="","",TRUE)</f>
        <v/>
      </c>
      <c r="AT141" s="38" t="str">
        <f ca="1">IF(NOTA[[#This Row],[ID_H]]="","",IF(NOTA[[#This Row],[Column3]]=TRUE,NOTA[[#This Row],[QTY/ CTN]],INDEX([3]!db[QTY/ CTN],NOTA[[#This Row],[//DB]])))</f>
        <v>288 PCS</v>
      </c>
      <c r="AU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V141" s="38" t="e">
        <f ca="1">IF(NOTA[[#This Row],[ID_H]]="","",MATCH(NOTA[[#This Row],[NB NOTA_C_QTY]],[4]!db[NB NOTA_C_QTY+F],0))</f>
        <v>#REF!</v>
      </c>
      <c r="AW141" s="53">
        <f ca="1">IF(NOTA[[#This Row],[NB NOTA_C_QTY]]="","",ROW()-2)</f>
        <v>139</v>
      </c>
    </row>
    <row r="142" spans="1:49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20</v>
      </c>
      <c r="E142" s="46"/>
      <c r="F142" s="37"/>
      <c r="G142" s="37"/>
      <c r="H142" s="47"/>
      <c r="I142" s="37"/>
      <c r="J142" s="39"/>
      <c r="K142" s="37"/>
      <c r="L142" s="37" t="s">
        <v>251</v>
      </c>
      <c r="M142" s="40"/>
      <c r="N142" s="38">
        <v>216</v>
      </c>
      <c r="O142" s="37" t="s">
        <v>126</v>
      </c>
      <c r="P142" s="41">
        <v>4800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1036800</v>
      </c>
      <c r="Y142" s="50">
        <f>IF(NOTA[[#This Row],[JUMLAH]]="","",NOTA[[#This Row],[JUMLAH]]*NOTA[[#This Row],[DISC 1]])</f>
        <v>129600</v>
      </c>
      <c r="Z142" s="50">
        <f>IF(NOTA[[#This Row],[JUMLAH]]="","",(NOTA[[#This Row],[JUMLAH]]-NOTA[[#This Row],[DISC 1-]])*NOTA[[#This Row],[DISC 2]])</f>
        <v>45360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174960</v>
      </c>
      <c r="AC142" s="50">
        <f>IF(NOTA[[#This Row],[JUMLAH]]="","",NOTA[[#This Row],[JUMLAH]]-NOTA[[#This Row],[DISC]])</f>
        <v>861840</v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2" s="4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G142" s="50">
        <f>IF(OR(NOTA[[#This Row],[QTY]]="",NOTA[[#This Row],[HARGA SATUAN]]="",),"",NOTA[[#This Row],[QTY]]*NOTA[[#This Row],[HARGA SATUAN]])</f>
        <v>1036800</v>
      </c>
      <c r="AH142" s="39">
        <f ca="1">IF(NOTA[ID_H]="","",INDEX(NOTA[TANGGAL],MATCH(,INDIRECT(ADDRESS(ROW(NOTA[TANGGAL]),COLUMN(NOTA[TANGGAL]))&amp;":"&amp;ADDRESS(ROW(),COLUMN(NOTA[TANGGAL]))),-1)))</f>
        <v>45178</v>
      </c>
      <c r="AI142" s="41" t="str">
        <f ca="1">IF(NOTA[[#This Row],[NAMA BARANG]]="","",INDEX(NOTA[SUPPLIER],MATCH(,INDIRECT(ADDRESS(ROW(NOTA[ID]),COLUMN(NOTA[ID]))&amp;":"&amp;ADDRESS(ROW(),COLUMN(NOTA[ID]))),-1)))</f>
        <v>ATALI MAKMUR</v>
      </c>
      <c r="AJ142" s="41" t="str">
        <f ca="1">IF(NOTA[[#This Row],[ID_H]]="","",IF(NOTA[[#This Row],[FAKTUR]]="",INDIRECT(ADDRESS(ROW()-1,COLUMN())),NOTA[[#This Row],[FAKTUR]]))</f>
        <v>ARTO MORO</v>
      </c>
      <c r="AK142" s="38" t="str">
        <f ca="1">IF(NOTA[[#This Row],[ID]]="","",COUNTIF(NOTA[ID_H],NOTA[[#This Row],[ID_H]]))</f>
        <v/>
      </c>
      <c r="AL142" s="38">
        <f ca="1">IF(NOTA[[#This Row],[TGL.NOTA]]="",IF(NOTA[[#This Row],[SUPPLIER_H]]="","",AL141),MONTH(NOTA[[#This Row],[TGL.NOTA]]))</f>
        <v>9</v>
      </c>
      <c r="AM142" s="38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N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pencilcasepc0719pstl35purplejk10368000.1250.05</v>
      </c>
      <c r="AO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P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38" t="str">
        <f>IF(NOTA[[#This Row],[CONCAT4]]="","",_xlfn.IFNA(MATCH(NOTA[[#This Row],[CONCAT4]],[2]!RAW[CONCAT_H],0),FALSE))</f>
        <v/>
      </c>
      <c r="AR142" s="38">
        <f>IF(NOTA[[#This Row],[CONCAT1]]="","",MATCH(NOTA[[#This Row],[CONCAT1]],[3]!db[NB NOTA_C],0))</f>
        <v>2161</v>
      </c>
      <c r="AS142" s="38" t="str">
        <f>IF(NOTA[[#This Row],[QTY/ CTN]]="","",TRUE)</f>
        <v/>
      </c>
      <c r="AT142" s="38" t="str">
        <f ca="1">IF(NOTA[[#This Row],[ID_H]]="","",IF(NOTA[[#This Row],[Column3]]=TRUE,NOTA[[#This Row],[QTY/ CTN]],INDEX([3]!db[QTY/ CTN],NOTA[[#This Row],[//DB]])))</f>
        <v>288 PCS</v>
      </c>
      <c r="AU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V142" s="38" t="e">
        <f ca="1">IF(NOTA[[#This Row],[ID_H]]="","",MATCH(NOTA[[#This Row],[NB NOTA_C_QTY]],[4]!db[NB NOTA_C_QTY+F],0))</f>
        <v>#REF!</v>
      </c>
      <c r="AW142" s="53">
        <f ca="1">IF(NOTA[[#This Row],[NB NOTA_C_QTY]]="","",ROW()-2)</f>
        <v>140</v>
      </c>
    </row>
    <row r="143" spans="1:49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20</v>
      </c>
      <c r="E143" s="46"/>
      <c r="F143" s="37"/>
      <c r="G143" s="37"/>
      <c r="H143" s="47"/>
      <c r="I143" s="37"/>
      <c r="J143" s="39"/>
      <c r="K143" s="37"/>
      <c r="L143" s="37" t="s">
        <v>252</v>
      </c>
      <c r="M143" s="40">
        <v>1</v>
      </c>
      <c r="N143" s="38">
        <v>60</v>
      </c>
      <c r="O143" s="37" t="s">
        <v>183</v>
      </c>
      <c r="P143" s="41">
        <v>31800</v>
      </c>
      <c r="Q143" s="42"/>
      <c r="R143" s="48" t="s">
        <v>253</v>
      </c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1908000</v>
      </c>
      <c r="Y143" s="50">
        <f>IF(NOTA[[#This Row],[JUMLAH]]="","",NOTA[[#This Row],[JUMLAH]]*NOTA[[#This Row],[DISC 1]])</f>
        <v>238500</v>
      </c>
      <c r="Z143" s="50">
        <f>IF(NOTA[[#This Row],[JUMLAH]]="","",(NOTA[[#This Row],[JUMLAH]]-NOTA[[#This Row],[DISC 1-]])*NOTA[[#This Row],[DISC 2]])</f>
        <v>83475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321975</v>
      </c>
      <c r="AC143" s="50">
        <f>IF(NOTA[[#This Row],[JUMLAH]]="","",NOTA[[#This Row],[JUMLAH]]-NOTA[[#This Row],[DISC]])</f>
        <v>1586025</v>
      </c>
      <c r="AD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3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143" s="50">
        <f>IF(OR(NOTA[[#This Row],[QTY]]="",NOTA[[#This Row],[HARGA SATUAN]]="",),"",NOTA[[#This Row],[QTY]]*NOTA[[#This Row],[HARGA SATUAN]])</f>
        <v>1908000</v>
      </c>
      <c r="AH143" s="39">
        <f ca="1">IF(NOTA[ID_H]="","",INDEX(NOTA[TANGGAL],MATCH(,INDIRECT(ADDRESS(ROW(NOTA[TANGGAL]),COLUMN(NOTA[TANGGAL]))&amp;":"&amp;ADDRESS(ROW(),COLUMN(NOTA[TANGGAL]))),-1)))</f>
        <v>45178</v>
      </c>
      <c r="AI143" s="41" t="str">
        <f ca="1">IF(NOTA[[#This Row],[NAMA BARANG]]="","",INDEX(NOTA[SUPPLIER],MATCH(,INDIRECT(ADDRESS(ROW(NOTA[ID]),COLUMN(NOTA[ID]))&amp;":"&amp;ADDRESS(ROW(),COLUMN(NOTA[ID]))),-1)))</f>
        <v>ATALI MAKMUR</v>
      </c>
      <c r="AJ143" s="41" t="str">
        <f ca="1">IF(NOTA[[#This Row],[ID_H]]="","",IF(NOTA[[#This Row],[FAKTUR]]="",INDIRECT(ADDRESS(ROW()-1,COLUMN())),NOTA[[#This Row],[FAKTUR]]))</f>
        <v>ARTO MORO</v>
      </c>
      <c r="AK143" s="38" t="str">
        <f ca="1">IF(NOTA[[#This Row],[ID]]="","",COUNTIF(NOTA[ID_H],NOTA[[#This Row],[ID_H]]))</f>
        <v/>
      </c>
      <c r="AL143" s="38">
        <f ca="1">IF(NOTA[[#This Row],[TGL.NOTA]]="",IF(NOTA[[#This Row],[SUPPLIER_H]]="","",AL142),MONTH(NOTA[[#This Row],[TGL.NOTA]]))</f>
        <v>9</v>
      </c>
      <c r="AM143" s="38" t="str">
        <f>LOWER(SUBSTITUTE(SUBSTITUTE(SUBSTITUTE(SUBSTITUTE(SUBSTITUTE(SUBSTITUTE(SUBSTITUTE(SUBSTITUTE(SUBSTITUTE(NOTA[NAMA BARANG]," ",),".",""),"-",""),"(",""),")",""),",",""),"/",""),"""",""),"+",""))</f>
        <v>sharpenerb82bearjk</v>
      </c>
      <c r="AN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sharpenerb82bearjk19080000.1250.05</v>
      </c>
      <c r="AO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sharpenerb82bearjk19080000.1250.05</v>
      </c>
      <c r="AP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38" t="str">
        <f>IF(NOTA[[#This Row],[CONCAT4]]="","",_xlfn.IFNA(MATCH(NOTA[[#This Row],[CONCAT4]],[2]!RAW[CONCAT_H],0),FALSE))</f>
        <v/>
      </c>
      <c r="AR143" s="38">
        <f>IF(NOTA[[#This Row],[CONCAT1]]="","",MATCH(NOTA[[#This Row],[CONCAT1]],[3]!db[NB NOTA_C],0))</f>
        <v>2441</v>
      </c>
      <c r="AS143" s="38" t="b">
        <f>IF(NOTA[[#This Row],[QTY/ CTN]]="","",TRUE)</f>
        <v>1</v>
      </c>
      <c r="AT143" s="38" t="str">
        <f ca="1">IF(NOTA[[#This Row],[ID_H]]="","",IF(NOTA[[#This Row],[Column3]]=TRUE,NOTA[[#This Row],[QTY/ CTN]],INDEX([3]!db[QTY/ CTN],NOTA[[#This Row],[//DB]])))</f>
        <v>60 BOX (24 PCS)</v>
      </c>
      <c r="AU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sharpenerb82bearjk60box24pcsartomoro</v>
      </c>
      <c r="AV143" s="38" t="e">
        <f ca="1">IF(NOTA[[#This Row],[ID_H]]="","",MATCH(NOTA[[#This Row],[NB NOTA_C_QTY]],[4]!db[NB NOTA_C_QTY+F],0))</f>
        <v>#REF!</v>
      </c>
      <c r="AW143" s="53">
        <f ca="1">IF(NOTA[[#This Row],[NB NOTA_C_QTY]]="","",ROW()-2)</f>
        <v>141</v>
      </c>
    </row>
    <row r="144" spans="1:49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20</v>
      </c>
      <c r="E144" s="46"/>
      <c r="F144" s="37"/>
      <c r="G144" s="37"/>
      <c r="H144" s="47"/>
      <c r="I144" s="37"/>
      <c r="J144" s="39"/>
      <c r="K144" s="37"/>
      <c r="L144" s="37" t="s">
        <v>257</v>
      </c>
      <c r="M144" s="40">
        <v>2</v>
      </c>
      <c r="N144" s="38">
        <v>6</v>
      </c>
      <c r="O144" s="37" t="s">
        <v>212</v>
      </c>
      <c r="P144" s="41">
        <v>507600</v>
      </c>
      <c r="Q144" s="42"/>
      <c r="R144" s="48" t="s">
        <v>258</v>
      </c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3045600</v>
      </c>
      <c r="Y144" s="50">
        <f>IF(NOTA[[#This Row],[JUMLAH]]="","",NOTA[[#This Row],[JUMLAH]]*NOTA[[#This Row],[DISC 1]])</f>
        <v>380700</v>
      </c>
      <c r="Z144" s="50">
        <f>IF(NOTA[[#This Row],[JUMLAH]]="","",(NOTA[[#This Row],[JUMLAH]]-NOTA[[#This Row],[DISC 1-]])*NOTA[[#This Row],[DISC 2]])</f>
        <v>133245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513945</v>
      </c>
      <c r="AC144" s="50">
        <f>IF(NOTA[[#This Row],[JUMLAH]]="","",NOTA[[#This Row],[JUMLAH]]-NOTA[[#This Row],[DISC]])</f>
        <v>2531655</v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G144" s="50">
        <f>IF(OR(NOTA[[#This Row],[QTY]]="",NOTA[[#This Row],[HARGA SATUAN]]="",),"",NOTA[[#This Row],[QTY]]*NOTA[[#This Row],[HARGA SATUAN]])</f>
        <v>3045600</v>
      </c>
      <c r="AH144" s="39">
        <f ca="1">IF(NOTA[ID_H]="","",INDEX(NOTA[TANGGAL],MATCH(,INDIRECT(ADDRESS(ROW(NOTA[TANGGAL]),COLUMN(NOTA[TANGGAL]))&amp;":"&amp;ADDRESS(ROW(),COLUMN(NOTA[TANGGAL]))),-1)))</f>
        <v>45178</v>
      </c>
      <c r="AI144" s="41" t="str">
        <f ca="1">IF(NOTA[[#This Row],[NAMA BARANG]]="","",INDEX(NOTA[SUPPLIER],MATCH(,INDIRECT(ADDRESS(ROW(NOTA[ID]),COLUMN(NOTA[ID]))&amp;":"&amp;ADDRESS(ROW(),COLUMN(NOTA[ID]))),-1)))</f>
        <v>ATALI MAKMUR</v>
      </c>
      <c r="AJ144" s="41" t="str">
        <f ca="1">IF(NOTA[[#This Row],[ID_H]]="","",IF(NOTA[[#This Row],[FAKTUR]]="",INDIRECT(ADDRESS(ROW()-1,COLUMN())),NOTA[[#This Row],[FAKTUR]]))</f>
        <v>ARTO MORO</v>
      </c>
      <c r="AK144" s="38" t="str">
        <f ca="1">IF(NOTA[[#This Row],[ID]]="","",COUNTIF(NOTA[ID_H],NOTA[[#This Row],[ID_H]]))</f>
        <v/>
      </c>
      <c r="AL144" s="38">
        <f ca="1">IF(NOTA[[#This Row],[TGL.NOTA]]="",IF(NOTA[[#This Row],[SUPPLIER_H]]="","",AL143),MONTH(NOTA[[#This Row],[TGL.NOTA]]))</f>
        <v>9</v>
      </c>
      <c r="AM14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N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38" t="str">
        <f>IF(NOTA[[#This Row],[CONCAT4]]="","",_xlfn.IFNA(MATCH(NOTA[[#This Row],[CONCAT4]],[2]!RAW[CONCAT_H],0),FALSE))</f>
        <v/>
      </c>
      <c r="AR144" s="38">
        <f>IF(NOTA[[#This Row],[CONCAT1]]="","",MATCH(NOTA[[#This Row],[CONCAT1]],[3]!db[NB NOTA_C],0))</f>
        <v>253</v>
      </c>
      <c r="AS144" s="38" t="b">
        <f>IF(NOTA[[#This Row],[QTY/ CTN]]="","",TRUE)</f>
        <v>1</v>
      </c>
      <c r="AT144" s="38" t="str">
        <f ca="1">IF(NOTA[[#This Row],[ID_H]]="","",IF(NOTA[[#This Row],[Column3]]=TRUE,NOTA[[#This Row],[QTY/ CTN]],INDEX([3]!db[QTY/ CTN],NOTA[[#This Row],[//DB]])))</f>
        <v>3 GRS</v>
      </c>
      <c r="AU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V144" s="38" t="e">
        <f ca="1">IF(NOTA[[#This Row],[ID_H]]="","",MATCH(NOTA[[#This Row],[NB NOTA_C_QTY]],[4]!db[NB NOTA_C_QTY+F],0))</f>
        <v>#REF!</v>
      </c>
      <c r="AW144" s="53">
        <f ca="1">IF(NOTA[[#This Row],[NB NOTA_C_QTY]]="","",ROW()-2)</f>
        <v>142</v>
      </c>
    </row>
    <row r="145" spans="1:49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20</v>
      </c>
      <c r="E145" s="46"/>
      <c r="F145" s="37"/>
      <c r="G145" s="37"/>
      <c r="H145" s="47"/>
      <c r="I145" s="37"/>
      <c r="J145" s="39"/>
      <c r="K145" s="37"/>
      <c r="L145" s="37" t="s">
        <v>214</v>
      </c>
      <c r="M145" s="40"/>
      <c r="N145" s="38">
        <v>12</v>
      </c>
      <c r="O145" s="37" t="s">
        <v>138</v>
      </c>
      <c r="P145" s="41">
        <v>13200</v>
      </c>
      <c r="Q145" s="42"/>
      <c r="R145" s="48" t="s">
        <v>216</v>
      </c>
      <c r="S145" s="49">
        <v>0.1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158400</v>
      </c>
      <c r="Y145" s="50">
        <f>IF(NOTA[[#This Row],[JUMLAH]]="","",NOTA[[#This Row],[JUMLAH]]*NOTA[[#This Row],[DISC 1]])</f>
        <v>15840</v>
      </c>
      <c r="Z145" s="50">
        <f>IF(NOTA[[#This Row],[JUMLAH]]="","",(NOTA[[#This Row],[JUMLAH]]-NOTA[[#This Row],[DISC 1-]])*NOTA[[#This Row],[DISC 2]])</f>
        <v>7128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22968</v>
      </c>
      <c r="AC145" s="50">
        <f>IF(NOTA[[#This Row],[JUMLAH]]="","",NOTA[[#This Row],[JUMLAH]]-NOTA[[#This Row],[DISC]])</f>
        <v>135432</v>
      </c>
      <c r="AD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145" s="50">
        <f>IF(OR(NOTA[[#This Row],[QTY]]="",NOTA[[#This Row],[HARGA SATUAN]]="",),"",NOTA[[#This Row],[QTY]]*NOTA[[#This Row],[HARGA SATUAN]])</f>
        <v>158400</v>
      </c>
      <c r="AH145" s="39">
        <f ca="1">IF(NOTA[ID_H]="","",INDEX(NOTA[TANGGAL],MATCH(,INDIRECT(ADDRESS(ROW(NOTA[TANGGAL]),COLUMN(NOTA[TANGGAL]))&amp;":"&amp;ADDRESS(ROW(),COLUMN(NOTA[TANGGAL]))),-1)))</f>
        <v>45178</v>
      </c>
      <c r="AI145" s="41" t="str">
        <f ca="1">IF(NOTA[[#This Row],[NAMA BARANG]]="","",INDEX(NOTA[SUPPLIER],MATCH(,INDIRECT(ADDRESS(ROW(NOTA[ID]),COLUMN(NOTA[ID]))&amp;":"&amp;ADDRESS(ROW(),COLUMN(NOTA[ID]))),-1)))</f>
        <v>ATALI MAKMUR</v>
      </c>
      <c r="AJ145" s="41" t="str">
        <f ca="1">IF(NOTA[[#This Row],[ID_H]]="","",IF(NOTA[[#This Row],[FAKTUR]]="",INDIRECT(ADDRESS(ROW()-1,COLUMN())),NOTA[[#This Row],[FAKTUR]]))</f>
        <v>ARTO MORO</v>
      </c>
      <c r="AK145" s="38" t="str">
        <f ca="1">IF(NOTA[[#This Row],[ID]]="","",COUNTIF(NOTA[ID_H],NOTA[[#This Row],[ID_H]]))</f>
        <v/>
      </c>
      <c r="AL145" s="38">
        <f ca="1">IF(NOTA[[#This Row],[TGL.NOTA]]="",IF(NOTA[[#This Row],[SUPPLIER_H]]="","",AL143),MONTH(NOTA[[#This Row],[TGL.NOTA]]))</f>
        <v>9</v>
      </c>
      <c r="AM145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38" t="str">
        <f>IF(NOTA[[#This Row],[CONCAT4]]="","",_xlfn.IFNA(MATCH(NOTA[[#This Row],[CONCAT4]],[2]!RAW[CONCAT_H],0),FALSE))</f>
        <v/>
      </c>
      <c r="AR145" s="38">
        <f>IF(NOTA[[#This Row],[CONCAT1]]="","",MATCH(NOTA[[#This Row],[CONCAT1]],[3]!db[NB NOTA_C],0))</f>
        <v>101</v>
      </c>
      <c r="AS145" s="38" t="b">
        <f>IF(NOTA[[#This Row],[QTY/ CTN]]="","",TRUE)</f>
        <v>1</v>
      </c>
      <c r="AT145" s="38" t="str">
        <f ca="1">IF(NOTA[[#This Row],[ID_H]]="","",IF(NOTA[[#This Row],[Column3]]=TRUE,NOTA[[#This Row],[QTY/ CTN]],INDEX([3]!db[QTY/ CTN],NOTA[[#This Row],[//DB]])))</f>
        <v>144 LSN</v>
      </c>
      <c r="AU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145" s="38" t="e">
        <f ca="1">IF(NOTA[[#This Row],[ID_H]]="","",MATCH(NOTA[[#This Row],[NB NOTA_C_QTY]],[4]!db[NB NOTA_C_QTY+F],0))</f>
        <v>#REF!</v>
      </c>
      <c r="AW145" s="53">
        <f ca="1">IF(NOTA[[#This Row],[NB NOTA_C_QTY]]="","",ROW()-2)</f>
        <v>143</v>
      </c>
    </row>
    <row r="146" spans="1:49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20</v>
      </c>
      <c r="E146" s="46"/>
      <c r="F146" s="37"/>
      <c r="G146" s="37"/>
      <c r="H146" s="47"/>
      <c r="I146" s="37"/>
      <c r="J146" s="39"/>
      <c r="K146" s="37"/>
      <c r="L146" s="37" t="s">
        <v>254</v>
      </c>
      <c r="M146" s="40">
        <v>1</v>
      </c>
      <c r="N146" s="38">
        <v>500</v>
      </c>
      <c r="O146" s="37" t="s">
        <v>239</v>
      </c>
      <c r="P146" s="41">
        <v>3050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1525000</v>
      </c>
      <c r="Y146" s="50">
        <f>IF(NOTA[[#This Row],[JUMLAH]]="","",NOTA[[#This Row],[JUMLAH]]*NOTA[[#This Row],[DISC 1]])</f>
        <v>190625</v>
      </c>
      <c r="Z146" s="50">
        <f>IF(NOTA[[#This Row],[JUMLAH]]="","",(NOTA[[#This Row],[JUMLAH]]-NOTA[[#This Row],[DISC 1-]])*NOTA[[#This Row],[DISC 2]])</f>
        <v>66718.75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257343.75</v>
      </c>
      <c r="AC146" s="50">
        <f>IF(NOTA[[#This Row],[JUMLAH]]="","",NOTA[[#This Row],[JUMLAH]]-NOTA[[#This Row],[DISC]])</f>
        <v>1267656.25</v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146" s="50">
        <f>IF(OR(NOTA[[#This Row],[QTY]]="",NOTA[[#This Row],[HARGA SATUAN]]="",),"",NOTA[[#This Row],[QTY]]*NOTA[[#This Row],[HARGA SATUAN]])</f>
        <v>1525000</v>
      </c>
      <c r="AH146" s="39">
        <f ca="1">IF(NOTA[ID_H]="","",INDEX(NOTA[TANGGAL],MATCH(,INDIRECT(ADDRESS(ROW(NOTA[TANGGAL]),COLUMN(NOTA[TANGGAL]))&amp;":"&amp;ADDRESS(ROW(),COLUMN(NOTA[TANGGAL]))),-1)))</f>
        <v>45178</v>
      </c>
      <c r="AI146" s="41" t="str">
        <f ca="1">IF(NOTA[[#This Row],[NAMA BARANG]]="","",INDEX(NOTA[SUPPLIER],MATCH(,INDIRECT(ADDRESS(ROW(NOTA[ID]),COLUMN(NOTA[ID]))&amp;":"&amp;ADDRESS(ROW(),COLUMN(NOTA[ID]))),-1)))</f>
        <v>ATALI MAKMUR</v>
      </c>
      <c r="AJ146" s="41" t="str">
        <f ca="1">IF(NOTA[[#This Row],[ID_H]]="","",IF(NOTA[[#This Row],[FAKTUR]]="",INDIRECT(ADDRESS(ROW()-1,COLUMN())),NOTA[[#This Row],[FAKTUR]]))</f>
        <v>ARTO MORO</v>
      </c>
      <c r="AK146" s="38" t="str">
        <f ca="1">IF(NOTA[[#This Row],[ID]]="","",COUNTIF(NOTA[ID_H],NOTA[[#This Row],[ID_H]]))</f>
        <v/>
      </c>
      <c r="AL146" s="38">
        <f ca="1">IF(NOTA[[#This Row],[TGL.NOTA]]="",IF(NOTA[[#This Row],[SUPPLIER_H]]="","",AL145),MONTH(NOTA[[#This Row],[TGL.NOTA]]))</f>
        <v>9</v>
      </c>
      <c r="AM14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38" t="str">
        <f>IF(NOTA[[#This Row],[CONCAT4]]="","",_xlfn.IFNA(MATCH(NOTA[[#This Row],[CONCAT4]],[2]!RAW[CONCAT_H],0),FALSE))</f>
        <v/>
      </c>
      <c r="AR146" s="38">
        <f>IF(NOTA[[#This Row],[CONCAT1]]="","",MATCH(NOTA[[#This Row],[CONCAT1]],[3]!db[NB NOTA_C],0))</f>
        <v>1629</v>
      </c>
      <c r="AS146" s="38" t="str">
        <f>IF(NOTA[[#This Row],[QTY/ CTN]]="","",TRUE)</f>
        <v/>
      </c>
      <c r="AT146" s="38" t="str">
        <f ca="1">IF(NOTA[[#This Row],[ID_H]]="","",IF(NOTA[[#This Row],[Column3]]=TRUE,NOTA[[#This Row],[QTY/ CTN]],INDEX([3]!db[QTY/ CTN],NOTA[[#This Row],[//DB]])))</f>
        <v>50 PAK (10 ROL)</v>
      </c>
      <c r="AU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146" s="38" t="e">
        <f ca="1">IF(NOTA[[#This Row],[ID_H]]="","",MATCH(NOTA[[#This Row],[NB NOTA_C_QTY]],[4]!db[NB NOTA_C_QTY+F],0))</f>
        <v>#REF!</v>
      </c>
      <c r="AW146" s="53">
        <f ca="1">IF(NOTA[[#This Row],[NB NOTA_C_QTY]]="","",ROW()-2)</f>
        <v>144</v>
      </c>
    </row>
    <row r="147" spans="1:49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20</v>
      </c>
      <c r="E147" s="46"/>
      <c r="F147" s="37"/>
      <c r="G147" s="37"/>
      <c r="H147" s="47"/>
      <c r="I147" s="37"/>
      <c r="J147" s="39"/>
      <c r="K147" s="37"/>
      <c r="L147" s="37" t="s">
        <v>220</v>
      </c>
      <c r="M147" s="40">
        <v>5</v>
      </c>
      <c r="N147" s="38">
        <v>150</v>
      </c>
      <c r="O147" s="37" t="s">
        <v>212</v>
      </c>
      <c r="P147" s="41">
        <v>104400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15660000</v>
      </c>
      <c r="Y147" s="50">
        <f>IF(NOTA[[#This Row],[JUMLAH]]="","",NOTA[[#This Row],[JUMLAH]]*NOTA[[#This Row],[DISC 1]])</f>
        <v>1957500</v>
      </c>
      <c r="Z147" s="50">
        <f>IF(NOTA[[#This Row],[JUMLAH]]="","",(NOTA[[#This Row],[JUMLAH]]-NOTA[[#This Row],[DISC 1-]])*NOTA[[#This Row],[DISC 2]])</f>
        <v>685125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2642625</v>
      </c>
      <c r="AC147" s="50">
        <f>IF(NOTA[[#This Row],[JUMLAH]]="","",NOTA[[#This Row],[JUMLAH]]-NOTA[[#This Row],[DISC]])</f>
        <v>13017375</v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7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147" s="50">
        <f>IF(OR(NOTA[[#This Row],[QTY]]="",NOTA[[#This Row],[HARGA SATUAN]]="",),"",NOTA[[#This Row],[QTY]]*NOTA[[#This Row],[HARGA SATUAN]])</f>
        <v>15660000</v>
      </c>
      <c r="AH147" s="39">
        <f ca="1">IF(NOTA[ID_H]="","",INDEX(NOTA[TANGGAL],MATCH(,INDIRECT(ADDRESS(ROW(NOTA[TANGGAL]),COLUMN(NOTA[TANGGAL]))&amp;":"&amp;ADDRESS(ROW(),COLUMN(NOTA[TANGGAL]))),-1)))</f>
        <v>45178</v>
      </c>
      <c r="AI147" s="41" t="str">
        <f ca="1">IF(NOTA[[#This Row],[NAMA BARANG]]="","",INDEX(NOTA[SUPPLIER],MATCH(,INDIRECT(ADDRESS(ROW(NOTA[ID]),COLUMN(NOTA[ID]))&amp;":"&amp;ADDRESS(ROW(),COLUMN(NOTA[ID]))),-1)))</f>
        <v>ATALI MAKMUR</v>
      </c>
      <c r="AJ147" s="41" t="str">
        <f ca="1">IF(NOTA[[#This Row],[ID_H]]="","",IF(NOTA[[#This Row],[FAKTUR]]="",INDIRECT(ADDRESS(ROW()-1,COLUMN())),NOTA[[#This Row],[FAKTUR]]))</f>
        <v>ARTO MORO</v>
      </c>
      <c r="AK147" s="38" t="str">
        <f ca="1">IF(NOTA[[#This Row],[ID]]="","",COUNTIF(NOTA[ID_H],NOTA[[#This Row],[ID_H]]))</f>
        <v/>
      </c>
      <c r="AL147" s="38">
        <f ca="1">IF(NOTA[[#This Row],[TGL.NOTA]]="",IF(NOTA[[#This Row],[SUPPLIER_H]]="","",AL146),MONTH(NOTA[[#This Row],[TGL.NOTA]]))</f>
        <v>9</v>
      </c>
      <c r="AM147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38" t="str">
        <f>IF(NOTA[[#This Row],[CONCAT4]]="","",_xlfn.IFNA(MATCH(NOTA[[#This Row],[CONCAT4]],[2]!RAW[CONCAT_H],0),FALSE))</f>
        <v/>
      </c>
      <c r="AR147" s="38">
        <f>IF(NOTA[[#This Row],[CONCAT1]]="","",MATCH(NOTA[[#This Row],[CONCAT1]],[3]!db[NB NOTA_C],0))</f>
        <v>2174</v>
      </c>
      <c r="AS147" s="38" t="str">
        <f>IF(NOTA[[#This Row],[QTY/ CTN]]="","",TRUE)</f>
        <v/>
      </c>
      <c r="AT147" s="38" t="str">
        <f ca="1">IF(NOTA[[#This Row],[ID_H]]="","",IF(NOTA[[#This Row],[Column3]]=TRUE,NOTA[[#This Row],[QTY/ CTN]],INDEX([3]!db[QTY/ CTN],NOTA[[#This Row],[//DB]])))</f>
        <v>30 GRS</v>
      </c>
      <c r="AU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147" s="38" t="e">
        <f ca="1">IF(NOTA[[#This Row],[ID_H]]="","",MATCH(NOTA[[#This Row],[NB NOTA_C_QTY]],[4]!db[NB NOTA_C_QTY+F],0))</f>
        <v>#REF!</v>
      </c>
      <c r="AW147" s="53">
        <f ca="1">IF(NOTA[[#This Row],[NB NOTA_C_QTY]]="","",ROW()-2)</f>
        <v>145</v>
      </c>
    </row>
    <row r="148" spans="1:49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20</v>
      </c>
      <c r="E148" s="46"/>
      <c r="F148" s="37"/>
      <c r="G148" s="37"/>
      <c r="H148" s="47"/>
      <c r="I148" s="37"/>
      <c r="J148" s="39"/>
      <c r="K148" s="37"/>
      <c r="L148" s="37" t="s">
        <v>255</v>
      </c>
      <c r="M148" s="40">
        <v>5</v>
      </c>
      <c r="N148" s="38">
        <v>100</v>
      </c>
      <c r="O148" s="37" t="s">
        <v>138</v>
      </c>
      <c r="P148" s="41">
        <v>85200</v>
      </c>
      <c r="Q148" s="42"/>
      <c r="R148" s="48"/>
      <c r="S148" s="49">
        <v>0.125</v>
      </c>
      <c r="T148" s="44">
        <v>0.05</v>
      </c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8520000</v>
      </c>
      <c r="Y148" s="50">
        <f>IF(NOTA[[#This Row],[JUMLAH]]="","",NOTA[[#This Row],[JUMLAH]]*NOTA[[#This Row],[DISC 1]])</f>
        <v>1065000</v>
      </c>
      <c r="Z148" s="50">
        <f>IF(NOTA[[#This Row],[JUMLAH]]="","",(NOTA[[#This Row],[JUMLAH]]-NOTA[[#This Row],[DISC 1-]])*NOTA[[#This Row],[DISC 2]])</f>
        <v>372750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1437750</v>
      </c>
      <c r="AC148" s="50">
        <f>IF(NOTA[[#This Row],[JUMLAH]]="","",NOTA[[#This Row],[JUMLAH]]-NOTA[[#This Row],[DISC]])</f>
        <v>7082250</v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4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148" s="50">
        <f>IF(OR(NOTA[[#This Row],[QTY]]="",NOTA[[#This Row],[HARGA SATUAN]]="",),"",NOTA[[#This Row],[QTY]]*NOTA[[#This Row],[HARGA SATUAN]])</f>
        <v>8520000</v>
      </c>
      <c r="AH148" s="39">
        <f ca="1">IF(NOTA[ID_H]="","",INDEX(NOTA[TANGGAL],MATCH(,INDIRECT(ADDRESS(ROW(NOTA[TANGGAL]),COLUMN(NOTA[TANGGAL]))&amp;":"&amp;ADDRESS(ROW(),COLUMN(NOTA[TANGGAL]))),-1)))</f>
        <v>45178</v>
      </c>
      <c r="AI148" s="41" t="str">
        <f ca="1">IF(NOTA[[#This Row],[NAMA BARANG]]="","",INDEX(NOTA[SUPPLIER],MATCH(,INDIRECT(ADDRESS(ROW(NOTA[ID]),COLUMN(NOTA[ID]))&amp;":"&amp;ADDRESS(ROW(),COLUMN(NOTA[ID]))),-1)))</f>
        <v>ATALI MAKMUR</v>
      </c>
      <c r="AJ148" s="41" t="str">
        <f ca="1">IF(NOTA[[#This Row],[ID_H]]="","",IF(NOTA[[#This Row],[FAKTUR]]="",INDIRECT(ADDRESS(ROW()-1,COLUMN())),NOTA[[#This Row],[FAKTUR]]))</f>
        <v>ARTO MORO</v>
      </c>
      <c r="AK148" s="38" t="str">
        <f ca="1">IF(NOTA[[#This Row],[ID]]="","",COUNTIF(NOTA[ID_H],NOTA[[#This Row],[ID_H]]))</f>
        <v/>
      </c>
      <c r="AL148" s="38">
        <f ca="1">IF(NOTA[[#This Row],[TGL.NOTA]]="",IF(NOTA[[#This Row],[SUPPLIER_H]]="","",AL147),MONTH(NOTA[[#This Row],[TGL.NOTA]]))</f>
        <v>9</v>
      </c>
      <c r="AM148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38" t="str">
        <f>IF(NOTA[[#This Row],[CONCAT4]]="","",_xlfn.IFNA(MATCH(NOTA[[#This Row],[CONCAT4]],[2]!RAW[CONCAT_H],0),FALSE))</f>
        <v/>
      </c>
      <c r="AR148" s="38">
        <f>IF(NOTA[[#This Row],[CONCAT1]]="","",MATCH(NOTA[[#This Row],[CONCAT1]],[3]!db[NB NOTA_C],0))</f>
        <v>2471</v>
      </c>
      <c r="AS148" s="38" t="str">
        <f>IF(NOTA[[#This Row],[QTY/ CTN]]="","",TRUE)</f>
        <v/>
      </c>
      <c r="AT148" s="38" t="str">
        <f ca="1">IF(NOTA[[#This Row],[ID_H]]="","",IF(NOTA[[#This Row],[Column3]]=TRUE,NOTA[[#This Row],[QTY/ CTN]],INDEX([3]!db[QTY/ CTN],NOTA[[#This Row],[//DB]])))</f>
        <v>20 LSN</v>
      </c>
      <c r="AU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148" s="38" t="e">
        <f ca="1">IF(NOTA[[#This Row],[ID_H]]="","",MATCH(NOTA[[#This Row],[NB NOTA_C_QTY]],[4]!db[NB NOTA_C_QTY+F],0))</f>
        <v>#REF!</v>
      </c>
      <c r="AW148" s="53">
        <f ca="1">IF(NOTA[[#This Row],[NB NOTA_C_QTY]]="","",ROW()-2)</f>
        <v>146</v>
      </c>
    </row>
    <row r="149" spans="1:49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20</v>
      </c>
      <c r="E149" s="46"/>
      <c r="F149" s="37"/>
      <c r="G149" s="37"/>
      <c r="H149" s="47"/>
      <c r="I149" s="37"/>
      <c r="J149" s="39"/>
      <c r="K149" s="37"/>
      <c r="L149" s="37" t="s">
        <v>256</v>
      </c>
      <c r="M149" s="40">
        <v>2</v>
      </c>
      <c r="N149" s="38">
        <v>80</v>
      </c>
      <c r="O149" s="37" t="s">
        <v>138</v>
      </c>
      <c r="P149" s="41">
        <v>49200</v>
      </c>
      <c r="Q149" s="42"/>
      <c r="R149" s="48"/>
      <c r="S149" s="49">
        <v>0.125</v>
      </c>
      <c r="T149" s="44">
        <v>0.05</v>
      </c>
      <c r="U149" s="44"/>
      <c r="V149" s="50">
        <v>135432</v>
      </c>
      <c r="W149" s="45"/>
      <c r="X149" s="50">
        <f>IF(NOTA[[#This Row],[HARGA/ CTN]]="",NOTA[[#This Row],[JUMLAH_H]],NOTA[[#This Row],[HARGA/ CTN]]*IF(NOTA[[#This Row],[C]]="",0,NOTA[[#This Row],[C]]))</f>
        <v>3936000</v>
      </c>
      <c r="Y149" s="50">
        <f>IF(NOTA[[#This Row],[JUMLAH]]="","",NOTA[[#This Row],[JUMLAH]]*NOTA[[#This Row],[DISC 1]])</f>
        <v>492000</v>
      </c>
      <c r="Z149" s="50">
        <f>IF(NOTA[[#This Row],[JUMLAH]]="","",(NOTA[[#This Row],[JUMLAH]]-NOTA[[#This Row],[DISC 1-]])*NOTA[[#This Row],[DISC 2]])</f>
        <v>172200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664200</v>
      </c>
      <c r="AC149" s="50">
        <f>IF(NOTA[[#This Row],[JUMLAH]]="","",NOTA[[#This Row],[JUMLAH]]-NOTA[[#This Row],[DISC]])</f>
        <v>3271800</v>
      </c>
      <c r="AD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6696078.75</v>
      </c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32204121.25</v>
      </c>
      <c r="AF14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G149" s="50">
        <f>IF(OR(NOTA[[#This Row],[QTY]]="",NOTA[[#This Row],[HARGA SATUAN]]="",),"",NOTA[[#This Row],[QTY]]*NOTA[[#This Row],[HARGA SATUAN]])</f>
        <v>3936000</v>
      </c>
      <c r="AH149" s="39">
        <f ca="1">IF(NOTA[ID_H]="","",INDEX(NOTA[TANGGAL],MATCH(,INDIRECT(ADDRESS(ROW(NOTA[TANGGAL]),COLUMN(NOTA[TANGGAL]))&amp;":"&amp;ADDRESS(ROW(),COLUMN(NOTA[TANGGAL]))),-1)))</f>
        <v>45178</v>
      </c>
      <c r="AI149" s="41" t="str">
        <f ca="1">IF(NOTA[[#This Row],[NAMA BARANG]]="","",INDEX(NOTA[SUPPLIER],MATCH(,INDIRECT(ADDRESS(ROW(NOTA[ID]),COLUMN(NOTA[ID]))&amp;":"&amp;ADDRESS(ROW(),COLUMN(NOTA[ID]))),-1)))</f>
        <v>ATALI MAKMUR</v>
      </c>
      <c r="AJ149" s="41" t="str">
        <f ca="1">IF(NOTA[[#This Row],[ID_H]]="","",IF(NOTA[[#This Row],[FAKTUR]]="",INDIRECT(ADDRESS(ROW()-1,COLUMN())),NOTA[[#This Row],[FAKTUR]]))</f>
        <v>ARTO MORO</v>
      </c>
      <c r="AK149" s="38" t="str">
        <f ca="1">IF(NOTA[[#This Row],[ID]]="","",COUNTIF(NOTA[ID_H],NOTA[[#This Row],[ID_H]]))</f>
        <v/>
      </c>
      <c r="AL149" s="38">
        <f ca="1">IF(NOTA[[#This Row],[TGL.NOTA]]="",IF(NOTA[[#This Row],[SUPPLIER_H]]="","",AL148),MONTH(NOTA[[#This Row],[TGL.NOTA]]))</f>
        <v>9</v>
      </c>
      <c r="AM14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38" t="str">
        <f>IF(NOTA[[#This Row],[CONCAT4]]="","",_xlfn.IFNA(MATCH(NOTA[[#This Row],[CONCAT4]],[2]!RAW[CONCAT_H],0),FALSE))</f>
        <v/>
      </c>
      <c r="AR149" s="38">
        <f>IF(NOTA[[#This Row],[CONCAT1]]="","",MATCH(NOTA[[#This Row],[CONCAT1]],[3]!db[NB NOTA_C],0))</f>
        <v>682</v>
      </c>
      <c r="AS149" s="38" t="str">
        <f>IF(NOTA[[#This Row],[QTY/ CTN]]="","",TRUE)</f>
        <v/>
      </c>
      <c r="AT149" s="38" t="str">
        <f ca="1">IF(NOTA[[#This Row],[ID_H]]="","",IF(NOTA[[#This Row],[Column3]]=TRUE,NOTA[[#This Row],[QTY/ CTN]],INDEX([3]!db[QTY/ CTN],NOTA[[#This Row],[//DB]])))</f>
        <v>40 LSN</v>
      </c>
      <c r="AU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V149" s="38" t="e">
        <f ca="1">IF(NOTA[[#This Row],[ID_H]]="","",MATCH(NOTA[[#This Row],[NB NOTA_C_QTY]],[4]!db[NB NOTA_C_QTY+F],0))</f>
        <v>#REF!</v>
      </c>
      <c r="AW149" s="53">
        <f ca="1">IF(NOTA[[#This Row],[NB NOTA_C_QTY]]="","",ROW()-2)</f>
        <v>147</v>
      </c>
    </row>
    <row r="150" spans="1:49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50" s="50" t="str">
        <f>IF(OR(NOTA[[#This Row],[QTY]]="",NOTA[[#This Row],[HARGA SATUAN]]="",),"",NOTA[[#This Row],[QTY]]*NOTA[[#This Row],[HARGA SATUAN]])</f>
        <v/>
      </c>
      <c r="AH150" s="39" t="str">
        <f ca="1">IF(NOTA[ID_H]="","",INDEX(NOTA[TANGGAL],MATCH(,INDIRECT(ADDRESS(ROW(NOTA[TANGGAL]),COLUMN(NOTA[TANGGAL]))&amp;":"&amp;ADDRESS(ROW(),COLUMN(NOTA[TANGGAL]))),-1)))</f>
        <v/>
      </c>
      <c r="AI150" s="41" t="str">
        <f ca="1">IF(NOTA[[#This Row],[NAMA BARANG]]="","",INDEX(NOTA[SUPPLIER],MATCH(,INDIRECT(ADDRESS(ROW(NOTA[ID]),COLUMN(NOTA[ID]))&amp;":"&amp;ADDRESS(ROW(),COLUMN(NOTA[ID]))),-1)))</f>
        <v/>
      </c>
      <c r="AJ150" s="41" t="str">
        <f ca="1">IF(NOTA[[#This Row],[ID_H]]="","",IF(NOTA[[#This Row],[FAKTUR]]="",INDIRECT(ADDRESS(ROW()-1,COLUMN())),NOTA[[#This Row],[FAKTUR]]))</f>
        <v/>
      </c>
      <c r="AK150" s="38" t="str">
        <f ca="1">IF(NOTA[[#This Row],[ID]]="","",COUNTIF(NOTA[ID_H],NOTA[[#This Row],[ID_H]]))</f>
        <v/>
      </c>
      <c r="AL150" s="38" t="str">
        <f ca="1">IF(NOTA[[#This Row],[TGL.NOTA]]="",IF(NOTA[[#This Row],[SUPPLIER_H]]="","",AL149),MONTH(NOTA[[#This Row],[TGL.NOTA]]))</f>
        <v/>
      </c>
      <c r="AM150" s="38" t="str">
        <f>LOWER(SUBSTITUTE(SUBSTITUTE(SUBSTITUTE(SUBSTITUTE(SUBSTITUTE(SUBSTITUTE(SUBSTITUTE(SUBSTITUTE(SUBSTITUTE(NOTA[NAMA BARANG]," ",),".",""),"-",""),"(",""),")",""),",",""),"/",""),"""",""),"+",""))</f>
        <v/>
      </c>
      <c r="AN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38" t="str">
        <f>IF(NOTA[[#This Row],[CONCAT4]]="","",_xlfn.IFNA(MATCH(NOTA[[#This Row],[CONCAT4]],[2]!RAW[CONCAT_H],0),FALSE))</f>
        <v/>
      </c>
      <c r="AR150" s="38" t="str">
        <f>IF(NOTA[[#This Row],[CONCAT1]]="","",MATCH(NOTA[[#This Row],[CONCAT1]],[3]!db[NB NOTA_C],0))</f>
        <v/>
      </c>
      <c r="AS150" s="38" t="str">
        <f>IF(NOTA[[#This Row],[QTY/ CTN]]="","",TRUE)</f>
        <v/>
      </c>
      <c r="AT150" s="38" t="str">
        <f ca="1">IF(NOTA[[#This Row],[ID_H]]="","",IF(NOTA[[#This Row],[Column3]]=TRUE,NOTA[[#This Row],[QTY/ CTN]],INDEX([3]!db[QTY/ CTN],NOTA[[#This Row],[//DB]])))</f>
        <v/>
      </c>
      <c r="AU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50" s="38" t="str">
        <f ca="1">IF(NOTA[[#This Row],[ID_H]]="","",MATCH(NOTA[[#This Row],[NB NOTA_C_QTY]],[4]!db[NB NOTA_C_QTY+F],0))</f>
        <v/>
      </c>
      <c r="AW150" s="53" t="str">
        <f ca="1">IF(NOTA[[#This Row],[NB NOTA_C_QTY]]="","",ROW()-2)</f>
        <v/>
      </c>
    </row>
    <row r="151" spans="1:49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ATA_0909_894-12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21</v>
      </c>
      <c r="E151" s="46"/>
      <c r="F151" s="37" t="s">
        <v>24</v>
      </c>
      <c r="G151" s="37" t="s">
        <v>23</v>
      </c>
      <c r="H151" s="47" t="s">
        <v>259</v>
      </c>
      <c r="I151" s="37"/>
      <c r="J151" s="39">
        <v>45175</v>
      </c>
      <c r="K151" s="37"/>
      <c r="L151" s="37" t="s">
        <v>260</v>
      </c>
      <c r="M151" s="40">
        <v>2</v>
      </c>
      <c r="N151" s="38">
        <v>288</v>
      </c>
      <c r="O151" s="37" t="s">
        <v>132</v>
      </c>
      <c r="P151" s="41">
        <v>8400</v>
      </c>
      <c r="Q151" s="42"/>
      <c r="R151" s="48"/>
      <c r="S151" s="49">
        <v>0.125</v>
      </c>
      <c r="T151" s="44">
        <v>0.05</v>
      </c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2419200</v>
      </c>
      <c r="Y151" s="50">
        <f>IF(NOTA[[#This Row],[JUMLAH]]="","",NOTA[[#This Row],[JUMLAH]]*NOTA[[#This Row],[DISC 1]])</f>
        <v>302400</v>
      </c>
      <c r="Z151" s="50">
        <f>IF(NOTA[[#This Row],[JUMLAH]]="","",(NOTA[[#This Row],[JUMLAH]]-NOTA[[#This Row],[DISC 1-]])*NOTA[[#This Row],[DISC 2]])</f>
        <v>105840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408240</v>
      </c>
      <c r="AC151" s="50">
        <f>IF(NOTA[[#This Row],[JUMLAH]]="","",NOTA[[#This Row],[JUMLAH]]-NOTA[[#This Row],[DISC]])</f>
        <v>2010960</v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1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G151" s="50">
        <f>IF(OR(NOTA[[#This Row],[QTY]]="",NOTA[[#This Row],[HARGA SATUAN]]="",),"",NOTA[[#This Row],[QTY]]*NOTA[[#This Row],[HARGA SATUAN]])</f>
        <v>2419200</v>
      </c>
      <c r="AH151" s="39">
        <f ca="1">IF(NOTA[ID_H]="","",INDEX(NOTA[TANGGAL],MATCH(,INDIRECT(ADDRESS(ROW(NOTA[TANGGAL]),COLUMN(NOTA[TANGGAL]))&amp;":"&amp;ADDRESS(ROW(),COLUMN(NOTA[TANGGAL]))),-1)))</f>
        <v>45178</v>
      </c>
      <c r="AI151" s="41" t="str">
        <f ca="1">IF(NOTA[[#This Row],[NAMA BARANG]]="","",INDEX(NOTA[SUPPLIER],MATCH(,INDIRECT(ADDRESS(ROW(NOTA[ID]),COLUMN(NOTA[ID]))&amp;":"&amp;ADDRESS(ROW(),COLUMN(NOTA[ID]))),-1)))</f>
        <v>ATALI MAKMUR</v>
      </c>
      <c r="AJ151" s="41" t="str">
        <f ca="1">IF(NOTA[[#This Row],[ID_H]]="","",IF(NOTA[[#This Row],[FAKTUR]]="",INDIRECT(ADDRESS(ROW()-1,COLUMN())),NOTA[[#This Row],[FAKTUR]]))</f>
        <v>ARTO MORO</v>
      </c>
      <c r="AK151" s="38">
        <f ca="1">IF(NOTA[[#This Row],[ID]]="","",COUNTIF(NOTA[ID_H],NOTA[[#This Row],[ID_H]]))</f>
        <v>12</v>
      </c>
      <c r="AL151" s="38">
        <f>IF(NOTA[[#This Row],[TGL.NOTA]]="",IF(NOTA[[#This Row],[SUPPLIER_H]]="","",AL150),MONTH(NOTA[[#This Row],[TGL.NOTA]]))</f>
        <v>9</v>
      </c>
      <c r="AM151" s="38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MOROSA23091589445175colorpencilcp103jk</v>
      </c>
      <c r="AQ151" s="38" t="e">
        <f>IF(NOTA[[#This Row],[CONCAT4]]="","",_xlfn.IFNA(MATCH(NOTA[[#This Row],[CONCAT4]],[2]!RAW[CONCAT_H],0),FALSE))</f>
        <v>#REF!</v>
      </c>
      <c r="AR151" s="38">
        <f>IF(NOTA[[#This Row],[CONCAT1]]="","",MATCH(NOTA[[#This Row],[CONCAT1]],[3]!db[NB NOTA_C],0))</f>
        <v>588</v>
      </c>
      <c r="AS151" s="38" t="str">
        <f>IF(NOTA[[#This Row],[QTY/ CTN]]="","",TRUE)</f>
        <v/>
      </c>
      <c r="AT151" s="38" t="str">
        <f ca="1">IF(NOTA[[#This Row],[ID_H]]="","",IF(NOTA[[#This Row],[Column3]]=TRUE,NOTA[[#This Row],[QTY/ CTN]],INDEX([3]!db[QTY/ CTN],NOTA[[#This Row],[//DB]])))</f>
        <v>12 LSN</v>
      </c>
      <c r="AU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colorpencilcp103jk12lsnartomoro</v>
      </c>
      <c r="AV151" s="38" t="e">
        <f ca="1">IF(NOTA[[#This Row],[ID_H]]="","",MATCH(NOTA[[#This Row],[NB NOTA_C_QTY]],[4]!db[NB NOTA_C_QTY+F],0))</f>
        <v>#REF!</v>
      </c>
      <c r="AW151" s="53">
        <f ca="1">IF(NOTA[[#This Row],[NB NOTA_C_QTY]]="","",ROW()-2)</f>
        <v>149</v>
      </c>
    </row>
    <row r="152" spans="1:49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21</v>
      </c>
      <c r="E152" s="46"/>
      <c r="F152" s="37"/>
      <c r="G152" s="37"/>
      <c r="H152" s="47"/>
      <c r="I152" s="37"/>
      <c r="J152" s="39"/>
      <c r="K152" s="37"/>
      <c r="L152" s="37" t="s">
        <v>261</v>
      </c>
      <c r="M152" s="40">
        <v>2</v>
      </c>
      <c r="N152" s="38">
        <v>144</v>
      </c>
      <c r="O152" s="37" t="s">
        <v>132</v>
      </c>
      <c r="P152" s="41">
        <v>16800</v>
      </c>
      <c r="Q152" s="42"/>
      <c r="R152" s="48"/>
      <c r="S152" s="49">
        <v>0.125</v>
      </c>
      <c r="T152" s="44">
        <v>0.05</v>
      </c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2419200</v>
      </c>
      <c r="Y152" s="50">
        <f>IF(NOTA[[#This Row],[JUMLAH]]="","",NOTA[[#This Row],[JUMLAH]]*NOTA[[#This Row],[DISC 1]])</f>
        <v>302400</v>
      </c>
      <c r="Z152" s="50">
        <f>IF(NOTA[[#This Row],[JUMLAH]]="","",(NOTA[[#This Row],[JUMLAH]]-NOTA[[#This Row],[DISC 1-]])*NOTA[[#This Row],[DISC 2]])</f>
        <v>105840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408240</v>
      </c>
      <c r="AC152" s="50">
        <f>IF(NOTA[[#This Row],[JUMLAH]]="","",NOTA[[#This Row],[JUMLAH]]-NOTA[[#This Row],[DISC]])</f>
        <v>2010960</v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2" s="41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G152" s="50">
        <f>IF(OR(NOTA[[#This Row],[QTY]]="",NOTA[[#This Row],[HARGA SATUAN]]="",),"",NOTA[[#This Row],[QTY]]*NOTA[[#This Row],[HARGA SATUAN]])</f>
        <v>2419200</v>
      </c>
      <c r="AH152" s="39">
        <f ca="1">IF(NOTA[ID_H]="","",INDEX(NOTA[TANGGAL],MATCH(,INDIRECT(ADDRESS(ROW(NOTA[TANGGAL]),COLUMN(NOTA[TANGGAL]))&amp;":"&amp;ADDRESS(ROW(),COLUMN(NOTA[TANGGAL]))),-1)))</f>
        <v>45178</v>
      </c>
      <c r="AI152" s="41" t="str">
        <f ca="1">IF(NOTA[[#This Row],[NAMA BARANG]]="","",INDEX(NOTA[SUPPLIER],MATCH(,INDIRECT(ADDRESS(ROW(NOTA[ID]),COLUMN(NOTA[ID]))&amp;":"&amp;ADDRESS(ROW(),COLUMN(NOTA[ID]))),-1)))</f>
        <v>ATALI MAKMUR</v>
      </c>
      <c r="AJ152" s="41" t="str">
        <f ca="1">IF(NOTA[[#This Row],[ID_H]]="","",IF(NOTA[[#This Row],[FAKTUR]]="",INDIRECT(ADDRESS(ROW()-1,COLUMN())),NOTA[[#This Row],[FAKTUR]]))</f>
        <v>ARTO MORO</v>
      </c>
      <c r="AK152" s="38" t="str">
        <f ca="1">IF(NOTA[[#This Row],[ID]]="","",COUNTIF(NOTA[ID_H],NOTA[[#This Row],[ID_H]]))</f>
        <v/>
      </c>
      <c r="AL152" s="38">
        <f ca="1">IF(NOTA[[#This Row],[TGL.NOTA]]="",IF(NOTA[[#This Row],[SUPPLIER_H]]="","",AL151),MONTH(NOTA[[#This Row],[TGL.NOTA]]))</f>
        <v>9</v>
      </c>
      <c r="AM152" s="38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38" t="str">
        <f>IF(NOTA[[#This Row],[CONCAT4]]="","",_xlfn.IFNA(MATCH(NOTA[[#This Row],[CONCAT4]],[2]!RAW[CONCAT_H],0),FALSE))</f>
        <v/>
      </c>
      <c r="AR152" s="38">
        <f>IF(NOTA[[#This Row],[CONCAT1]]="","",MATCH(NOTA[[#This Row],[CONCAT1]],[3]!db[NB NOTA_C],0))</f>
        <v>589</v>
      </c>
      <c r="AS152" s="38" t="str">
        <f>IF(NOTA[[#This Row],[QTY/ CTN]]="","",TRUE)</f>
        <v/>
      </c>
      <c r="AT152" s="38" t="str">
        <f ca="1">IF(NOTA[[#This Row],[ID_H]]="","",IF(NOTA[[#This Row],[Column3]]=TRUE,NOTA[[#This Row],[QTY/ CTN]],INDEX([3]!db[QTY/ CTN],NOTA[[#This Row],[//DB]])))</f>
        <v>12 BOX (6 SET)</v>
      </c>
      <c r="AU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colorpencilcp104jk12box6setartomoro</v>
      </c>
      <c r="AV152" s="38" t="e">
        <f ca="1">IF(NOTA[[#This Row],[ID_H]]="","",MATCH(NOTA[[#This Row],[NB NOTA_C_QTY]],[4]!db[NB NOTA_C_QTY+F],0))</f>
        <v>#REF!</v>
      </c>
      <c r="AW152" s="53">
        <f ca="1">IF(NOTA[[#This Row],[NB NOTA_C_QTY]]="","",ROW()-2)</f>
        <v>150</v>
      </c>
    </row>
    <row r="153" spans="1:49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21</v>
      </c>
      <c r="E153" s="46"/>
      <c r="F153" s="37"/>
      <c r="G153" s="37"/>
      <c r="H153" s="47"/>
      <c r="I153" s="37"/>
      <c r="J153" s="39"/>
      <c r="K153" s="37"/>
      <c r="L153" s="37" t="s">
        <v>269</v>
      </c>
      <c r="M153" s="40">
        <v>3</v>
      </c>
      <c r="N153" s="38">
        <v>3000</v>
      </c>
      <c r="O153" s="37" t="s">
        <v>239</v>
      </c>
      <c r="P153" s="41">
        <v>2050</v>
      </c>
      <c r="Q153" s="42"/>
      <c r="R153" s="48"/>
      <c r="S153" s="49">
        <v>0.125</v>
      </c>
      <c r="T153" s="44">
        <v>0.05</v>
      </c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6150000</v>
      </c>
      <c r="Y153" s="50">
        <f>IF(NOTA[[#This Row],[JUMLAH]]="","",NOTA[[#This Row],[JUMLAH]]*NOTA[[#This Row],[DISC 1]])</f>
        <v>768750</v>
      </c>
      <c r="Z153" s="50">
        <f>IF(NOTA[[#This Row],[JUMLAH]]="","",(NOTA[[#This Row],[JUMLAH]]-NOTA[[#This Row],[DISC 1-]])*NOTA[[#This Row],[DISC 2]])</f>
        <v>269062.5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1037812.5</v>
      </c>
      <c r="AC153" s="50">
        <f>IF(NOTA[[#This Row],[JUMLAH]]="","",NOTA[[#This Row],[JUMLAH]]-NOTA[[#This Row],[DISC]])</f>
        <v>5112187.5</v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3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G153" s="50">
        <f>IF(OR(NOTA[[#This Row],[QTY]]="",NOTA[[#This Row],[HARGA SATUAN]]="",),"",NOTA[[#This Row],[QTY]]*NOTA[[#This Row],[HARGA SATUAN]])</f>
        <v>6150000</v>
      </c>
      <c r="AH153" s="39">
        <f ca="1">IF(NOTA[ID_H]="","",INDEX(NOTA[TANGGAL],MATCH(,INDIRECT(ADDRESS(ROW(NOTA[TANGGAL]),COLUMN(NOTA[TANGGAL]))&amp;":"&amp;ADDRESS(ROW(),COLUMN(NOTA[TANGGAL]))),-1)))</f>
        <v>45178</v>
      </c>
      <c r="AI153" s="41" t="str">
        <f ca="1">IF(NOTA[[#This Row],[NAMA BARANG]]="","",INDEX(NOTA[SUPPLIER],MATCH(,INDIRECT(ADDRESS(ROW(NOTA[ID]),COLUMN(NOTA[ID]))&amp;":"&amp;ADDRESS(ROW(),COLUMN(NOTA[ID]))),-1)))</f>
        <v>ATALI MAKMUR</v>
      </c>
      <c r="AJ153" s="41" t="str">
        <f ca="1">IF(NOTA[[#This Row],[ID_H]]="","",IF(NOTA[[#This Row],[FAKTUR]]="",INDIRECT(ADDRESS(ROW()-1,COLUMN())),NOTA[[#This Row],[FAKTUR]]))</f>
        <v>ARTO MORO</v>
      </c>
      <c r="AK153" s="38" t="str">
        <f ca="1">IF(NOTA[[#This Row],[ID]]="","",COUNTIF(NOTA[ID_H],NOTA[[#This Row],[ID_H]]))</f>
        <v/>
      </c>
      <c r="AL153" s="38">
        <f ca="1">IF(NOTA[[#This Row],[TGL.NOTA]]="",IF(NOTA[[#This Row],[SUPPLIER_H]]="","",AL152),MONTH(NOTA[[#This Row],[TGL.NOTA]]))</f>
        <v>9</v>
      </c>
      <c r="AM153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38" t="str">
        <f>IF(NOTA[[#This Row],[CONCAT4]]="","",_xlfn.IFNA(MATCH(NOTA[[#This Row],[CONCAT4]],[2]!RAW[CONCAT_H],0),FALSE))</f>
        <v/>
      </c>
      <c r="AR153" s="38">
        <f>IF(NOTA[[#This Row],[CONCAT1]]="","",MATCH(NOTA[[#This Row],[CONCAT1]],[3]!db[NB NOTA_C],0))</f>
        <v>1624</v>
      </c>
      <c r="AS153" s="38" t="str">
        <f>IF(NOTA[[#This Row],[QTY/ CTN]]="","",TRUE)</f>
        <v/>
      </c>
      <c r="AT153" s="38" t="str">
        <f ca="1">IF(NOTA[[#This Row],[ID_H]]="","",IF(NOTA[[#This Row],[Column3]]=TRUE,NOTA[[#This Row],[QTY/ CTN]],INDEX([3]!db[QTY/ CTN],NOTA[[#This Row],[//DB]])))</f>
        <v>100 PAK (10 ROL)</v>
      </c>
      <c r="AU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153" s="38" t="e">
        <f ca="1">IF(NOTA[[#This Row],[ID_H]]="","",MATCH(NOTA[[#This Row],[NB NOTA_C_QTY]],[4]!db[NB NOTA_C_QTY+F],0))</f>
        <v>#REF!</v>
      </c>
      <c r="AW153" s="53">
        <f ca="1">IF(NOTA[[#This Row],[NB NOTA_C_QTY]]="","",ROW()-2)</f>
        <v>151</v>
      </c>
    </row>
    <row r="154" spans="1:49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21</v>
      </c>
      <c r="E154" s="46"/>
      <c r="F154" s="37"/>
      <c r="G154" s="37"/>
      <c r="H154" s="47"/>
      <c r="I154" s="37"/>
      <c r="J154" s="39"/>
      <c r="K154" s="37"/>
      <c r="L154" s="37" t="s">
        <v>262</v>
      </c>
      <c r="M154" s="40">
        <v>1</v>
      </c>
      <c r="N154" s="38">
        <v>24</v>
      </c>
      <c r="O154" s="37" t="s">
        <v>126</v>
      </c>
      <c r="P154" s="41">
        <v>40000</v>
      </c>
      <c r="Q154" s="42"/>
      <c r="R154" s="48"/>
      <c r="S154" s="49">
        <v>0.125</v>
      </c>
      <c r="T154" s="44">
        <v>0.05</v>
      </c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960000</v>
      </c>
      <c r="Y154" s="50">
        <f>IF(NOTA[[#This Row],[JUMLAH]]="","",NOTA[[#This Row],[JUMLAH]]*NOTA[[#This Row],[DISC 1]])</f>
        <v>120000</v>
      </c>
      <c r="Z154" s="50">
        <f>IF(NOTA[[#This Row],[JUMLAH]]="","",(NOTA[[#This Row],[JUMLAH]]-NOTA[[#This Row],[DISC 1-]])*NOTA[[#This Row],[DISC 2]])</f>
        <v>42000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162000</v>
      </c>
      <c r="AC154" s="50">
        <f>IF(NOTA[[#This Row],[JUMLAH]]="","",NOTA[[#This Row],[JUMLAH]]-NOTA[[#This Row],[DISC]])</f>
        <v>798000</v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4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G154" s="50">
        <f>IF(OR(NOTA[[#This Row],[QTY]]="",NOTA[[#This Row],[HARGA SATUAN]]="",),"",NOTA[[#This Row],[QTY]]*NOTA[[#This Row],[HARGA SATUAN]])</f>
        <v>960000</v>
      </c>
      <c r="AH154" s="39">
        <f ca="1">IF(NOTA[ID_H]="","",INDEX(NOTA[TANGGAL],MATCH(,INDIRECT(ADDRESS(ROW(NOTA[TANGGAL]),COLUMN(NOTA[TANGGAL]))&amp;":"&amp;ADDRESS(ROW(),COLUMN(NOTA[TANGGAL]))),-1)))</f>
        <v>45178</v>
      </c>
      <c r="AI154" s="41" t="str">
        <f ca="1">IF(NOTA[[#This Row],[NAMA BARANG]]="","",INDEX(NOTA[SUPPLIER],MATCH(,INDIRECT(ADDRESS(ROW(NOTA[ID]),COLUMN(NOTA[ID]))&amp;":"&amp;ADDRESS(ROW(),COLUMN(NOTA[ID]))),-1)))</f>
        <v>ATALI MAKMUR</v>
      </c>
      <c r="AJ154" s="41" t="str">
        <f ca="1">IF(NOTA[[#This Row],[ID_H]]="","",IF(NOTA[[#This Row],[FAKTUR]]="",INDIRECT(ADDRESS(ROW()-1,COLUMN())),NOTA[[#This Row],[FAKTUR]]))</f>
        <v>ARTO MORO</v>
      </c>
      <c r="AK154" s="38" t="str">
        <f ca="1">IF(NOTA[[#This Row],[ID]]="","",COUNTIF(NOTA[ID_H],NOTA[[#This Row],[ID_H]]))</f>
        <v/>
      </c>
      <c r="AL154" s="38">
        <f ca="1">IF(NOTA[[#This Row],[TGL.NOTA]]="",IF(NOTA[[#This Row],[SUPPLIER_H]]="","",AL153),MONTH(NOTA[[#This Row],[TGL.NOTA]]))</f>
        <v>9</v>
      </c>
      <c r="AM154" s="38" t="str">
        <f>LOWER(SUBSTITUTE(SUBSTITUTE(SUBSTITUTE(SUBSTITUTE(SUBSTITUTE(SUBSTITUTE(SUBSTITUTE(SUBSTITUTE(SUBSTITUTE(NOTA[NAMA BARANG]," ",),".",""),"-",""),"(",""),")",""),",",""),"/",""),"""",""),"+",""))</f>
        <v>punchno85jk</v>
      </c>
      <c r="AN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38" t="str">
        <f>IF(NOTA[[#This Row],[CONCAT4]]="","",_xlfn.IFNA(MATCH(NOTA[[#This Row],[CONCAT4]],[2]!RAW[CONCAT_H],0),FALSE))</f>
        <v/>
      </c>
      <c r="AR154" s="38">
        <f>IF(NOTA[[#This Row],[CONCAT1]]="","",MATCH(NOTA[[#This Row],[CONCAT1]],[3]!db[NB NOTA_C],0))</f>
        <v>2342</v>
      </c>
      <c r="AS154" s="38" t="str">
        <f>IF(NOTA[[#This Row],[QTY/ CTN]]="","",TRUE)</f>
        <v/>
      </c>
      <c r="AT154" s="38" t="str">
        <f ca="1">IF(NOTA[[#This Row],[ID_H]]="","",IF(NOTA[[#This Row],[Column3]]=TRUE,NOTA[[#This Row],[QTY/ CTN]],INDEX([3]!db[QTY/ CTN],NOTA[[#This Row],[//DB]])))</f>
        <v>24 PCS</v>
      </c>
      <c r="AU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V154" s="38" t="e">
        <f ca="1">IF(NOTA[[#This Row],[ID_H]]="","",MATCH(NOTA[[#This Row],[NB NOTA_C_QTY]],[4]!db[NB NOTA_C_QTY+F],0))</f>
        <v>#REF!</v>
      </c>
      <c r="AW154" s="53">
        <f ca="1">IF(NOTA[[#This Row],[NB NOTA_C_QTY]]="","",ROW()-2)</f>
        <v>152</v>
      </c>
    </row>
    <row r="155" spans="1:49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21</v>
      </c>
      <c r="E155" s="46"/>
      <c r="F155" s="37"/>
      <c r="G155" s="37"/>
      <c r="H155" s="47"/>
      <c r="I155" s="37"/>
      <c r="J155" s="39"/>
      <c r="K155" s="37"/>
      <c r="L155" s="37" t="s">
        <v>263</v>
      </c>
      <c r="M155" s="40">
        <v>2</v>
      </c>
      <c r="N155" s="38">
        <v>480</v>
      </c>
      <c r="O155" s="37" t="s">
        <v>132</v>
      </c>
      <c r="P155" s="41">
        <v>8800</v>
      </c>
      <c r="Q155" s="42"/>
      <c r="R155" s="48"/>
      <c r="S155" s="49">
        <v>0.125</v>
      </c>
      <c r="T155" s="44">
        <v>0.05</v>
      </c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4224000</v>
      </c>
      <c r="Y155" s="50">
        <f>IF(NOTA[[#This Row],[JUMLAH]]="","",NOTA[[#This Row],[JUMLAH]]*NOTA[[#This Row],[DISC 1]])</f>
        <v>528000</v>
      </c>
      <c r="Z155" s="50">
        <f>IF(NOTA[[#This Row],[JUMLAH]]="","",(NOTA[[#This Row],[JUMLAH]]-NOTA[[#This Row],[DISC 1-]])*NOTA[[#This Row],[DISC 2]])</f>
        <v>184800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712800</v>
      </c>
      <c r="AC155" s="50">
        <f>IF(NOTA[[#This Row],[JUMLAH]]="","",NOTA[[#This Row],[JUMLAH]]-NOTA[[#This Row],[DISC]])</f>
        <v>3511200</v>
      </c>
      <c r="AD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155" s="50">
        <f>IF(OR(NOTA[[#This Row],[QTY]]="",NOTA[[#This Row],[HARGA SATUAN]]="",),"",NOTA[[#This Row],[QTY]]*NOTA[[#This Row],[HARGA SATUAN]])</f>
        <v>4224000</v>
      </c>
      <c r="AH155" s="39">
        <f ca="1">IF(NOTA[ID_H]="","",INDEX(NOTA[TANGGAL],MATCH(,INDIRECT(ADDRESS(ROW(NOTA[TANGGAL]),COLUMN(NOTA[TANGGAL]))&amp;":"&amp;ADDRESS(ROW(),COLUMN(NOTA[TANGGAL]))),-1)))</f>
        <v>45178</v>
      </c>
      <c r="AI155" s="41" t="str">
        <f ca="1">IF(NOTA[[#This Row],[NAMA BARANG]]="","",INDEX(NOTA[SUPPLIER],MATCH(,INDIRECT(ADDRESS(ROW(NOTA[ID]),COLUMN(NOTA[ID]))&amp;":"&amp;ADDRESS(ROW(),COLUMN(NOTA[ID]))),-1)))</f>
        <v>ATALI MAKMUR</v>
      </c>
      <c r="AJ155" s="41" t="str">
        <f ca="1">IF(NOTA[[#This Row],[ID_H]]="","",IF(NOTA[[#This Row],[FAKTUR]]="",INDIRECT(ADDRESS(ROW()-1,COLUMN())),NOTA[[#This Row],[FAKTUR]]))</f>
        <v>ARTO MORO</v>
      </c>
      <c r="AK155" s="38" t="str">
        <f ca="1">IF(NOTA[[#This Row],[ID]]="","",COUNTIF(NOTA[ID_H],NOTA[[#This Row],[ID_H]]))</f>
        <v/>
      </c>
      <c r="AL155" s="38">
        <f ca="1">IF(NOTA[[#This Row],[TGL.NOTA]]="",IF(NOTA[[#This Row],[SUPPLIER_H]]="","",AL154),MONTH(NOTA[[#This Row],[TGL.NOTA]]))</f>
        <v>9</v>
      </c>
      <c r="AM155" s="38" t="str">
        <f>LOWER(SUBSTITUTE(SUBSTITUTE(SUBSTITUTE(SUBSTITUTE(SUBSTITUTE(SUBSTITUTE(SUBSTITUTE(SUBSTITUTE(SUBSTITUTE(NOTA[NAMA BARANG]," ",),".",""),"-",""),"(",""),")",""),",",""),"/",""),"""",""),"+",""))</f>
        <v>brushbr1jk</v>
      </c>
      <c r="AN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5" s="38" t="str">
        <f>IF(NOTA[[#This Row],[CONCAT4]]="","",_xlfn.IFNA(MATCH(NOTA[[#This Row],[CONCAT4]],[2]!RAW[CONCAT_H],0),FALSE))</f>
        <v/>
      </c>
      <c r="AR155" s="38">
        <f>IF(NOTA[[#This Row],[CONCAT1]]="","",MATCH(NOTA[[#This Row],[CONCAT1]],[3]!db[NB NOTA_C],0))</f>
        <v>392</v>
      </c>
      <c r="AS155" s="38" t="str">
        <f>IF(NOTA[[#This Row],[QTY/ CTN]]="","",TRUE)</f>
        <v/>
      </c>
      <c r="AT155" s="38" t="str">
        <f ca="1">IF(NOTA[[#This Row],[ID_H]]="","",IF(NOTA[[#This Row],[Column3]]=TRUE,NOTA[[#This Row],[QTY/ CTN]],INDEX([3]!db[QTY/ CTN],NOTA[[#This Row],[//DB]])))</f>
        <v>10 BOX (24 SET)</v>
      </c>
      <c r="AU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155" s="38" t="e">
        <f ca="1">IF(NOTA[[#This Row],[ID_H]]="","",MATCH(NOTA[[#This Row],[NB NOTA_C_QTY]],[4]!db[NB NOTA_C_QTY+F],0))</f>
        <v>#REF!</v>
      </c>
      <c r="AW155" s="53">
        <f ca="1">IF(NOTA[[#This Row],[NB NOTA_C_QTY]]="","",ROW()-2)</f>
        <v>153</v>
      </c>
    </row>
    <row r="156" spans="1:49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21</v>
      </c>
      <c r="E156" s="46"/>
      <c r="F156" s="37"/>
      <c r="G156" s="37"/>
      <c r="H156" s="47"/>
      <c r="I156" s="37"/>
      <c r="J156" s="39"/>
      <c r="K156" s="37"/>
      <c r="L156" s="37" t="s">
        <v>264</v>
      </c>
      <c r="M156" s="40">
        <v>1</v>
      </c>
      <c r="N156" s="38">
        <v>60</v>
      </c>
      <c r="O156" s="37" t="s">
        <v>126</v>
      </c>
      <c r="P156" s="41">
        <v>29500</v>
      </c>
      <c r="Q156" s="42"/>
      <c r="R156" s="48"/>
      <c r="S156" s="49">
        <v>0.125</v>
      </c>
      <c r="T156" s="44">
        <v>0.05</v>
      </c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1770000</v>
      </c>
      <c r="Y156" s="50">
        <f>IF(NOTA[[#This Row],[JUMLAH]]="","",NOTA[[#This Row],[JUMLAH]]*NOTA[[#This Row],[DISC 1]])</f>
        <v>221250</v>
      </c>
      <c r="Z156" s="50">
        <f>IF(NOTA[[#This Row],[JUMLAH]]="","",(NOTA[[#This Row],[JUMLAH]]-NOTA[[#This Row],[DISC 1-]])*NOTA[[#This Row],[DISC 2]])</f>
        <v>77437.5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298687.5</v>
      </c>
      <c r="AC156" s="50">
        <f>IF(NOTA[[#This Row],[JUMLAH]]="","",NOTA[[#This Row],[JUMLAH]]-NOTA[[#This Row],[DISC]])</f>
        <v>1471312.5</v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6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G156" s="50">
        <f>IF(OR(NOTA[[#This Row],[QTY]]="",NOTA[[#This Row],[HARGA SATUAN]]="",),"",NOTA[[#This Row],[QTY]]*NOTA[[#This Row],[HARGA SATUAN]])</f>
        <v>1770000</v>
      </c>
      <c r="AH156" s="39">
        <f ca="1">IF(NOTA[ID_H]="","",INDEX(NOTA[TANGGAL],MATCH(,INDIRECT(ADDRESS(ROW(NOTA[TANGGAL]),COLUMN(NOTA[TANGGAL]))&amp;":"&amp;ADDRESS(ROW(),COLUMN(NOTA[TANGGAL]))),-1)))</f>
        <v>45178</v>
      </c>
      <c r="AI156" s="41" t="str">
        <f ca="1">IF(NOTA[[#This Row],[NAMA BARANG]]="","",INDEX(NOTA[SUPPLIER],MATCH(,INDIRECT(ADDRESS(ROW(NOTA[ID]),COLUMN(NOTA[ID]))&amp;":"&amp;ADDRESS(ROW(),COLUMN(NOTA[ID]))),-1)))</f>
        <v>ATALI MAKMUR</v>
      </c>
      <c r="AJ156" s="41" t="str">
        <f ca="1">IF(NOTA[[#This Row],[ID_H]]="","",IF(NOTA[[#This Row],[FAKTUR]]="",INDIRECT(ADDRESS(ROW()-1,COLUMN())),NOTA[[#This Row],[FAKTUR]]))</f>
        <v>ARTO MORO</v>
      </c>
      <c r="AK156" s="38" t="str">
        <f ca="1">IF(NOTA[[#This Row],[ID]]="","",COUNTIF(NOTA[ID_H],NOTA[[#This Row],[ID_H]]))</f>
        <v/>
      </c>
      <c r="AL156" s="38">
        <f ca="1">IF(NOTA[[#This Row],[TGL.NOTA]]="",IF(NOTA[[#This Row],[SUPPLIER_H]]="","",AL155),MONTH(NOTA[[#This Row],[TGL.NOTA]]))</f>
        <v>9</v>
      </c>
      <c r="AM156" s="38" t="str">
        <f>LOWER(SUBSTITUTE(SUBSTITUTE(SUBSTITUTE(SUBSTITUTE(SUBSTITUTE(SUBSTITUTE(SUBSTITUTE(SUBSTITUTE(SUBSTITUTE(NOTA[NAMA BARANG]," ",),".",""),"-",""),"(",""),")",""),",",""),"/",""),"""",""),"+",""))</f>
        <v>punch40xljk</v>
      </c>
      <c r="AN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38" t="str">
        <f>IF(NOTA[[#This Row],[CONCAT4]]="","",_xlfn.IFNA(MATCH(NOTA[[#This Row],[CONCAT4]],[2]!RAW[CONCAT_H],0),FALSE))</f>
        <v/>
      </c>
      <c r="AR156" s="38">
        <f>IF(NOTA[[#This Row],[CONCAT1]]="","",MATCH(NOTA[[#This Row],[CONCAT1]],[3]!db[NB NOTA_C],0))</f>
        <v>2339</v>
      </c>
      <c r="AS156" s="38" t="str">
        <f>IF(NOTA[[#This Row],[QTY/ CTN]]="","",TRUE)</f>
        <v/>
      </c>
      <c r="AT156" s="38" t="str">
        <f ca="1">IF(NOTA[[#This Row],[ID_H]]="","",IF(NOTA[[#This Row],[Column3]]=TRUE,NOTA[[#This Row],[QTY/ CTN]],INDEX([3]!db[QTY/ CTN],NOTA[[#This Row],[//DB]])))</f>
        <v>5 LSN</v>
      </c>
      <c r="AU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V156" s="38" t="e">
        <f ca="1">IF(NOTA[[#This Row],[ID_H]]="","",MATCH(NOTA[[#This Row],[NB NOTA_C_QTY]],[4]!db[NB NOTA_C_QTY+F],0))</f>
        <v>#REF!</v>
      </c>
      <c r="AW156" s="53">
        <f ca="1">IF(NOTA[[#This Row],[NB NOTA_C_QTY]]="","",ROW()-2)</f>
        <v>154</v>
      </c>
    </row>
    <row r="157" spans="1:49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21</v>
      </c>
      <c r="E157" s="46"/>
      <c r="F157" s="37"/>
      <c r="G157" s="37"/>
      <c r="H157" s="47"/>
      <c r="I157" s="37"/>
      <c r="J157" s="39"/>
      <c r="K157" s="37"/>
      <c r="L157" s="37" t="s">
        <v>265</v>
      </c>
      <c r="M157" s="40">
        <v>1</v>
      </c>
      <c r="N157" s="38">
        <v>216</v>
      </c>
      <c r="O157" s="37" t="s">
        <v>126</v>
      </c>
      <c r="P157" s="41">
        <v>4900</v>
      </c>
      <c r="Q157" s="42"/>
      <c r="R157" s="48"/>
      <c r="S157" s="49">
        <v>0.125</v>
      </c>
      <c r="T157" s="44">
        <v>0.05</v>
      </c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1058400</v>
      </c>
      <c r="Y157" s="50">
        <f>IF(NOTA[[#This Row],[JUMLAH]]="","",NOTA[[#This Row],[JUMLAH]]*NOTA[[#This Row],[DISC 1]])</f>
        <v>132300</v>
      </c>
      <c r="Z157" s="50">
        <f>IF(NOTA[[#This Row],[JUMLAH]]="","",(NOTA[[#This Row],[JUMLAH]]-NOTA[[#This Row],[DISC 1-]])*NOTA[[#This Row],[DISC 2]])</f>
        <v>46305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178605</v>
      </c>
      <c r="AC157" s="50">
        <f>IF(NOTA[[#This Row],[JUMLAH]]="","",NOTA[[#This Row],[JUMLAH]]-NOTA[[#This Row],[DISC]])</f>
        <v>879795</v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G157" s="50">
        <f>IF(OR(NOTA[[#This Row],[QTY]]="",NOTA[[#This Row],[HARGA SATUAN]]="",),"",NOTA[[#This Row],[QTY]]*NOTA[[#This Row],[HARGA SATUAN]])</f>
        <v>1058400</v>
      </c>
      <c r="AH157" s="39">
        <f ca="1">IF(NOTA[ID_H]="","",INDEX(NOTA[TANGGAL],MATCH(,INDIRECT(ADDRESS(ROW(NOTA[TANGGAL]),COLUMN(NOTA[TANGGAL]))&amp;":"&amp;ADDRESS(ROW(),COLUMN(NOTA[TANGGAL]))),-1)))</f>
        <v>45178</v>
      </c>
      <c r="AI157" s="41" t="str">
        <f ca="1">IF(NOTA[[#This Row],[NAMA BARANG]]="","",INDEX(NOTA[SUPPLIER],MATCH(,INDIRECT(ADDRESS(ROW(NOTA[ID]),COLUMN(NOTA[ID]))&amp;":"&amp;ADDRESS(ROW(),COLUMN(NOTA[ID]))),-1)))</f>
        <v>ATALI MAKMUR</v>
      </c>
      <c r="AJ157" s="41" t="str">
        <f ca="1">IF(NOTA[[#This Row],[ID_H]]="","",IF(NOTA[[#This Row],[FAKTUR]]="",INDIRECT(ADDRESS(ROW()-1,COLUMN())),NOTA[[#This Row],[FAKTUR]]))</f>
        <v>ARTO MORO</v>
      </c>
      <c r="AK157" s="38" t="str">
        <f ca="1">IF(NOTA[[#This Row],[ID]]="","",COUNTIF(NOTA[ID_H],NOTA[[#This Row],[ID_H]]))</f>
        <v/>
      </c>
      <c r="AL157" s="38">
        <f ca="1">IF(NOTA[[#This Row],[TGL.NOTA]]="",IF(NOTA[[#This Row],[SUPPLIER_H]]="","",AL156),MONTH(NOTA[[#This Row],[TGL.NOTA]]))</f>
        <v>9</v>
      </c>
      <c r="AM1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N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O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P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38" t="str">
        <f>IF(NOTA[[#This Row],[CONCAT4]]="","",_xlfn.IFNA(MATCH(NOTA[[#This Row],[CONCAT4]],[2]!RAW[CONCAT_H],0),FALSE))</f>
        <v/>
      </c>
      <c r="AR157" s="38">
        <f>IF(NOTA[[#This Row],[CONCAT1]]="","",MATCH(NOTA[[#This Row],[CONCAT1]],[3]!db[NB NOTA_C],0))</f>
        <v>2465</v>
      </c>
      <c r="AS157" s="38" t="str">
        <f>IF(NOTA[[#This Row],[QTY/ CTN]]="","",TRUE)</f>
        <v/>
      </c>
      <c r="AT157" s="38" t="str">
        <f ca="1">IF(NOTA[[#This Row],[ID_H]]="","",IF(NOTA[[#This Row],[Column3]]=TRUE,NOTA[[#This Row],[QTY/ CTN]],INDEX([3]!db[QTY/ CTN],NOTA[[#This Row],[//DB]])))</f>
        <v>18 LSN</v>
      </c>
      <c r="AU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V157" s="38" t="e">
        <f ca="1">IF(NOTA[[#This Row],[ID_H]]="","",MATCH(NOTA[[#This Row],[NB NOTA_C_QTY]],[4]!db[NB NOTA_C_QTY+F],0))</f>
        <v>#REF!</v>
      </c>
      <c r="AW157" s="53">
        <f ca="1">IF(NOTA[[#This Row],[NB NOTA_C_QTY]]="","",ROW()-2)</f>
        <v>155</v>
      </c>
    </row>
    <row r="158" spans="1:49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21</v>
      </c>
      <c r="E158" s="46"/>
      <c r="F158" s="37"/>
      <c r="G158" s="37"/>
      <c r="H158" s="47"/>
      <c r="I158" s="37"/>
      <c r="J158" s="39"/>
      <c r="K158" s="37"/>
      <c r="L158" s="37" t="s">
        <v>266</v>
      </c>
      <c r="M158" s="40">
        <v>1</v>
      </c>
      <c r="N158" s="38">
        <v>216</v>
      </c>
      <c r="O158" s="37" t="s">
        <v>126</v>
      </c>
      <c r="P158" s="41">
        <v>5800</v>
      </c>
      <c r="Q158" s="42"/>
      <c r="R158" s="48"/>
      <c r="S158" s="49">
        <v>0.125</v>
      </c>
      <c r="T158" s="44">
        <v>0.05</v>
      </c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1252800</v>
      </c>
      <c r="Y158" s="50">
        <f>IF(NOTA[[#This Row],[JUMLAH]]="","",NOTA[[#This Row],[JUMLAH]]*NOTA[[#This Row],[DISC 1]])</f>
        <v>156600</v>
      </c>
      <c r="Z158" s="50">
        <f>IF(NOTA[[#This Row],[JUMLAH]]="","",(NOTA[[#This Row],[JUMLAH]]-NOTA[[#This Row],[DISC 1-]])*NOTA[[#This Row],[DISC 2]])</f>
        <v>54810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211410</v>
      </c>
      <c r="AC158" s="50">
        <f>IF(NOTA[[#This Row],[JUMLAH]]="","",NOTA[[#This Row],[JUMLAH]]-NOTA[[#This Row],[DISC]])</f>
        <v>1041390</v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G158" s="50">
        <f>IF(OR(NOTA[[#This Row],[QTY]]="",NOTA[[#This Row],[HARGA SATUAN]]="",),"",NOTA[[#This Row],[QTY]]*NOTA[[#This Row],[HARGA SATUAN]])</f>
        <v>1252800</v>
      </c>
      <c r="AH158" s="39">
        <f ca="1">IF(NOTA[ID_H]="","",INDEX(NOTA[TANGGAL],MATCH(,INDIRECT(ADDRESS(ROW(NOTA[TANGGAL]),COLUMN(NOTA[TANGGAL]))&amp;":"&amp;ADDRESS(ROW(),COLUMN(NOTA[TANGGAL]))),-1)))</f>
        <v>45178</v>
      </c>
      <c r="AI158" s="41" t="str">
        <f ca="1">IF(NOTA[[#This Row],[NAMA BARANG]]="","",INDEX(NOTA[SUPPLIER],MATCH(,INDIRECT(ADDRESS(ROW(NOTA[ID]),COLUMN(NOTA[ID]))&amp;":"&amp;ADDRESS(ROW(),COLUMN(NOTA[ID]))),-1)))</f>
        <v>ATALI MAKMUR</v>
      </c>
      <c r="AJ158" s="41" t="str">
        <f ca="1">IF(NOTA[[#This Row],[ID_H]]="","",IF(NOTA[[#This Row],[FAKTUR]]="",INDIRECT(ADDRESS(ROW()-1,COLUMN())),NOTA[[#This Row],[FAKTUR]]))</f>
        <v>ARTO MORO</v>
      </c>
      <c r="AK158" s="38" t="str">
        <f ca="1">IF(NOTA[[#This Row],[ID]]="","",COUNTIF(NOTA[ID_H],NOTA[[#This Row],[ID_H]]))</f>
        <v/>
      </c>
      <c r="AL158" s="38">
        <f ca="1">IF(NOTA[[#This Row],[TGL.NOTA]]="",IF(NOTA[[#This Row],[SUPPLIER_H]]="","",AL157),MONTH(NOTA[[#This Row],[TGL.NOTA]]))</f>
        <v>9</v>
      </c>
      <c r="AM1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N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O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P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8" s="38" t="str">
        <f>IF(NOTA[[#This Row],[CONCAT4]]="","",_xlfn.IFNA(MATCH(NOTA[[#This Row],[CONCAT4]],[2]!RAW[CONCAT_H],0),FALSE))</f>
        <v/>
      </c>
      <c r="AR158" s="38">
        <f>IF(NOTA[[#This Row],[CONCAT1]]="","",MATCH(NOTA[[#This Row],[CONCAT1]],[3]!db[NB NOTA_C],0))</f>
        <v>2467</v>
      </c>
      <c r="AS158" s="38" t="str">
        <f>IF(NOTA[[#This Row],[QTY/ CTN]]="","",TRUE)</f>
        <v/>
      </c>
      <c r="AT158" s="38" t="str">
        <f ca="1">IF(NOTA[[#This Row],[ID_H]]="","",IF(NOTA[[#This Row],[Column3]]=TRUE,NOTA[[#This Row],[QTY/ CTN]],INDEX([3]!db[QTY/ CTN],NOTA[[#This Row],[//DB]])))</f>
        <v>18 LSN</v>
      </c>
      <c r="AU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V158" s="38" t="e">
        <f ca="1">IF(NOTA[[#This Row],[ID_H]]="","",MATCH(NOTA[[#This Row],[NB NOTA_C_QTY]],[4]!db[NB NOTA_C_QTY+F],0))</f>
        <v>#REF!</v>
      </c>
      <c r="AW158" s="53">
        <f ca="1">IF(NOTA[[#This Row],[NB NOTA_C_QTY]]="","",ROW()-2)</f>
        <v>156</v>
      </c>
    </row>
    <row r="159" spans="1:49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21</v>
      </c>
      <c r="E159" s="46"/>
      <c r="F159" s="37"/>
      <c r="G159" s="37"/>
      <c r="H159" s="47"/>
      <c r="I159" s="37"/>
      <c r="J159" s="39"/>
      <c r="K159" s="37"/>
      <c r="L159" s="37" t="s">
        <v>267</v>
      </c>
      <c r="M159" s="40">
        <v>1</v>
      </c>
      <c r="N159" s="38">
        <v>144</v>
      </c>
      <c r="O159" s="37" t="s">
        <v>138</v>
      </c>
      <c r="P159" s="41">
        <v>27600</v>
      </c>
      <c r="Q159" s="42"/>
      <c r="R159" s="48"/>
      <c r="S159" s="49">
        <v>0.125</v>
      </c>
      <c r="T159" s="44">
        <v>0.05</v>
      </c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3974400</v>
      </c>
      <c r="Y159" s="50">
        <f>IF(NOTA[[#This Row],[JUMLAH]]="","",NOTA[[#This Row],[JUMLAH]]*NOTA[[#This Row],[DISC 1]])</f>
        <v>496800</v>
      </c>
      <c r="Z159" s="50">
        <f>IF(NOTA[[#This Row],[JUMLAH]]="","",(NOTA[[#This Row],[JUMLAH]]-NOTA[[#This Row],[DISC 1-]])*NOTA[[#This Row],[DISC 2]])</f>
        <v>173880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670680</v>
      </c>
      <c r="AC159" s="50">
        <f>IF(NOTA[[#This Row],[JUMLAH]]="","",NOTA[[#This Row],[JUMLAH]]-NOTA[[#This Row],[DISC]])</f>
        <v>3303720</v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59" s="4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G159" s="50">
        <f>IF(OR(NOTA[[#This Row],[QTY]]="",NOTA[[#This Row],[HARGA SATUAN]]="",),"",NOTA[[#This Row],[QTY]]*NOTA[[#This Row],[HARGA SATUAN]])</f>
        <v>3974400</v>
      </c>
      <c r="AH159" s="39">
        <f ca="1">IF(NOTA[ID_H]="","",INDEX(NOTA[TANGGAL],MATCH(,INDIRECT(ADDRESS(ROW(NOTA[TANGGAL]),COLUMN(NOTA[TANGGAL]))&amp;":"&amp;ADDRESS(ROW(),COLUMN(NOTA[TANGGAL]))),-1)))</f>
        <v>45178</v>
      </c>
      <c r="AI159" s="41" t="str">
        <f ca="1">IF(NOTA[[#This Row],[NAMA BARANG]]="","",INDEX(NOTA[SUPPLIER],MATCH(,INDIRECT(ADDRESS(ROW(NOTA[ID]),COLUMN(NOTA[ID]))&amp;":"&amp;ADDRESS(ROW(),COLUMN(NOTA[ID]))),-1)))</f>
        <v>ATALI MAKMUR</v>
      </c>
      <c r="AJ159" s="41" t="str">
        <f ca="1">IF(NOTA[[#This Row],[ID_H]]="","",IF(NOTA[[#This Row],[FAKTUR]]="",INDIRECT(ADDRESS(ROW()-1,COLUMN())),NOTA[[#This Row],[FAKTUR]]))</f>
        <v>ARTO MORO</v>
      </c>
      <c r="AK159" s="38" t="str">
        <f ca="1">IF(NOTA[[#This Row],[ID]]="","",COUNTIF(NOTA[ID_H],NOTA[[#This Row],[ID_H]]))</f>
        <v/>
      </c>
      <c r="AL159" s="38">
        <f ca="1">IF(NOTA[[#This Row],[TGL.NOTA]]="",IF(NOTA[[#This Row],[SUPPLIER_H]]="","",AL158),MONTH(NOTA[[#This Row],[TGL.NOTA]]))</f>
        <v>9</v>
      </c>
      <c r="AM159" s="38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38" t="str">
        <f>IF(NOTA[[#This Row],[CONCAT4]]="","",_xlfn.IFNA(MATCH(NOTA[[#This Row],[CONCAT4]],[2]!RAW[CONCAT_H],0),FALSE))</f>
        <v/>
      </c>
      <c r="AR159" s="38">
        <f>IF(NOTA[[#This Row],[CONCAT1]]="","",MATCH(NOTA[[#This Row],[CONCAT1]],[3]!db[NB NOTA_C],0))</f>
        <v>902</v>
      </c>
      <c r="AS159" s="38" t="str">
        <f>IF(NOTA[[#This Row],[QTY/ CTN]]="","",TRUE)</f>
        <v/>
      </c>
      <c r="AT159" s="38" t="str">
        <f ca="1">IF(NOTA[[#This Row],[ID_H]]="","",IF(NOTA[[#This Row],[Column3]]=TRUE,NOTA[[#This Row],[QTY/ CTN]],INDEX([3]!db[QTY/ CTN],NOTA[[#This Row],[//DB]])))</f>
        <v>144 LSN</v>
      </c>
      <c r="AU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V159" s="38" t="e">
        <f ca="1">IF(NOTA[[#This Row],[ID_H]]="","",MATCH(NOTA[[#This Row],[NB NOTA_C_QTY]],[4]!db[NB NOTA_C_QTY+F],0))</f>
        <v>#REF!</v>
      </c>
      <c r="AW159" s="53">
        <f ca="1">IF(NOTA[[#This Row],[NB NOTA_C_QTY]]="","",ROW()-2)</f>
        <v>157</v>
      </c>
    </row>
    <row r="160" spans="1:49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21</v>
      </c>
      <c r="E160" s="46"/>
      <c r="F160" s="37"/>
      <c r="G160" s="37"/>
      <c r="H160" s="47"/>
      <c r="I160" s="37"/>
      <c r="J160" s="39"/>
      <c r="K160" s="37"/>
      <c r="L160" s="37" t="s">
        <v>222</v>
      </c>
      <c r="M160" s="40">
        <v>1</v>
      </c>
      <c r="N160" s="38">
        <v>72</v>
      </c>
      <c r="O160" s="37" t="s">
        <v>126</v>
      </c>
      <c r="P160" s="41">
        <v>15800</v>
      </c>
      <c r="Q160" s="42"/>
      <c r="R160" s="48"/>
      <c r="S160" s="49">
        <v>0.125</v>
      </c>
      <c r="T160" s="44">
        <v>0.05</v>
      </c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1137600</v>
      </c>
      <c r="Y160" s="50">
        <f>IF(NOTA[[#This Row],[JUMLAH]]="","",NOTA[[#This Row],[JUMLAH]]*NOTA[[#This Row],[DISC 1]])</f>
        <v>142200</v>
      </c>
      <c r="Z160" s="50">
        <f>IF(NOTA[[#This Row],[JUMLAH]]="","",(NOTA[[#This Row],[JUMLAH]]-NOTA[[#This Row],[DISC 1-]])*NOTA[[#This Row],[DISC 2]])</f>
        <v>49770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191970</v>
      </c>
      <c r="AC160" s="50">
        <f>IF(NOTA[[#This Row],[JUMLAH]]="","",NOTA[[#This Row],[JUMLAH]]-NOTA[[#This Row],[DISC]])</f>
        <v>945630</v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0" s="50">
        <f>IF(OR(NOTA[[#This Row],[QTY]]="",NOTA[[#This Row],[HARGA SATUAN]]="",),"",NOTA[[#This Row],[QTY]]*NOTA[[#This Row],[HARGA SATUAN]])</f>
        <v>1137600</v>
      </c>
      <c r="AH160" s="39">
        <f ca="1">IF(NOTA[ID_H]="","",INDEX(NOTA[TANGGAL],MATCH(,INDIRECT(ADDRESS(ROW(NOTA[TANGGAL]),COLUMN(NOTA[TANGGAL]))&amp;":"&amp;ADDRESS(ROW(),COLUMN(NOTA[TANGGAL]))),-1)))</f>
        <v>45178</v>
      </c>
      <c r="AI160" s="41" t="str">
        <f ca="1">IF(NOTA[[#This Row],[NAMA BARANG]]="","",INDEX(NOTA[SUPPLIER],MATCH(,INDIRECT(ADDRESS(ROW(NOTA[ID]),COLUMN(NOTA[ID]))&amp;":"&amp;ADDRESS(ROW(),COLUMN(NOTA[ID]))),-1)))</f>
        <v>ATALI MAKMUR</v>
      </c>
      <c r="AJ160" s="41" t="str">
        <f ca="1">IF(NOTA[[#This Row],[ID_H]]="","",IF(NOTA[[#This Row],[FAKTUR]]="",INDIRECT(ADDRESS(ROW()-1,COLUMN())),NOTA[[#This Row],[FAKTUR]]))</f>
        <v>ARTO MORO</v>
      </c>
      <c r="AK160" s="38" t="str">
        <f ca="1">IF(NOTA[[#This Row],[ID]]="","",COUNTIF(NOTA[ID_H],NOTA[[#This Row],[ID_H]]))</f>
        <v/>
      </c>
      <c r="AL160" s="38">
        <f ca="1">IF(NOTA[[#This Row],[TGL.NOTA]]="",IF(NOTA[[#This Row],[SUPPLIER_H]]="","",AL159),MONTH(NOTA[[#This Row],[TGL.NOTA]]))</f>
        <v>9</v>
      </c>
      <c r="AM16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N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38" t="str">
        <f>IF(NOTA[[#This Row],[CONCAT4]]="","",_xlfn.IFNA(MATCH(NOTA[[#This Row],[CONCAT4]],[2]!RAW[CONCAT_H],0),FALSE))</f>
        <v/>
      </c>
      <c r="AR160" s="38">
        <f>IF(NOTA[[#This Row],[CONCAT1]]="","",MATCH(NOTA[[#This Row],[CONCAT1]],[3]!db[NB NOTA_C],0))</f>
        <v>181</v>
      </c>
      <c r="AS160" s="38" t="str">
        <f>IF(NOTA[[#This Row],[QTY/ CTN]]="","",TRUE)</f>
        <v/>
      </c>
      <c r="AT160" s="38" t="str">
        <f ca="1">IF(NOTA[[#This Row],[ID_H]]="","",IF(NOTA[[#This Row],[Column3]]=TRUE,NOTA[[#This Row],[QTY/ CTN]],INDEX([3]!db[QTY/ CTN],NOTA[[#This Row],[//DB]])))</f>
        <v>72 PCS</v>
      </c>
      <c r="AU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V160" s="38" t="e">
        <f ca="1">IF(NOTA[[#This Row],[ID_H]]="","",MATCH(NOTA[[#This Row],[NB NOTA_C_QTY]],[4]!db[NB NOTA_C_QTY+F],0))</f>
        <v>#REF!</v>
      </c>
      <c r="AW160" s="53">
        <f ca="1">IF(NOTA[[#This Row],[NB NOTA_C_QTY]]="","",ROW()-2)</f>
        <v>158</v>
      </c>
    </row>
    <row r="161" spans="1:49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21</v>
      </c>
      <c r="E161" s="46"/>
      <c r="F161" s="37"/>
      <c r="G161" s="37"/>
      <c r="H161" s="47"/>
      <c r="I161" s="37"/>
      <c r="J161" s="39"/>
      <c r="K161" s="37"/>
      <c r="L161" s="37" t="s">
        <v>224</v>
      </c>
      <c r="M161" s="40">
        <v>1</v>
      </c>
      <c r="N161" s="38">
        <v>72</v>
      </c>
      <c r="O161" s="37" t="s">
        <v>126</v>
      </c>
      <c r="P161" s="41">
        <v>15800</v>
      </c>
      <c r="Q161" s="42"/>
      <c r="R161" s="48"/>
      <c r="S161" s="49">
        <v>0.125</v>
      </c>
      <c r="T161" s="44">
        <v>0.05</v>
      </c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1137600</v>
      </c>
      <c r="Y161" s="50">
        <f>IF(NOTA[[#This Row],[JUMLAH]]="","",NOTA[[#This Row],[JUMLAH]]*NOTA[[#This Row],[DISC 1]])</f>
        <v>142200</v>
      </c>
      <c r="Z161" s="50">
        <f>IF(NOTA[[#This Row],[JUMLAH]]="","",(NOTA[[#This Row],[JUMLAH]]-NOTA[[#This Row],[DISC 1-]])*NOTA[[#This Row],[DISC 2]])</f>
        <v>49770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191970</v>
      </c>
      <c r="AC161" s="50">
        <f>IF(NOTA[[#This Row],[JUMLAH]]="","",NOTA[[#This Row],[JUMLAH]]-NOTA[[#This Row],[DISC]])</f>
        <v>945630</v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1" s="50">
        <f>IF(OR(NOTA[[#This Row],[QTY]]="",NOTA[[#This Row],[HARGA SATUAN]]="",),"",NOTA[[#This Row],[QTY]]*NOTA[[#This Row],[HARGA SATUAN]])</f>
        <v>1137600</v>
      </c>
      <c r="AH161" s="39">
        <f ca="1">IF(NOTA[ID_H]="","",INDEX(NOTA[TANGGAL],MATCH(,INDIRECT(ADDRESS(ROW(NOTA[TANGGAL]),COLUMN(NOTA[TANGGAL]))&amp;":"&amp;ADDRESS(ROW(),COLUMN(NOTA[TANGGAL]))),-1)))</f>
        <v>45178</v>
      </c>
      <c r="AI161" s="41" t="str">
        <f ca="1">IF(NOTA[[#This Row],[NAMA BARANG]]="","",INDEX(NOTA[SUPPLIER],MATCH(,INDIRECT(ADDRESS(ROW(NOTA[ID]),COLUMN(NOTA[ID]))&amp;":"&amp;ADDRESS(ROW(),COLUMN(NOTA[ID]))),-1)))</f>
        <v>ATALI MAKMUR</v>
      </c>
      <c r="AJ161" s="41" t="str">
        <f ca="1">IF(NOTA[[#This Row],[ID_H]]="","",IF(NOTA[[#This Row],[FAKTUR]]="",INDIRECT(ADDRESS(ROW()-1,COLUMN())),NOTA[[#This Row],[FAKTUR]]))</f>
        <v>ARTO MORO</v>
      </c>
      <c r="AK161" s="38" t="str">
        <f ca="1">IF(NOTA[[#This Row],[ID]]="","",COUNTIF(NOTA[ID_H],NOTA[[#This Row],[ID_H]]))</f>
        <v/>
      </c>
      <c r="AL161" s="38">
        <f ca="1">IF(NOTA[[#This Row],[TGL.NOTA]]="",IF(NOTA[[#This Row],[SUPPLIER_H]]="","",AL160),MONTH(NOTA[[#This Row],[TGL.NOTA]]))</f>
        <v>9</v>
      </c>
      <c r="AM16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N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38" t="str">
        <f>IF(NOTA[[#This Row],[CONCAT4]]="","",_xlfn.IFNA(MATCH(NOTA[[#This Row],[CONCAT4]],[2]!RAW[CONCAT_H],0),FALSE))</f>
        <v/>
      </c>
      <c r="AR161" s="38">
        <f>IF(NOTA[[#This Row],[CONCAT1]]="","",MATCH(NOTA[[#This Row],[CONCAT1]],[3]!db[NB NOTA_C],0))</f>
        <v>186</v>
      </c>
      <c r="AS161" s="38" t="str">
        <f>IF(NOTA[[#This Row],[QTY/ CTN]]="","",TRUE)</f>
        <v/>
      </c>
      <c r="AT161" s="38" t="str">
        <f ca="1">IF(NOTA[[#This Row],[ID_H]]="","",IF(NOTA[[#This Row],[Column3]]=TRUE,NOTA[[#This Row],[QTY/ CTN]],INDEX([3]!db[QTY/ CTN],NOTA[[#This Row],[//DB]])))</f>
        <v>72 PCS</v>
      </c>
      <c r="AU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V161" s="38" t="e">
        <f ca="1">IF(NOTA[[#This Row],[ID_H]]="","",MATCH(NOTA[[#This Row],[NB NOTA_C_QTY]],[4]!db[NB NOTA_C_QTY+F],0))</f>
        <v>#REF!</v>
      </c>
      <c r="AW161" s="53">
        <f ca="1">IF(NOTA[[#This Row],[NB NOTA_C_QTY]]="","",ROW()-2)</f>
        <v>159</v>
      </c>
    </row>
    <row r="162" spans="1:49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21</v>
      </c>
      <c r="E162" s="46"/>
      <c r="F162" s="37"/>
      <c r="G162" s="37"/>
      <c r="H162" s="47"/>
      <c r="I162" s="37"/>
      <c r="J162" s="39"/>
      <c r="K162" s="37"/>
      <c r="L162" s="37" t="s">
        <v>268</v>
      </c>
      <c r="M162" s="40">
        <v>1</v>
      </c>
      <c r="N162" s="38">
        <v>72</v>
      </c>
      <c r="O162" s="37" t="s">
        <v>126</v>
      </c>
      <c r="P162" s="41">
        <v>15800</v>
      </c>
      <c r="Q162" s="42"/>
      <c r="R162" s="48"/>
      <c r="S162" s="49">
        <v>0.125</v>
      </c>
      <c r="T162" s="44">
        <v>0.05</v>
      </c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1137600</v>
      </c>
      <c r="Y162" s="50">
        <f>IF(NOTA[[#This Row],[JUMLAH]]="","",NOTA[[#This Row],[JUMLAH]]*NOTA[[#This Row],[DISC 1]])</f>
        <v>142200</v>
      </c>
      <c r="Z162" s="50">
        <f>IF(NOTA[[#This Row],[JUMLAH]]="","",(NOTA[[#This Row],[JUMLAH]]-NOTA[[#This Row],[DISC 1-]])*NOTA[[#This Row],[DISC 2]])</f>
        <v>49770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191970</v>
      </c>
      <c r="AC162" s="50">
        <f>IF(NOTA[[#This Row],[JUMLAH]]="","",NOTA[[#This Row],[JUMLAH]]-NOTA[[#This Row],[DISC]])</f>
        <v>945630</v>
      </c>
      <c r="AD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4664385</v>
      </c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22976415</v>
      </c>
      <c r="AF1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2" s="50">
        <f>IF(OR(NOTA[[#This Row],[QTY]]="",NOTA[[#This Row],[HARGA SATUAN]]="",),"",NOTA[[#This Row],[QTY]]*NOTA[[#This Row],[HARGA SATUAN]])</f>
        <v>1137600</v>
      </c>
      <c r="AH162" s="39">
        <f ca="1">IF(NOTA[ID_H]="","",INDEX(NOTA[TANGGAL],MATCH(,INDIRECT(ADDRESS(ROW(NOTA[TANGGAL]),COLUMN(NOTA[TANGGAL]))&amp;":"&amp;ADDRESS(ROW(),COLUMN(NOTA[TANGGAL]))),-1)))</f>
        <v>45178</v>
      </c>
      <c r="AI162" s="41" t="str">
        <f ca="1">IF(NOTA[[#This Row],[NAMA BARANG]]="","",INDEX(NOTA[SUPPLIER],MATCH(,INDIRECT(ADDRESS(ROW(NOTA[ID]),COLUMN(NOTA[ID]))&amp;":"&amp;ADDRESS(ROW(),COLUMN(NOTA[ID]))),-1)))</f>
        <v>ATALI MAKMUR</v>
      </c>
      <c r="AJ162" s="41" t="str">
        <f ca="1">IF(NOTA[[#This Row],[ID_H]]="","",IF(NOTA[[#This Row],[FAKTUR]]="",INDIRECT(ADDRESS(ROW()-1,COLUMN())),NOTA[[#This Row],[FAKTUR]]))</f>
        <v>ARTO MORO</v>
      </c>
      <c r="AK162" s="38" t="str">
        <f ca="1">IF(NOTA[[#This Row],[ID]]="","",COUNTIF(NOTA[ID_H],NOTA[[#This Row],[ID_H]]))</f>
        <v/>
      </c>
      <c r="AL162" s="38">
        <f ca="1">IF(NOTA[[#This Row],[TGL.NOTA]]="",IF(NOTA[[#This Row],[SUPPLIER_H]]="","",AL161),MONTH(NOTA[[#This Row],[TGL.NOTA]]))</f>
        <v>9</v>
      </c>
      <c r="AM162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N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38" t="str">
        <f>IF(NOTA[[#This Row],[CONCAT4]]="","",_xlfn.IFNA(MATCH(NOTA[[#This Row],[CONCAT4]],[2]!RAW[CONCAT_H],0),FALSE))</f>
        <v/>
      </c>
      <c r="AR162" s="38">
        <f>IF(NOTA[[#This Row],[CONCAT1]]="","",MATCH(NOTA[[#This Row],[CONCAT1]],[3]!db[NB NOTA_C],0))</f>
        <v>182</v>
      </c>
      <c r="AS162" s="38" t="str">
        <f>IF(NOTA[[#This Row],[QTY/ CTN]]="","",TRUE)</f>
        <v/>
      </c>
      <c r="AT162" s="38" t="str">
        <f ca="1">IF(NOTA[[#This Row],[ID_H]]="","",IF(NOTA[[#This Row],[Column3]]=TRUE,NOTA[[#This Row],[QTY/ CTN]],INDEX([3]!db[QTY/ CTN],NOTA[[#This Row],[//DB]])))</f>
        <v>72 PCS</v>
      </c>
      <c r="AU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V162" s="38" t="e">
        <f ca="1">IF(NOTA[[#This Row],[ID_H]]="","",MATCH(NOTA[[#This Row],[NB NOTA_C_QTY]],[4]!db[NB NOTA_C_QTY+F],0))</f>
        <v>#REF!</v>
      </c>
      <c r="AW162" s="53">
        <f ca="1">IF(NOTA[[#This Row],[NB NOTA_C_QTY]]="","",ROW()-2)</f>
        <v>160</v>
      </c>
    </row>
    <row r="163" spans="1:49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63" s="50" t="str">
        <f>IF(OR(NOTA[[#This Row],[QTY]]="",NOTA[[#This Row],[HARGA SATUAN]]="",),"",NOTA[[#This Row],[QTY]]*NOTA[[#This Row],[HARGA SATUAN]])</f>
        <v/>
      </c>
      <c r="AH163" s="39" t="str">
        <f ca="1">IF(NOTA[ID_H]="","",INDEX(NOTA[TANGGAL],MATCH(,INDIRECT(ADDRESS(ROW(NOTA[TANGGAL]),COLUMN(NOTA[TANGGAL]))&amp;":"&amp;ADDRESS(ROW(),COLUMN(NOTA[TANGGAL]))),-1)))</f>
        <v/>
      </c>
      <c r="AI163" s="41" t="str">
        <f ca="1">IF(NOTA[[#This Row],[NAMA BARANG]]="","",INDEX(NOTA[SUPPLIER],MATCH(,INDIRECT(ADDRESS(ROW(NOTA[ID]),COLUMN(NOTA[ID]))&amp;":"&amp;ADDRESS(ROW(),COLUMN(NOTA[ID]))),-1)))</f>
        <v/>
      </c>
      <c r="AJ163" s="41" t="str">
        <f ca="1">IF(NOTA[[#This Row],[ID_H]]="","",IF(NOTA[[#This Row],[FAKTUR]]="",INDIRECT(ADDRESS(ROW()-1,COLUMN())),NOTA[[#This Row],[FAKTUR]]))</f>
        <v/>
      </c>
      <c r="AK163" s="38" t="str">
        <f ca="1">IF(NOTA[[#This Row],[ID]]="","",COUNTIF(NOTA[ID_H],NOTA[[#This Row],[ID_H]]))</f>
        <v/>
      </c>
      <c r="AL163" s="38" t="str">
        <f ca="1">IF(NOTA[[#This Row],[TGL.NOTA]]="",IF(NOTA[[#This Row],[SUPPLIER_H]]="","",AL162),MONTH(NOTA[[#This Row],[TGL.NOTA]]))</f>
        <v/>
      </c>
      <c r="AM163" s="38" t="str">
        <f>LOWER(SUBSTITUTE(SUBSTITUTE(SUBSTITUTE(SUBSTITUTE(SUBSTITUTE(SUBSTITUTE(SUBSTITUTE(SUBSTITUTE(SUBSTITUTE(NOTA[NAMA BARANG]," ",),".",""),"-",""),"(",""),")",""),",",""),"/",""),"""",""),"+",""))</f>
        <v/>
      </c>
      <c r="AN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38" t="str">
        <f>IF(NOTA[[#This Row],[CONCAT4]]="","",_xlfn.IFNA(MATCH(NOTA[[#This Row],[CONCAT4]],[2]!RAW[CONCAT_H],0),FALSE))</f>
        <v/>
      </c>
      <c r="AR163" s="38" t="str">
        <f>IF(NOTA[[#This Row],[CONCAT1]]="","",MATCH(NOTA[[#This Row],[CONCAT1]],[3]!db[NB NOTA_C],0))</f>
        <v/>
      </c>
      <c r="AS163" s="38" t="str">
        <f>IF(NOTA[[#This Row],[QTY/ CTN]]="","",TRUE)</f>
        <v/>
      </c>
      <c r="AT163" s="38" t="str">
        <f ca="1">IF(NOTA[[#This Row],[ID_H]]="","",IF(NOTA[[#This Row],[Column3]]=TRUE,NOTA[[#This Row],[QTY/ CTN]],INDEX([3]!db[QTY/ CTN],NOTA[[#This Row],[//DB]])))</f>
        <v/>
      </c>
      <c r="AU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63" s="38" t="str">
        <f ca="1">IF(NOTA[[#This Row],[ID_H]]="","",MATCH(NOTA[[#This Row],[NB NOTA_C_QTY]],[4]!db[NB NOTA_C_QTY+F],0))</f>
        <v/>
      </c>
      <c r="AW163" s="53" t="str">
        <f ca="1">IF(NOTA[[#This Row],[NB NOTA_C_QTY]]="","",ROW()-2)</f>
        <v/>
      </c>
    </row>
    <row r="164" spans="1:49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ATA_0909_895-8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22</v>
      </c>
      <c r="E164" s="46"/>
      <c r="F164" s="37" t="s">
        <v>24</v>
      </c>
      <c r="G164" s="37" t="s">
        <v>23</v>
      </c>
      <c r="H164" s="47" t="s">
        <v>270</v>
      </c>
      <c r="I164" s="37"/>
      <c r="J164" s="39">
        <v>45175</v>
      </c>
      <c r="K164" s="37"/>
      <c r="L164" s="37" t="s">
        <v>230</v>
      </c>
      <c r="M164" s="40">
        <v>1</v>
      </c>
      <c r="N164" s="38">
        <v>72</v>
      </c>
      <c r="O164" s="37" t="s">
        <v>126</v>
      </c>
      <c r="P164" s="41">
        <v>15800</v>
      </c>
      <c r="Q164" s="42"/>
      <c r="R164" s="48"/>
      <c r="S164" s="49">
        <v>0.125</v>
      </c>
      <c r="T164" s="44">
        <v>0.05</v>
      </c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1137600</v>
      </c>
      <c r="Y164" s="50">
        <f>IF(NOTA[[#This Row],[JUMLAH]]="","",NOTA[[#This Row],[JUMLAH]]*NOTA[[#This Row],[DISC 1]])</f>
        <v>142200</v>
      </c>
      <c r="Z164" s="50">
        <f>IF(NOTA[[#This Row],[JUMLAH]]="","",(NOTA[[#This Row],[JUMLAH]]-NOTA[[#This Row],[DISC 1-]])*NOTA[[#This Row],[DISC 2]])</f>
        <v>49770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191970</v>
      </c>
      <c r="AC164" s="50">
        <f>IF(NOTA[[#This Row],[JUMLAH]]="","",NOTA[[#This Row],[JUMLAH]]-NOTA[[#This Row],[DISC]])</f>
        <v>945630</v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4" s="50">
        <f>IF(OR(NOTA[[#This Row],[QTY]]="",NOTA[[#This Row],[HARGA SATUAN]]="",),"",NOTA[[#This Row],[QTY]]*NOTA[[#This Row],[HARGA SATUAN]])</f>
        <v>1137600</v>
      </c>
      <c r="AH164" s="39">
        <f ca="1">IF(NOTA[ID_H]="","",INDEX(NOTA[TANGGAL],MATCH(,INDIRECT(ADDRESS(ROW(NOTA[TANGGAL]),COLUMN(NOTA[TANGGAL]))&amp;":"&amp;ADDRESS(ROW(),COLUMN(NOTA[TANGGAL]))),-1)))</f>
        <v>45178</v>
      </c>
      <c r="AI164" s="41" t="str">
        <f ca="1">IF(NOTA[[#This Row],[NAMA BARANG]]="","",INDEX(NOTA[SUPPLIER],MATCH(,INDIRECT(ADDRESS(ROW(NOTA[ID]),COLUMN(NOTA[ID]))&amp;":"&amp;ADDRESS(ROW(),COLUMN(NOTA[ID]))),-1)))</f>
        <v>ATALI MAKMUR</v>
      </c>
      <c r="AJ164" s="41" t="str">
        <f ca="1">IF(NOTA[[#This Row],[ID_H]]="","",IF(NOTA[[#This Row],[FAKTUR]]="",INDIRECT(ADDRESS(ROW()-1,COLUMN())),NOTA[[#This Row],[FAKTUR]]))</f>
        <v>ARTO MORO</v>
      </c>
      <c r="AK164" s="38">
        <f ca="1">IF(NOTA[[#This Row],[ID]]="","",COUNTIF(NOTA[ID_H],NOTA[[#This Row],[ID_H]]))</f>
        <v>8</v>
      </c>
      <c r="AL164" s="38">
        <f>IF(NOTA[[#This Row],[TGL.NOTA]]="",IF(NOTA[[#This Row],[SUPPLIER_H]]="","",AL163),MONTH(NOTA[[#This Row],[TGL.NOTA]]))</f>
        <v>9</v>
      </c>
      <c r="AM164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N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1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MOROSA23091589545175bindera5tsacm477academyjku</v>
      </c>
      <c r="AQ164" s="38" t="e">
        <f>IF(NOTA[[#This Row],[CONCAT4]]="","",_xlfn.IFNA(MATCH(NOTA[[#This Row],[CONCAT4]],[2]!RAW[CONCAT_H],0),FALSE))</f>
        <v>#REF!</v>
      </c>
      <c r="AR164" s="38">
        <f>IF(NOTA[[#This Row],[CONCAT1]]="","",MATCH(NOTA[[#This Row],[CONCAT1]],[3]!db[NB NOTA_C],0))</f>
        <v>176</v>
      </c>
      <c r="AS164" s="38" t="str">
        <f>IF(NOTA[[#This Row],[QTY/ CTN]]="","",TRUE)</f>
        <v/>
      </c>
      <c r="AT164" s="38" t="str">
        <f ca="1">IF(NOTA[[#This Row],[ID_H]]="","",IF(NOTA[[#This Row],[Column3]]=TRUE,NOTA[[#This Row],[QTY/ CTN]],INDEX([3]!db[QTY/ CTN],NOTA[[#This Row],[//DB]])))</f>
        <v>72 PCS</v>
      </c>
      <c r="AU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V164" s="38" t="e">
        <f ca="1">IF(NOTA[[#This Row],[ID_H]]="","",MATCH(NOTA[[#This Row],[NB NOTA_C_QTY]],[4]!db[NB NOTA_C_QTY+F],0))</f>
        <v>#REF!</v>
      </c>
      <c r="AW164" s="53">
        <f ca="1">IF(NOTA[[#This Row],[NB NOTA_C_QTY]]="","",ROW()-2)</f>
        <v>162</v>
      </c>
    </row>
    <row r="165" spans="1:49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22</v>
      </c>
      <c r="E165" s="46"/>
      <c r="F165" s="37"/>
      <c r="G165" s="37"/>
      <c r="H165" s="47"/>
      <c r="I165" s="37"/>
      <c r="J165" s="39"/>
      <c r="K165" s="37"/>
      <c r="L165" s="37" t="s">
        <v>271</v>
      </c>
      <c r="M165" s="40">
        <v>1</v>
      </c>
      <c r="N165" s="38">
        <v>72</v>
      </c>
      <c r="O165" s="37" t="s">
        <v>126</v>
      </c>
      <c r="P165" s="41">
        <v>15800</v>
      </c>
      <c r="Q165" s="42"/>
      <c r="R165" s="48"/>
      <c r="S165" s="49">
        <v>0.125</v>
      </c>
      <c r="T165" s="44">
        <v>0.05</v>
      </c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1137600</v>
      </c>
      <c r="Y165" s="50">
        <f>IF(NOTA[[#This Row],[JUMLAH]]="","",NOTA[[#This Row],[JUMLAH]]*NOTA[[#This Row],[DISC 1]])</f>
        <v>142200</v>
      </c>
      <c r="Z165" s="50">
        <f>IF(NOTA[[#This Row],[JUMLAH]]="","",(NOTA[[#This Row],[JUMLAH]]-NOTA[[#This Row],[DISC 1-]])*NOTA[[#This Row],[DISC 2]])</f>
        <v>49770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191970</v>
      </c>
      <c r="AC165" s="50">
        <f>IF(NOTA[[#This Row],[JUMLAH]]="","",NOTA[[#This Row],[JUMLAH]]-NOTA[[#This Row],[DISC]])</f>
        <v>945630</v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5" s="50">
        <f>IF(OR(NOTA[[#This Row],[QTY]]="",NOTA[[#This Row],[HARGA SATUAN]]="",),"",NOTA[[#This Row],[QTY]]*NOTA[[#This Row],[HARGA SATUAN]])</f>
        <v>1137600</v>
      </c>
      <c r="AH165" s="39">
        <f ca="1">IF(NOTA[ID_H]="","",INDEX(NOTA[TANGGAL],MATCH(,INDIRECT(ADDRESS(ROW(NOTA[TANGGAL]),COLUMN(NOTA[TANGGAL]))&amp;":"&amp;ADDRESS(ROW(),COLUMN(NOTA[TANGGAL]))),-1)))</f>
        <v>45178</v>
      </c>
      <c r="AI165" s="41" t="str">
        <f ca="1">IF(NOTA[[#This Row],[NAMA BARANG]]="","",INDEX(NOTA[SUPPLIER],MATCH(,INDIRECT(ADDRESS(ROW(NOTA[ID]),COLUMN(NOTA[ID]))&amp;":"&amp;ADDRESS(ROW(),COLUMN(NOTA[ID]))),-1)))</f>
        <v>ATALI MAKMUR</v>
      </c>
      <c r="AJ165" s="41" t="str">
        <f ca="1">IF(NOTA[[#This Row],[ID_H]]="","",IF(NOTA[[#This Row],[FAKTUR]]="",INDIRECT(ADDRESS(ROW()-1,COLUMN())),NOTA[[#This Row],[FAKTUR]]))</f>
        <v>ARTO MORO</v>
      </c>
      <c r="AK165" s="38" t="str">
        <f ca="1">IF(NOTA[[#This Row],[ID]]="","",COUNTIF(NOTA[ID_H],NOTA[[#This Row],[ID_H]]))</f>
        <v/>
      </c>
      <c r="AL165" s="38">
        <f ca="1">IF(NOTA[[#This Row],[TGL.NOTA]]="",IF(NOTA[[#This Row],[SUPPLIER_H]]="","",AL164),MONTH(NOTA[[#This Row],[TGL.NOTA]]))</f>
        <v>9</v>
      </c>
      <c r="AM16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N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38" t="str">
        <f>IF(NOTA[[#This Row],[CONCAT4]]="","",_xlfn.IFNA(MATCH(NOTA[[#This Row],[CONCAT4]],[2]!RAW[CONCAT_H],0),FALSE))</f>
        <v/>
      </c>
      <c r="AR165" s="38">
        <f>IF(NOTA[[#This Row],[CONCAT1]]="","",MATCH(NOTA[[#This Row],[CONCAT1]],[3]!db[NB NOTA_C],0))</f>
        <v>214</v>
      </c>
      <c r="AS165" s="38" t="str">
        <f>IF(NOTA[[#This Row],[QTY/ CTN]]="","",TRUE)</f>
        <v/>
      </c>
      <c r="AT165" s="38" t="str">
        <f ca="1">IF(NOTA[[#This Row],[ID_H]]="","",IF(NOTA[[#This Row],[Column3]]=TRUE,NOTA[[#This Row],[QTY/ CTN]],INDEX([3]!db[QTY/ CTN],NOTA[[#This Row],[//DB]])))</f>
        <v>72 PCS</v>
      </c>
      <c r="AU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V165" s="38" t="e">
        <f ca="1">IF(NOTA[[#This Row],[ID_H]]="","",MATCH(NOTA[[#This Row],[NB NOTA_C_QTY]],[4]!db[NB NOTA_C_QTY+F],0))</f>
        <v>#REF!</v>
      </c>
      <c r="AW165" s="53">
        <f ca="1">IF(NOTA[[#This Row],[NB NOTA_C_QTY]]="","",ROW()-2)</f>
        <v>163</v>
      </c>
    </row>
    <row r="166" spans="1:49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22</v>
      </c>
      <c r="E166" s="46"/>
      <c r="F166" s="37"/>
      <c r="G166" s="37"/>
      <c r="H166" s="47"/>
      <c r="I166" s="37"/>
      <c r="J166" s="39"/>
      <c r="K166" s="37"/>
      <c r="L166" s="37" t="s">
        <v>272</v>
      </c>
      <c r="M166" s="40">
        <v>1</v>
      </c>
      <c r="N166" s="38">
        <v>72</v>
      </c>
      <c r="O166" s="37" t="s">
        <v>126</v>
      </c>
      <c r="P166" s="41">
        <v>15800</v>
      </c>
      <c r="Q166" s="42"/>
      <c r="R166" s="48"/>
      <c r="S166" s="49">
        <v>0.125</v>
      </c>
      <c r="T166" s="44">
        <v>0.05</v>
      </c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1137600</v>
      </c>
      <c r="Y166" s="50">
        <f>IF(NOTA[[#This Row],[JUMLAH]]="","",NOTA[[#This Row],[JUMLAH]]*NOTA[[#This Row],[DISC 1]])</f>
        <v>142200</v>
      </c>
      <c r="Z166" s="50">
        <f>IF(NOTA[[#This Row],[JUMLAH]]="","",(NOTA[[#This Row],[JUMLAH]]-NOTA[[#This Row],[DISC 1-]])*NOTA[[#This Row],[DISC 2]])</f>
        <v>49770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191970</v>
      </c>
      <c r="AC166" s="50">
        <f>IF(NOTA[[#This Row],[JUMLAH]]="","",NOTA[[#This Row],[JUMLAH]]-NOTA[[#This Row],[DISC]])</f>
        <v>945630</v>
      </c>
      <c r="AD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6" s="50">
        <f>IF(OR(NOTA[[#This Row],[QTY]]="",NOTA[[#This Row],[HARGA SATUAN]]="",),"",NOTA[[#This Row],[QTY]]*NOTA[[#This Row],[HARGA SATUAN]])</f>
        <v>1137600</v>
      </c>
      <c r="AH166" s="39">
        <f ca="1">IF(NOTA[ID_H]="","",INDEX(NOTA[TANGGAL],MATCH(,INDIRECT(ADDRESS(ROW(NOTA[TANGGAL]),COLUMN(NOTA[TANGGAL]))&amp;":"&amp;ADDRESS(ROW(),COLUMN(NOTA[TANGGAL]))),-1)))</f>
        <v>45178</v>
      </c>
      <c r="AI166" s="41" t="str">
        <f ca="1">IF(NOTA[[#This Row],[NAMA BARANG]]="","",INDEX(NOTA[SUPPLIER],MATCH(,INDIRECT(ADDRESS(ROW(NOTA[ID]),COLUMN(NOTA[ID]))&amp;":"&amp;ADDRESS(ROW(),COLUMN(NOTA[ID]))),-1)))</f>
        <v>ATALI MAKMUR</v>
      </c>
      <c r="AJ166" s="41" t="str">
        <f ca="1">IF(NOTA[[#This Row],[ID_H]]="","",IF(NOTA[[#This Row],[FAKTUR]]="",INDIRECT(ADDRESS(ROW()-1,COLUMN())),NOTA[[#This Row],[FAKTUR]]))</f>
        <v>ARTO MORO</v>
      </c>
      <c r="AK166" s="38" t="str">
        <f ca="1">IF(NOTA[[#This Row],[ID]]="","",COUNTIF(NOTA[ID_H],NOTA[[#This Row],[ID_H]]))</f>
        <v/>
      </c>
      <c r="AL166" s="38">
        <f ca="1">IF(NOTA[[#This Row],[TGL.NOTA]]="",IF(NOTA[[#This Row],[SUPPLIER_H]]="","",AL165),MONTH(NOTA[[#This Row],[TGL.NOTA]]))</f>
        <v>9</v>
      </c>
      <c r="AM166" s="38" t="str">
        <f>LOWER(SUBSTITUTE(SUBSTITUTE(SUBSTITUTE(SUBSTITUTE(SUBSTITUTE(SUBSTITUTE(SUBSTITUTE(SUBSTITUTE(SUBSTITUTE(NOTA[NAMA BARANG]," ",),".",""),"-",""),"(",""),")",""),",",""),"/",""),"""",""),"+",""))</f>
        <v>bindera5tsfcm480facultyjku</v>
      </c>
      <c r="AN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O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bindera5tsfcm480facultyjku11376000.1250.05</v>
      </c>
      <c r="AP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6" s="38" t="str">
        <f>IF(NOTA[[#This Row],[CONCAT4]]="","",_xlfn.IFNA(MATCH(NOTA[[#This Row],[CONCAT4]],[2]!RAW[CONCAT_H],0),FALSE))</f>
        <v/>
      </c>
      <c r="AR166" s="38">
        <f>IF(NOTA[[#This Row],[CONCAT1]]="","",MATCH(NOTA[[#This Row],[CONCAT1]],[3]!db[NB NOTA_C],0))</f>
        <v>193</v>
      </c>
      <c r="AS166" s="38" t="str">
        <f>IF(NOTA[[#This Row],[QTY/ CTN]]="","",TRUE)</f>
        <v/>
      </c>
      <c r="AT166" s="38" t="str">
        <f ca="1">IF(NOTA[[#This Row],[ID_H]]="","",IF(NOTA[[#This Row],[Column3]]=TRUE,NOTA[[#This Row],[QTY/ CTN]],INDEX([3]!db[QTY/ CTN],NOTA[[#This Row],[//DB]])))</f>
        <v>72 PCS</v>
      </c>
      <c r="AU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bindera5tsfcm480facultyjku72pcsartomoro</v>
      </c>
      <c r="AV166" s="38" t="e">
        <f ca="1">IF(NOTA[[#This Row],[ID_H]]="","",MATCH(NOTA[[#This Row],[NB NOTA_C_QTY]],[4]!db[NB NOTA_C_QTY+F],0))</f>
        <v>#REF!</v>
      </c>
      <c r="AW166" s="53">
        <f ca="1">IF(NOTA[[#This Row],[NB NOTA_C_QTY]]="","",ROW()-2)</f>
        <v>164</v>
      </c>
    </row>
    <row r="167" spans="1:49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22</v>
      </c>
      <c r="E167" s="46"/>
      <c r="F167" s="37"/>
      <c r="G167" s="37"/>
      <c r="H167" s="47"/>
      <c r="I167" s="37"/>
      <c r="J167" s="39"/>
      <c r="K167" s="37"/>
      <c r="L167" s="37" t="s">
        <v>273</v>
      </c>
      <c r="M167" s="40">
        <v>1</v>
      </c>
      <c r="N167" s="38">
        <v>72</v>
      </c>
      <c r="O167" s="37" t="s">
        <v>126</v>
      </c>
      <c r="P167" s="41">
        <v>15800</v>
      </c>
      <c r="Q167" s="42"/>
      <c r="R167" s="48"/>
      <c r="S167" s="49">
        <v>0.125</v>
      </c>
      <c r="T167" s="44">
        <v>0.05</v>
      </c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1137600</v>
      </c>
      <c r="Y167" s="50">
        <f>IF(NOTA[[#This Row],[JUMLAH]]="","",NOTA[[#This Row],[JUMLAH]]*NOTA[[#This Row],[DISC 1]])</f>
        <v>142200</v>
      </c>
      <c r="Z167" s="50">
        <f>IF(NOTA[[#This Row],[JUMLAH]]="","",(NOTA[[#This Row],[JUMLAH]]-NOTA[[#This Row],[DISC 1-]])*NOTA[[#This Row],[DISC 2]])</f>
        <v>49770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191970</v>
      </c>
      <c r="AC167" s="50">
        <f>IF(NOTA[[#This Row],[JUMLAH]]="","",NOTA[[#This Row],[JUMLAH]]-NOTA[[#This Row],[DISC]])</f>
        <v>945630</v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7" s="50">
        <f>IF(OR(NOTA[[#This Row],[QTY]]="",NOTA[[#This Row],[HARGA SATUAN]]="",),"",NOTA[[#This Row],[QTY]]*NOTA[[#This Row],[HARGA SATUAN]])</f>
        <v>1137600</v>
      </c>
      <c r="AH167" s="39">
        <f ca="1">IF(NOTA[ID_H]="","",INDEX(NOTA[TANGGAL],MATCH(,INDIRECT(ADDRESS(ROW(NOTA[TANGGAL]),COLUMN(NOTA[TANGGAL]))&amp;":"&amp;ADDRESS(ROW(),COLUMN(NOTA[TANGGAL]))),-1)))</f>
        <v>45178</v>
      </c>
      <c r="AI167" s="41" t="str">
        <f ca="1">IF(NOTA[[#This Row],[NAMA BARANG]]="","",INDEX(NOTA[SUPPLIER],MATCH(,INDIRECT(ADDRESS(ROW(NOTA[ID]),COLUMN(NOTA[ID]))&amp;":"&amp;ADDRESS(ROW(),COLUMN(NOTA[ID]))),-1)))</f>
        <v>ATALI MAKMUR</v>
      </c>
      <c r="AJ167" s="41" t="str">
        <f ca="1">IF(NOTA[[#This Row],[ID_H]]="","",IF(NOTA[[#This Row],[FAKTUR]]="",INDIRECT(ADDRESS(ROW()-1,COLUMN())),NOTA[[#This Row],[FAKTUR]]))</f>
        <v>ARTO MORO</v>
      </c>
      <c r="AK167" s="38" t="str">
        <f ca="1">IF(NOTA[[#This Row],[ID]]="","",COUNTIF(NOTA[ID_H],NOTA[[#This Row],[ID_H]]))</f>
        <v/>
      </c>
      <c r="AL167" s="38">
        <f ca="1">IF(NOTA[[#This Row],[TGL.NOTA]]="",IF(NOTA[[#This Row],[SUPPLIER_H]]="","",AL166),MONTH(NOTA[[#This Row],[TGL.NOTA]]))</f>
        <v>9</v>
      </c>
      <c r="AM167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N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O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bindera5tsimm478imagintnjku11376000.1250.05</v>
      </c>
      <c r="AP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38" t="str">
        <f>IF(NOTA[[#This Row],[CONCAT4]]="","",_xlfn.IFNA(MATCH(NOTA[[#This Row],[CONCAT4]],[2]!RAW[CONCAT_H],0),FALSE))</f>
        <v/>
      </c>
      <c r="AR167" s="38">
        <f>IF(NOTA[[#This Row],[CONCAT1]]="","",MATCH(NOTA[[#This Row],[CONCAT1]],[3]!db[NB NOTA_C],0))</f>
        <v>198</v>
      </c>
      <c r="AS167" s="38" t="str">
        <f>IF(NOTA[[#This Row],[QTY/ CTN]]="","",TRUE)</f>
        <v/>
      </c>
      <c r="AT167" s="38" t="str">
        <f ca="1">IF(NOTA[[#This Row],[ID_H]]="","",IF(NOTA[[#This Row],[Column3]]=TRUE,NOTA[[#This Row],[QTY/ CTN]],INDEX([3]!db[QTY/ CTN],NOTA[[#This Row],[//DB]])))</f>
        <v>72 PCS</v>
      </c>
      <c r="AU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V167" s="38" t="e">
        <f ca="1">IF(NOTA[[#This Row],[ID_H]]="","",MATCH(NOTA[[#This Row],[NB NOTA_C_QTY]],[4]!db[NB NOTA_C_QTY+F],0))</f>
        <v>#REF!</v>
      </c>
      <c r="AW167" s="53">
        <f ca="1">IF(NOTA[[#This Row],[NB NOTA_C_QTY]]="","",ROW()-2)</f>
        <v>165</v>
      </c>
    </row>
    <row r="168" spans="1:49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22</v>
      </c>
      <c r="E168" s="46"/>
      <c r="F168" s="37"/>
      <c r="G168" s="37"/>
      <c r="H168" s="47"/>
      <c r="I168" s="37"/>
      <c r="J168" s="39"/>
      <c r="K168" s="37"/>
      <c r="L168" s="37" t="s">
        <v>274</v>
      </c>
      <c r="M168" s="40">
        <v>1</v>
      </c>
      <c r="N168" s="38">
        <v>72</v>
      </c>
      <c r="O168" s="37" t="s">
        <v>126</v>
      </c>
      <c r="P168" s="41">
        <v>15800</v>
      </c>
      <c r="Q168" s="42"/>
      <c r="R168" s="48"/>
      <c r="S168" s="49">
        <v>0.125</v>
      </c>
      <c r="T168" s="44">
        <v>0.05</v>
      </c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1137600</v>
      </c>
      <c r="Y168" s="50">
        <f>IF(NOTA[[#This Row],[JUMLAH]]="","",NOTA[[#This Row],[JUMLAH]]*NOTA[[#This Row],[DISC 1]])</f>
        <v>142200</v>
      </c>
      <c r="Z168" s="50">
        <f>IF(NOTA[[#This Row],[JUMLAH]]="","",(NOTA[[#This Row],[JUMLAH]]-NOTA[[#This Row],[DISC 1-]])*NOTA[[#This Row],[DISC 2]])</f>
        <v>49770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191970</v>
      </c>
      <c r="AC168" s="50">
        <f>IF(NOTA[[#This Row],[JUMLAH]]="","",NOTA[[#This Row],[JUMLAH]]-NOTA[[#This Row],[DISC]])</f>
        <v>945630</v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8" s="50">
        <f>IF(OR(NOTA[[#This Row],[QTY]]="",NOTA[[#This Row],[HARGA SATUAN]]="",),"",NOTA[[#This Row],[QTY]]*NOTA[[#This Row],[HARGA SATUAN]])</f>
        <v>1137600</v>
      </c>
      <c r="AH168" s="39">
        <f ca="1">IF(NOTA[ID_H]="","",INDEX(NOTA[TANGGAL],MATCH(,INDIRECT(ADDRESS(ROW(NOTA[TANGGAL]),COLUMN(NOTA[TANGGAL]))&amp;":"&amp;ADDRESS(ROW(),COLUMN(NOTA[TANGGAL]))),-1)))</f>
        <v>45178</v>
      </c>
      <c r="AI168" s="41" t="str">
        <f ca="1">IF(NOTA[[#This Row],[NAMA BARANG]]="","",INDEX(NOTA[SUPPLIER],MATCH(,INDIRECT(ADDRESS(ROW(NOTA[ID]),COLUMN(NOTA[ID]))&amp;":"&amp;ADDRESS(ROW(),COLUMN(NOTA[ID]))),-1)))</f>
        <v>ATALI MAKMUR</v>
      </c>
      <c r="AJ168" s="41" t="str">
        <f ca="1">IF(NOTA[[#This Row],[ID_H]]="","",IF(NOTA[[#This Row],[FAKTUR]]="",INDIRECT(ADDRESS(ROW()-1,COLUMN())),NOTA[[#This Row],[FAKTUR]]))</f>
        <v>ARTO MORO</v>
      </c>
      <c r="AK168" s="38" t="str">
        <f ca="1">IF(NOTA[[#This Row],[ID]]="","",COUNTIF(NOTA[ID_H],NOTA[[#This Row],[ID_H]]))</f>
        <v/>
      </c>
      <c r="AL168" s="38">
        <f ca="1">IF(NOTA[[#This Row],[TGL.NOTA]]="",IF(NOTA[[#This Row],[SUPPLIER_H]]="","",AL167),MONTH(NOTA[[#This Row],[TGL.NOTA]]))</f>
        <v>9</v>
      </c>
      <c r="AM168" s="38" t="str">
        <f>LOWER(SUBSTITUTE(SUBSTITUTE(SUBSTITUTE(SUBSTITUTE(SUBSTITUTE(SUBSTITUTE(SUBSTITUTE(SUBSTITUTE(SUBSTITUTE(NOTA[NAMA BARANG]," ",),".",""),"-",""),"(",""),")",""),",",""),"/",""),"""",""),"+",""))</f>
        <v>bindera5tsedm476educationjku</v>
      </c>
      <c r="AN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O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bindera5tsedm476educationjku11376000.1250.05</v>
      </c>
      <c r="AP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38" t="str">
        <f>IF(NOTA[[#This Row],[CONCAT4]]="","",_xlfn.IFNA(MATCH(NOTA[[#This Row],[CONCAT4]],[2]!RAW[CONCAT_H],0),FALSE))</f>
        <v/>
      </c>
      <c r="AR168" s="38">
        <f>IF(NOTA[[#This Row],[CONCAT1]]="","",MATCH(NOTA[[#This Row],[CONCAT1]],[3]!db[NB NOTA_C],0))</f>
        <v>187</v>
      </c>
      <c r="AS168" s="38" t="str">
        <f>IF(NOTA[[#This Row],[QTY/ CTN]]="","",TRUE)</f>
        <v/>
      </c>
      <c r="AT168" s="38" t="str">
        <f ca="1">IF(NOTA[[#This Row],[ID_H]]="","",IF(NOTA[[#This Row],[Column3]]=TRUE,NOTA[[#This Row],[QTY/ CTN]],INDEX([3]!db[QTY/ CTN],NOTA[[#This Row],[//DB]])))</f>
        <v>72 PCS</v>
      </c>
      <c r="AU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bindera5tsedm476educationjku72pcsartomoro</v>
      </c>
      <c r="AV168" s="38" t="e">
        <f ca="1">IF(NOTA[[#This Row],[ID_H]]="","",MATCH(NOTA[[#This Row],[NB NOTA_C_QTY]],[4]!db[NB NOTA_C_QTY+F],0))</f>
        <v>#REF!</v>
      </c>
      <c r="AW168" s="53">
        <f ca="1">IF(NOTA[[#This Row],[NB NOTA_C_QTY]]="","",ROW()-2)</f>
        <v>166</v>
      </c>
    </row>
    <row r="169" spans="1:49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22</v>
      </c>
      <c r="E169" s="46"/>
      <c r="F169" s="37"/>
      <c r="G169" s="37"/>
      <c r="H169" s="47"/>
      <c r="I169" s="37"/>
      <c r="J169" s="39"/>
      <c r="K169" s="37"/>
      <c r="L169" s="37" t="s">
        <v>275</v>
      </c>
      <c r="M169" s="40">
        <v>1</v>
      </c>
      <c r="N169" s="38">
        <v>72</v>
      </c>
      <c r="O169" s="37" t="s">
        <v>126</v>
      </c>
      <c r="P169" s="41">
        <v>15800</v>
      </c>
      <c r="Q169" s="42"/>
      <c r="R169" s="48"/>
      <c r="S169" s="49">
        <v>0.125</v>
      </c>
      <c r="T169" s="44">
        <v>0.05</v>
      </c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1137600</v>
      </c>
      <c r="Y169" s="50">
        <f>IF(NOTA[[#This Row],[JUMLAH]]="","",NOTA[[#This Row],[JUMLAH]]*NOTA[[#This Row],[DISC 1]])</f>
        <v>142200</v>
      </c>
      <c r="Z169" s="50">
        <f>IF(NOTA[[#This Row],[JUMLAH]]="","",(NOTA[[#This Row],[JUMLAH]]-NOTA[[#This Row],[DISC 1-]])*NOTA[[#This Row],[DISC 2]])</f>
        <v>49770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191970</v>
      </c>
      <c r="AC169" s="50">
        <f>IF(NOTA[[#This Row],[JUMLAH]]="","",NOTA[[#This Row],[JUMLAH]]-NOTA[[#This Row],[DISC]])</f>
        <v>945630</v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6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69" s="50">
        <f>IF(OR(NOTA[[#This Row],[QTY]]="",NOTA[[#This Row],[HARGA SATUAN]]="",),"",NOTA[[#This Row],[QTY]]*NOTA[[#This Row],[HARGA SATUAN]])</f>
        <v>1137600</v>
      </c>
      <c r="AH169" s="39">
        <f ca="1">IF(NOTA[ID_H]="","",INDEX(NOTA[TANGGAL],MATCH(,INDIRECT(ADDRESS(ROW(NOTA[TANGGAL]),COLUMN(NOTA[TANGGAL]))&amp;":"&amp;ADDRESS(ROW(),COLUMN(NOTA[TANGGAL]))),-1)))</f>
        <v>45178</v>
      </c>
      <c r="AI169" s="41" t="str">
        <f ca="1">IF(NOTA[[#This Row],[NAMA BARANG]]="","",INDEX(NOTA[SUPPLIER],MATCH(,INDIRECT(ADDRESS(ROW(NOTA[ID]),COLUMN(NOTA[ID]))&amp;":"&amp;ADDRESS(ROW(),COLUMN(NOTA[ID]))),-1)))</f>
        <v>ATALI MAKMUR</v>
      </c>
      <c r="AJ169" s="41" t="str">
        <f ca="1">IF(NOTA[[#This Row],[ID_H]]="","",IF(NOTA[[#This Row],[FAKTUR]]="",INDIRECT(ADDRESS(ROW()-1,COLUMN())),NOTA[[#This Row],[FAKTUR]]))</f>
        <v>ARTO MORO</v>
      </c>
      <c r="AK169" s="38" t="str">
        <f ca="1">IF(NOTA[[#This Row],[ID]]="","",COUNTIF(NOTA[ID_H],NOTA[[#This Row],[ID_H]]))</f>
        <v/>
      </c>
      <c r="AL169" s="38">
        <f ca="1">IF(NOTA[[#This Row],[TGL.NOTA]]="",IF(NOTA[[#This Row],[SUPPLIER_H]]="","",AL168),MONTH(NOTA[[#This Row],[TGL.NOTA]]))</f>
        <v>9</v>
      </c>
      <c r="AM16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N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38" t="str">
        <f>IF(NOTA[[#This Row],[CONCAT4]]="","",_xlfn.IFNA(MATCH(NOTA[[#This Row],[CONCAT4]],[2]!RAW[CONCAT_H],0),FALSE))</f>
        <v/>
      </c>
      <c r="AR169" s="38">
        <f>IF(NOTA[[#This Row],[CONCAT1]]="","",MATCH(NOTA[[#This Row],[CONCAT1]],[3]!db[NB NOTA_C],0))</f>
        <v>183</v>
      </c>
      <c r="AS169" s="38" t="str">
        <f>IF(NOTA[[#This Row],[QTY/ CTN]]="","",TRUE)</f>
        <v/>
      </c>
      <c r="AT169" s="38" t="str">
        <f ca="1">IF(NOTA[[#This Row],[ID_H]]="","",IF(NOTA[[#This Row],[Column3]]=TRUE,NOTA[[#This Row],[QTY/ CTN]],INDEX([3]!db[QTY/ CTN],NOTA[[#This Row],[//DB]])))</f>
        <v>72 PCS</v>
      </c>
      <c r="AU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V169" s="38" t="e">
        <f ca="1">IF(NOTA[[#This Row],[ID_H]]="","",MATCH(NOTA[[#This Row],[NB NOTA_C_QTY]],[4]!db[NB NOTA_C_QTY+F],0))</f>
        <v>#REF!</v>
      </c>
      <c r="AW169" s="53">
        <f ca="1">IF(NOTA[[#This Row],[NB NOTA_C_QTY]]="","",ROW()-2)</f>
        <v>167</v>
      </c>
    </row>
    <row r="170" spans="1:49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22</v>
      </c>
      <c r="E170" s="46"/>
      <c r="F170" s="37"/>
      <c r="G170" s="37"/>
      <c r="H170" s="47"/>
      <c r="I170" s="37"/>
      <c r="J170" s="39"/>
      <c r="K170" s="37"/>
      <c r="L170" s="37" t="s">
        <v>276</v>
      </c>
      <c r="M170" s="40">
        <v>1</v>
      </c>
      <c r="N170" s="38">
        <v>72</v>
      </c>
      <c r="O170" s="37" t="s">
        <v>126</v>
      </c>
      <c r="P170" s="41">
        <v>15800</v>
      </c>
      <c r="Q170" s="42"/>
      <c r="R170" s="48"/>
      <c r="S170" s="49">
        <v>0.125</v>
      </c>
      <c r="T170" s="44">
        <v>0.05</v>
      </c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1137600</v>
      </c>
      <c r="Y170" s="50">
        <f>IF(NOTA[[#This Row],[JUMLAH]]="","",NOTA[[#This Row],[JUMLAH]]*NOTA[[#This Row],[DISC 1]])</f>
        <v>142200</v>
      </c>
      <c r="Z170" s="50">
        <f>IF(NOTA[[#This Row],[JUMLAH]]="","",(NOTA[[#This Row],[JUMLAH]]-NOTA[[#This Row],[DISC 1-]])*NOTA[[#This Row],[DISC 2]])</f>
        <v>49770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191970</v>
      </c>
      <c r="AC170" s="50">
        <f>IF(NOTA[[#This Row],[JUMLAH]]="","",NOTA[[#This Row],[JUMLAH]]-NOTA[[#This Row],[DISC]])</f>
        <v>945630</v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70" s="50">
        <f>IF(OR(NOTA[[#This Row],[QTY]]="",NOTA[[#This Row],[HARGA SATUAN]]="",),"",NOTA[[#This Row],[QTY]]*NOTA[[#This Row],[HARGA SATUAN]])</f>
        <v>1137600</v>
      </c>
      <c r="AH170" s="39">
        <f ca="1">IF(NOTA[ID_H]="","",INDEX(NOTA[TANGGAL],MATCH(,INDIRECT(ADDRESS(ROW(NOTA[TANGGAL]),COLUMN(NOTA[TANGGAL]))&amp;":"&amp;ADDRESS(ROW(),COLUMN(NOTA[TANGGAL]))),-1)))</f>
        <v>45178</v>
      </c>
      <c r="AI170" s="41" t="str">
        <f ca="1">IF(NOTA[[#This Row],[NAMA BARANG]]="","",INDEX(NOTA[SUPPLIER],MATCH(,INDIRECT(ADDRESS(ROW(NOTA[ID]),COLUMN(NOTA[ID]))&amp;":"&amp;ADDRESS(ROW(),COLUMN(NOTA[ID]))),-1)))</f>
        <v>ATALI MAKMUR</v>
      </c>
      <c r="AJ170" s="41" t="str">
        <f ca="1">IF(NOTA[[#This Row],[ID_H]]="","",IF(NOTA[[#This Row],[FAKTUR]]="",INDIRECT(ADDRESS(ROW()-1,COLUMN())),NOTA[[#This Row],[FAKTUR]]))</f>
        <v>ARTO MORO</v>
      </c>
      <c r="AK170" s="38" t="str">
        <f ca="1">IF(NOTA[[#This Row],[ID]]="","",COUNTIF(NOTA[ID_H],NOTA[[#This Row],[ID_H]]))</f>
        <v/>
      </c>
      <c r="AL170" s="38">
        <f ca="1">IF(NOTA[[#This Row],[TGL.NOTA]]="",IF(NOTA[[#This Row],[SUPPLIER_H]]="","",AL169),MONTH(NOTA[[#This Row],[TGL.NOTA]]))</f>
        <v>9</v>
      </c>
      <c r="AM170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N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P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38" t="str">
        <f>IF(NOTA[[#This Row],[CONCAT4]]="","",_xlfn.IFNA(MATCH(NOTA[[#This Row],[CONCAT4]],[2]!RAW[CONCAT_H],0),FALSE))</f>
        <v/>
      </c>
      <c r="AR170" s="38">
        <f>IF(NOTA[[#This Row],[CONCAT1]]="","",MATCH(NOTA[[#This Row],[CONCAT1]],[3]!db[NB NOTA_C],0))</f>
        <v>212</v>
      </c>
      <c r="AS170" s="38" t="str">
        <f>IF(NOTA[[#This Row],[QTY/ CTN]]="","",TRUE)</f>
        <v/>
      </c>
      <c r="AT170" s="38" t="str">
        <f ca="1">IF(NOTA[[#This Row],[ID_H]]="","",IF(NOTA[[#This Row],[Column3]]=TRUE,NOTA[[#This Row],[QTY/ CTN]],INDEX([3]!db[QTY/ CTN],NOTA[[#This Row],[//DB]])))</f>
        <v>72 PCS</v>
      </c>
      <c r="AU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V170" s="38" t="e">
        <f ca="1">IF(NOTA[[#This Row],[ID_H]]="","",MATCH(NOTA[[#This Row],[NB NOTA_C_QTY]],[4]!db[NB NOTA_C_QTY+F],0))</f>
        <v>#REF!</v>
      </c>
      <c r="AW170" s="53">
        <f ca="1">IF(NOTA[[#This Row],[NB NOTA_C_QTY]]="","",ROW()-2)</f>
        <v>168</v>
      </c>
    </row>
    <row r="171" spans="1:49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22</v>
      </c>
      <c r="E171" s="46"/>
      <c r="F171" s="37"/>
      <c r="G171" s="37"/>
      <c r="H171" s="47"/>
      <c r="I171" s="37"/>
      <c r="J171" s="39"/>
      <c r="K171" s="37"/>
      <c r="L171" s="37" t="s">
        <v>277</v>
      </c>
      <c r="M171" s="40">
        <v>1</v>
      </c>
      <c r="N171" s="38">
        <v>72</v>
      </c>
      <c r="O171" s="37" t="s">
        <v>126</v>
      </c>
      <c r="P171" s="41">
        <v>15800</v>
      </c>
      <c r="Q171" s="42"/>
      <c r="R171" s="48"/>
      <c r="S171" s="49">
        <v>0.125</v>
      </c>
      <c r="T171" s="44">
        <v>0.05</v>
      </c>
      <c r="U171" s="44"/>
      <c r="V171" s="50"/>
      <c r="W171" s="45"/>
      <c r="X171" s="50">
        <f>IF(NOTA[[#This Row],[HARGA/ CTN]]="",NOTA[[#This Row],[JUMLAH_H]],NOTA[[#This Row],[HARGA/ CTN]]*IF(NOTA[[#This Row],[C]]="",0,NOTA[[#This Row],[C]]))</f>
        <v>1137600</v>
      </c>
      <c r="Y171" s="50">
        <f>IF(NOTA[[#This Row],[JUMLAH]]="","",NOTA[[#This Row],[JUMLAH]]*NOTA[[#This Row],[DISC 1]])</f>
        <v>142200</v>
      </c>
      <c r="Z171" s="50">
        <f>IF(NOTA[[#This Row],[JUMLAH]]="","",(NOTA[[#This Row],[JUMLAH]]-NOTA[[#This Row],[DISC 1-]])*NOTA[[#This Row],[DISC 2]])</f>
        <v>49770</v>
      </c>
      <c r="AA171" s="50">
        <f>IF(NOTA[[#This Row],[JUMLAH]]="","",(NOTA[[#This Row],[JUMLAH]]-NOTA[[#This Row],[DISC 1-]]-NOTA[[#This Row],[DISC 2-]])*NOTA[[#This Row],[DISC 3]])</f>
        <v>0</v>
      </c>
      <c r="AB171" s="50">
        <f>IF(NOTA[[#This Row],[JUMLAH]]="","",NOTA[[#This Row],[DISC 1-]]+NOTA[[#This Row],[DISC 2-]]+NOTA[[#This Row],[DISC 3-]])</f>
        <v>191970</v>
      </c>
      <c r="AC171" s="50">
        <f>IF(NOTA[[#This Row],[JUMLAH]]="","",NOTA[[#This Row],[JUMLAH]]-NOTA[[#This Row],[DISC]])</f>
        <v>945630</v>
      </c>
      <c r="AD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1535760</v>
      </c>
      <c r="AE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7565040</v>
      </c>
      <c r="AF17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G171" s="50">
        <f>IF(OR(NOTA[[#This Row],[QTY]]="",NOTA[[#This Row],[HARGA SATUAN]]="",),"",NOTA[[#This Row],[QTY]]*NOTA[[#This Row],[HARGA SATUAN]])</f>
        <v>1137600</v>
      </c>
      <c r="AH171" s="39">
        <f ca="1">IF(NOTA[ID_H]="","",INDEX(NOTA[TANGGAL],MATCH(,INDIRECT(ADDRESS(ROW(NOTA[TANGGAL]),COLUMN(NOTA[TANGGAL]))&amp;":"&amp;ADDRESS(ROW(),COLUMN(NOTA[TANGGAL]))),-1)))</f>
        <v>45178</v>
      </c>
      <c r="AI171" s="41" t="str">
        <f ca="1">IF(NOTA[[#This Row],[NAMA BARANG]]="","",INDEX(NOTA[SUPPLIER],MATCH(,INDIRECT(ADDRESS(ROW(NOTA[ID]),COLUMN(NOTA[ID]))&amp;":"&amp;ADDRESS(ROW(),COLUMN(NOTA[ID]))),-1)))</f>
        <v>ATALI MAKMUR</v>
      </c>
      <c r="AJ171" s="41" t="str">
        <f ca="1">IF(NOTA[[#This Row],[ID_H]]="","",IF(NOTA[[#This Row],[FAKTUR]]="",INDIRECT(ADDRESS(ROW()-1,COLUMN())),NOTA[[#This Row],[FAKTUR]]))</f>
        <v>ARTO MORO</v>
      </c>
      <c r="AK171" s="38" t="str">
        <f ca="1">IF(NOTA[[#This Row],[ID]]="","",COUNTIF(NOTA[ID_H],NOTA[[#This Row],[ID_H]]))</f>
        <v/>
      </c>
      <c r="AL171" s="38">
        <f ca="1">IF(NOTA[[#This Row],[TGL.NOTA]]="",IF(NOTA[[#This Row],[SUPPLIER_H]]="","",AL170),MONTH(NOTA[[#This Row],[TGL.NOTA]]))</f>
        <v>9</v>
      </c>
      <c r="AM171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N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38" t="str">
        <f>IF(NOTA[[#This Row],[CONCAT4]]="","",_xlfn.IFNA(MATCH(NOTA[[#This Row],[CONCAT4]],[2]!RAW[CONCAT_H],0),FALSE))</f>
        <v/>
      </c>
      <c r="AR171" s="38">
        <f>IF(NOTA[[#This Row],[CONCAT1]]="","",MATCH(NOTA[[#This Row],[CONCAT1]],[3]!db[NB NOTA_C],0))</f>
        <v>213</v>
      </c>
      <c r="AS171" s="38" t="str">
        <f>IF(NOTA[[#This Row],[QTY/ CTN]]="","",TRUE)</f>
        <v/>
      </c>
      <c r="AT171" s="38" t="str">
        <f ca="1">IF(NOTA[[#This Row],[ID_H]]="","",IF(NOTA[[#This Row],[Column3]]=TRUE,NOTA[[#This Row],[QTY/ CTN]],INDEX([3]!db[QTY/ CTN],NOTA[[#This Row],[//DB]])))</f>
        <v>72 PCS</v>
      </c>
      <c r="AU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V171" s="38" t="e">
        <f ca="1">IF(NOTA[[#This Row],[ID_H]]="","",MATCH(NOTA[[#This Row],[NB NOTA_C_QTY]],[4]!db[NB NOTA_C_QTY+F],0))</f>
        <v>#REF!</v>
      </c>
      <c r="AW171" s="53">
        <f ca="1">IF(NOTA[[#This Row],[NB NOTA_C_QTY]]="","",ROW()-2)</f>
        <v>169</v>
      </c>
    </row>
    <row r="172" spans="1:49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2" s="50" t="str">
        <f>IF(OR(NOTA[[#This Row],[QTY]]="",NOTA[[#This Row],[HARGA SATUAN]]="",),"",NOTA[[#This Row],[QTY]]*NOTA[[#This Row],[HARGA SATUAN]])</f>
        <v/>
      </c>
      <c r="AH172" s="39" t="str">
        <f ca="1">IF(NOTA[ID_H]="","",INDEX(NOTA[TANGGAL],MATCH(,INDIRECT(ADDRESS(ROW(NOTA[TANGGAL]),COLUMN(NOTA[TANGGAL]))&amp;":"&amp;ADDRESS(ROW(),COLUMN(NOTA[TANGGAL]))),-1)))</f>
        <v/>
      </c>
      <c r="AI172" s="41" t="str">
        <f ca="1">IF(NOTA[[#This Row],[NAMA BARANG]]="","",INDEX(NOTA[SUPPLIER],MATCH(,INDIRECT(ADDRESS(ROW(NOTA[ID]),COLUMN(NOTA[ID]))&amp;":"&amp;ADDRESS(ROW(),COLUMN(NOTA[ID]))),-1)))</f>
        <v/>
      </c>
      <c r="AJ172" s="41" t="str">
        <f ca="1">IF(NOTA[[#This Row],[ID_H]]="","",IF(NOTA[[#This Row],[FAKTUR]]="",INDIRECT(ADDRESS(ROW()-1,COLUMN())),NOTA[[#This Row],[FAKTUR]]))</f>
        <v/>
      </c>
      <c r="AK172" s="38" t="str">
        <f ca="1">IF(NOTA[[#This Row],[ID]]="","",COUNTIF(NOTA[ID_H],NOTA[[#This Row],[ID_H]]))</f>
        <v/>
      </c>
      <c r="AL172" s="38" t="str">
        <f ca="1">IF(NOTA[[#This Row],[TGL.NOTA]]="",IF(NOTA[[#This Row],[SUPPLIER_H]]="","",AL171),MONTH(NOTA[[#This Row],[TGL.NOTA]]))</f>
        <v/>
      </c>
      <c r="AM172" s="38" t="str">
        <f>LOWER(SUBSTITUTE(SUBSTITUTE(SUBSTITUTE(SUBSTITUTE(SUBSTITUTE(SUBSTITUTE(SUBSTITUTE(SUBSTITUTE(SUBSTITUTE(NOTA[NAMA BARANG]," ",),".",""),"-",""),"(",""),")",""),",",""),"/",""),"""",""),"+",""))</f>
        <v/>
      </c>
      <c r="AN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38" t="str">
        <f>IF(NOTA[[#This Row],[CONCAT4]]="","",_xlfn.IFNA(MATCH(NOTA[[#This Row],[CONCAT4]],[2]!RAW[CONCAT_H],0),FALSE))</f>
        <v/>
      </c>
      <c r="AR172" s="38" t="str">
        <f>IF(NOTA[[#This Row],[CONCAT1]]="","",MATCH(NOTA[[#This Row],[CONCAT1]],[3]!db[NB NOTA_C],0))</f>
        <v/>
      </c>
      <c r="AS172" s="38" t="str">
        <f>IF(NOTA[[#This Row],[QTY/ CTN]]="","",TRUE)</f>
        <v/>
      </c>
      <c r="AT172" s="38" t="str">
        <f ca="1">IF(NOTA[[#This Row],[ID_H]]="","",IF(NOTA[[#This Row],[Column3]]=TRUE,NOTA[[#This Row],[QTY/ CTN]],INDEX([3]!db[QTY/ CTN],NOTA[[#This Row],[//DB]])))</f>
        <v/>
      </c>
      <c r="AU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2" s="38" t="str">
        <f ca="1">IF(NOTA[[#This Row],[ID_H]]="","",MATCH(NOTA[[#This Row],[NB NOTA_C_QTY]],[4]!db[NB NOTA_C_QTY+F],0))</f>
        <v/>
      </c>
      <c r="AW172" s="53" t="str">
        <f ca="1">IF(NOTA[[#This Row],[NB NOTA_C_QTY]]="","",ROW()-2)</f>
        <v/>
      </c>
    </row>
    <row r="173" spans="1:49" s="38" customFormat="1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NCL_1109_010-1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23</v>
      </c>
      <c r="E173" s="46">
        <v>45180</v>
      </c>
      <c r="F173" s="37" t="s">
        <v>543</v>
      </c>
      <c r="G173" s="37" t="s">
        <v>23</v>
      </c>
      <c r="H173" s="47" t="s">
        <v>279</v>
      </c>
      <c r="I173" s="37"/>
      <c r="J173" s="39">
        <v>45176</v>
      </c>
      <c r="K173" s="37"/>
      <c r="L173" s="37" t="s">
        <v>280</v>
      </c>
      <c r="M173" s="40">
        <v>1</v>
      </c>
      <c r="N173" s="38">
        <v>60</v>
      </c>
      <c r="O173" s="37" t="s">
        <v>281</v>
      </c>
      <c r="P173" s="41">
        <v>60811</v>
      </c>
      <c r="Q173" s="42"/>
      <c r="R173" s="48" t="s">
        <v>282</v>
      </c>
      <c r="S173" s="49">
        <v>0.2</v>
      </c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3648660</v>
      </c>
      <c r="Y173" s="50">
        <f>IF(NOTA[[#This Row],[JUMLAH]]="","",NOTA[[#This Row],[JUMLAH]]*NOTA[[#This Row],[DISC 1]])</f>
        <v>729732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729732</v>
      </c>
      <c r="AC173" s="50">
        <f>IF(NOTA[[#This Row],[JUMLAH]]="","",NOTA[[#This Row],[JUMLAH]]-NOTA[[#This Row],[DISC]])</f>
        <v>2918928</v>
      </c>
      <c r="AD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729732</v>
      </c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2918928</v>
      </c>
      <c r="AF173" s="41">
        <f>IF(NOTA[[#This Row],[NAMA BARANG]]="","",IF(NOTA[[#This Row],[JUMLAH_H]]="",NOTA[[#This Row],[HARGA/ CTN]],NOTA[[#This Row],[QTY]]*NOTA[[#This Row],[HARGA SATUAN]]/IF(ISNUMBER(NOTA[[#This Row],[C]]),NOTA[[#This Row],[C]],1)))</f>
        <v>3648660</v>
      </c>
      <c r="AG173" s="50">
        <f>IF(OR(NOTA[[#This Row],[QTY]]="",NOTA[[#This Row],[HARGA SATUAN]]="",),"",NOTA[[#This Row],[QTY]]*NOTA[[#This Row],[HARGA SATUAN]])</f>
        <v>3648660</v>
      </c>
      <c r="AH173" s="39">
        <f ca="1">IF(NOTA[ID_H]="","",INDEX(NOTA[TANGGAL],MATCH(,INDIRECT(ADDRESS(ROW(NOTA[TANGGAL]),COLUMN(NOTA[TANGGAL]))&amp;":"&amp;ADDRESS(ROW(),COLUMN(NOTA[TANGGAL]))),-1)))</f>
        <v>45180</v>
      </c>
      <c r="AI173" s="41" t="str">
        <f ca="1">IF(NOTA[[#This Row],[NAMA BARANG]]="","",INDEX(NOTA[SUPPLIER],MATCH(,INDIRECT(ADDRESS(ROW(NOTA[ID]),COLUMN(NOTA[ID]))&amp;":"&amp;ADDRESS(ROW(),COLUMN(NOTA[ID]))),-1)))</f>
        <v>NCL</v>
      </c>
      <c r="AJ173" s="41" t="str">
        <f ca="1">IF(NOTA[[#This Row],[ID_H]]="","",IF(NOTA[[#This Row],[FAKTUR]]="",INDIRECT(ADDRESS(ROW()-1,COLUMN())),NOTA[[#This Row],[FAKTUR]]))</f>
        <v>ARTO MORO</v>
      </c>
      <c r="AK173" s="38">
        <f ca="1">IF(NOTA[[#This Row],[ID]]="","",COUNTIF(NOTA[ID_H],NOTA[[#This Row],[ID_H]]))</f>
        <v>1</v>
      </c>
      <c r="AL173" s="38">
        <f>IF(NOTA[[#This Row],[TGL.NOTA]]="",IF(NOTA[[#This Row],[SUPPLIER_H]]="","",AL172),MONTH(NOTA[[#This Row],[TGL.NOTA]]))</f>
        <v>9</v>
      </c>
      <c r="AM173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N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balonmacaron102220x5lkm220036486600.2</v>
      </c>
      <c r="AO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balonmacaron102220x5lkm220036486600.2</v>
      </c>
      <c r="AP173" s="38" t="str">
        <f>IF(NOTA[[#This Row],[SUPPLIER]]="","",NOTA[[#This Row],[SUPPLIER]]&amp;NOTA[[#This Row],[FAKTUR]]&amp;NOTA[[#This Row],[NO.NOTA]]&amp;NOTA[[#This Row],[NO.SJ]]&amp;NOTA[[#This Row],[TGL.NOTA]]&amp;NOTA[[#This Row],[CONCAT1]])</f>
        <v>NCLARTO MORONCL-R230900001045176balonmacaron102220x5lkm2200</v>
      </c>
      <c r="AQ173" s="38" t="e">
        <f>IF(NOTA[[#This Row],[CONCAT4]]="","",_xlfn.IFNA(MATCH(NOTA[[#This Row],[CONCAT4]],[2]!RAW[CONCAT_H],0),FALSE))</f>
        <v>#REF!</v>
      </c>
      <c r="AR173" s="38">
        <f>IF(NOTA[[#This Row],[CONCAT1]]="","",MATCH(NOTA[[#This Row],[CONCAT1]],[3]!db[NB NOTA_C],0))</f>
        <v>150</v>
      </c>
      <c r="AS173" s="38" t="b">
        <f>IF(NOTA[[#This Row],[QTY/ CTN]]="","",TRUE)</f>
        <v>1</v>
      </c>
      <c r="AT173" s="38" t="str">
        <f ca="1">IF(NOTA[[#This Row],[ID_H]]="","",IF(NOTA[[#This Row],[Column3]]=TRUE,NOTA[[#This Row],[QTY/ CTN]],INDEX([3]!db[QTY/ CTN],NOTA[[#This Row],[//DB]])))</f>
        <v>60 LPG</v>
      </c>
      <c r="AU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balonmacaron102220x5lkm220060lpgartomoro</v>
      </c>
      <c r="AV173" s="38" t="e">
        <f ca="1">IF(NOTA[[#This Row],[ID_H]]="","",MATCH(NOTA[[#This Row],[NB NOTA_C_QTY]],[4]!db[NB NOTA_C_QTY+F],0))</f>
        <v>#REF!</v>
      </c>
      <c r="AW173" s="53">
        <f ca="1">IF(NOTA[[#This Row],[NB NOTA_C_QTY]]="","",ROW()-2)</f>
        <v>171</v>
      </c>
    </row>
    <row r="174" spans="1:49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4" s="50" t="str">
        <f>IF(OR(NOTA[[#This Row],[QTY]]="",NOTA[[#This Row],[HARGA SATUAN]]="",),"",NOTA[[#This Row],[QTY]]*NOTA[[#This Row],[HARGA SATUAN]])</f>
        <v/>
      </c>
      <c r="AH174" s="39" t="str">
        <f ca="1">IF(NOTA[ID_H]="","",INDEX(NOTA[TANGGAL],MATCH(,INDIRECT(ADDRESS(ROW(NOTA[TANGGAL]),COLUMN(NOTA[TANGGAL]))&amp;":"&amp;ADDRESS(ROW(),COLUMN(NOTA[TANGGAL]))),-1)))</f>
        <v/>
      </c>
      <c r="AI174" s="41" t="str">
        <f ca="1">IF(NOTA[[#This Row],[NAMA BARANG]]="","",INDEX(NOTA[SUPPLIER],MATCH(,INDIRECT(ADDRESS(ROW(NOTA[ID]),COLUMN(NOTA[ID]))&amp;":"&amp;ADDRESS(ROW(),COLUMN(NOTA[ID]))),-1)))</f>
        <v/>
      </c>
      <c r="AJ174" s="41" t="str">
        <f ca="1">IF(NOTA[[#This Row],[ID_H]]="","",IF(NOTA[[#This Row],[FAKTUR]]="",INDIRECT(ADDRESS(ROW()-1,COLUMN())),NOTA[[#This Row],[FAKTUR]]))</f>
        <v/>
      </c>
      <c r="AK174" s="38" t="str">
        <f ca="1">IF(NOTA[[#This Row],[ID]]="","",COUNTIF(NOTA[ID_H],NOTA[[#This Row],[ID_H]]))</f>
        <v/>
      </c>
      <c r="AL174" s="38" t="str">
        <f ca="1">IF(NOTA[[#This Row],[TGL.NOTA]]="",IF(NOTA[[#This Row],[SUPPLIER_H]]="","",AL173),MONTH(NOTA[[#This Row],[TGL.NOTA]]))</f>
        <v/>
      </c>
      <c r="AM174" s="38" t="str">
        <f>LOWER(SUBSTITUTE(SUBSTITUTE(SUBSTITUTE(SUBSTITUTE(SUBSTITUTE(SUBSTITUTE(SUBSTITUTE(SUBSTITUTE(SUBSTITUTE(NOTA[NAMA BARANG]," ",),".",""),"-",""),"(",""),")",""),",",""),"/",""),"""",""),"+",""))</f>
        <v/>
      </c>
      <c r="AN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38" t="str">
        <f>IF(NOTA[[#This Row],[CONCAT4]]="","",_xlfn.IFNA(MATCH(NOTA[[#This Row],[CONCAT4]],[2]!RAW[CONCAT_H],0),FALSE))</f>
        <v/>
      </c>
      <c r="AR174" s="38" t="str">
        <f>IF(NOTA[[#This Row],[CONCAT1]]="","",MATCH(NOTA[[#This Row],[CONCAT1]],[3]!db[NB NOTA_C],0))</f>
        <v/>
      </c>
      <c r="AS174" s="38" t="str">
        <f>IF(NOTA[[#This Row],[QTY/ CTN]]="","",TRUE)</f>
        <v/>
      </c>
      <c r="AT174" s="38" t="str">
        <f ca="1">IF(NOTA[[#This Row],[ID_H]]="","",IF(NOTA[[#This Row],[Column3]]=TRUE,NOTA[[#This Row],[QTY/ CTN]],INDEX([3]!db[QTY/ CTN],NOTA[[#This Row],[//DB]])))</f>
        <v/>
      </c>
      <c r="AU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4" s="38" t="str">
        <f ca="1">IF(NOTA[[#This Row],[ID_H]]="","",MATCH(NOTA[[#This Row],[NB NOTA_C_QTY]],[4]!db[NB NOTA_C_QTY+F],0))</f>
        <v/>
      </c>
      <c r="AW174" s="53" t="str">
        <f ca="1">IF(NOTA[[#This Row],[NB NOTA_C_QTY]]="","",ROW()-2)</f>
        <v/>
      </c>
    </row>
    <row r="175" spans="1:49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LAY_0909_035-1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24</v>
      </c>
      <c r="E175" s="46">
        <v>45178</v>
      </c>
      <c r="F175" s="37" t="s">
        <v>27</v>
      </c>
      <c r="G175" s="37" t="s">
        <v>23</v>
      </c>
      <c r="H175" s="47" t="s">
        <v>283</v>
      </c>
      <c r="I175" s="37"/>
      <c r="J175" s="39" t="s">
        <v>284</v>
      </c>
      <c r="K175" s="37"/>
      <c r="L175" s="37" t="s">
        <v>285</v>
      </c>
      <c r="M175" s="40">
        <v>20</v>
      </c>
      <c r="N175" s="38">
        <v>2000</v>
      </c>
      <c r="O175" s="37" t="s">
        <v>286</v>
      </c>
      <c r="P175" s="41">
        <v>14000</v>
      </c>
      <c r="Q175" s="42"/>
      <c r="R175" s="48" t="s">
        <v>287</v>
      </c>
      <c r="S175" s="49">
        <v>0.1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28000000</v>
      </c>
      <c r="Y175" s="50">
        <f>IF(NOTA[[#This Row],[JUMLAH]]="","",NOTA[[#This Row],[JUMLAH]]*NOTA[[#This Row],[DISC 1]])</f>
        <v>2800000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2800000</v>
      </c>
      <c r="AC175" s="50">
        <f>IF(NOTA[[#This Row],[JUMLAH]]="","",NOTA[[#This Row],[JUMLAH]]-NOTA[[#This Row],[DISC]])</f>
        <v>25200000</v>
      </c>
      <c r="AD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F17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G175" s="50">
        <f>IF(OR(NOTA[[#This Row],[QTY]]="",NOTA[[#This Row],[HARGA SATUAN]]="",),"",NOTA[[#This Row],[QTY]]*NOTA[[#This Row],[HARGA SATUAN]])</f>
        <v>28000000</v>
      </c>
      <c r="AH175" s="39">
        <f ca="1">IF(NOTA[ID_H]="","",INDEX(NOTA[TANGGAL],MATCH(,INDIRECT(ADDRESS(ROW(NOTA[TANGGAL]),COLUMN(NOTA[TANGGAL]))&amp;":"&amp;ADDRESS(ROW(),COLUMN(NOTA[TANGGAL]))),-1)))</f>
        <v>45178</v>
      </c>
      <c r="AI175" s="41" t="str">
        <f ca="1">IF(NOTA[[#This Row],[NAMA BARANG]]="","",INDEX(NOTA[SUPPLIER],MATCH(,INDIRECT(ADDRESS(ROW(NOTA[ID]),COLUMN(NOTA[ID]))&amp;":"&amp;ADDRESS(ROW(),COLUMN(NOTA[ID]))),-1)))</f>
        <v>LAYS</v>
      </c>
      <c r="AJ175" s="41" t="str">
        <f ca="1">IF(NOTA[[#This Row],[ID_H]]="","",IF(NOTA[[#This Row],[FAKTUR]]="",INDIRECT(ADDRESS(ROW()-1,COLUMN())),NOTA[[#This Row],[FAKTUR]]))</f>
        <v>ARTO MORO</v>
      </c>
      <c r="AK175" s="38">
        <f ca="1">IF(NOTA[[#This Row],[ID]]="","",COUNTIF(NOTA[ID_H],NOTA[[#This Row],[ID_H]]))</f>
        <v>1</v>
      </c>
      <c r="AL175" s="38" t="e">
        <f>IF(NOTA[[#This Row],[TGL.NOTA]]="",IF(NOTA[[#This Row],[SUPPLIER_H]]="","",AL174),MONTH(NOTA[[#This Row],[TGL.NOTA]]))</f>
        <v>#VALUE!</v>
      </c>
      <c r="AM175" s="38" t="str">
        <f>LOWER(SUBSTITUTE(SUBSTITUTE(SUBSTITUTE(SUBSTITUTE(SUBSTITUTE(SUBSTITUTE(SUBSTITUTE(SUBSTITUTE(SUBSTITUTE(NOTA[NAMA BARANG]," ",),".",""),"-",""),"(",""),")",""),",",""),"/",""),"""",""),"+",""))</f>
        <v>isigwno10</v>
      </c>
      <c r="AN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17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MOROL1090350709/2023isigwno10</v>
      </c>
      <c r="AQ175" s="38" t="e">
        <f>IF(NOTA[[#This Row],[CONCAT4]]="","",_xlfn.IFNA(MATCH(NOTA[[#This Row],[CONCAT4]],[2]!RAW[CONCAT_H],0),FALSE))</f>
        <v>#REF!</v>
      </c>
      <c r="AR175" s="38">
        <f>IF(NOTA[[#This Row],[CONCAT1]]="","",MATCH(NOTA[[#This Row],[CONCAT1]],[3]!db[NB NOTA_C],0))</f>
        <v>1219</v>
      </c>
      <c r="AS175" s="38" t="b">
        <f>IF(NOTA[[#This Row],[QTY/ CTN]]="","",TRUE)</f>
        <v>1</v>
      </c>
      <c r="AT175" s="38" t="str">
        <f ca="1">IF(NOTA[[#This Row],[ID_H]]="","",IF(NOTA[[#This Row],[Column3]]=TRUE,NOTA[[#This Row],[QTY/ CTN]],INDEX([3]!db[QTY/ CTN],NOTA[[#This Row],[//DB]])))</f>
        <v>100 PAK</v>
      </c>
      <c r="AU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V175" s="38" t="e">
        <f ca="1">IF(NOTA[[#This Row],[ID_H]]="","",MATCH(NOTA[[#This Row],[NB NOTA_C_QTY]],[4]!db[NB NOTA_C_QTY+F],0))</f>
        <v>#REF!</v>
      </c>
      <c r="AW175" s="53">
        <f ca="1">IF(NOTA[[#This Row],[NB NOTA_C_QTY]]="","",ROW()-2)</f>
        <v>173</v>
      </c>
    </row>
    <row r="176" spans="1:49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6" s="50" t="str">
        <f>IF(OR(NOTA[[#This Row],[QTY]]="",NOTA[[#This Row],[HARGA SATUAN]]="",),"",NOTA[[#This Row],[QTY]]*NOTA[[#This Row],[HARGA SATUAN]])</f>
        <v/>
      </c>
      <c r="AH176" s="39" t="str">
        <f ca="1">IF(NOTA[ID_H]="","",INDEX(NOTA[TANGGAL],MATCH(,INDIRECT(ADDRESS(ROW(NOTA[TANGGAL]),COLUMN(NOTA[TANGGAL]))&amp;":"&amp;ADDRESS(ROW(),COLUMN(NOTA[TANGGAL]))),-1)))</f>
        <v/>
      </c>
      <c r="AI176" s="41" t="str">
        <f ca="1">IF(NOTA[[#This Row],[NAMA BARANG]]="","",INDEX(NOTA[SUPPLIER],MATCH(,INDIRECT(ADDRESS(ROW(NOTA[ID]),COLUMN(NOTA[ID]))&amp;":"&amp;ADDRESS(ROW(),COLUMN(NOTA[ID]))),-1)))</f>
        <v/>
      </c>
      <c r="AJ176" s="41" t="str">
        <f ca="1">IF(NOTA[[#This Row],[ID_H]]="","",IF(NOTA[[#This Row],[FAKTUR]]="",INDIRECT(ADDRESS(ROW()-1,COLUMN())),NOTA[[#This Row],[FAKTUR]]))</f>
        <v/>
      </c>
      <c r="AK176" s="38" t="str">
        <f ca="1">IF(NOTA[[#This Row],[ID]]="","",COUNTIF(NOTA[ID_H],NOTA[[#This Row],[ID_H]]))</f>
        <v/>
      </c>
      <c r="AL176" s="38" t="str">
        <f ca="1">IF(NOTA[[#This Row],[TGL.NOTA]]="",IF(NOTA[[#This Row],[SUPPLIER_H]]="","",AL175),MONTH(NOTA[[#This Row],[TGL.NOTA]]))</f>
        <v/>
      </c>
      <c r="AM176" s="38" t="str">
        <f>LOWER(SUBSTITUTE(SUBSTITUTE(SUBSTITUTE(SUBSTITUTE(SUBSTITUTE(SUBSTITUTE(SUBSTITUTE(SUBSTITUTE(SUBSTITUTE(NOTA[NAMA BARANG]," ",),".",""),"-",""),"(",""),")",""),",",""),"/",""),"""",""),"+",""))</f>
        <v/>
      </c>
      <c r="AN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38" t="str">
        <f>IF(NOTA[[#This Row],[CONCAT4]]="","",_xlfn.IFNA(MATCH(NOTA[[#This Row],[CONCAT4]],[2]!RAW[CONCAT_H],0),FALSE))</f>
        <v/>
      </c>
      <c r="AR176" s="38" t="str">
        <f>IF(NOTA[[#This Row],[CONCAT1]]="","",MATCH(NOTA[[#This Row],[CONCAT1]],[3]!db[NB NOTA_C],0))</f>
        <v/>
      </c>
      <c r="AS176" s="38" t="str">
        <f>IF(NOTA[[#This Row],[QTY/ CTN]]="","",TRUE)</f>
        <v/>
      </c>
      <c r="AT176" s="38" t="str">
        <f ca="1">IF(NOTA[[#This Row],[ID_H]]="","",IF(NOTA[[#This Row],[Column3]]=TRUE,NOTA[[#This Row],[QTY/ CTN]],INDEX([3]!db[QTY/ CTN],NOTA[[#This Row],[//DB]])))</f>
        <v/>
      </c>
      <c r="AU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6" s="38" t="str">
        <f ca="1">IF(NOTA[[#This Row],[ID_H]]="","",MATCH(NOTA[[#This Row],[NB NOTA_C_QTY]],[4]!db[NB NOTA_C_QTY+F],0))</f>
        <v/>
      </c>
      <c r="AW176" s="53" t="str">
        <f ca="1">IF(NOTA[[#This Row],[NB NOTA_C_QTY]]="","",ROW()-2)</f>
        <v/>
      </c>
    </row>
    <row r="177" spans="1:49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COM_1109_913-1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25</v>
      </c>
      <c r="E177" s="46">
        <v>45180</v>
      </c>
      <c r="F177" s="37" t="s">
        <v>135</v>
      </c>
      <c r="G177" s="37" t="s">
        <v>123</v>
      </c>
      <c r="H177" s="47" t="s">
        <v>288</v>
      </c>
      <c r="I177" s="37"/>
      <c r="J177" s="39">
        <v>45180</v>
      </c>
      <c r="K177" s="37"/>
      <c r="L177" s="37" t="s">
        <v>289</v>
      </c>
      <c r="M177" s="40"/>
      <c r="N177" s="38">
        <v>2</v>
      </c>
      <c r="O177" s="37" t="s">
        <v>138</v>
      </c>
      <c r="P177" s="41">
        <v>260000</v>
      </c>
      <c r="Q177" s="42"/>
      <c r="R177" s="48"/>
      <c r="S177" s="49"/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520000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520000</v>
      </c>
      <c r="AD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</v>
      </c>
      <c r="AF177" s="41">
        <f>IF(NOTA[[#This Row],[NAMA BARANG]]="","",IF(NOTA[[#This Row],[JUMLAH_H]]="",NOTA[[#This Row],[HARGA/ CTN]],NOTA[[#This Row],[QTY]]*NOTA[[#This Row],[HARGA SATUAN]]/IF(ISNUMBER(NOTA[[#This Row],[C]]),NOTA[[#This Row],[C]],1)))</f>
        <v>520000</v>
      </c>
      <c r="AG177" s="50">
        <f>IF(OR(NOTA[[#This Row],[QTY]]="",NOTA[[#This Row],[HARGA SATUAN]]="",),"",NOTA[[#This Row],[QTY]]*NOTA[[#This Row],[HARGA SATUAN]])</f>
        <v>520000</v>
      </c>
      <c r="AH177" s="39">
        <f ca="1">IF(NOTA[ID_H]="","",INDEX(NOTA[TANGGAL],MATCH(,INDIRECT(ADDRESS(ROW(NOTA[TANGGAL]),COLUMN(NOTA[TANGGAL]))&amp;":"&amp;ADDRESS(ROW(),COLUMN(NOTA[TANGGAL]))),-1)))</f>
        <v>45180</v>
      </c>
      <c r="AI177" s="41" t="str">
        <f ca="1">IF(NOTA[[#This Row],[NAMA BARANG]]="","",INDEX(NOTA[SUPPLIER],MATCH(,INDIRECT(ADDRESS(ROW(NOTA[ID]),COLUMN(NOTA[ID]))&amp;":"&amp;ADDRESS(ROW(),COLUMN(NOTA[ID]))),-1)))</f>
        <v>COMBI</v>
      </c>
      <c r="AJ177" s="41" t="str">
        <f ca="1">IF(NOTA[[#This Row],[ID_H]]="","",IF(NOTA[[#This Row],[FAKTUR]]="",INDIRECT(ADDRESS(ROW()-1,COLUMN())),NOTA[[#This Row],[FAKTUR]]))</f>
        <v>UNTANA</v>
      </c>
      <c r="AK177" s="38">
        <f ca="1">IF(NOTA[[#This Row],[ID]]="","",COUNTIF(NOTA[ID_H],NOTA[[#This Row],[ID_H]]))</f>
        <v>1</v>
      </c>
      <c r="AL177" s="38">
        <f>IF(NOTA[[#This Row],[TGL.NOTA]]="",IF(NOTA[[#This Row],[SUPPLIER_H]]="","",AL176),MONTH(NOTA[[#This Row],[TGL.NOTA]]))</f>
        <v>9</v>
      </c>
      <c r="AM177" s="38" t="str">
        <f>LOWER(SUBSTITUTE(SUBSTITUTE(SUBSTITUTE(SUBSTITUTE(SUBSTITUTE(SUBSTITUTE(SUBSTITUTE(SUBSTITUTE(SUBSTITUTE(NOTA[NAMA BARANG]," ",),".",""),"-",""),"(",""),")",""),",",""),"/",""),"""",""),"+",""))</f>
        <v>docretoptima</v>
      </c>
      <c r="AN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docretoptima520000</v>
      </c>
      <c r="AO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docretoptima260000</v>
      </c>
      <c r="AP177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COMBIUNTANA091345180docretoptima</v>
      </c>
      <c r="AQ177" s="38" t="e">
        <f>IF(NOTA[[#This Row],[CONCAT4]]="","",_xlfn.IFNA(MATCH(NOTA[[#This Row],[CONCAT4]],[2]!RAW[CONCAT_H],0),FALSE))</f>
        <v>#REF!</v>
      </c>
      <c r="AR177" s="38" t="e">
        <f>IF(NOTA[[#This Row],[CONCAT1]]="","",MATCH(NOTA[[#This Row],[CONCAT1]],[3]!db[NB NOTA_C],0))</f>
        <v>#N/A</v>
      </c>
      <c r="AS177" s="38" t="str">
        <f>IF(NOTA[[#This Row],[QTY/ CTN]]="","",TRUE)</f>
        <v/>
      </c>
      <c r="AT177" s="38" t="e">
        <f ca="1">IF(NOTA[[#This Row],[ID_H]]="","",IF(NOTA[[#This Row],[Column3]]=TRUE,NOTA[[#This Row],[QTY/ CTN]],INDEX([3]!db[QTY/ CTN],NOTA[[#This Row],[//DB]])))</f>
        <v>#N/A</v>
      </c>
      <c r="AU1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177" s="38" t="e">
        <f ca="1">IF(NOTA[[#This Row],[ID_H]]="","",MATCH(NOTA[[#This Row],[NB NOTA_C_QTY]],[4]!db[NB NOTA_C_QTY+F],0))</f>
        <v>#N/A</v>
      </c>
      <c r="AW177" s="53" t="e">
        <f ca="1">IF(NOTA[[#This Row],[NB NOTA_C_QTY]]="","",ROW()-2)</f>
        <v>#N/A</v>
      </c>
    </row>
    <row r="178" spans="1:49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78" s="50" t="str">
        <f>IF(OR(NOTA[[#This Row],[QTY]]="",NOTA[[#This Row],[HARGA SATUAN]]="",),"",NOTA[[#This Row],[QTY]]*NOTA[[#This Row],[HARGA SATUAN]])</f>
        <v/>
      </c>
      <c r="AH178" s="39" t="str">
        <f ca="1">IF(NOTA[ID_H]="","",INDEX(NOTA[TANGGAL],MATCH(,INDIRECT(ADDRESS(ROW(NOTA[TANGGAL]),COLUMN(NOTA[TANGGAL]))&amp;":"&amp;ADDRESS(ROW(),COLUMN(NOTA[TANGGAL]))),-1)))</f>
        <v/>
      </c>
      <c r="AI178" s="41" t="str">
        <f ca="1">IF(NOTA[[#This Row],[NAMA BARANG]]="","",INDEX(NOTA[SUPPLIER],MATCH(,INDIRECT(ADDRESS(ROW(NOTA[ID]),COLUMN(NOTA[ID]))&amp;":"&amp;ADDRESS(ROW(),COLUMN(NOTA[ID]))),-1)))</f>
        <v/>
      </c>
      <c r="AJ178" s="41" t="str">
        <f ca="1">IF(NOTA[[#This Row],[ID_H]]="","",IF(NOTA[[#This Row],[FAKTUR]]="",INDIRECT(ADDRESS(ROW()-1,COLUMN())),NOTA[[#This Row],[FAKTUR]]))</f>
        <v/>
      </c>
      <c r="AK178" s="38" t="str">
        <f ca="1">IF(NOTA[[#This Row],[ID]]="","",COUNTIF(NOTA[ID_H],NOTA[[#This Row],[ID_H]]))</f>
        <v/>
      </c>
      <c r="AL178" s="38" t="str">
        <f ca="1">IF(NOTA[[#This Row],[TGL.NOTA]]="",IF(NOTA[[#This Row],[SUPPLIER_H]]="","",AL177),MONTH(NOTA[[#This Row],[TGL.NOTA]]))</f>
        <v/>
      </c>
      <c r="AM178" s="38" t="str">
        <f>LOWER(SUBSTITUTE(SUBSTITUTE(SUBSTITUTE(SUBSTITUTE(SUBSTITUTE(SUBSTITUTE(SUBSTITUTE(SUBSTITUTE(SUBSTITUTE(NOTA[NAMA BARANG]," ",),".",""),"-",""),"(",""),")",""),",",""),"/",""),"""",""),"+",""))</f>
        <v/>
      </c>
      <c r="AN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38" t="str">
        <f>IF(NOTA[[#This Row],[CONCAT4]]="","",_xlfn.IFNA(MATCH(NOTA[[#This Row],[CONCAT4]],[2]!RAW[CONCAT_H],0),FALSE))</f>
        <v/>
      </c>
      <c r="AR178" s="38" t="str">
        <f>IF(NOTA[[#This Row],[CONCAT1]]="","",MATCH(NOTA[[#This Row],[CONCAT1]],[3]!db[NB NOTA_C],0))</f>
        <v/>
      </c>
      <c r="AS178" s="38" t="str">
        <f>IF(NOTA[[#This Row],[QTY/ CTN]]="","",TRUE)</f>
        <v/>
      </c>
      <c r="AT178" s="38" t="str">
        <f ca="1">IF(NOTA[[#This Row],[ID_H]]="","",IF(NOTA[[#This Row],[Column3]]=TRUE,NOTA[[#This Row],[QTY/ CTN]],INDEX([3]!db[QTY/ CTN],NOTA[[#This Row],[//DB]])))</f>
        <v/>
      </c>
      <c r="AU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8" s="38" t="str">
        <f ca="1">IF(NOTA[[#This Row],[ID_H]]="","",MATCH(NOTA[[#This Row],[NB NOTA_C_QTY]],[4]!db[NB NOTA_C_QTY+F],0))</f>
        <v/>
      </c>
      <c r="AW178" s="53" t="str">
        <f ca="1">IF(NOTA[[#This Row],[NB NOTA_C_QTY]]="","",ROW()-2)</f>
        <v/>
      </c>
    </row>
    <row r="179" spans="1:49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PPW_0909_X23-3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26</v>
      </c>
      <c r="E179" s="46">
        <v>45178</v>
      </c>
      <c r="F179" s="37" t="s">
        <v>290</v>
      </c>
      <c r="G179" s="37" t="s">
        <v>123</v>
      </c>
      <c r="H179" s="47" t="s">
        <v>291</v>
      </c>
      <c r="I179" s="37"/>
      <c r="J179" s="39">
        <v>45175</v>
      </c>
      <c r="K179" s="37"/>
      <c r="L179" s="37" t="s">
        <v>292</v>
      </c>
      <c r="M179" s="40">
        <v>5</v>
      </c>
      <c r="N179" s="38">
        <v>500</v>
      </c>
      <c r="O179" s="37" t="s">
        <v>138</v>
      </c>
      <c r="P179" s="41">
        <v>26780</v>
      </c>
      <c r="Q179" s="42"/>
      <c r="R179" s="48" t="s">
        <v>293</v>
      </c>
      <c r="S179" s="49">
        <v>0.2</v>
      </c>
      <c r="T179" s="44">
        <v>0.04</v>
      </c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13390000</v>
      </c>
      <c r="Y179" s="50">
        <f>IF(NOTA[[#This Row],[JUMLAH]]="","",NOTA[[#This Row],[JUMLAH]]*NOTA[[#This Row],[DISC 1]])</f>
        <v>2678000</v>
      </c>
      <c r="Z179" s="50">
        <f>IF(NOTA[[#This Row],[JUMLAH]]="","",(NOTA[[#This Row],[JUMLAH]]-NOTA[[#This Row],[DISC 1-]])*NOTA[[#This Row],[DISC 2]])</f>
        <v>428480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3106480</v>
      </c>
      <c r="AC179" s="50">
        <f>IF(NOTA[[#This Row],[JUMLAH]]="","",NOTA[[#This Row],[JUMLAH]]-NOTA[[#This Row],[DISC]])</f>
        <v>10283520</v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79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G179" s="50">
        <f>IF(OR(NOTA[[#This Row],[QTY]]="",NOTA[[#This Row],[HARGA SATUAN]]="",),"",NOTA[[#This Row],[QTY]]*NOTA[[#This Row],[HARGA SATUAN]])</f>
        <v>13390000</v>
      </c>
      <c r="AH179" s="39">
        <f ca="1">IF(NOTA[ID_H]="","",INDEX(NOTA[TANGGAL],MATCH(,INDIRECT(ADDRESS(ROW(NOTA[TANGGAL]),COLUMN(NOTA[TANGGAL]))&amp;":"&amp;ADDRESS(ROW(),COLUMN(NOTA[TANGGAL]))),-1)))</f>
        <v>45178</v>
      </c>
      <c r="AI179" s="41" t="str">
        <f ca="1">IF(NOTA[[#This Row],[NAMA BARANG]]="","",INDEX(NOTA[SUPPLIER],MATCH(,INDIRECT(ADDRESS(ROW(NOTA[ID]),COLUMN(NOTA[ID]))&amp;":"&amp;ADDRESS(ROW(),COLUMN(NOTA[ID]))),-1)))</f>
        <v>PPW</v>
      </c>
      <c r="AJ179" s="41" t="str">
        <f ca="1">IF(NOTA[[#This Row],[ID_H]]="","",IF(NOTA[[#This Row],[FAKTUR]]="",INDIRECT(ADDRESS(ROW()-1,COLUMN())),NOTA[[#This Row],[FAKTUR]]))</f>
        <v>UNTANA</v>
      </c>
      <c r="AK179" s="38">
        <f ca="1">IF(NOTA[[#This Row],[ID]]="","",COUNTIF(NOTA[ID_H],NOTA[[#This Row],[ID_H]]))</f>
        <v>3</v>
      </c>
      <c r="AL179" s="38">
        <f>IF(NOTA[[#This Row],[TGL.NOTA]]="",IF(NOTA[[#This Row],[SUPPLIER_H]]="","",AL178),MONTH(NOTA[[#This Row],[TGL.NOTA]]))</f>
        <v>9</v>
      </c>
      <c r="AM179" s="38" t="str">
        <f>LOWER(SUBSTITUTE(SUBSTITUTE(SUBSTITUTE(SUBSTITUTE(SUBSTITUTE(SUBSTITUTE(SUBSTITUTE(SUBSTITUTE(SUBSTITUTE(NOTA[NAMA BARANG]," ",),".",""),"-",""),"(",""),")",""),",",""),"/",""),"""",""),"+",""))</f>
        <v>bt30cm</v>
      </c>
      <c r="AN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79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PPWUNTANA0067/HW/IX/2345175bt30cm</v>
      </c>
      <c r="AQ179" s="38" t="e">
        <f>IF(NOTA[[#This Row],[CONCAT4]]="","",_xlfn.IFNA(MATCH(NOTA[[#This Row],[CONCAT4]],[2]!RAW[CONCAT_H],0),FALSE))</f>
        <v>#REF!</v>
      </c>
      <c r="AR179" s="38">
        <f>IF(NOTA[[#This Row],[CONCAT1]]="","",MATCH(NOTA[[#This Row],[CONCAT1]],[3]!db[NB NOTA_C],0))</f>
        <v>418</v>
      </c>
      <c r="AS179" s="38" t="b">
        <f>IF(NOTA[[#This Row],[QTY/ CTN]]="","",TRUE)</f>
        <v>1</v>
      </c>
      <c r="AT179" s="38" t="str">
        <f ca="1">IF(NOTA[[#This Row],[ID_H]]="","",IF(NOTA[[#This Row],[Column3]]=TRUE,NOTA[[#This Row],[QTY/ CTN]],INDEX([3]!db[QTY/ CTN],NOTA[[#This Row],[//DB]])))</f>
        <v>100 LSN</v>
      </c>
      <c r="AU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V179" s="38" t="e">
        <f ca="1">IF(NOTA[[#This Row],[ID_H]]="","",MATCH(NOTA[[#This Row],[NB NOTA_C_QTY]],[4]!db[NB NOTA_C_QTY+F],0))</f>
        <v>#REF!</v>
      </c>
      <c r="AW179" s="53">
        <f ca="1">IF(NOTA[[#This Row],[NB NOTA_C_QTY]]="","",ROW()-2)</f>
        <v>177</v>
      </c>
    </row>
    <row r="180" spans="1:49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26</v>
      </c>
      <c r="E180" s="46"/>
      <c r="F180" s="37"/>
      <c r="G180" s="37"/>
      <c r="H180" s="47"/>
      <c r="I180" s="37"/>
      <c r="J180" s="39"/>
      <c r="K180" s="37"/>
      <c r="L180" s="37" t="s">
        <v>294</v>
      </c>
      <c r="M180" s="40">
        <v>1</v>
      </c>
      <c r="N180" s="38">
        <v>16</v>
      </c>
      <c r="O180" s="37" t="s">
        <v>138</v>
      </c>
      <c r="P180" s="41">
        <v>63180</v>
      </c>
      <c r="Q180" s="42"/>
      <c r="R180" s="48" t="s">
        <v>295</v>
      </c>
      <c r="S180" s="49">
        <v>0.2</v>
      </c>
      <c r="T180" s="44">
        <v>0.04</v>
      </c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1010880</v>
      </c>
      <c r="Y180" s="50">
        <f>IF(NOTA[[#This Row],[JUMLAH]]="","",NOTA[[#This Row],[JUMLAH]]*NOTA[[#This Row],[DISC 1]])</f>
        <v>202176</v>
      </c>
      <c r="Z180" s="50">
        <f>IF(NOTA[[#This Row],[JUMLAH]]="","",(NOTA[[#This Row],[JUMLAH]]-NOTA[[#This Row],[DISC 1-]])*NOTA[[#This Row],[DISC 2]])</f>
        <v>32348.16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234524.16</v>
      </c>
      <c r="AC180" s="50">
        <f>IF(NOTA[[#This Row],[JUMLAH]]="","",NOTA[[#This Row],[JUMLAH]]-NOTA[[#This Row],[DISC]])</f>
        <v>776355.83999999997</v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0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G180" s="50">
        <f>IF(OR(NOTA[[#This Row],[QTY]]="",NOTA[[#This Row],[HARGA SATUAN]]="",),"",NOTA[[#This Row],[QTY]]*NOTA[[#This Row],[HARGA SATUAN]])</f>
        <v>1010880</v>
      </c>
      <c r="AH180" s="39">
        <f ca="1">IF(NOTA[ID_H]="","",INDEX(NOTA[TANGGAL],MATCH(,INDIRECT(ADDRESS(ROW(NOTA[TANGGAL]),COLUMN(NOTA[TANGGAL]))&amp;":"&amp;ADDRESS(ROW(),COLUMN(NOTA[TANGGAL]))),-1)))</f>
        <v>45178</v>
      </c>
      <c r="AI180" s="41" t="str">
        <f ca="1">IF(NOTA[[#This Row],[NAMA BARANG]]="","",INDEX(NOTA[SUPPLIER],MATCH(,INDIRECT(ADDRESS(ROW(NOTA[ID]),COLUMN(NOTA[ID]))&amp;":"&amp;ADDRESS(ROW(),COLUMN(NOTA[ID]))),-1)))</f>
        <v>PPW</v>
      </c>
      <c r="AJ180" s="41" t="str">
        <f ca="1">IF(NOTA[[#This Row],[ID_H]]="","",IF(NOTA[[#This Row],[FAKTUR]]="",INDIRECT(ADDRESS(ROW()-1,COLUMN())),NOTA[[#This Row],[FAKTUR]]))</f>
        <v>UNTANA</v>
      </c>
      <c r="AK180" s="38" t="str">
        <f ca="1">IF(NOTA[[#This Row],[ID]]="","",COUNTIF(NOTA[ID_H],NOTA[[#This Row],[ID_H]]))</f>
        <v/>
      </c>
      <c r="AL180" s="38">
        <f ca="1">IF(NOTA[[#This Row],[TGL.NOTA]]="",IF(NOTA[[#This Row],[SUPPLIER_H]]="","",AL179),MONTH(NOTA[[#This Row],[TGL.NOTA]]))</f>
        <v>9</v>
      </c>
      <c r="AM180" s="38" t="str">
        <f>LOWER(SUBSTITUTE(SUBSTITUTE(SUBSTITUTE(SUBSTITUTE(SUBSTITUTE(SUBSTITUTE(SUBSTITUTE(SUBSTITUTE(SUBSTITUTE(NOTA[NAMA BARANG]," ",),".",""),"-",""),"(",""),")",""),",",""),"/",""),"""",""),"+",""))</f>
        <v>segitigabtno6</v>
      </c>
      <c r="AN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O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segitigabtno610108800.20.04</v>
      </c>
      <c r="AP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38" t="str">
        <f>IF(NOTA[[#This Row],[CONCAT4]]="","",_xlfn.IFNA(MATCH(NOTA[[#This Row],[CONCAT4]],[2]!RAW[CONCAT_H],0),FALSE))</f>
        <v/>
      </c>
      <c r="AR180" s="38">
        <f>IF(NOTA[[#This Row],[CONCAT1]]="","",MATCH(NOTA[[#This Row],[CONCAT1]],[3]!db[NB NOTA_C],0))</f>
        <v>2415</v>
      </c>
      <c r="AS180" s="38" t="b">
        <f>IF(NOTA[[#This Row],[QTY/ CTN]]="","",TRUE)</f>
        <v>1</v>
      </c>
      <c r="AT180" s="38" t="str">
        <f ca="1">IF(NOTA[[#This Row],[ID_H]]="","",IF(NOTA[[#This Row],[Column3]]=TRUE,NOTA[[#This Row],[QTY/ CTN]],INDEX([3]!db[QTY/ CTN],NOTA[[#This Row],[//DB]])))</f>
        <v>16 LSN</v>
      </c>
      <c r="AU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V180" s="38" t="e">
        <f ca="1">IF(NOTA[[#This Row],[ID_H]]="","",MATCH(NOTA[[#This Row],[NB NOTA_C_QTY]],[4]!db[NB NOTA_C_QTY+F],0))</f>
        <v>#REF!</v>
      </c>
      <c r="AW180" s="53">
        <f ca="1">IF(NOTA[[#This Row],[NB NOTA_C_QTY]]="","",ROW()-2)</f>
        <v>178</v>
      </c>
    </row>
    <row r="181" spans="1:49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26</v>
      </c>
      <c r="E181" s="46"/>
      <c r="F181" s="37"/>
      <c r="G181" s="37"/>
      <c r="H181" s="47"/>
      <c r="I181" s="37"/>
      <c r="J181" s="39"/>
      <c r="K181" s="37"/>
      <c r="L181" s="37" t="s">
        <v>296</v>
      </c>
      <c r="M181" s="40">
        <v>1</v>
      </c>
      <c r="N181" s="38">
        <v>16</v>
      </c>
      <c r="O181" s="37" t="s">
        <v>138</v>
      </c>
      <c r="P181" s="41">
        <v>179780</v>
      </c>
      <c r="Q181" s="42"/>
      <c r="R181" s="48" t="s">
        <v>295</v>
      </c>
      <c r="S181" s="49">
        <v>0.2</v>
      </c>
      <c r="T181" s="44">
        <v>0.04</v>
      </c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2876480</v>
      </c>
      <c r="Y181" s="50">
        <f>IF(NOTA[[#This Row],[JUMLAH]]="","",NOTA[[#This Row],[JUMLAH]]*NOTA[[#This Row],[DISC 1]])</f>
        <v>575296</v>
      </c>
      <c r="Z181" s="50">
        <f>IF(NOTA[[#This Row],[JUMLAH]]="","",(NOTA[[#This Row],[JUMLAH]]-NOTA[[#This Row],[DISC 1-]])*NOTA[[#This Row],[DISC 2]])</f>
        <v>92047.360000000001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667343.35999999999</v>
      </c>
      <c r="AC181" s="50">
        <f>IF(NOTA[[#This Row],[JUMLAH]]="","",NOTA[[#This Row],[JUMLAH]]-NOTA[[#This Row],[DISC]])</f>
        <v>2209136.6400000001</v>
      </c>
      <c r="AD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4008347.52</v>
      </c>
      <c r="AE1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13269012.48</v>
      </c>
      <c r="AF181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G181" s="50">
        <f>IF(OR(NOTA[[#This Row],[QTY]]="",NOTA[[#This Row],[HARGA SATUAN]]="",),"",NOTA[[#This Row],[QTY]]*NOTA[[#This Row],[HARGA SATUAN]])</f>
        <v>2876480</v>
      </c>
      <c r="AH181" s="39">
        <f ca="1">IF(NOTA[ID_H]="","",INDEX(NOTA[TANGGAL],MATCH(,INDIRECT(ADDRESS(ROW(NOTA[TANGGAL]),COLUMN(NOTA[TANGGAL]))&amp;":"&amp;ADDRESS(ROW(),COLUMN(NOTA[TANGGAL]))),-1)))</f>
        <v>45178</v>
      </c>
      <c r="AI181" s="41" t="str">
        <f ca="1">IF(NOTA[[#This Row],[NAMA BARANG]]="","",INDEX(NOTA[SUPPLIER],MATCH(,INDIRECT(ADDRESS(ROW(NOTA[ID]),COLUMN(NOTA[ID]))&amp;":"&amp;ADDRESS(ROW(),COLUMN(NOTA[ID]))),-1)))</f>
        <v>PPW</v>
      </c>
      <c r="AJ181" s="41" t="str">
        <f ca="1">IF(NOTA[[#This Row],[ID_H]]="","",IF(NOTA[[#This Row],[FAKTUR]]="",INDIRECT(ADDRESS(ROW()-1,COLUMN())),NOTA[[#This Row],[FAKTUR]]))</f>
        <v>UNTANA</v>
      </c>
      <c r="AK181" s="38" t="str">
        <f ca="1">IF(NOTA[[#This Row],[ID]]="","",COUNTIF(NOTA[ID_H],NOTA[[#This Row],[ID_H]]))</f>
        <v/>
      </c>
      <c r="AL181" s="38">
        <f ca="1">IF(NOTA[[#This Row],[TGL.NOTA]]="",IF(NOTA[[#This Row],[SUPPLIER_H]]="","",AL180),MONTH(NOTA[[#This Row],[TGL.NOTA]]))</f>
        <v>9</v>
      </c>
      <c r="AM181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N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O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P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38" t="str">
        <f>IF(NOTA[[#This Row],[CONCAT4]]="","",_xlfn.IFNA(MATCH(NOTA[[#This Row],[CONCAT4]],[2]!RAW[CONCAT_H],0),FALSE))</f>
        <v/>
      </c>
      <c r="AR181" s="38">
        <f>IF(NOTA[[#This Row],[CONCAT1]]="","",MATCH(NOTA[[#This Row],[CONCAT1]],[3]!db[NB NOTA_C],0))</f>
        <v>2411</v>
      </c>
      <c r="AS181" s="38" t="b">
        <f>IF(NOTA[[#This Row],[QTY/ CTN]]="","",TRUE)</f>
        <v>1</v>
      </c>
      <c r="AT181" s="38" t="str">
        <f ca="1">IF(NOTA[[#This Row],[ID_H]]="","",IF(NOTA[[#This Row],[Column3]]=TRUE,NOTA[[#This Row],[QTY/ CTN]],INDEX([3]!db[QTY/ CTN],NOTA[[#This Row],[//DB]])))</f>
        <v>16 LSN</v>
      </c>
      <c r="AU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V181" s="38" t="e">
        <f ca="1">IF(NOTA[[#This Row],[ID_H]]="","",MATCH(NOTA[[#This Row],[NB NOTA_C_QTY]],[4]!db[NB NOTA_C_QTY+F],0))</f>
        <v>#REF!</v>
      </c>
      <c r="AW181" s="53">
        <f ca="1">IF(NOTA[[#This Row],[NB NOTA_C_QTY]]="","",ROW()-2)</f>
        <v>179</v>
      </c>
    </row>
    <row r="182" spans="1:49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82" s="50" t="str">
        <f>IF(OR(NOTA[[#This Row],[QTY]]="",NOTA[[#This Row],[HARGA SATUAN]]="",),"",NOTA[[#This Row],[QTY]]*NOTA[[#This Row],[HARGA SATUAN]])</f>
        <v/>
      </c>
      <c r="AH182" s="39" t="str">
        <f ca="1">IF(NOTA[ID_H]="","",INDEX(NOTA[TANGGAL],MATCH(,INDIRECT(ADDRESS(ROW(NOTA[TANGGAL]),COLUMN(NOTA[TANGGAL]))&amp;":"&amp;ADDRESS(ROW(),COLUMN(NOTA[TANGGAL]))),-1)))</f>
        <v/>
      </c>
      <c r="AI182" s="41" t="str">
        <f ca="1">IF(NOTA[[#This Row],[NAMA BARANG]]="","",INDEX(NOTA[SUPPLIER],MATCH(,INDIRECT(ADDRESS(ROW(NOTA[ID]),COLUMN(NOTA[ID]))&amp;":"&amp;ADDRESS(ROW(),COLUMN(NOTA[ID]))),-1)))</f>
        <v/>
      </c>
      <c r="AJ182" s="41" t="str">
        <f ca="1">IF(NOTA[[#This Row],[ID_H]]="","",IF(NOTA[[#This Row],[FAKTUR]]="",INDIRECT(ADDRESS(ROW()-1,COLUMN())),NOTA[[#This Row],[FAKTUR]]))</f>
        <v/>
      </c>
      <c r="AK182" s="38" t="str">
        <f ca="1">IF(NOTA[[#This Row],[ID]]="","",COUNTIF(NOTA[ID_H],NOTA[[#This Row],[ID_H]]))</f>
        <v/>
      </c>
      <c r="AL182" s="38" t="str">
        <f ca="1">IF(NOTA[[#This Row],[TGL.NOTA]]="",IF(NOTA[[#This Row],[SUPPLIER_H]]="","",AL181),MONTH(NOTA[[#This Row],[TGL.NOTA]]))</f>
        <v/>
      </c>
      <c r="AM182" s="38" t="str">
        <f>LOWER(SUBSTITUTE(SUBSTITUTE(SUBSTITUTE(SUBSTITUTE(SUBSTITUTE(SUBSTITUTE(SUBSTITUTE(SUBSTITUTE(SUBSTITUTE(NOTA[NAMA BARANG]," ",),".",""),"-",""),"(",""),")",""),",",""),"/",""),"""",""),"+",""))</f>
        <v/>
      </c>
      <c r="AN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2" s="38" t="str">
        <f>IF(NOTA[[#This Row],[CONCAT4]]="","",_xlfn.IFNA(MATCH(NOTA[[#This Row],[CONCAT4]],[2]!RAW[CONCAT_H],0),FALSE))</f>
        <v/>
      </c>
      <c r="AR182" s="38" t="str">
        <f>IF(NOTA[[#This Row],[CONCAT1]]="","",MATCH(NOTA[[#This Row],[CONCAT1]],[3]!db[NB NOTA_C],0))</f>
        <v/>
      </c>
      <c r="AS182" s="38" t="str">
        <f>IF(NOTA[[#This Row],[QTY/ CTN]]="","",TRUE)</f>
        <v/>
      </c>
      <c r="AT182" s="38" t="str">
        <f ca="1">IF(NOTA[[#This Row],[ID_H]]="","",IF(NOTA[[#This Row],[Column3]]=TRUE,NOTA[[#This Row],[QTY/ CTN]],INDEX([3]!db[QTY/ CTN],NOTA[[#This Row],[//DB]])))</f>
        <v/>
      </c>
      <c r="AU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2" s="38" t="str">
        <f ca="1">IF(NOTA[[#This Row],[ID_H]]="","",MATCH(NOTA[[#This Row],[NB NOTA_C_QTY]],[4]!db[NB NOTA_C_QTY+F],0))</f>
        <v/>
      </c>
      <c r="AW182" s="53" t="str">
        <f ca="1">IF(NOTA[[#This Row],[NB NOTA_C_QTY]]="","",ROW()-2)</f>
        <v/>
      </c>
    </row>
    <row r="183" spans="1:49" s="38" customFormat="1" ht="20.100000000000001" customHeight="1" x14ac:dyDescent="0.25">
      <c r="A183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DBS_1109_823-1</v>
      </c>
      <c r="C183" s="38" t="e">
        <f ca="1">IF(NOTA[[#This Row],[ID_P]]="","",MATCH(NOTA[[#This Row],[ID_P]],[1]!B_MSK[N_ID],0))</f>
        <v>#REF!</v>
      </c>
      <c r="D183" s="38">
        <f ca="1">IF(NOTA[[#This Row],[NAMA BARANG]]="","",INDEX(NOTA[ID],MATCH(,INDIRECT(ADDRESS(ROW(NOTA[ID]),COLUMN(NOTA[ID]))&amp;":"&amp;ADDRESS(ROW(),COLUMN(NOTA[ID]))),-1)))</f>
        <v>27</v>
      </c>
      <c r="E183" s="46">
        <v>45180</v>
      </c>
      <c r="F183" s="37" t="s">
        <v>297</v>
      </c>
      <c r="G183" s="37" t="s">
        <v>123</v>
      </c>
      <c r="H183" s="47" t="s">
        <v>298</v>
      </c>
      <c r="I183" s="37"/>
      <c r="J183" s="39">
        <v>45177</v>
      </c>
      <c r="K183" s="37"/>
      <c r="L183" s="37" t="s">
        <v>299</v>
      </c>
      <c r="M183" s="40">
        <v>5</v>
      </c>
      <c r="N183" s="38">
        <v>480</v>
      </c>
      <c r="O183" s="37" t="s">
        <v>138</v>
      </c>
      <c r="P183" s="41">
        <v>31500</v>
      </c>
      <c r="Q183" s="42"/>
      <c r="R183" s="48" t="s">
        <v>300</v>
      </c>
      <c r="S183" s="49"/>
      <c r="T183" s="44"/>
      <c r="U183" s="44"/>
      <c r="V183" s="50"/>
      <c r="W183" s="45"/>
      <c r="X183" s="50">
        <f>IF(NOTA[[#This Row],[HARGA/ CTN]]="",NOTA[[#This Row],[JUMLAH_H]],NOTA[[#This Row],[HARGA/ CTN]]*IF(NOTA[[#This Row],[C]]="",0,NOTA[[#This Row],[C]]))</f>
        <v>15120000</v>
      </c>
      <c r="Y183" s="50">
        <f>IF(NOTA[[#This Row],[JUMLAH]]="","",NOTA[[#This Row],[JUMLAH]]*NOTA[[#This Row],[DISC 1]])</f>
        <v>0</v>
      </c>
      <c r="Z183" s="50">
        <f>IF(NOTA[[#This Row],[JUMLAH]]="","",(NOTA[[#This Row],[JUMLAH]]-NOTA[[#This Row],[DISC 1-]])*NOTA[[#This Row],[DISC 2]])</f>
        <v>0</v>
      </c>
      <c r="AA183" s="50">
        <f>IF(NOTA[[#This Row],[JUMLAH]]="","",(NOTA[[#This Row],[JUMLAH]]-NOTA[[#This Row],[DISC 1-]]-NOTA[[#This Row],[DISC 2-]])*NOTA[[#This Row],[DISC 3]])</f>
        <v>0</v>
      </c>
      <c r="AB183" s="50">
        <f>IF(NOTA[[#This Row],[JUMLAH]]="","",NOTA[[#This Row],[DISC 1-]]+NOTA[[#This Row],[DISC 2-]]+NOTA[[#This Row],[DISC 3-]])</f>
        <v>0</v>
      </c>
      <c r="AC183" s="50">
        <f>IF(NOTA[[#This Row],[JUMLAH]]="","",NOTA[[#This Row],[JUMLAH]]-NOTA[[#This Row],[DISC]])</f>
        <v>15120000</v>
      </c>
      <c r="AD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15120000</v>
      </c>
      <c r="AF18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183" s="50">
        <f>IF(OR(NOTA[[#This Row],[QTY]]="",NOTA[[#This Row],[HARGA SATUAN]]="",),"",NOTA[[#This Row],[QTY]]*NOTA[[#This Row],[HARGA SATUAN]])</f>
        <v>15120000</v>
      </c>
      <c r="AH183" s="39">
        <f ca="1">IF(NOTA[ID_H]="","",INDEX(NOTA[TANGGAL],MATCH(,INDIRECT(ADDRESS(ROW(NOTA[TANGGAL]),COLUMN(NOTA[TANGGAL]))&amp;":"&amp;ADDRESS(ROW(),COLUMN(NOTA[TANGGAL]))),-1)))</f>
        <v>45180</v>
      </c>
      <c r="AI183" s="41" t="str">
        <f ca="1">IF(NOTA[[#This Row],[NAMA BARANG]]="","",INDEX(NOTA[SUPPLIER],MATCH(,INDIRECT(ADDRESS(ROW(NOTA[ID]),COLUMN(NOTA[ID]))&amp;":"&amp;ADDRESS(ROW(),COLUMN(NOTA[ID]))),-1)))</f>
        <v>DB STATIONERY</v>
      </c>
      <c r="AJ183" s="41" t="str">
        <f ca="1">IF(NOTA[[#This Row],[ID_H]]="","",IF(NOTA[[#This Row],[FAKTUR]]="",INDIRECT(ADDRESS(ROW()-1,COLUMN())),NOTA[[#This Row],[FAKTUR]]))</f>
        <v>UNTANA</v>
      </c>
      <c r="AK183" s="38">
        <f ca="1">IF(NOTA[[#This Row],[ID]]="","",COUNTIF(NOTA[ID_H],NOTA[[#This Row],[ID_H]]))</f>
        <v>1</v>
      </c>
      <c r="AL183" s="38">
        <f>IF(NOTA[[#This Row],[TGL.NOTA]]="",IF(NOTA[[#This Row],[SUPPLIER_H]]="","",AL182),MONTH(NOTA[[#This Row],[TGL.NOTA]]))</f>
        <v>9</v>
      </c>
      <c r="AM183" s="38" t="str">
        <f>LOWER(SUBSTITUTE(SUBSTITUTE(SUBSTITUTE(SUBSTITUTE(SUBSTITUTE(SUBSTITUTE(SUBSTITUTE(SUBSTITUTE(SUBSTITUTE(NOTA[NAMA BARANG]," ",),".",""),"-",""),"(",""),")",""),",",""),"/",""),"""",""),"+",""))</f>
        <v>gel10tg340bibiru</v>
      </c>
      <c r="AN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gel10tg340bibiru3024000</v>
      </c>
      <c r="AO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gel10tg340bibiru3024000</v>
      </c>
      <c r="AP18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STATIONERYUNTANAJUI158/2345177gel10tg340bibiru</v>
      </c>
      <c r="AQ183" s="38" t="e">
        <f>IF(NOTA[[#This Row],[CONCAT4]]="","",_xlfn.IFNA(MATCH(NOTA[[#This Row],[CONCAT4]],[2]!RAW[CONCAT_H],0),FALSE))</f>
        <v>#REF!</v>
      </c>
      <c r="AR183" s="38">
        <f>IF(NOTA[[#This Row],[CONCAT1]]="","",MATCH(NOTA[[#This Row],[CONCAT1]],[3]!db[NB NOTA_C],0))</f>
        <v>875</v>
      </c>
      <c r="AS183" s="38" t="b">
        <f>IF(NOTA[[#This Row],[QTY/ CTN]]="","",TRUE)</f>
        <v>1</v>
      </c>
      <c r="AT183" s="38" t="str">
        <f ca="1">IF(NOTA[[#This Row],[ID_H]]="","",IF(NOTA[[#This Row],[Column3]]=TRUE,NOTA[[#This Row],[QTY/ CTN]],INDEX([3]!db[QTY/ CTN],NOTA[[#This Row],[//DB]])))</f>
        <v>96 LSN</v>
      </c>
      <c r="AU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gel10tg340bibiru96lsnuntana</v>
      </c>
      <c r="AV183" s="38" t="e">
        <f ca="1">IF(NOTA[[#This Row],[ID_H]]="","",MATCH(NOTA[[#This Row],[NB NOTA_C_QTY]],[4]!db[NB NOTA_C_QTY+F],0))</f>
        <v>#REF!</v>
      </c>
      <c r="AW183" s="53">
        <f ca="1">IF(NOTA[[#This Row],[NB NOTA_C_QTY]]="","",ROW()-2)</f>
        <v>181</v>
      </c>
    </row>
    <row r="184" spans="1:49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84" s="50" t="str">
        <f>IF(OR(NOTA[[#This Row],[QTY]]="",NOTA[[#This Row],[HARGA SATUAN]]="",),"",NOTA[[#This Row],[QTY]]*NOTA[[#This Row],[HARGA SATUAN]])</f>
        <v/>
      </c>
      <c r="AH184" s="39" t="str">
        <f ca="1">IF(NOTA[ID_H]="","",INDEX(NOTA[TANGGAL],MATCH(,INDIRECT(ADDRESS(ROW(NOTA[TANGGAL]),COLUMN(NOTA[TANGGAL]))&amp;":"&amp;ADDRESS(ROW(),COLUMN(NOTA[TANGGAL]))),-1)))</f>
        <v/>
      </c>
      <c r="AI184" s="41" t="str">
        <f ca="1">IF(NOTA[[#This Row],[NAMA BARANG]]="","",INDEX(NOTA[SUPPLIER],MATCH(,INDIRECT(ADDRESS(ROW(NOTA[ID]),COLUMN(NOTA[ID]))&amp;":"&amp;ADDRESS(ROW(),COLUMN(NOTA[ID]))),-1)))</f>
        <v/>
      </c>
      <c r="AJ184" s="41" t="str">
        <f ca="1">IF(NOTA[[#This Row],[ID_H]]="","",IF(NOTA[[#This Row],[FAKTUR]]="",INDIRECT(ADDRESS(ROW()-1,COLUMN())),NOTA[[#This Row],[FAKTUR]]))</f>
        <v/>
      </c>
      <c r="AK184" s="38" t="str">
        <f ca="1">IF(NOTA[[#This Row],[ID]]="","",COUNTIF(NOTA[ID_H],NOTA[[#This Row],[ID_H]]))</f>
        <v/>
      </c>
      <c r="AL184" s="38" t="str">
        <f ca="1">IF(NOTA[[#This Row],[TGL.NOTA]]="",IF(NOTA[[#This Row],[SUPPLIER_H]]="","",AL183),MONTH(NOTA[[#This Row],[TGL.NOTA]]))</f>
        <v/>
      </c>
      <c r="AM184" s="38" t="str">
        <f>LOWER(SUBSTITUTE(SUBSTITUTE(SUBSTITUTE(SUBSTITUTE(SUBSTITUTE(SUBSTITUTE(SUBSTITUTE(SUBSTITUTE(SUBSTITUTE(NOTA[NAMA BARANG]," ",),".",""),"-",""),"(",""),")",""),",",""),"/",""),"""",""),"+",""))</f>
        <v/>
      </c>
      <c r="AN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38" t="str">
        <f>IF(NOTA[[#This Row],[CONCAT4]]="","",_xlfn.IFNA(MATCH(NOTA[[#This Row],[CONCAT4]],[2]!RAW[CONCAT_H],0),FALSE))</f>
        <v/>
      </c>
      <c r="AR184" s="38" t="str">
        <f>IF(NOTA[[#This Row],[CONCAT1]]="","",MATCH(NOTA[[#This Row],[CONCAT1]],[3]!db[NB NOTA_C],0))</f>
        <v/>
      </c>
      <c r="AS184" s="38" t="str">
        <f>IF(NOTA[[#This Row],[QTY/ CTN]]="","",TRUE)</f>
        <v/>
      </c>
      <c r="AT184" s="38" t="str">
        <f ca="1">IF(NOTA[[#This Row],[ID_H]]="","",IF(NOTA[[#This Row],[Column3]]=TRUE,NOTA[[#This Row],[QTY/ CTN]],INDEX([3]!db[QTY/ CTN],NOTA[[#This Row],[//DB]])))</f>
        <v/>
      </c>
      <c r="AU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4" s="38" t="str">
        <f ca="1">IF(NOTA[[#This Row],[ID_H]]="","",MATCH(NOTA[[#This Row],[NB NOTA_C_QTY]],[4]!db[NB NOTA_C_QTY+F],0))</f>
        <v/>
      </c>
      <c r="AW184" s="53" t="str">
        <f ca="1">IF(NOTA[[#This Row],[NB NOTA_C_QTY]]="","",ROW()-2)</f>
        <v/>
      </c>
    </row>
    <row r="185" spans="1:49" s="38" customFormat="1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ETJ_0909_823-2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28</v>
      </c>
      <c r="E185" s="46">
        <v>45178</v>
      </c>
      <c r="F185" s="37" t="s">
        <v>301</v>
      </c>
      <c r="G185" s="37" t="s">
        <v>123</v>
      </c>
      <c r="H185" s="47" t="s">
        <v>302</v>
      </c>
      <c r="I185" s="37"/>
      <c r="J185" s="39">
        <v>45175</v>
      </c>
      <c r="K185" s="37"/>
      <c r="L185" s="37" t="s">
        <v>303</v>
      </c>
      <c r="M185" s="40">
        <v>3</v>
      </c>
      <c r="N185" s="38">
        <v>6000</v>
      </c>
      <c r="O185" s="37" t="s">
        <v>126</v>
      </c>
      <c r="P185" s="41">
        <v>1000</v>
      </c>
      <c r="Q185" s="42"/>
      <c r="R185" s="48" t="s">
        <v>304</v>
      </c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6000000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6000000</v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5" s="4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G185" s="50">
        <f>IF(OR(NOTA[[#This Row],[QTY]]="",NOTA[[#This Row],[HARGA SATUAN]]="",),"",NOTA[[#This Row],[QTY]]*NOTA[[#This Row],[HARGA SATUAN]])</f>
        <v>6000000</v>
      </c>
      <c r="AH185" s="39">
        <f ca="1">IF(NOTA[ID_H]="","",INDEX(NOTA[TANGGAL],MATCH(,INDIRECT(ADDRESS(ROW(NOTA[TANGGAL]),COLUMN(NOTA[TANGGAL]))&amp;":"&amp;ADDRESS(ROW(),COLUMN(NOTA[TANGGAL]))),-1)))</f>
        <v>45178</v>
      </c>
      <c r="AI185" s="41" t="str">
        <f ca="1">IF(NOTA[[#This Row],[NAMA BARANG]]="","",INDEX(NOTA[SUPPLIER],MATCH(,INDIRECT(ADDRESS(ROW(NOTA[ID]),COLUMN(NOTA[ID]))&amp;":"&amp;ADDRESS(ROW(),COLUMN(NOTA[ID]))),-1)))</f>
        <v>ETJ</v>
      </c>
      <c r="AJ185" s="41" t="str">
        <f ca="1">IF(NOTA[[#This Row],[ID_H]]="","",IF(NOTA[[#This Row],[FAKTUR]]="",INDIRECT(ADDRESS(ROW()-1,COLUMN())),NOTA[[#This Row],[FAKTUR]]))</f>
        <v>UNTANA</v>
      </c>
      <c r="AK185" s="38">
        <f ca="1">IF(NOTA[[#This Row],[ID]]="","",COUNTIF(NOTA[ID_H],NOTA[[#This Row],[ID_H]]))</f>
        <v>2</v>
      </c>
      <c r="AL185" s="38">
        <f>IF(NOTA[[#This Row],[TGL.NOTA]]="",IF(NOTA[[#This Row],[SUPPLIER_H]]="","",AL184),MONTH(NOTA[[#This Row],[TGL.NOTA]]))</f>
        <v>9</v>
      </c>
      <c r="AM185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N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tintamotex1line20mm2000000</v>
      </c>
      <c r="AO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tintamotex1line20mm2000000</v>
      </c>
      <c r="AP18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ETJUNTANA158.2345175tintamotex1line20mm</v>
      </c>
      <c r="AQ185" s="38" t="e">
        <f>IF(NOTA[[#This Row],[CONCAT4]]="","",_xlfn.IFNA(MATCH(NOTA[[#This Row],[CONCAT4]],[2]!RAW[CONCAT_H],0),FALSE))</f>
        <v>#REF!</v>
      </c>
      <c r="AR185" s="38" t="e">
        <f>IF(NOTA[[#This Row],[CONCAT1]]="","",MATCH(NOTA[[#This Row],[CONCAT1]],[3]!db[NB NOTA_C],0))</f>
        <v>#N/A</v>
      </c>
      <c r="AS185" s="38" t="b">
        <f>IF(NOTA[[#This Row],[QTY/ CTN]]="","",TRUE)</f>
        <v>1</v>
      </c>
      <c r="AT185" s="38" t="str">
        <f ca="1">IF(NOTA[[#This Row],[ID_H]]="","",IF(NOTA[[#This Row],[Column3]]=TRUE,NOTA[[#This Row],[QTY/ CTN]],INDEX([3]!db[QTY/ CTN],NOTA[[#This Row],[//DB]])))</f>
        <v>2000 PCS</v>
      </c>
      <c r="AU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V185" s="38" t="e">
        <f ca="1">IF(NOTA[[#This Row],[ID_H]]="","",MATCH(NOTA[[#This Row],[NB NOTA_C_QTY]],[4]!db[NB NOTA_C_QTY+F],0))</f>
        <v>#REF!</v>
      </c>
      <c r="AW185" s="53">
        <f ca="1">IF(NOTA[[#This Row],[NB NOTA_C_QTY]]="","",ROW()-2)</f>
        <v>183</v>
      </c>
    </row>
    <row r="186" spans="1:49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28</v>
      </c>
      <c r="E186" s="46"/>
      <c r="F186" s="37"/>
      <c r="G186" s="37"/>
      <c r="H186" s="47"/>
      <c r="I186" s="37"/>
      <c r="J186" s="39"/>
      <c r="K186" s="37"/>
      <c r="L186" s="37" t="s">
        <v>303</v>
      </c>
      <c r="M186" s="40"/>
      <c r="N186" s="38">
        <v>1284</v>
      </c>
      <c r="O186" s="37" t="s">
        <v>126</v>
      </c>
      <c r="P186" s="41">
        <v>1000</v>
      </c>
      <c r="Q186" s="42"/>
      <c r="R186" s="48" t="s">
        <v>304</v>
      </c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1284000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1284000</v>
      </c>
      <c r="AD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7284000</v>
      </c>
      <c r="AF186" s="41">
        <f>IF(NOTA[[#This Row],[NAMA BARANG]]="","",IF(NOTA[[#This Row],[JUMLAH_H]]="",NOTA[[#This Row],[HARGA/ CTN]],NOTA[[#This Row],[QTY]]*NOTA[[#This Row],[HARGA SATUAN]]/IF(ISNUMBER(NOTA[[#This Row],[C]]),NOTA[[#This Row],[C]],1)))</f>
        <v>1284000</v>
      </c>
      <c r="AG186" s="50">
        <f>IF(OR(NOTA[[#This Row],[QTY]]="",NOTA[[#This Row],[HARGA SATUAN]]="",),"",NOTA[[#This Row],[QTY]]*NOTA[[#This Row],[HARGA SATUAN]])</f>
        <v>1284000</v>
      </c>
      <c r="AH186" s="39">
        <f ca="1">IF(NOTA[ID_H]="","",INDEX(NOTA[TANGGAL],MATCH(,INDIRECT(ADDRESS(ROW(NOTA[TANGGAL]),COLUMN(NOTA[TANGGAL]))&amp;":"&amp;ADDRESS(ROW(),COLUMN(NOTA[TANGGAL]))),-1)))</f>
        <v>45178</v>
      </c>
      <c r="AI186" s="41" t="str">
        <f ca="1">IF(NOTA[[#This Row],[NAMA BARANG]]="","",INDEX(NOTA[SUPPLIER],MATCH(,INDIRECT(ADDRESS(ROW(NOTA[ID]),COLUMN(NOTA[ID]))&amp;":"&amp;ADDRESS(ROW(),COLUMN(NOTA[ID]))),-1)))</f>
        <v>ETJ</v>
      </c>
      <c r="AJ186" s="41" t="str">
        <f ca="1">IF(NOTA[[#This Row],[ID_H]]="","",IF(NOTA[[#This Row],[FAKTUR]]="",INDIRECT(ADDRESS(ROW()-1,COLUMN())),NOTA[[#This Row],[FAKTUR]]))</f>
        <v>UNTANA</v>
      </c>
      <c r="AK186" s="38" t="str">
        <f ca="1">IF(NOTA[[#This Row],[ID]]="","",COUNTIF(NOTA[ID_H],NOTA[[#This Row],[ID_H]]))</f>
        <v/>
      </c>
      <c r="AL186" s="38">
        <f ca="1">IF(NOTA[[#This Row],[TGL.NOTA]]="",IF(NOTA[[#This Row],[SUPPLIER_H]]="","",AL185),MONTH(NOTA[[#This Row],[TGL.NOTA]]))</f>
        <v>9</v>
      </c>
      <c r="AM186" s="38" t="str">
        <f>LOWER(SUBSTITUTE(SUBSTITUTE(SUBSTITUTE(SUBSTITUTE(SUBSTITUTE(SUBSTITUTE(SUBSTITUTE(SUBSTITUTE(SUBSTITUTE(NOTA[NAMA BARANG]," ",),".",""),"-",""),"(",""),")",""),",",""),"/",""),"""",""),"+",""))</f>
        <v>tintamotex1line20mm</v>
      </c>
      <c r="AN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tintamotex1line20mm1284000</v>
      </c>
      <c r="AO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tintamotex1line20mm1000</v>
      </c>
      <c r="AP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38" t="str">
        <f>IF(NOTA[[#This Row],[CONCAT4]]="","",_xlfn.IFNA(MATCH(NOTA[[#This Row],[CONCAT4]],[2]!RAW[CONCAT_H],0),FALSE))</f>
        <v/>
      </c>
      <c r="AR186" s="38" t="e">
        <f>IF(NOTA[[#This Row],[CONCAT1]]="","",MATCH(NOTA[[#This Row],[CONCAT1]],[3]!db[NB NOTA_C],0))</f>
        <v>#N/A</v>
      </c>
      <c r="AS186" s="38" t="b">
        <f>IF(NOTA[[#This Row],[QTY/ CTN]]="","",TRUE)</f>
        <v>1</v>
      </c>
      <c r="AT186" s="38" t="str">
        <f ca="1">IF(NOTA[[#This Row],[ID_H]]="","",IF(NOTA[[#This Row],[Column3]]=TRUE,NOTA[[#This Row],[QTY/ CTN]],INDEX([3]!db[QTY/ CTN],NOTA[[#This Row],[//DB]])))</f>
        <v>2000 PCS</v>
      </c>
      <c r="AU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tintamotex1line20mm2000pcsuntana</v>
      </c>
      <c r="AV186" s="38" t="e">
        <f ca="1">IF(NOTA[[#This Row],[ID_H]]="","",MATCH(NOTA[[#This Row],[NB NOTA_C_QTY]],[4]!db[NB NOTA_C_QTY+F],0))</f>
        <v>#REF!</v>
      </c>
      <c r="AW186" s="53">
        <f ca="1">IF(NOTA[[#This Row],[NB NOTA_C_QTY]]="","",ROW()-2)</f>
        <v>184</v>
      </c>
    </row>
    <row r="187" spans="1:49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87" s="50" t="str">
        <f>IF(OR(NOTA[[#This Row],[QTY]]="",NOTA[[#This Row],[HARGA SATUAN]]="",),"",NOTA[[#This Row],[QTY]]*NOTA[[#This Row],[HARGA SATUAN]])</f>
        <v/>
      </c>
      <c r="AH187" s="39" t="str">
        <f ca="1">IF(NOTA[ID_H]="","",INDEX(NOTA[TANGGAL],MATCH(,INDIRECT(ADDRESS(ROW(NOTA[TANGGAL]),COLUMN(NOTA[TANGGAL]))&amp;":"&amp;ADDRESS(ROW(),COLUMN(NOTA[TANGGAL]))),-1)))</f>
        <v/>
      </c>
      <c r="AI187" s="41" t="str">
        <f ca="1">IF(NOTA[[#This Row],[NAMA BARANG]]="","",INDEX(NOTA[SUPPLIER],MATCH(,INDIRECT(ADDRESS(ROW(NOTA[ID]),COLUMN(NOTA[ID]))&amp;":"&amp;ADDRESS(ROW(),COLUMN(NOTA[ID]))),-1)))</f>
        <v/>
      </c>
      <c r="AJ187" s="41" t="str">
        <f ca="1">IF(NOTA[[#This Row],[ID_H]]="","",IF(NOTA[[#This Row],[FAKTUR]]="",INDIRECT(ADDRESS(ROW()-1,COLUMN())),NOTA[[#This Row],[FAKTUR]]))</f>
        <v/>
      </c>
      <c r="AK187" s="38" t="str">
        <f ca="1">IF(NOTA[[#This Row],[ID]]="","",COUNTIF(NOTA[ID_H],NOTA[[#This Row],[ID_H]]))</f>
        <v/>
      </c>
      <c r="AL187" s="38" t="str">
        <f ca="1">IF(NOTA[[#This Row],[TGL.NOTA]]="",IF(NOTA[[#This Row],[SUPPLIER_H]]="","",AL186),MONTH(NOTA[[#This Row],[TGL.NOTA]]))</f>
        <v/>
      </c>
      <c r="AM187" s="38" t="str">
        <f>LOWER(SUBSTITUTE(SUBSTITUTE(SUBSTITUTE(SUBSTITUTE(SUBSTITUTE(SUBSTITUTE(SUBSTITUTE(SUBSTITUTE(SUBSTITUTE(NOTA[NAMA BARANG]," ",),".",""),"-",""),"(",""),")",""),",",""),"/",""),"""",""),"+",""))</f>
        <v/>
      </c>
      <c r="AN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7" s="38" t="str">
        <f>IF(NOTA[[#This Row],[CONCAT4]]="","",_xlfn.IFNA(MATCH(NOTA[[#This Row],[CONCAT4]],[2]!RAW[CONCAT_H],0),FALSE))</f>
        <v/>
      </c>
      <c r="AR187" s="38" t="str">
        <f>IF(NOTA[[#This Row],[CONCAT1]]="","",MATCH(NOTA[[#This Row],[CONCAT1]],[3]!db[NB NOTA_C],0))</f>
        <v/>
      </c>
      <c r="AS187" s="38" t="str">
        <f>IF(NOTA[[#This Row],[QTY/ CTN]]="","",TRUE)</f>
        <v/>
      </c>
      <c r="AT187" s="38" t="str">
        <f ca="1">IF(NOTA[[#This Row],[ID_H]]="","",IF(NOTA[[#This Row],[Column3]]=TRUE,NOTA[[#This Row],[QTY/ CTN]],INDEX([3]!db[QTY/ CTN],NOTA[[#This Row],[//DB]])))</f>
        <v/>
      </c>
      <c r="AU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7" s="38" t="str">
        <f ca="1">IF(NOTA[[#This Row],[ID_H]]="","",MATCH(NOTA[[#This Row],[NB NOTA_C_QTY]],[4]!db[NB NOTA_C_QTY+F],0))</f>
        <v/>
      </c>
      <c r="AW187" s="53" t="str">
        <f ca="1">IF(NOTA[[#This Row],[NB NOTA_C_QTY]]="","",ROW()-2)</f>
        <v/>
      </c>
    </row>
    <row r="188" spans="1:49" s="38" customFormat="1" ht="20.100000000000001" customHeight="1" x14ac:dyDescent="0.25">
      <c r="A18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ETJ_1109_823-2</v>
      </c>
      <c r="C188" s="38" t="e">
        <f ca="1">IF(NOTA[[#This Row],[ID_P]]="","",MATCH(NOTA[[#This Row],[ID_P]],[1]!B_MSK[N_ID],0))</f>
        <v>#REF!</v>
      </c>
      <c r="D188" s="38">
        <f ca="1">IF(NOTA[[#This Row],[NAMA BARANG]]="","",INDEX(NOTA[ID],MATCH(,INDIRECT(ADDRESS(ROW(NOTA[ID]),COLUMN(NOTA[ID]))&amp;":"&amp;ADDRESS(ROW(),COLUMN(NOTA[ID]))),-1)))</f>
        <v>29</v>
      </c>
      <c r="E188" s="46">
        <v>45180</v>
      </c>
      <c r="F188" s="37" t="s">
        <v>301</v>
      </c>
      <c r="G188" s="37" t="s">
        <v>123</v>
      </c>
      <c r="H188" s="47" t="s">
        <v>305</v>
      </c>
      <c r="I188" s="37"/>
      <c r="J188" s="39">
        <v>45176</v>
      </c>
      <c r="K188" s="37"/>
      <c r="L188" s="37" t="s">
        <v>306</v>
      </c>
      <c r="M188" s="40">
        <v>1</v>
      </c>
      <c r="N188" s="38">
        <v>1000</v>
      </c>
      <c r="O188" s="37" t="s">
        <v>138</v>
      </c>
      <c r="P188" s="41">
        <v>8750</v>
      </c>
      <c r="Q188" s="42"/>
      <c r="R188" s="48" t="s">
        <v>307</v>
      </c>
      <c r="S188" s="49"/>
      <c r="T188" s="44"/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8750000</v>
      </c>
      <c r="Y188" s="50">
        <f>IF(NOTA[[#This Row],[JUMLAH]]="","",NOTA[[#This Row],[JUMLAH]]*NOTA[[#This Row],[DISC 1]])</f>
        <v>0</v>
      </c>
      <c r="Z188" s="50">
        <f>IF(NOTA[[#This Row],[JUMLAH]]="","",(NOTA[[#This Row],[JUMLAH]]-NOTA[[#This Row],[DISC 1-]])*NOTA[[#This Row],[DISC 2]])</f>
        <v>0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0</v>
      </c>
      <c r="AC188" s="50">
        <f>IF(NOTA[[#This Row],[JUMLAH]]="","",NOTA[[#This Row],[JUMLAH]]-NOTA[[#This Row],[DISC]])</f>
        <v>8750000</v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88" s="41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G188" s="50">
        <f>IF(OR(NOTA[[#This Row],[QTY]]="",NOTA[[#This Row],[HARGA SATUAN]]="",),"",NOTA[[#This Row],[QTY]]*NOTA[[#This Row],[HARGA SATUAN]])</f>
        <v>8750000</v>
      </c>
      <c r="AH188" s="39">
        <f ca="1">IF(NOTA[ID_H]="","",INDEX(NOTA[TANGGAL],MATCH(,INDIRECT(ADDRESS(ROW(NOTA[TANGGAL]),COLUMN(NOTA[TANGGAL]))&amp;":"&amp;ADDRESS(ROW(),COLUMN(NOTA[TANGGAL]))),-1)))</f>
        <v>45180</v>
      </c>
      <c r="AI188" s="41" t="str">
        <f ca="1">IF(NOTA[[#This Row],[NAMA BARANG]]="","",INDEX(NOTA[SUPPLIER],MATCH(,INDIRECT(ADDRESS(ROW(NOTA[ID]),COLUMN(NOTA[ID]))&amp;":"&amp;ADDRESS(ROW(),COLUMN(NOTA[ID]))),-1)))</f>
        <v>ETJ</v>
      </c>
      <c r="AJ188" s="41" t="str">
        <f ca="1">IF(NOTA[[#This Row],[ID_H]]="","",IF(NOTA[[#This Row],[FAKTUR]]="",INDIRECT(ADDRESS(ROW()-1,COLUMN())),NOTA[[#This Row],[FAKTUR]]))</f>
        <v>UNTANA</v>
      </c>
      <c r="AK188" s="38">
        <f ca="1">IF(NOTA[[#This Row],[ID]]="","",COUNTIF(NOTA[ID_H],NOTA[[#This Row],[ID_H]]))</f>
        <v>2</v>
      </c>
      <c r="AL188" s="38">
        <f>IF(NOTA[[#This Row],[TGL.NOTA]]="",IF(NOTA[[#This Row],[SUPPLIER_H]]="","",AL187),MONTH(NOTA[[#This Row],[TGL.NOTA]]))</f>
        <v>9</v>
      </c>
      <c r="AM188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N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enter30cm6758750000</v>
      </c>
      <c r="AO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enter30cm6758750000</v>
      </c>
      <c r="AP18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ETJUNTANAQ68.2345176enter30cm675</v>
      </c>
      <c r="AQ188" s="38" t="e">
        <f>IF(NOTA[[#This Row],[CONCAT4]]="","",_xlfn.IFNA(MATCH(NOTA[[#This Row],[CONCAT4]],[2]!RAW[CONCAT_H],0),FALSE))</f>
        <v>#REF!</v>
      </c>
      <c r="AR188" s="38">
        <f>IF(NOTA[[#This Row],[CONCAT1]]="","",MATCH(NOTA[[#This Row],[CONCAT1]],[3]!db[NB NOTA_C],0))</f>
        <v>795</v>
      </c>
      <c r="AS188" s="38" t="b">
        <f>IF(NOTA[[#This Row],[QTY/ CTN]]="","",TRUE)</f>
        <v>1</v>
      </c>
      <c r="AT188" s="38" t="str">
        <f ca="1">IF(NOTA[[#This Row],[ID_H]]="","",IF(NOTA[[#This Row],[Column3]]=TRUE,NOTA[[#This Row],[QTY/ CTN]],INDEX([3]!db[QTY/ CTN],NOTA[[#This Row],[//DB]])))</f>
        <v>200 LSN</v>
      </c>
      <c r="AU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V188" s="38" t="e">
        <f ca="1">IF(NOTA[[#This Row],[ID_H]]="","",MATCH(NOTA[[#This Row],[NB NOTA_C_QTY]],[4]!db[NB NOTA_C_QTY+F],0))</f>
        <v>#REF!</v>
      </c>
      <c r="AW188" s="53">
        <f ca="1">IF(NOTA[[#This Row],[NB NOTA_C_QTY]]="","",ROW()-2)</f>
        <v>186</v>
      </c>
    </row>
    <row r="189" spans="1:49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29</v>
      </c>
      <c r="E189" s="46"/>
      <c r="F189" s="37"/>
      <c r="G189" s="37"/>
      <c r="H189" s="47"/>
      <c r="I189" s="37"/>
      <c r="J189" s="39"/>
      <c r="K189" s="37"/>
      <c r="L189" s="37" t="s">
        <v>308</v>
      </c>
      <c r="M189" s="40">
        <v>1</v>
      </c>
      <c r="N189" s="38">
        <v>100</v>
      </c>
      <c r="O189" s="37" t="s">
        <v>286</v>
      </c>
      <c r="P189" s="41">
        <v>17500</v>
      </c>
      <c r="Q189" s="42"/>
      <c r="R189" s="48" t="s">
        <v>287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1750000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1750000</v>
      </c>
      <c r="AD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10500000</v>
      </c>
      <c r="AF18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G189" s="50">
        <f>IF(OR(NOTA[[#This Row],[QTY]]="",NOTA[[#This Row],[HARGA SATUAN]]="",),"",NOTA[[#This Row],[QTY]]*NOTA[[#This Row],[HARGA SATUAN]])</f>
        <v>1750000</v>
      </c>
      <c r="AH189" s="39">
        <f ca="1">IF(NOTA[ID_H]="","",INDEX(NOTA[TANGGAL],MATCH(,INDIRECT(ADDRESS(ROW(NOTA[TANGGAL]),COLUMN(NOTA[TANGGAL]))&amp;":"&amp;ADDRESS(ROW(),COLUMN(NOTA[TANGGAL]))),-1)))</f>
        <v>45180</v>
      </c>
      <c r="AI189" s="41" t="str">
        <f ca="1">IF(NOTA[[#This Row],[NAMA BARANG]]="","",INDEX(NOTA[SUPPLIER],MATCH(,INDIRECT(ADDRESS(ROW(NOTA[ID]),COLUMN(NOTA[ID]))&amp;":"&amp;ADDRESS(ROW(),COLUMN(NOTA[ID]))),-1)))</f>
        <v>ETJ</v>
      </c>
      <c r="AJ189" s="41" t="str">
        <f ca="1">IF(NOTA[[#This Row],[ID_H]]="","",IF(NOTA[[#This Row],[FAKTUR]]="",INDIRECT(ADDRESS(ROW()-1,COLUMN())),NOTA[[#This Row],[FAKTUR]]))</f>
        <v>UNTANA</v>
      </c>
      <c r="AK189" s="38" t="str">
        <f ca="1">IF(NOTA[[#This Row],[ID]]="","",COUNTIF(NOTA[ID_H],NOTA[[#This Row],[ID_H]]))</f>
        <v/>
      </c>
      <c r="AL189" s="38">
        <f ca="1">IF(NOTA[[#This Row],[TGL.NOTA]]="",IF(NOTA[[#This Row],[SUPPLIER_H]]="","",AL188),MONTH(NOTA[[#This Row],[TGL.NOTA]]))</f>
        <v>9</v>
      </c>
      <c r="AM189" s="38" t="str">
        <f>LOWER(SUBSTITUTE(SUBSTITUTE(SUBSTITUTE(SUBSTITUTE(SUBSTITUTE(SUBSTITUTE(SUBSTITUTE(SUBSTITUTE(SUBSTITUTE(NOTA[NAMA BARANG]," ",),".",""),"-",""),"(",""),")",""),",",""),"/",""),"""",""),"+",""))</f>
        <v>kojikoabsensidmerah</v>
      </c>
      <c r="AN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kojikoabsensidmerah1750000</v>
      </c>
      <c r="AO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kojikoabsensidmerah1750000</v>
      </c>
      <c r="AP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38" t="str">
        <f>IF(NOTA[[#This Row],[CONCAT4]]="","",_xlfn.IFNA(MATCH(NOTA[[#This Row],[CONCAT4]],[2]!RAW[CONCAT_H],0),FALSE))</f>
        <v/>
      </c>
      <c r="AR189" s="38" t="e">
        <f>IF(NOTA[[#This Row],[CONCAT1]]="","",MATCH(NOTA[[#This Row],[CONCAT1]],[3]!db[NB NOTA_C],0))</f>
        <v>#N/A</v>
      </c>
      <c r="AS189" s="38" t="b">
        <f>IF(NOTA[[#This Row],[QTY/ CTN]]="","",TRUE)</f>
        <v>1</v>
      </c>
      <c r="AT189" s="38" t="str">
        <f ca="1">IF(NOTA[[#This Row],[ID_H]]="","",IF(NOTA[[#This Row],[Column3]]=TRUE,NOTA[[#This Row],[QTY/ CTN]],INDEX([3]!db[QTY/ CTN],NOTA[[#This Row],[//DB]])))</f>
        <v>100 PAK</v>
      </c>
      <c r="AU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kojikoabsensidmerah100pakuntana</v>
      </c>
      <c r="AV189" s="38" t="e">
        <f ca="1">IF(NOTA[[#This Row],[ID_H]]="","",MATCH(NOTA[[#This Row],[NB NOTA_C_QTY]],[4]!db[NB NOTA_C_QTY+F],0))</f>
        <v>#REF!</v>
      </c>
      <c r="AW189" s="53">
        <f ca="1">IF(NOTA[[#This Row],[NB NOTA_C_QTY]]="","",ROW()-2)</f>
        <v>187</v>
      </c>
    </row>
    <row r="190" spans="1:49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90" s="50" t="str">
        <f>IF(OR(NOTA[[#This Row],[QTY]]="",NOTA[[#This Row],[HARGA SATUAN]]="",),"",NOTA[[#This Row],[QTY]]*NOTA[[#This Row],[HARGA SATUAN]])</f>
        <v/>
      </c>
      <c r="AH190" s="39" t="str">
        <f ca="1">IF(NOTA[ID_H]="","",INDEX(NOTA[TANGGAL],MATCH(,INDIRECT(ADDRESS(ROW(NOTA[TANGGAL]),COLUMN(NOTA[TANGGAL]))&amp;":"&amp;ADDRESS(ROW(),COLUMN(NOTA[TANGGAL]))),-1)))</f>
        <v/>
      </c>
      <c r="AI190" s="41" t="str">
        <f ca="1">IF(NOTA[[#This Row],[NAMA BARANG]]="","",INDEX(NOTA[SUPPLIER],MATCH(,INDIRECT(ADDRESS(ROW(NOTA[ID]),COLUMN(NOTA[ID]))&amp;":"&amp;ADDRESS(ROW(),COLUMN(NOTA[ID]))),-1)))</f>
        <v/>
      </c>
      <c r="AJ190" s="41" t="str">
        <f ca="1">IF(NOTA[[#This Row],[ID_H]]="","",IF(NOTA[[#This Row],[FAKTUR]]="",INDIRECT(ADDRESS(ROW()-1,COLUMN())),NOTA[[#This Row],[FAKTUR]]))</f>
        <v/>
      </c>
      <c r="AK190" s="38" t="str">
        <f ca="1">IF(NOTA[[#This Row],[ID]]="","",COUNTIF(NOTA[ID_H],NOTA[[#This Row],[ID_H]]))</f>
        <v/>
      </c>
      <c r="AL190" s="38" t="str">
        <f ca="1">IF(NOTA[[#This Row],[TGL.NOTA]]="",IF(NOTA[[#This Row],[SUPPLIER_H]]="","",AL189),MONTH(NOTA[[#This Row],[TGL.NOTA]]))</f>
        <v/>
      </c>
      <c r="AM190" s="38" t="str">
        <f>LOWER(SUBSTITUTE(SUBSTITUTE(SUBSTITUTE(SUBSTITUTE(SUBSTITUTE(SUBSTITUTE(SUBSTITUTE(SUBSTITUTE(SUBSTITUTE(NOTA[NAMA BARANG]," ",),".",""),"-",""),"(",""),")",""),",",""),"/",""),"""",""),"+",""))</f>
        <v/>
      </c>
      <c r="AN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0" s="38" t="str">
        <f>IF(NOTA[[#This Row],[CONCAT4]]="","",_xlfn.IFNA(MATCH(NOTA[[#This Row],[CONCAT4]],[2]!RAW[CONCAT_H],0),FALSE))</f>
        <v/>
      </c>
      <c r="AR190" s="38" t="str">
        <f>IF(NOTA[[#This Row],[CONCAT1]]="","",MATCH(NOTA[[#This Row],[CONCAT1]],[3]!db[NB NOTA_C],0))</f>
        <v/>
      </c>
      <c r="AS190" s="38" t="str">
        <f>IF(NOTA[[#This Row],[QTY/ CTN]]="","",TRUE)</f>
        <v/>
      </c>
      <c r="AT190" s="38" t="str">
        <f ca="1">IF(NOTA[[#This Row],[ID_H]]="","",IF(NOTA[[#This Row],[Column3]]=TRUE,NOTA[[#This Row],[QTY/ CTN]],INDEX([3]!db[QTY/ CTN],NOTA[[#This Row],[//DB]])))</f>
        <v/>
      </c>
      <c r="AU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90" s="38" t="str">
        <f ca="1">IF(NOTA[[#This Row],[ID_H]]="","",MATCH(NOTA[[#This Row],[NB NOTA_C_QTY]],[4]!db[NB NOTA_C_QTY+F],0))</f>
        <v/>
      </c>
      <c r="AW190" s="53" t="str">
        <f ca="1">IF(NOTA[[#This Row],[NB NOTA_C_QTY]]="","",ROW()-2)</f>
        <v/>
      </c>
    </row>
    <row r="191" spans="1:49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GUN_1109_056-2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30</v>
      </c>
      <c r="E191" s="46">
        <v>45180</v>
      </c>
      <c r="F191" s="37" t="s">
        <v>309</v>
      </c>
      <c r="G191" s="37" t="s">
        <v>123</v>
      </c>
      <c r="H191" s="47" t="s">
        <v>310</v>
      </c>
      <c r="I191" s="37"/>
      <c r="J191" s="39">
        <v>45176</v>
      </c>
      <c r="K191" s="37"/>
      <c r="L191" s="37" t="s">
        <v>311</v>
      </c>
      <c r="M191" s="40">
        <v>3</v>
      </c>
      <c r="N191" s="38">
        <v>90</v>
      </c>
      <c r="O191" s="37" t="s">
        <v>138</v>
      </c>
      <c r="P191" s="41">
        <v>61000</v>
      </c>
      <c r="Q191" s="42"/>
      <c r="R191" s="48" t="s">
        <v>312</v>
      </c>
      <c r="S191" s="49">
        <v>0.05</v>
      </c>
      <c r="T191" s="44">
        <v>0.1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5490000</v>
      </c>
      <c r="Y191" s="50">
        <f>IF(NOTA[[#This Row],[JUMLAH]]="","",NOTA[[#This Row],[JUMLAH]]*NOTA[[#This Row],[DISC 1]])</f>
        <v>274500</v>
      </c>
      <c r="Z191" s="50">
        <f>IF(NOTA[[#This Row],[JUMLAH]]="","",(NOTA[[#This Row],[JUMLAH]]-NOTA[[#This Row],[DISC 1-]])*NOTA[[#This Row],[DISC 2]])</f>
        <v>521550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796050</v>
      </c>
      <c r="AC191" s="50">
        <f>IF(NOTA[[#This Row],[JUMLAH]]="","",NOTA[[#This Row],[JUMLAH]]-NOTA[[#This Row],[DISC]])</f>
        <v>4693950</v>
      </c>
      <c r="AD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1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G191" s="50">
        <f>IF(OR(NOTA[[#This Row],[QTY]]="",NOTA[[#This Row],[HARGA SATUAN]]="",),"",NOTA[[#This Row],[QTY]]*NOTA[[#This Row],[HARGA SATUAN]])</f>
        <v>5490000</v>
      </c>
      <c r="AH191" s="39">
        <f ca="1">IF(NOTA[ID_H]="","",INDEX(NOTA[TANGGAL],MATCH(,INDIRECT(ADDRESS(ROW(NOTA[TANGGAL]),COLUMN(NOTA[TANGGAL]))&amp;":"&amp;ADDRESS(ROW(),COLUMN(NOTA[TANGGAL]))),-1)))</f>
        <v>45180</v>
      </c>
      <c r="AI191" s="41" t="str">
        <f ca="1">IF(NOTA[[#This Row],[NAMA BARANG]]="","",INDEX(NOTA[SUPPLIER],MATCH(,INDIRECT(ADDRESS(ROW(NOTA[ID]),COLUMN(NOTA[ID]))&amp;":"&amp;ADDRESS(ROW(),COLUMN(NOTA[ID]))),-1)))</f>
        <v>GUNINDO</v>
      </c>
      <c r="AJ191" s="41" t="str">
        <f ca="1">IF(NOTA[[#This Row],[ID_H]]="","",IF(NOTA[[#This Row],[FAKTUR]]="",INDIRECT(ADDRESS(ROW()-1,COLUMN())),NOTA[[#This Row],[FAKTUR]]))</f>
        <v>UNTANA</v>
      </c>
      <c r="AK191" s="38">
        <f ca="1">IF(NOTA[[#This Row],[ID]]="","",COUNTIF(NOTA[ID_H],NOTA[[#This Row],[ID_H]]))</f>
        <v>2</v>
      </c>
      <c r="AL191" s="38">
        <f>IF(NOTA[[#This Row],[TGL.NOTA]]="",IF(NOTA[[#This Row],[SUPPLIER_H]]="","",AL190),MONTH(NOTA[[#This Row],[TGL.NOTA]]))</f>
        <v>9</v>
      </c>
      <c r="AM191" s="38" t="str">
        <f>LOWER(SUBSTITUTE(SUBSTITUTE(SUBSTITUTE(SUBSTITUTE(SUBSTITUTE(SUBSTITUTE(SUBSTITUTE(SUBSTITUTE(SUBSTITUTE(NOTA[NAMA BARANG]," ",),".",""),"-",""),"(",""),")",""),",",""),"/",""),"""",""),"+",""))</f>
        <v>wberaser803</v>
      </c>
      <c r="AN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19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GUNINDOUNTANA230905645176wberaser803</v>
      </c>
      <c r="AQ191" s="38" t="e">
        <f>IF(NOTA[[#This Row],[CONCAT4]]="","",_xlfn.IFNA(MATCH(NOTA[[#This Row],[CONCAT4]],[2]!RAW[CONCAT_H],0),FALSE))</f>
        <v>#REF!</v>
      </c>
      <c r="AR191" s="38">
        <f>IF(NOTA[[#This Row],[CONCAT1]]="","",MATCH(NOTA[[#This Row],[CONCAT1]],[3]!db[NB NOTA_C],0))</f>
        <v>2660</v>
      </c>
      <c r="AS191" s="38" t="b">
        <f>IF(NOTA[[#This Row],[QTY/ CTN]]="","",TRUE)</f>
        <v>1</v>
      </c>
      <c r="AT191" s="38" t="str">
        <f ca="1">IF(NOTA[[#This Row],[ID_H]]="","",IF(NOTA[[#This Row],[Column3]]=TRUE,NOTA[[#This Row],[QTY/ CTN]],INDEX([3]!db[QTY/ CTN],NOTA[[#This Row],[//DB]])))</f>
        <v>30 LSN</v>
      </c>
      <c r="AU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V191" s="38" t="e">
        <f ca="1">IF(NOTA[[#This Row],[ID_H]]="","",MATCH(NOTA[[#This Row],[NB NOTA_C_QTY]],[4]!db[NB NOTA_C_QTY+F],0))</f>
        <v>#REF!</v>
      </c>
      <c r="AW191" s="53">
        <f ca="1">IF(NOTA[[#This Row],[NB NOTA_C_QTY]]="","",ROW()-2)</f>
        <v>189</v>
      </c>
    </row>
    <row r="192" spans="1:49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30</v>
      </c>
      <c r="E192" s="46"/>
      <c r="F192" s="37"/>
      <c r="G192" s="37"/>
      <c r="H192" s="47"/>
      <c r="I192" s="37"/>
      <c r="J192" s="39"/>
      <c r="K192" s="37"/>
      <c r="L192" s="37" t="s">
        <v>313</v>
      </c>
      <c r="M192" s="40">
        <v>2</v>
      </c>
      <c r="N192" s="38">
        <v>120</v>
      </c>
      <c r="O192" s="37" t="s">
        <v>138</v>
      </c>
      <c r="P192" s="41">
        <v>47500</v>
      </c>
      <c r="Q192" s="42"/>
      <c r="R192" s="48" t="s">
        <v>314</v>
      </c>
      <c r="S192" s="49">
        <v>0.05</v>
      </c>
      <c r="T192" s="44">
        <v>0.1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5700000</v>
      </c>
      <c r="Y192" s="50">
        <f>IF(NOTA[[#This Row],[JUMLAH]]="","",NOTA[[#This Row],[JUMLAH]]*NOTA[[#This Row],[DISC 1]])</f>
        <v>285000</v>
      </c>
      <c r="Z192" s="50">
        <f>IF(NOTA[[#This Row],[JUMLAH]]="","",(NOTA[[#This Row],[JUMLAH]]-NOTA[[#This Row],[DISC 1-]])*NOTA[[#This Row],[DISC 2]])</f>
        <v>541500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826500</v>
      </c>
      <c r="AC192" s="50">
        <f>IF(NOTA[[#This Row],[JUMLAH]]="","",NOTA[[#This Row],[JUMLAH]]-NOTA[[#This Row],[DISC]])</f>
        <v>4873500</v>
      </c>
      <c r="AD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1622550</v>
      </c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9567450</v>
      </c>
      <c r="AF192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G192" s="50">
        <f>IF(OR(NOTA[[#This Row],[QTY]]="",NOTA[[#This Row],[HARGA SATUAN]]="",),"",NOTA[[#This Row],[QTY]]*NOTA[[#This Row],[HARGA SATUAN]])</f>
        <v>5700000</v>
      </c>
      <c r="AH192" s="39">
        <f ca="1">IF(NOTA[ID_H]="","",INDEX(NOTA[TANGGAL],MATCH(,INDIRECT(ADDRESS(ROW(NOTA[TANGGAL]),COLUMN(NOTA[TANGGAL]))&amp;":"&amp;ADDRESS(ROW(),COLUMN(NOTA[TANGGAL]))),-1)))</f>
        <v>45180</v>
      </c>
      <c r="AI192" s="41" t="str">
        <f ca="1">IF(NOTA[[#This Row],[NAMA BARANG]]="","",INDEX(NOTA[SUPPLIER],MATCH(,INDIRECT(ADDRESS(ROW(NOTA[ID]),COLUMN(NOTA[ID]))&amp;":"&amp;ADDRESS(ROW(),COLUMN(NOTA[ID]))),-1)))</f>
        <v>GUNINDO</v>
      </c>
      <c r="AJ192" s="41" t="str">
        <f ca="1">IF(NOTA[[#This Row],[ID_H]]="","",IF(NOTA[[#This Row],[FAKTUR]]="",INDIRECT(ADDRESS(ROW()-1,COLUMN())),NOTA[[#This Row],[FAKTUR]]))</f>
        <v>UNTANA</v>
      </c>
      <c r="AK192" s="38" t="str">
        <f ca="1">IF(NOTA[[#This Row],[ID]]="","",COUNTIF(NOTA[ID_H],NOTA[[#This Row],[ID_H]]))</f>
        <v/>
      </c>
      <c r="AL192" s="38">
        <f ca="1">IF(NOTA[[#This Row],[TGL.NOTA]]="",IF(NOTA[[#This Row],[SUPPLIER_H]]="","",AL191),MONTH(NOTA[[#This Row],[TGL.NOTA]]))</f>
        <v>9</v>
      </c>
      <c r="AM192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N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O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P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38" t="str">
        <f>IF(NOTA[[#This Row],[CONCAT4]]="","",_xlfn.IFNA(MATCH(NOTA[[#This Row],[CONCAT4]],[2]!RAW[CONCAT_H],0),FALSE))</f>
        <v/>
      </c>
      <c r="AR192" s="38">
        <f>IF(NOTA[[#This Row],[CONCAT1]]="","",MATCH(NOTA[[#This Row],[CONCAT1]],[3]!db[NB NOTA_C],0))</f>
        <v>675</v>
      </c>
      <c r="AS192" s="38" t="b">
        <f>IF(NOTA[[#This Row],[QTY/ CTN]]="","",TRUE)</f>
        <v>1</v>
      </c>
      <c r="AT192" s="38" t="str">
        <f ca="1">IF(NOTA[[#This Row],[ID_H]]="","",IF(NOTA[[#This Row],[Column3]]=TRUE,NOTA[[#This Row],[QTY/ CTN]],INDEX([3]!db[QTY/ CTN],NOTA[[#This Row],[//DB]])))</f>
        <v>60 LSN</v>
      </c>
      <c r="AU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V192" s="38" t="e">
        <f ca="1">IF(NOTA[[#This Row],[ID_H]]="","",MATCH(NOTA[[#This Row],[NB NOTA_C_QTY]],[4]!db[NB NOTA_C_QTY+F],0))</f>
        <v>#REF!</v>
      </c>
      <c r="AW192" s="53">
        <f ca="1">IF(NOTA[[#This Row],[NB NOTA_C_QTY]]="","",ROW()-2)</f>
        <v>190</v>
      </c>
    </row>
    <row r="193" spans="1:49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193" s="50" t="str">
        <f>IF(OR(NOTA[[#This Row],[QTY]]="",NOTA[[#This Row],[HARGA SATUAN]]="",),"",NOTA[[#This Row],[QTY]]*NOTA[[#This Row],[HARGA SATUAN]])</f>
        <v/>
      </c>
      <c r="AH193" s="39" t="str">
        <f ca="1">IF(NOTA[ID_H]="","",INDEX(NOTA[TANGGAL],MATCH(,INDIRECT(ADDRESS(ROW(NOTA[TANGGAL]),COLUMN(NOTA[TANGGAL]))&amp;":"&amp;ADDRESS(ROW(),COLUMN(NOTA[TANGGAL]))),-1)))</f>
        <v/>
      </c>
      <c r="AI193" s="41" t="str">
        <f ca="1">IF(NOTA[[#This Row],[NAMA BARANG]]="","",INDEX(NOTA[SUPPLIER],MATCH(,INDIRECT(ADDRESS(ROW(NOTA[ID]),COLUMN(NOTA[ID]))&amp;":"&amp;ADDRESS(ROW(),COLUMN(NOTA[ID]))),-1)))</f>
        <v/>
      </c>
      <c r="AJ193" s="41" t="str">
        <f ca="1">IF(NOTA[[#This Row],[ID_H]]="","",IF(NOTA[[#This Row],[FAKTUR]]="",INDIRECT(ADDRESS(ROW()-1,COLUMN())),NOTA[[#This Row],[FAKTUR]]))</f>
        <v/>
      </c>
      <c r="AK193" s="38" t="str">
        <f ca="1">IF(NOTA[[#This Row],[ID]]="","",COUNTIF(NOTA[ID_H],NOTA[[#This Row],[ID_H]]))</f>
        <v/>
      </c>
      <c r="AL193" s="38" t="str">
        <f ca="1">IF(NOTA[[#This Row],[TGL.NOTA]]="",IF(NOTA[[#This Row],[SUPPLIER_H]]="","",AL192),MONTH(NOTA[[#This Row],[TGL.NOTA]]))</f>
        <v/>
      </c>
      <c r="AM193" s="38" t="str">
        <f>LOWER(SUBSTITUTE(SUBSTITUTE(SUBSTITUTE(SUBSTITUTE(SUBSTITUTE(SUBSTITUTE(SUBSTITUTE(SUBSTITUTE(SUBSTITUTE(NOTA[NAMA BARANG]," ",),".",""),"-",""),"(",""),")",""),",",""),"/",""),"""",""),"+",""))</f>
        <v/>
      </c>
      <c r="AN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38" t="str">
        <f>IF(NOTA[[#This Row],[CONCAT4]]="","",_xlfn.IFNA(MATCH(NOTA[[#This Row],[CONCAT4]],[2]!RAW[CONCAT_H],0),FALSE))</f>
        <v/>
      </c>
      <c r="AR193" s="38" t="str">
        <f>IF(NOTA[[#This Row],[CONCAT1]]="","",MATCH(NOTA[[#This Row],[CONCAT1]],[3]!db[NB NOTA_C],0))</f>
        <v/>
      </c>
      <c r="AS193" s="38" t="str">
        <f>IF(NOTA[[#This Row],[QTY/ CTN]]="","",TRUE)</f>
        <v/>
      </c>
      <c r="AT193" s="38" t="str">
        <f ca="1">IF(NOTA[[#This Row],[ID_H]]="","",IF(NOTA[[#This Row],[Column3]]=TRUE,NOTA[[#This Row],[QTY/ CTN]],INDEX([3]!db[QTY/ CTN],NOTA[[#This Row],[//DB]])))</f>
        <v/>
      </c>
      <c r="AU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93" s="38" t="str">
        <f ca="1">IF(NOTA[[#This Row],[ID_H]]="","",MATCH(NOTA[[#This Row],[NB NOTA_C_QTY]],[4]!db[NB NOTA_C_QTY+F],0))</f>
        <v/>
      </c>
      <c r="AW193" s="53" t="str">
        <f ca="1">IF(NOTA[[#This Row],[NB NOTA_C_QTY]]="","",ROW()-2)</f>
        <v/>
      </c>
    </row>
    <row r="194" spans="1:49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PUT_1109_027-7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31</v>
      </c>
      <c r="E194" s="46">
        <v>45180</v>
      </c>
      <c r="F194" s="37" t="s">
        <v>315</v>
      </c>
      <c r="G194" s="37" t="s">
        <v>123</v>
      </c>
      <c r="H194" s="47" t="s">
        <v>316</v>
      </c>
      <c r="I194" s="37"/>
      <c r="J194" s="39">
        <v>45180</v>
      </c>
      <c r="K194" s="37"/>
      <c r="L194" s="37" t="s">
        <v>317</v>
      </c>
      <c r="M194" s="40">
        <v>2</v>
      </c>
      <c r="N194" s="38">
        <v>96</v>
      </c>
      <c r="O194" s="37" t="s">
        <v>281</v>
      </c>
      <c r="P194" s="41">
        <v>110000</v>
      </c>
      <c r="Q194" s="42"/>
      <c r="R194" s="48" t="s">
        <v>318</v>
      </c>
      <c r="S194" s="49">
        <v>0.2</v>
      </c>
      <c r="T194" s="44"/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10560000</v>
      </c>
      <c r="Y194" s="50">
        <f>IF(NOTA[[#This Row],[JUMLAH]]="","",NOTA[[#This Row],[JUMLAH]]*NOTA[[#This Row],[DISC 1]])</f>
        <v>2112000</v>
      </c>
      <c r="Z194" s="50">
        <f>IF(NOTA[[#This Row],[JUMLAH]]="","",(NOTA[[#This Row],[JUMLAH]]-NOTA[[#This Row],[DISC 1-]])*NOTA[[#This Row],[DISC 2]])</f>
        <v>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2112000</v>
      </c>
      <c r="AC194" s="50">
        <f>IF(NOTA[[#This Row],[JUMLAH]]="","",NOTA[[#This Row],[JUMLAH]]-NOTA[[#This Row],[DISC]])</f>
        <v>8448000</v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4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G194" s="50">
        <f>IF(OR(NOTA[[#This Row],[QTY]]="",NOTA[[#This Row],[HARGA SATUAN]]="",),"",NOTA[[#This Row],[QTY]]*NOTA[[#This Row],[HARGA SATUAN]])</f>
        <v>10560000</v>
      </c>
      <c r="AH194" s="39">
        <f ca="1">IF(NOTA[ID_H]="","",INDEX(NOTA[TANGGAL],MATCH(,INDIRECT(ADDRESS(ROW(NOTA[TANGGAL]),COLUMN(NOTA[TANGGAL]))&amp;":"&amp;ADDRESS(ROW(),COLUMN(NOTA[TANGGAL]))),-1)))</f>
        <v>45180</v>
      </c>
      <c r="AI194" s="41" t="str">
        <f ca="1">IF(NOTA[[#This Row],[NAMA BARANG]]="","",INDEX(NOTA[SUPPLIER],MATCH(,INDIRECT(ADDRESS(ROW(NOTA[ID]),COLUMN(NOTA[ID]))&amp;":"&amp;ADDRESS(ROW(),COLUMN(NOTA[ID]))),-1)))</f>
        <v>PUTR SURYA MANDIRI</v>
      </c>
      <c r="AJ194" s="41" t="str">
        <f ca="1">IF(NOTA[[#This Row],[ID_H]]="","",IF(NOTA[[#This Row],[FAKTUR]]="",INDIRECT(ADDRESS(ROW()-1,COLUMN())),NOTA[[#This Row],[FAKTUR]]))</f>
        <v>UNTANA</v>
      </c>
      <c r="AK194" s="38">
        <f ca="1">IF(NOTA[[#This Row],[ID]]="","",COUNTIF(NOTA[ID_H],NOTA[[#This Row],[ID_H]]))</f>
        <v>7</v>
      </c>
      <c r="AL194" s="38">
        <f>IF(NOTA[[#This Row],[TGL.NOTA]]="",IF(NOTA[[#This Row],[SUPPLIER_H]]="","",AL193),MONTH(NOTA[[#This Row],[TGL.NOTA]]))</f>
        <v>9</v>
      </c>
      <c r="AM194" s="38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N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balonsmilewarna20x5lks3200sw52800000.2</v>
      </c>
      <c r="AO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balonsmilewarna20x5lks3200sw52800000.2</v>
      </c>
      <c r="AP194" s="38" t="str">
        <f>IF(NOTA[[#This Row],[SUPPLIER]]="","",NOTA[[#This Row],[SUPPLIER]]&amp;NOTA[[#This Row],[FAKTUR]]&amp;NOTA[[#This Row],[NO.NOTA]]&amp;NOTA[[#This Row],[NO.SJ]]&amp;NOTA[[#This Row],[TGL.NOTA]]&amp;NOTA[[#This Row],[CONCAT1]])</f>
        <v>PUTR SURYA MANDIRIUNTANAPSM-R230900002745180balonsmilewarna20x5lks3200sw</v>
      </c>
      <c r="AQ194" s="38" t="e">
        <f>IF(NOTA[[#This Row],[CONCAT4]]="","",_xlfn.IFNA(MATCH(NOTA[[#This Row],[CONCAT4]],[2]!RAW[CONCAT_H],0),FALSE))</f>
        <v>#REF!</v>
      </c>
      <c r="AR194" s="38">
        <f>IF(NOTA[[#This Row],[CONCAT1]]="","",MATCH(NOTA[[#This Row],[CONCAT1]],[3]!db[NB NOTA_C],0))</f>
        <v>157</v>
      </c>
      <c r="AS194" s="38" t="b">
        <f>IF(NOTA[[#This Row],[QTY/ CTN]]="","",TRUE)</f>
        <v>1</v>
      </c>
      <c r="AT194" s="38" t="str">
        <f ca="1">IF(NOTA[[#This Row],[ID_H]]="","",IF(NOTA[[#This Row],[Column3]]=TRUE,NOTA[[#This Row],[QTY/ CTN]],INDEX([3]!db[QTY/ CTN],NOTA[[#This Row],[//DB]])))</f>
        <v>48 LPG</v>
      </c>
      <c r="AU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balonsmilewarna20x5lks3200sw48lpguntana</v>
      </c>
      <c r="AV194" s="38" t="e">
        <f ca="1">IF(NOTA[[#This Row],[ID_H]]="","",MATCH(NOTA[[#This Row],[NB NOTA_C_QTY]],[4]!db[NB NOTA_C_QTY+F],0))</f>
        <v>#REF!</v>
      </c>
      <c r="AW194" s="53">
        <f ca="1">IF(NOTA[[#This Row],[NB NOTA_C_QTY]]="","",ROW()-2)</f>
        <v>192</v>
      </c>
    </row>
    <row r="195" spans="1:49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31</v>
      </c>
      <c r="E195" s="46"/>
      <c r="F195" s="37"/>
      <c r="G195" s="37"/>
      <c r="H195" s="47"/>
      <c r="I195" s="37"/>
      <c r="J195" s="39"/>
      <c r="K195" s="37"/>
      <c r="L195" s="37" t="s">
        <v>319</v>
      </c>
      <c r="M195" s="40">
        <v>2</v>
      </c>
      <c r="N195" s="38">
        <v>96</v>
      </c>
      <c r="O195" s="37" t="s">
        <v>281</v>
      </c>
      <c r="P195" s="41">
        <v>110000</v>
      </c>
      <c r="Q195" s="42"/>
      <c r="R195" s="48" t="s">
        <v>318</v>
      </c>
      <c r="S195" s="49">
        <v>0.2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10560000</v>
      </c>
      <c r="Y195" s="50">
        <f>IF(NOTA[[#This Row],[JUMLAH]]="","",NOTA[[#This Row],[JUMLAH]]*NOTA[[#This Row],[DISC 1]])</f>
        <v>2112000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2112000</v>
      </c>
      <c r="AC195" s="50">
        <f>IF(NOTA[[#This Row],[JUMLAH]]="","",NOTA[[#This Row],[JUMLAH]]-NOTA[[#This Row],[DISC]])</f>
        <v>8448000</v>
      </c>
      <c r="AD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5" s="41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G195" s="50">
        <f>IF(OR(NOTA[[#This Row],[QTY]]="",NOTA[[#This Row],[HARGA SATUAN]]="",),"",NOTA[[#This Row],[QTY]]*NOTA[[#This Row],[HARGA SATUAN]])</f>
        <v>10560000</v>
      </c>
      <c r="AH195" s="39">
        <f ca="1">IF(NOTA[ID_H]="","",INDEX(NOTA[TANGGAL],MATCH(,INDIRECT(ADDRESS(ROW(NOTA[TANGGAL]),COLUMN(NOTA[TANGGAL]))&amp;":"&amp;ADDRESS(ROW(),COLUMN(NOTA[TANGGAL]))),-1)))</f>
        <v>45180</v>
      </c>
      <c r="AI195" s="41" t="str">
        <f ca="1">IF(NOTA[[#This Row],[NAMA BARANG]]="","",INDEX(NOTA[SUPPLIER],MATCH(,INDIRECT(ADDRESS(ROW(NOTA[ID]),COLUMN(NOTA[ID]))&amp;":"&amp;ADDRESS(ROW(),COLUMN(NOTA[ID]))),-1)))</f>
        <v>PUTR SURYA MANDIRI</v>
      </c>
      <c r="AJ195" s="41" t="str">
        <f ca="1">IF(NOTA[[#This Row],[ID_H]]="","",IF(NOTA[[#This Row],[FAKTUR]]="",INDIRECT(ADDRESS(ROW()-1,COLUMN())),NOTA[[#This Row],[FAKTUR]]))</f>
        <v>UNTANA</v>
      </c>
      <c r="AK195" s="38" t="str">
        <f ca="1">IF(NOTA[[#This Row],[ID]]="","",COUNTIF(NOTA[ID_H],NOTA[[#This Row],[ID_H]]))</f>
        <v/>
      </c>
      <c r="AL195" s="38">
        <f ca="1">IF(NOTA[[#This Row],[TGL.NOTA]]="",IF(NOTA[[#This Row],[SUPPLIER_H]]="","",AL194),MONTH(NOTA[[#This Row],[TGL.NOTA]]))</f>
        <v>9</v>
      </c>
      <c r="AM195" s="38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N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O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P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38" t="str">
        <f>IF(NOTA[[#This Row],[CONCAT4]]="","",_xlfn.IFNA(MATCH(NOTA[[#This Row],[CONCAT4]],[2]!RAW[CONCAT_H],0),FALSE))</f>
        <v/>
      </c>
      <c r="AR195" s="38">
        <f>IF(NOTA[[#This Row],[CONCAT1]]="","",MATCH(NOTA[[#This Row],[CONCAT1]],[3]!db[NB NOTA_C],0))</f>
        <v>156</v>
      </c>
      <c r="AS195" s="38" t="b">
        <f>IF(NOTA[[#This Row],[QTY/ CTN]]="","",TRUE)</f>
        <v>1</v>
      </c>
      <c r="AT195" s="38" t="str">
        <f ca="1">IF(NOTA[[#This Row],[ID_H]]="","",IF(NOTA[[#This Row],[Column3]]=TRUE,NOTA[[#This Row],[QTY/ CTN]],INDEX([3]!db[QTY/ CTN],NOTA[[#This Row],[//DB]])))</f>
        <v>48 LPG</v>
      </c>
      <c r="AU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balonsmilekuning20x5lks3200sk48lpguntana</v>
      </c>
      <c r="AV195" s="38" t="e">
        <f ca="1">IF(NOTA[[#This Row],[ID_H]]="","",MATCH(NOTA[[#This Row],[NB NOTA_C_QTY]],[4]!db[NB NOTA_C_QTY+F],0))</f>
        <v>#REF!</v>
      </c>
      <c r="AW195" s="53">
        <f ca="1">IF(NOTA[[#This Row],[NB NOTA_C_QTY]]="","",ROW()-2)</f>
        <v>193</v>
      </c>
    </row>
    <row r="196" spans="1:49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31</v>
      </c>
      <c r="E196" s="46"/>
      <c r="F196" s="37"/>
      <c r="G196" s="37"/>
      <c r="H196" s="47"/>
      <c r="I196" s="37"/>
      <c r="J196" s="39"/>
      <c r="K196" s="37"/>
      <c r="L196" s="37" t="s">
        <v>320</v>
      </c>
      <c r="M196" s="40">
        <v>2</v>
      </c>
      <c r="N196" s="38">
        <v>96</v>
      </c>
      <c r="O196" s="37" t="s">
        <v>281</v>
      </c>
      <c r="P196" s="41">
        <v>100000</v>
      </c>
      <c r="Q196" s="42"/>
      <c r="R196" s="48" t="s">
        <v>318</v>
      </c>
      <c r="S196" s="49">
        <v>0.2</v>
      </c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9600000</v>
      </c>
      <c r="Y196" s="50">
        <f>IF(NOTA[[#This Row],[JUMLAH]]="","",NOTA[[#This Row],[JUMLAH]]*NOTA[[#This Row],[DISC 1]])</f>
        <v>1920000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1920000</v>
      </c>
      <c r="AC196" s="50">
        <f>IF(NOTA[[#This Row],[JUMLAH]]="","",NOTA[[#This Row],[JUMLAH]]-NOTA[[#This Row],[DISC]])</f>
        <v>7680000</v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6" s="41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G196" s="50">
        <f>IF(OR(NOTA[[#This Row],[QTY]]="",NOTA[[#This Row],[HARGA SATUAN]]="",),"",NOTA[[#This Row],[QTY]]*NOTA[[#This Row],[HARGA SATUAN]])</f>
        <v>9600000</v>
      </c>
      <c r="AH196" s="39">
        <f ca="1">IF(NOTA[ID_H]="","",INDEX(NOTA[TANGGAL],MATCH(,INDIRECT(ADDRESS(ROW(NOTA[TANGGAL]),COLUMN(NOTA[TANGGAL]))&amp;":"&amp;ADDRESS(ROW(),COLUMN(NOTA[TANGGAL]))),-1)))</f>
        <v>45180</v>
      </c>
      <c r="AI196" s="41" t="str">
        <f ca="1">IF(NOTA[[#This Row],[NAMA BARANG]]="","",INDEX(NOTA[SUPPLIER],MATCH(,INDIRECT(ADDRESS(ROW(NOTA[ID]),COLUMN(NOTA[ID]))&amp;":"&amp;ADDRESS(ROW(),COLUMN(NOTA[ID]))),-1)))</f>
        <v>PUTR SURYA MANDIRI</v>
      </c>
      <c r="AJ196" s="41" t="str">
        <f ca="1">IF(NOTA[[#This Row],[ID_H]]="","",IF(NOTA[[#This Row],[FAKTUR]]="",INDIRECT(ADDRESS(ROW()-1,COLUMN())),NOTA[[#This Row],[FAKTUR]]))</f>
        <v>UNTANA</v>
      </c>
      <c r="AK196" s="38" t="str">
        <f ca="1">IF(NOTA[[#This Row],[ID]]="","",COUNTIF(NOTA[ID_H],NOTA[[#This Row],[ID_H]]))</f>
        <v/>
      </c>
      <c r="AL196" s="38">
        <f ca="1">IF(NOTA[[#This Row],[TGL.NOTA]]="",IF(NOTA[[#This Row],[SUPPLIER_H]]="","",AL195),MONTH(NOTA[[#This Row],[TGL.NOTA]]))</f>
        <v>9</v>
      </c>
      <c r="AM196" s="38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N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P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38" t="str">
        <f>IF(NOTA[[#This Row],[CONCAT4]]="","",_xlfn.IFNA(MATCH(NOTA[[#This Row],[CONCAT4]],[2]!RAW[CONCAT_H],0),FALSE))</f>
        <v/>
      </c>
      <c r="AR196" s="38">
        <f>IF(NOTA[[#This Row],[CONCAT1]]="","",MATCH(NOTA[[#This Row],[CONCAT1]],[3]!db[NB NOTA_C],0))</f>
        <v>155</v>
      </c>
      <c r="AS196" s="38" t="b">
        <f>IF(NOTA[[#This Row],[QTY/ CTN]]="","",TRUE)</f>
        <v>1</v>
      </c>
      <c r="AT196" s="38" t="str">
        <f ca="1">IF(NOTA[[#This Row],[ID_H]]="","",IF(NOTA[[#This Row],[Column3]]=TRUE,NOTA[[#This Row],[QTY/ CTN]],INDEX([3]!db[QTY/ CTN],NOTA[[#This Row],[//DB]])))</f>
        <v>48 LPG</v>
      </c>
      <c r="AU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balonmetalikhb122820x5lms2800hb48lpguntana</v>
      </c>
      <c r="AV196" s="38" t="e">
        <f ca="1">IF(NOTA[[#This Row],[ID_H]]="","",MATCH(NOTA[[#This Row],[NB NOTA_C_QTY]],[4]!db[NB NOTA_C_QTY+F],0))</f>
        <v>#REF!</v>
      </c>
      <c r="AW196" s="53">
        <f ca="1">IF(NOTA[[#This Row],[NB NOTA_C_QTY]]="","",ROW()-2)</f>
        <v>194</v>
      </c>
    </row>
    <row r="197" spans="1:49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31</v>
      </c>
      <c r="E197" s="46"/>
      <c r="F197" s="37"/>
      <c r="G197" s="37"/>
      <c r="H197" s="47"/>
      <c r="I197" s="37"/>
      <c r="J197" s="39"/>
      <c r="K197" s="37"/>
      <c r="L197" s="37" t="s">
        <v>321</v>
      </c>
      <c r="M197" s="40">
        <v>2</v>
      </c>
      <c r="N197" s="38">
        <v>80</v>
      </c>
      <c r="O197" s="37" t="s">
        <v>281</v>
      </c>
      <c r="P197" s="41">
        <v>125000</v>
      </c>
      <c r="Q197" s="42"/>
      <c r="R197" s="48" t="s">
        <v>322</v>
      </c>
      <c r="S197" s="49">
        <v>0.2</v>
      </c>
      <c r="T197" s="44"/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10000000</v>
      </c>
      <c r="Y197" s="50">
        <f>IF(NOTA[[#This Row],[JUMLAH]]="","",NOTA[[#This Row],[JUMLAH]]*NOTA[[#This Row],[DISC 1]])</f>
        <v>2000000</v>
      </c>
      <c r="Z197" s="50">
        <f>IF(NOTA[[#This Row],[JUMLAH]]="","",(NOTA[[#This Row],[JUMLAH]]-NOTA[[#This Row],[DISC 1-]])*NOTA[[#This Row],[DISC 2]])</f>
        <v>0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2000000</v>
      </c>
      <c r="AC197" s="50">
        <f>IF(NOTA[[#This Row],[JUMLAH]]="","",NOTA[[#This Row],[JUMLAH]]-NOTA[[#This Row],[DISC]])</f>
        <v>8000000</v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7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G197" s="50">
        <f>IF(OR(NOTA[[#This Row],[QTY]]="",NOTA[[#This Row],[HARGA SATUAN]]="",),"",NOTA[[#This Row],[QTY]]*NOTA[[#This Row],[HARGA SATUAN]])</f>
        <v>10000000</v>
      </c>
      <c r="AH197" s="39">
        <f ca="1">IF(NOTA[ID_H]="","",INDEX(NOTA[TANGGAL],MATCH(,INDIRECT(ADDRESS(ROW(NOTA[TANGGAL]),COLUMN(NOTA[TANGGAL]))&amp;":"&amp;ADDRESS(ROW(),COLUMN(NOTA[TANGGAL]))),-1)))</f>
        <v>45180</v>
      </c>
      <c r="AI197" s="41" t="str">
        <f ca="1">IF(NOTA[[#This Row],[NAMA BARANG]]="","",INDEX(NOTA[SUPPLIER],MATCH(,INDIRECT(ADDRESS(ROW(NOTA[ID]),COLUMN(NOTA[ID]))&amp;":"&amp;ADDRESS(ROW(),COLUMN(NOTA[ID]))),-1)))</f>
        <v>PUTR SURYA MANDIRI</v>
      </c>
      <c r="AJ197" s="41" t="str">
        <f ca="1">IF(NOTA[[#This Row],[ID_H]]="","",IF(NOTA[[#This Row],[FAKTUR]]="",INDIRECT(ADDRESS(ROW()-1,COLUMN())),NOTA[[#This Row],[FAKTUR]]))</f>
        <v>UNTANA</v>
      </c>
      <c r="AK197" s="38" t="str">
        <f ca="1">IF(NOTA[[#This Row],[ID]]="","",COUNTIF(NOTA[ID_H],NOTA[[#This Row],[ID_H]]))</f>
        <v/>
      </c>
      <c r="AL197" s="38">
        <f ca="1">IF(NOTA[[#This Row],[TGL.NOTA]]="",IF(NOTA[[#This Row],[SUPPLIER_H]]="","",AL196),MONTH(NOTA[[#This Row],[TGL.NOTA]]))</f>
        <v>9</v>
      </c>
      <c r="AM197" s="38" t="str">
        <f>LOWER(SUBSTITUTE(SUBSTITUTE(SUBSTITUTE(SUBSTITUTE(SUBSTITUTE(SUBSTITUTE(SUBSTITUTE(SUBSTITUTE(SUBSTITUTE(NOTA[NAMA BARANG]," ",),".",""),"-",""),"(",""),")",""),",",""),"/",""),"""",""),"+",""))</f>
        <v>balonfshbwarna20x5lkf3200hbw</v>
      </c>
      <c r="AN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balonfshbwarna20x5lkf3200hbw50000000.2</v>
      </c>
      <c r="AO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balonfshbwarna20x5lkf3200hbw50000000.2</v>
      </c>
      <c r="AP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38" t="str">
        <f>IF(NOTA[[#This Row],[CONCAT4]]="","",_xlfn.IFNA(MATCH(NOTA[[#This Row],[CONCAT4]],[2]!RAW[CONCAT_H],0),FALSE))</f>
        <v/>
      </c>
      <c r="AR197" s="38" t="e">
        <f>IF(NOTA[[#This Row],[CONCAT1]]="","",MATCH(NOTA[[#This Row],[CONCAT1]],[3]!db[NB NOTA_C],0))</f>
        <v>#N/A</v>
      </c>
      <c r="AS197" s="38" t="b">
        <f>IF(NOTA[[#This Row],[QTY/ CTN]]="","",TRUE)</f>
        <v>1</v>
      </c>
      <c r="AT197" s="38" t="str">
        <f ca="1">IF(NOTA[[#This Row],[ID_H]]="","",IF(NOTA[[#This Row],[Column3]]=TRUE,NOTA[[#This Row],[QTY/ CTN]],INDEX([3]!db[QTY/ CTN],NOTA[[#This Row],[//DB]])))</f>
        <v>40 LPG</v>
      </c>
      <c r="AU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balonfshbwarna20x5lkf3200hbw40lpguntana</v>
      </c>
      <c r="AV197" s="38" t="e">
        <f ca="1">IF(NOTA[[#This Row],[ID_H]]="","",MATCH(NOTA[[#This Row],[NB NOTA_C_QTY]],[4]!db[NB NOTA_C_QTY+F],0))</f>
        <v>#REF!</v>
      </c>
      <c r="AW197" s="53">
        <f ca="1">IF(NOTA[[#This Row],[NB NOTA_C_QTY]]="","",ROW()-2)</f>
        <v>195</v>
      </c>
    </row>
    <row r="198" spans="1:49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31</v>
      </c>
      <c r="E198" s="46"/>
      <c r="F198" s="37"/>
      <c r="G198" s="37"/>
      <c r="H198" s="47"/>
      <c r="I198" s="37"/>
      <c r="J198" s="39"/>
      <c r="K198" s="37"/>
      <c r="L198" s="37" t="s">
        <v>323</v>
      </c>
      <c r="M198" s="40">
        <v>2</v>
      </c>
      <c r="N198" s="38">
        <v>80</v>
      </c>
      <c r="O198" s="37" t="s">
        <v>281</v>
      </c>
      <c r="P198" s="41">
        <v>125000</v>
      </c>
      <c r="Q198" s="42"/>
      <c r="R198" s="48" t="s">
        <v>322</v>
      </c>
      <c r="S198" s="49">
        <v>0.2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10000000</v>
      </c>
      <c r="Y198" s="50">
        <f>IF(NOTA[[#This Row],[JUMLAH]]="","",NOTA[[#This Row],[JUMLAH]]*NOTA[[#This Row],[DISC 1]])</f>
        <v>2000000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2000000</v>
      </c>
      <c r="AC198" s="50">
        <f>IF(NOTA[[#This Row],[JUMLAH]]="","",NOTA[[#This Row],[JUMLAH]]-NOTA[[#This Row],[DISC]])</f>
        <v>8000000</v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8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G198" s="50">
        <f>IF(OR(NOTA[[#This Row],[QTY]]="",NOTA[[#This Row],[HARGA SATUAN]]="",),"",NOTA[[#This Row],[QTY]]*NOTA[[#This Row],[HARGA SATUAN]])</f>
        <v>10000000</v>
      </c>
      <c r="AH198" s="39">
        <f ca="1">IF(NOTA[ID_H]="","",INDEX(NOTA[TANGGAL],MATCH(,INDIRECT(ADDRESS(ROW(NOTA[TANGGAL]),COLUMN(NOTA[TANGGAL]))&amp;":"&amp;ADDRESS(ROW(),COLUMN(NOTA[TANGGAL]))),-1)))</f>
        <v>45180</v>
      </c>
      <c r="AI198" s="41" t="str">
        <f ca="1">IF(NOTA[[#This Row],[NAMA BARANG]]="","",INDEX(NOTA[SUPPLIER],MATCH(,INDIRECT(ADDRESS(ROW(NOTA[ID]),COLUMN(NOTA[ID]))&amp;":"&amp;ADDRESS(ROW(),COLUMN(NOTA[ID]))),-1)))</f>
        <v>PUTR SURYA MANDIRI</v>
      </c>
      <c r="AJ198" s="41" t="str">
        <f ca="1">IF(NOTA[[#This Row],[ID_H]]="","",IF(NOTA[[#This Row],[FAKTUR]]="",INDIRECT(ADDRESS(ROW()-1,COLUMN())),NOTA[[#This Row],[FAKTUR]]))</f>
        <v>UNTANA</v>
      </c>
      <c r="AK198" s="38" t="str">
        <f ca="1">IF(NOTA[[#This Row],[ID]]="","",COUNTIF(NOTA[ID_H],NOTA[[#This Row],[ID_H]]))</f>
        <v/>
      </c>
      <c r="AL198" s="38">
        <f ca="1">IF(NOTA[[#This Row],[TGL.NOTA]]="",IF(NOTA[[#This Row],[SUPPLIER_H]]="","",AL197),MONTH(NOTA[[#This Row],[TGL.NOTA]]))</f>
        <v>9</v>
      </c>
      <c r="AM198" s="38" t="str">
        <f>LOWER(SUBSTITUTE(SUBSTITUTE(SUBSTITUTE(SUBSTITUTE(SUBSTITUTE(SUBSTITUTE(SUBSTITUTE(SUBSTITUTE(SUBSTITUTE(NOTA[NAMA BARANG]," ",),".",""),"-",""),"(",""),")",""),",",""),"/",""),"""",""),"+",""))</f>
        <v>balonfshb123220x5lkf3200hb</v>
      </c>
      <c r="AN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balonfshb123220x5lkf3200hb50000000.2</v>
      </c>
      <c r="AO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balonfshb123220x5lkf3200hb50000000.2</v>
      </c>
      <c r="AP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38" t="str">
        <f>IF(NOTA[[#This Row],[CONCAT4]]="","",_xlfn.IFNA(MATCH(NOTA[[#This Row],[CONCAT4]],[2]!RAW[CONCAT_H],0),FALSE))</f>
        <v/>
      </c>
      <c r="AR198" s="38">
        <f>IF(NOTA[[#This Row],[CONCAT1]]="","",MATCH(NOTA[[#This Row],[CONCAT1]],[3]!db[NB NOTA_C],0))</f>
        <v>140</v>
      </c>
      <c r="AS198" s="38" t="b">
        <f>IF(NOTA[[#This Row],[QTY/ CTN]]="","",TRUE)</f>
        <v>1</v>
      </c>
      <c r="AT198" s="38" t="str">
        <f ca="1">IF(NOTA[[#This Row],[ID_H]]="","",IF(NOTA[[#This Row],[Column3]]=TRUE,NOTA[[#This Row],[QTY/ CTN]],INDEX([3]!db[QTY/ CTN],NOTA[[#This Row],[//DB]])))</f>
        <v>40 LPG</v>
      </c>
      <c r="AU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balonfshb123220x5lkf3200hb40lpguntana</v>
      </c>
      <c r="AV198" s="38" t="e">
        <f ca="1">IF(NOTA[[#This Row],[ID_H]]="","",MATCH(NOTA[[#This Row],[NB NOTA_C_QTY]],[4]!db[NB NOTA_C_QTY+F],0))</f>
        <v>#REF!</v>
      </c>
      <c r="AW198" s="53">
        <f ca="1">IF(NOTA[[#This Row],[NB NOTA_C_QTY]]="","",ROW()-2)</f>
        <v>196</v>
      </c>
    </row>
    <row r="199" spans="1:49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31</v>
      </c>
      <c r="E199" s="46"/>
      <c r="F199" s="37"/>
      <c r="G199" s="37"/>
      <c r="H199" s="47"/>
      <c r="I199" s="37"/>
      <c r="J199" s="39"/>
      <c r="K199" s="37"/>
      <c r="L199" s="37" t="s">
        <v>324</v>
      </c>
      <c r="M199" s="40">
        <v>2</v>
      </c>
      <c r="N199" s="38">
        <v>100</v>
      </c>
      <c r="O199" s="37" t="s">
        <v>281</v>
      </c>
      <c r="P199" s="41">
        <v>75000</v>
      </c>
      <c r="Q199" s="42"/>
      <c r="R199" s="48" t="s">
        <v>325</v>
      </c>
      <c r="S199" s="49">
        <v>0.2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7500000</v>
      </c>
      <c r="Y199" s="50">
        <f>IF(NOTA[[#This Row],[JUMLAH]]="","",NOTA[[#This Row],[JUMLAH]]*NOTA[[#This Row],[DISC 1]])</f>
        <v>1500000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1500000</v>
      </c>
      <c r="AC199" s="50">
        <f>IF(NOTA[[#This Row],[JUMLAH]]="","",NOTA[[#This Row],[JUMLAH]]-NOTA[[#This Row],[DISC]])</f>
        <v>6000000</v>
      </c>
      <c r="AD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199" s="41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G199" s="50">
        <f>IF(OR(NOTA[[#This Row],[QTY]]="",NOTA[[#This Row],[HARGA SATUAN]]="",),"",NOTA[[#This Row],[QTY]]*NOTA[[#This Row],[HARGA SATUAN]])</f>
        <v>7500000</v>
      </c>
      <c r="AH199" s="39">
        <f ca="1">IF(NOTA[ID_H]="","",INDEX(NOTA[TANGGAL],MATCH(,INDIRECT(ADDRESS(ROW(NOTA[TANGGAL]),COLUMN(NOTA[TANGGAL]))&amp;":"&amp;ADDRESS(ROW(),COLUMN(NOTA[TANGGAL]))),-1)))</f>
        <v>45180</v>
      </c>
      <c r="AI199" s="41" t="str">
        <f ca="1">IF(NOTA[[#This Row],[NAMA BARANG]]="","",INDEX(NOTA[SUPPLIER],MATCH(,INDIRECT(ADDRESS(ROW(NOTA[ID]),COLUMN(NOTA[ID]))&amp;":"&amp;ADDRESS(ROW(),COLUMN(NOTA[ID]))),-1)))</f>
        <v>PUTR SURYA MANDIRI</v>
      </c>
      <c r="AJ199" s="41" t="str">
        <f ca="1">IF(NOTA[[#This Row],[ID_H]]="","",IF(NOTA[[#This Row],[FAKTUR]]="",INDIRECT(ADDRESS(ROW()-1,COLUMN())),NOTA[[#This Row],[FAKTUR]]))</f>
        <v>UNTANA</v>
      </c>
      <c r="AK199" s="38" t="str">
        <f ca="1">IF(NOTA[[#This Row],[ID]]="","",COUNTIF(NOTA[ID_H],NOTA[[#This Row],[ID_H]]))</f>
        <v/>
      </c>
      <c r="AL199" s="38">
        <f ca="1">IF(NOTA[[#This Row],[TGL.NOTA]]="",IF(NOTA[[#This Row],[SUPPLIER_H]]="","",AL198),MONTH(NOTA[[#This Row],[TGL.NOTA]]))</f>
        <v>9</v>
      </c>
      <c r="AM199" s="38" t="str">
        <f>LOWER(SUBSTITUTE(SUBSTITUTE(SUBSTITUTE(SUBSTITUTE(SUBSTITUTE(SUBSTITUTE(SUBSTITUTE(SUBSTITUTE(SUBSTITUTE(NOTA[NAMA BARANG]," ",),".",""),"-",""),"(",""),")",""),",",""),"/",""),"""",""),"+",""))</f>
        <v>balonmacaron122820x5lkm2800</v>
      </c>
      <c r="AN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balonmacaron122820x5lkm280037500000.2</v>
      </c>
      <c r="AO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balonmacaron122820x5lkm280037500000.2</v>
      </c>
      <c r="AP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38" t="str">
        <f>IF(NOTA[[#This Row],[CONCAT4]]="","",_xlfn.IFNA(MATCH(NOTA[[#This Row],[CONCAT4]],[2]!RAW[CONCAT_H],0),FALSE))</f>
        <v/>
      </c>
      <c r="AR199" s="38">
        <f>IF(NOTA[[#This Row],[CONCAT1]]="","",MATCH(NOTA[[#This Row],[CONCAT1]],[3]!db[NB NOTA_C],0))</f>
        <v>151</v>
      </c>
      <c r="AS199" s="38" t="b">
        <f>IF(NOTA[[#This Row],[QTY/ CTN]]="","",TRUE)</f>
        <v>1</v>
      </c>
      <c r="AT199" s="38" t="str">
        <f ca="1">IF(NOTA[[#This Row],[ID_H]]="","",IF(NOTA[[#This Row],[Column3]]=TRUE,NOTA[[#This Row],[QTY/ CTN]],INDEX([3]!db[QTY/ CTN],NOTA[[#This Row],[//DB]])))</f>
        <v>50 LPG</v>
      </c>
      <c r="AU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balonmacaron122820x5lkm280050lpguntana</v>
      </c>
      <c r="AV199" s="38" t="e">
        <f ca="1">IF(NOTA[[#This Row],[ID_H]]="","",MATCH(NOTA[[#This Row],[NB NOTA_C_QTY]],[4]!db[NB NOTA_C_QTY+F],0))</f>
        <v>#REF!</v>
      </c>
      <c r="AW199" s="53">
        <f ca="1">IF(NOTA[[#This Row],[NB NOTA_C_QTY]]="","",ROW()-2)</f>
        <v>197</v>
      </c>
    </row>
    <row r="200" spans="1:49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31</v>
      </c>
      <c r="E200" s="46"/>
      <c r="F200" s="37"/>
      <c r="G200" s="37"/>
      <c r="H200" s="47"/>
      <c r="I200" s="37"/>
      <c r="J200" s="39"/>
      <c r="K200" s="37"/>
      <c r="L200" s="37" t="s">
        <v>280</v>
      </c>
      <c r="M200" s="40">
        <v>3</v>
      </c>
      <c r="N200" s="38">
        <v>180</v>
      </c>
      <c r="O200" s="37" t="s">
        <v>281</v>
      </c>
      <c r="P200" s="41">
        <v>67500</v>
      </c>
      <c r="Q200" s="42"/>
      <c r="R200" s="48" t="s">
        <v>282</v>
      </c>
      <c r="S200" s="49">
        <v>0.2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12150000</v>
      </c>
      <c r="Y200" s="50">
        <f>IF(NOTA[[#This Row],[JUMLAH]]="","",NOTA[[#This Row],[JUMLAH]]*NOTA[[#This Row],[DISC 1]])</f>
        <v>2430000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2430000</v>
      </c>
      <c r="AC200" s="50">
        <f>IF(NOTA[[#This Row],[JUMLAH]]="","",NOTA[[#This Row],[JUMLAH]]-NOTA[[#This Row],[DISC]])</f>
        <v>9720000</v>
      </c>
      <c r="AD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14074000</v>
      </c>
      <c r="AE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56296000</v>
      </c>
      <c r="AF200" s="41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G200" s="50">
        <f>IF(OR(NOTA[[#This Row],[QTY]]="",NOTA[[#This Row],[HARGA SATUAN]]="",),"",NOTA[[#This Row],[QTY]]*NOTA[[#This Row],[HARGA SATUAN]])</f>
        <v>12150000</v>
      </c>
      <c r="AH200" s="39">
        <f ca="1">IF(NOTA[ID_H]="","",INDEX(NOTA[TANGGAL],MATCH(,INDIRECT(ADDRESS(ROW(NOTA[TANGGAL]),COLUMN(NOTA[TANGGAL]))&amp;":"&amp;ADDRESS(ROW(),COLUMN(NOTA[TANGGAL]))),-1)))</f>
        <v>45180</v>
      </c>
      <c r="AI200" s="41" t="str">
        <f ca="1">IF(NOTA[[#This Row],[NAMA BARANG]]="","",INDEX(NOTA[SUPPLIER],MATCH(,INDIRECT(ADDRESS(ROW(NOTA[ID]),COLUMN(NOTA[ID]))&amp;":"&amp;ADDRESS(ROW(),COLUMN(NOTA[ID]))),-1)))</f>
        <v>PUTR SURYA MANDIRI</v>
      </c>
      <c r="AJ200" s="41" t="str">
        <f ca="1">IF(NOTA[[#This Row],[ID_H]]="","",IF(NOTA[[#This Row],[FAKTUR]]="",INDIRECT(ADDRESS(ROW()-1,COLUMN())),NOTA[[#This Row],[FAKTUR]]))</f>
        <v>UNTANA</v>
      </c>
      <c r="AK200" s="38" t="str">
        <f ca="1">IF(NOTA[[#This Row],[ID]]="","",COUNTIF(NOTA[ID_H],NOTA[[#This Row],[ID_H]]))</f>
        <v/>
      </c>
      <c r="AL200" s="38">
        <f ca="1">IF(NOTA[[#This Row],[TGL.NOTA]]="",IF(NOTA[[#This Row],[SUPPLIER_H]]="","",AL199),MONTH(NOTA[[#This Row],[TGL.NOTA]]))</f>
        <v>9</v>
      </c>
      <c r="AM200" s="3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N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O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P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38" t="str">
        <f>IF(NOTA[[#This Row],[CONCAT4]]="","",_xlfn.IFNA(MATCH(NOTA[[#This Row],[CONCAT4]],[2]!RAW[CONCAT_H],0),FALSE))</f>
        <v/>
      </c>
      <c r="AR200" s="38">
        <f>IF(NOTA[[#This Row],[CONCAT1]]="","",MATCH(NOTA[[#This Row],[CONCAT1]],[3]!db[NB NOTA_C],0))</f>
        <v>150</v>
      </c>
      <c r="AS200" s="38" t="b">
        <f>IF(NOTA[[#This Row],[QTY/ CTN]]="","",TRUE)</f>
        <v>1</v>
      </c>
      <c r="AT200" s="38" t="str">
        <f ca="1">IF(NOTA[[#This Row],[ID_H]]="","",IF(NOTA[[#This Row],[Column3]]=TRUE,NOTA[[#This Row],[QTY/ CTN]],INDEX([3]!db[QTY/ CTN],NOTA[[#This Row],[//DB]])))</f>
        <v>60 LPG</v>
      </c>
      <c r="AU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balonmacaron102220x5lkm220060lpguntana</v>
      </c>
      <c r="AV200" s="38" t="e">
        <f ca="1">IF(NOTA[[#This Row],[ID_H]]="","",MATCH(NOTA[[#This Row],[NB NOTA_C_QTY]],[4]!db[NB NOTA_C_QTY+F],0))</f>
        <v>#REF!</v>
      </c>
      <c r="AW200" s="53">
        <f ca="1">IF(NOTA[[#This Row],[NB NOTA_C_QTY]]="","",ROW()-2)</f>
        <v>198</v>
      </c>
    </row>
    <row r="201" spans="1:49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01" s="50" t="str">
        <f>IF(OR(NOTA[[#This Row],[QTY]]="",NOTA[[#This Row],[HARGA SATUAN]]="",),"",NOTA[[#This Row],[QTY]]*NOTA[[#This Row],[HARGA SATUAN]])</f>
        <v/>
      </c>
      <c r="AH201" s="39" t="str">
        <f ca="1">IF(NOTA[ID_H]="","",INDEX(NOTA[TANGGAL],MATCH(,INDIRECT(ADDRESS(ROW(NOTA[TANGGAL]),COLUMN(NOTA[TANGGAL]))&amp;":"&amp;ADDRESS(ROW(),COLUMN(NOTA[TANGGAL]))),-1)))</f>
        <v/>
      </c>
      <c r="AI201" s="41" t="str">
        <f ca="1">IF(NOTA[[#This Row],[NAMA BARANG]]="","",INDEX(NOTA[SUPPLIER],MATCH(,INDIRECT(ADDRESS(ROW(NOTA[ID]),COLUMN(NOTA[ID]))&amp;":"&amp;ADDRESS(ROW(),COLUMN(NOTA[ID]))),-1)))</f>
        <v/>
      </c>
      <c r="AJ201" s="41" t="str">
        <f ca="1">IF(NOTA[[#This Row],[ID_H]]="","",IF(NOTA[[#This Row],[FAKTUR]]="",INDIRECT(ADDRESS(ROW()-1,COLUMN())),NOTA[[#This Row],[FAKTUR]]))</f>
        <v/>
      </c>
      <c r="AK201" s="38" t="str">
        <f ca="1">IF(NOTA[[#This Row],[ID]]="","",COUNTIF(NOTA[ID_H],NOTA[[#This Row],[ID_H]]))</f>
        <v/>
      </c>
      <c r="AL201" s="38" t="str">
        <f ca="1">IF(NOTA[[#This Row],[TGL.NOTA]]="",IF(NOTA[[#This Row],[SUPPLIER_H]]="","",AL200),MONTH(NOTA[[#This Row],[TGL.NOTA]]))</f>
        <v/>
      </c>
      <c r="AM201" s="38" t="str">
        <f>LOWER(SUBSTITUTE(SUBSTITUTE(SUBSTITUTE(SUBSTITUTE(SUBSTITUTE(SUBSTITUTE(SUBSTITUTE(SUBSTITUTE(SUBSTITUTE(NOTA[NAMA BARANG]," ",),".",""),"-",""),"(",""),")",""),",",""),"/",""),"""",""),"+",""))</f>
        <v/>
      </c>
      <c r="AN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38" t="str">
        <f>IF(NOTA[[#This Row],[CONCAT4]]="","",_xlfn.IFNA(MATCH(NOTA[[#This Row],[CONCAT4]],[2]!RAW[CONCAT_H],0),FALSE))</f>
        <v/>
      </c>
      <c r="AR201" s="38" t="str">
        <f>IF(NOTA[[#This Row],[CONCAT1]]="","",MATCH(NOTA[[#This Row],[CONCAT1]],[3]!db[NB NOTA_C],0))</f>
        <v/>
      </c>
      <c r="AS201" s="38" t="str">
        <f>IF(NOTA[[#This Row],[QTY/ CTN]]="","",TRUE)</f>
        <v/>
      </c>
      <c r="AT201" s="38" t="str">
        <f ca="1">IF(NOTA[[#This Row],[ID_H]]="","",IF(NOTA[[#This Row],[Column3]]=TRUE,NOTA[[#This Row],[QTY/ CTN]],INDEX([3]!db[QTY/ CTN],NOTA[[#This Row],[//DB]])))</f>
        <v/>
      </c>
      <c r="AU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1" s="38" t="str">
        <f ca="1">IF(NOTA[[#This Row],[ID_H]]="","",MATCH(NOTA[[#This Row],[NB NOTA_C_QTY]],[4]!db[NB NOTA_C_QTY+F],0))</f>
        <v/>
      </c>
      <c r="AW201" s="53" t="str">
        <f ca="1">IF(NOTA[[#This Row],[NB NOTA_C_QTY]]="","",ROW()-2)</f>
        <v/>
      </c>
    </row>
    <row r="202" spans="1:49" s="38" customFormat="1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SBS_1109_4B1-2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32</v>
      </c>
      <c r="E202" s="46">
        <v>45180</v>
      </c>
      <c r="F202" s="37" t="s">
        <v>326</v>
      </c>
      <c r="G202" s="37" t="s">
        <v>123</v>
      </c>
      <c r="H202" s="47" t="s">
        <v>327</v>
      </c>
      <c r="I202" s="37"/>
      <c r="J202" s="39">
        <v>45173</v>
      </c>
      <c r="K202" s="37"/>
      <c r="L202" s="37" t="s">
        <v>328</v>
      </c>
      <c r="M202" s="40">
        <v>3</v>
      </c>
      <c r="N202" s="38">
        <v>540</v>
      </c>
      <c r="O202" s="37" t="s">
        <v>329</v>
      </c>
      <c r="P202" s="41">
        <v>16440</v>
      </c>
      <c r="Q202" s="42"/>
      <c r="R202" s="48" t="s">
        <v>332</v>
      </c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8877600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8877600</v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2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G202" s="50">
        <f>IF(OR(NOTA[[#This Row],[QTY]]="",NOTA[[#This Row],[HARGA SATUAN]]="",),"",NOTA[[#This Row],[QTY]]*NOTA[[#This Row],[HARGA SATUAN]])</f>
        <v>8877600</v>
      </c>
      <c r="AH202" s="39">
        <f ca="1">IF(NOTA[ID_H]="","",INDEX(NOTA[TANGGAL],MATCH(,INDIRECT(ADDRESS(ROW(NOTA[TANGGAL]),COLUMN(NOTA[TANGGAL]))&amp;":"&amp;ADDRESS(ROW(),COLUMN(NOTA[TANGGAL]))),-1)))</f>
        <v>45180</v>
      </c>
      <c r="AI202" s="41" t="str">
        <f ca="1">IF(NOTA[[#This Row],[NAMA BARANG]]="","",INDEX(NOTA[SUPPLIER],MATCH(,INDIRECT(ADDRESS(ROW(NOTA[ID]),COLUMN(NOTA[ID]))&amp;":"&amp;ADDRESS(ROW(),COLUMN(NOTA[ID]))),-1)))</f>
        <v>SBS</v>
      </c>
      <c r="AJ202" s="41" t="str">
        <f ca="1">IF(NOTA[[#This Row],[ID_H]]="","",IF(NOTA[[#This Row],[FAKTUR]]="",INDIRECT(ADDRESS(ROW()-1,COLUMN())),NOTA[[#This Row],[FAKTUR]]))</f>
        <v>UNTANA</v>
      </c>
      <c r="AK202" s="38">
        <f ca="1">IF(NOTA[[#This Row],[ID]]="","",COUNTIF(NOTA[ID_H],NOTA[[#This Row],[ID_H]]))</f>
        <v>2</v>
      </c>
      <c r="AL202" s="38">
        <f>IF(NOTA[[#This Row],[TGL.NOTA]]="",IF(NOTA[[#This Row],[SUPPLIER_H]]="","",AL201),MONTH(NOTA[[#This Row],[TGL.NOTA]]))</f>
        <v>9</v>
      </c>
      <c r="AM202" s="38" t="str">
        <f>LOWER(SUBSTITUTE(SUBSTITUTE(SUBSTITUTE(SUBSTITUTE(SUBSTITUTE(SUBSTITUTE(SUBSTITUTE(SUBSTITUTE(SUBSTITUTE(NOTA[NAMA BARANG]," ",),".",""),"-",""),"(",""),")",""),",",""),"/",""),"""",""),"+",""))</f>
        <v>peruncingdy393b1hhamster</v>
      </c>
      <c r="AN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peruncingdy393b1hhamster2959200</v>
      </c>
      <c r="AO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peruncingdy393b1hhamster2959200</v>
      </c>
      <c r="AP20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SBSUNTANAVJ0084B145173peruncingdy393b1hhamster</v>
      </c>
      <c r="AQ202" s="38" t="e">
        <f>IF(NOTA[[#This Row],[CONCAT4]]="","",_xlfn.IFNA(MATCH(NOTA[[#This Row],[CONCAT4]],[2]!RAW[CONCAT_H],0),FALSE))</f>
        <v>#REF!</v>
      </c>
      <c r="AR202" s="38" t="e">
        <f>IF(NOTA[[#This Row],[CONCAT1]]="","",MATCH(NOTA[[#This Row],[CONCAT1]],[3]!db[NB NOTA_C],0))</f>
        <v>#N/A</v>
      </c>
      <c r="AS202" s="38" t="b">
        <f>IF(NOTA[[#This Row],[QTY/ CTN]]="","",TRUE)</f>
        <v>1</v>
      </c>
      <c r="AT202" s="38" t="str">
        <f ca="1">IF(NOTA[[#This Row],[ID_H]]="","",IF(NOTA[[#This Row],[Column3]]=TRUE,NOTA[[#This Row],[QTY/ CTN]],INDEX([3]!db[QTY/ CTN],NOTA[[#This Row],[//DB]])))</f>
        <v>180 DSP (12 PCS)</v>
      </c>
      <c r="AU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peruncingdy393b1hhamster180dsp12pcsuntana</v>
      </c>
      <c r="AV202" s="38" t="e">
        <f ca="1">IF(NOTA[[#This Row],[ID_H]]="","",MATCH(NOTA[[#This Row],[NB NOTA_C_QTY]],[4]!db[NB NOTA_C_QTY+F],0))</f>
        <v>#REF!</v>
      </c>
      <c r="AW202" s="53">
        <f ca="1">IF(NOTA[[#This Row],[NB NOTA_C_QTY]]="","",ROW()-2)</f>
        <v>200</v>
      </c>
    </row>
    <row r="203" spans="1:49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32</v>
      </c>
      <c r="E203" s="46"/>
      <c r="F203" s="37"/>
      <c r="G203" s="37"/>
      <c r="H203" s="47"/>
      <c r="I203" s="37"/>
      <c r="J203" s="39"/>
      <c r="K203" s="37"/>
      <c r="L203" s="37" t="s">
        <v>330</v>
      </c>
      <c r="M203" s="40">
        <v>3</v>
      </c>
      <c r="N203" s="38">
        <v>540</v>
      </c>
      <c r="O203" s="37" t="s">
        <v>331</v>
      </c>
      <c r="P203" s="41">
        <v>16440</v>
      </c>
      <c r="Q203" s="42"/>
      <c r="R203" s="48" t="s">
        <v>332</v>
      </c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8877600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8877600</v>
      </c>
      <c r="AD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17755200</v>
      </c>
      <c r="AF203" s="41">
        <f>IF(NOTA[[#This Row],[NAMA BARANG]]="","",IF(NOTA[[#This Row],[JUMLAH_H]]="",NOTA[[#This Row],[HARGA/ CTN]],NOTA[[#This Row],[QTY]]*NOTA[[#This Row],[HARGA SATUAN]]/IF(ISNUMBER(NOTA[[#This Row],[C]]),NOTA[[#This Row],[C]],1)))</f>
        <v>2959200</v>
      </c>
      <c r="AG203" s="50">
        <f>IF(OR(NOTA[[#This Row],[QTY]]="",NOTA[[#This Row],[HARGA SATUAN]]="",),"",NOTA[[#This Row],[QTY]]*NOTA[[#This Row],[HARGA SATUAN]])</f>
        <v>8877600</v>
      </c>
      <c r="AH203" s="39">
        <f ca="1">IF(NOTA[ID_H]="","",INDEX(NOTA[TANGGAL],MATCH(,INDIRECT(ADDRESS(ROW(NOTA[TANGGAL]),COLUMN(NOTA[TANGGAL]))&amp;":"&amp;ADDRESS(ROW(),COLUMN(NOTA[TANGGAL]))),-1)))</f>
        <v>45180</v>
      </c>
      <c r="AI203" s="41" t="str">
        <f ca="1">IF(NOTA[[#This Row],[NAMA BARANG]]="","",INDEX(NOTA[SUPPLIER],MATCH(,INDIRECT(ADDRESS(ROW(NOTA[ID]),COLUMN(NOTA[ID]))&amp;":"&amp;ADDRESS(ROW(),COLUMN(NOTA[ID]))),-1)))</f>
        <v>SBS</v>
      </c>
      <c r="AJ203" s="41" t="str">
        <f ca="1">IF(NOTA[[#This Row],[ID_H]]="","",IF(NOTA[[#This Row],[FAKTUR]]="",INDIRECT(ADDRESS(ROW()-1,COLUMN())),NOTA[[#This Row],[FAKTUR]]))</f>
        <v>UNTANA</v>
      </c>
      <c r="AK203" s="38" t="str">
        <f ca="1">IF(NOTA[[#This Row],[ID]]="","",COUNTIF(NOTA[ID_H],NOTA[[#This Row],[ID_H]]))</f>
        <v/>
      </c>
      <c r="AL203" s="38">
        <f ca="1">IF(NOTA[[#This Row],[TGL.NOTA]]="",IF(NOTA[[#This Row],[SUPPLIER_H]]="","",AL202),MONTH(NOTA[[#This Row],[TGL.NOTA]]))</f>
        <v>9</v>
      </c>
      <c r="AM203" s="38" t="str">
        <f>LOWER(SUBSTITUTE(SUBSTITUTE(SUBSTITUTE(SUBSTITUTE(SUBSTITUTE(SUBSTITUTE(SUBSTITUTE(SUBSTITUTE(SUBSTITUTE(NOTA[NAMA BARANG]," ",),".",""),"-",""),"(",""),")",""),",",""),"/",""),"""",""),"+",""))</f>
        <v>peruncingdy395b1hrabbit</v>
      </c>
      <c r="AN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peruncingdy395b1hrabbit2959200</v>
      </c>
      <c r="AO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peruncingdy395b1hrabbit2959200</v>
      </c>
      <c r="AP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38" t="str">
        <f>IF(NOTA[[#This Row],[CONCAT4]]="","",_xlfn.IFNA(MATCH(NOTA[[#This Row],[CONCAT4]],[2]!RAW[CONCAT_H],0),FALSE))</f>
        <v/>
      </c>
      <c r="AR203" s="38" t="e">
        <f>IF(NOTA[[#This Row],[CONCAT1]]="","",MATCH(NOTA[[#This Row],[CONCAT1]],[3]!db[NB NOTA_C],0))</f>
        <v>#N/A</v>
      </c>
      <c r="AS203" s="38" t="b">
        <f>IF(NOTA[[#This Row],[QTY/ CTN]]="","",TRUE)</f>
        <v>1</v>
      </c>
      <c r="AT203" s="38" t="str">
        <f ca="1">IF(NOTA[[#This Row],[ID_H]]="","",IF(NOTA[[#This Row],[Column3]]=TRUE,NOTA[[#This Row],[QTY/ CTN]],INDEX([3]!db[QTY/ CTN],NOTA[[#This Row],[//DB]])))</f>
        <v>180 DSP (12 PCS)</v>
      </c>
      <c r="AU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peruncingdy395b1hrabbit180dsp12pcsuntana</v>
      </c>
      <c r="AV203" s="38" t="e">
        <f ca="1">IF(NOTA[[#This Row],[ID_H]]="","",MATCH(NOTA[[#This Row],[NB NOTA_C_QTY]],[4]!db[NB NOTA_C_QTY+F],0))</f>
        <v>#REF!</v>
      </c>
      <c r="AW203" s="53">
        <f ca="1">IF(NOTA[[#This Row],[NB NOTA_C_QTY]]="","",ROW()-2)</f>
        <v>201</v>
      </c>
    </row>
    <row r="204" spans="1:49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04" s="50" t="str">
        <f>IF(OR(NOTA[[#This Row],[QTY]]="",NOTA[[#This Row],[HARGA SATUAN]]="",),"",NOTA[[#This Row],[QTY]]*NOTA[[#This Row],[HARGA SATUAN]])</f>
        <v/>
      </c>
      <c r="AH204" s="39" t="str">
        <f ca="1">IF(NOTA[ID_H]="","",INDEX(NOTA[TANGGAL],MATCH(,INDIRECT(ADDRESS(ROW(NOTA[TANGGAL]),COLUMN(NOTA[TANGGAL]))&amp;":"&amp;ADDRESS(ROW(),COLUMN(NOTA[TANGGAL]))),-1)))</f>
        <v/>
      </c>
      <c r="AI204" s="41" t="str">
        <f ca="1">IF(NOTA[[#This Row],[NAMA BARANG]]="","",INDEX(NOTA[SUPPLIER],MATCH(,INDIRECT(ADDRESS(ROW(NOTA[ID]),COLUMN(NOTA[ID]))&amp;":"&amp;ADDRESS(ROW(),COLUMN(NOTA[ID]))),-1)))</f>
        <v/>
      </c>
      <c r="AJ204" s="41" t="str">
        <f ca="1">IF(NOTA[[#This Row],[ID_H]]="","",IF(NOTA[[#This Row],[FAKTUR]]="",INDIRECT(ADDRESS(ROW()-1,COLUMN())),NOTA[[#This Row],[FAKTUR]]))</f>
        <v/>
      </c>
      <c r="AK204" s="38" t="str">
        <f ca="1">IF(NOTA[[#This Row],[ID]]="","",COUNTIF(NOTA[ID_H],NOTA[[#This Row],[ID_H]]))</f>
        <v/>
      </c>
      <c r="AL204" s="38" t="str">
        <f ca="1">IF(NOTA[[#This Row],[TGL.NOTA]]="",IF(NOTA[[#This Row],[SUPPLIER_H]]="","",AL203),MONTH(NOTA[[#This Row],[TGL.NOTA]]))</f>
        <v/>
      </c>
      <c r="AM204" s="38" t="str">
        <f>LOWER(SUBSTITUTE(SUBSTITUTE(SUBSTITUTE(SUBSTITUTE(SUBSTITUTE(SUBSTITUTE(SUBSTITUTE(SUBSTITUTE(SUBSTITUTE(NOTA[NAMA BARANG]," ",),".",""),"-",""),"(",""),")",""),",",""),"/",""),"""",""),"+",""))</f>
        <v/>
      </c>
      <c r="AN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4" s="38" t="str">
        <f>IF(NOTA[[#This Row],[CONCAT4]]="","",_xlfn.IFNA(MATCH(NOTA[[#This Row],[CONCAT4]],[2]!RAW[CONCAT_H],0),FALSE))</f>
        <v/>
      </c>
      <c r="AR204" s="38" t="str">
        <f>IF(NOTA[[#This Row],[CONCAT1]]="","",MATCH(NOTA[[#This Row],[CONCAT1]],[3]!db[NB NOTA_C],0))</f>
        <v/>
      </c>
      <c r="AS204" s="38" t="str">
        <f>IF(NOTA[[#This Row],[QTY/ CTN]]="","",TRUE)</f>
        <v/>
      </c>
      <c r="AT204" s="38" t="str">
        <f ca="1">IF(NOTA[[#This Row],[ID_H]]="","",IF(NOTA[[#This Row],[Column3]]=TRUE,NOTA[[#This Row],[QTY/ CTN]],INDEX([3]!db[QTY/ CTN],NOTA[[#This Row],[//DB]])))</f>
        <v/>
      </c>
      <c r="AU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4" s="38" t="str">
        <f ca="1">IF(NOTA[[#This Row],[ID_H]]="","",MATCH(NOTA[[#This Row],[NB NOTA_C_QTY]],[4]!db[NB NOTA_C_QTY+F],0))</f>
        <v/>
      </c>
      <c r="AW204" s="53" t="str">
        <f ca="1">IF(NOTA[[#This Row],[NB NOTA_C_QTY]]="","",ROW()-2)</f>
        <v/>
      </c>
    </row>
    <row r="205" spans="1:49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HAN_1309_137-1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33</v>
      </c>
      <c r="E205" s="46">
        <v>45182</v>
      </c>
      <c r="F205" s="37" t="s">
        <v>122</v>
      </c>
      <c r="G205" s="37" t="s">
        <v>123</v>
      </c>
      <c r="H205" s="47" t="s">
        <v>333</v>
      </c>
      <c r="I205" s="37"/>
      <c r="J205" s="39">
        <v>45182</v>
      </c>
      <c r="K205" s="37"/>
      <c r="L205" s="37" t="s">
        <v>334</v>
      </c>
      <c r="M205" s="40"/>
      <c r="N205" s="38">
        <v>50</v>
      </c>
      <c r="O205" s="37" t="s">
        <v>126</v>
      </c>
      <c r="P205" s="41">
        <v>6100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305000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305000</v>
      </c>
      <c r="AD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305000</v>
      </c>
      <c r="AF205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G205" s="50">
        <f>IF(OR(NOTA[[#This Row],[QTY]]="",NOTA[[#This Row],[HARGA SATUAN]]="",),"",NOTA[[#This Row],[QTY]]*NOTA[[#This Row],[HARGA SATUAN]])</f>
        <v>305000</v>
      </c>
      <c r="AH205" s="39">
        <f ca="1">IF(NOTA[ID_H]="","",INDEX(NOTA[TANGGAL],MATCH(,INDIRECT(ADDRESS(ROW(NOTA[TANGGAL]),COLUMN(NOTA[TANGGAL]))&amp;":"&amp;ADDRESS(ROW(),COLUMN(NOTA[TANGGAL]))),-1)))</f>
        <v>45182</v>
      </c>
      <c r="AI205" s="41" t="str">
        <f ca="1">IF(NOTA[[#This Row],[NAMA BARANG]]="","",INDEX(NOTA[SUPPLIER],MATCH(,INDIRECT(ADDRESS(ROW(NOTA[ID]),COLUMN(NOTA[ID]))&amp;":"&amp;ADDRESS(ROW(),COLUMN(NOTA[ID]))),-1)))</f>
        <v>HANSA</v>
      </c>
      <c r="AJ205" s="41" t="str">
        <f ca="1">IF(NOTA[[#This Row],[ID_H]]="","",IF(NOTA[[#This Row],[FAKTUR]]="",INDIRECT(ADDRESS(ROW()-1,COLUMN())),NOTA[[#This Row],[FAKTUR]]))</f>
        <v>UNTANA</v>
      </c>
      <c r="AK205" s="38">
        <f ca="1">IF(NOTA[[#This Row],[ID]]="","",COUNTIF(NOTA[ID_H],NOTA[[#This Row],[ID_H]]))</f>
        <v>1</v>
      </c>
      <c r="AL205" s="38">
        <f>IF(NOTA[[#This Row],[TGL.NOTA]]="",IF(NOTA[[#This Row],[SUPPLIER_H]]="","",AL204),MONTH(NOTA[[#This Row],[TGL.NOTA]]))</f>
        <v>9</v>
      </c>
      <c r="AM205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0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HANSAUNTANAHN09202313745182malamshintoengb612w</v>
      </c>
      <c r="AQ205" s="38" t="e">
        <f>IF(NOTA[[#This Row],[CONCAT4]]="","",_xlfn.IFNA(MATCH(NOTA[[#This Row],[CONCAT4]],[2]!RAW[CONCAT_H],0),FALSE))</f>
        <v>#REF!</v>
      </c>
      <c r="AR205" s="38">
        <f>IF(NOTA[[#This Row],[CONCAT1]]="","",MATCH(NOTA[[#This Row],[CONCAT1]],[3]!db[NB NOTA_C],0))</f>
        <v>1720</v>
      </c>
      <c r="AS205" s="38" t="str">
        <f>IF(NOTA[[#This Row],[QTY/ CTN]]="","",TRUE)</f>
        <v/>
      </c>
      <c r="AT205" s="38" t="str">
        <f ca="1">IF(NOTA[[#This Row],[ID_H]]="","",IF(NOTA[[#This Row],[Column3]]=TRUE,NOTA[[#This Row],[QTY/ CTN]],INDEX([3]!db[QTY/ CTN],NOTA[[#This Row],[//DB]])))</f>
        <v>150 PCS</v>
      </c>
      <c r="AU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V205" s="38" t="e">
        <f ca="1">IF(NOTA[[#This Row],[ID_H]]="","",MATCH(NOTA[[#This Row],[NB NOTA_C_QTY]],[4]!db[NB NOTA_C_QTY+F],0))</f>
        <v>#REF!</v>
      </c>
      <c r="AW205" s="53">
        <f ca="1">IF(NOTA[[#This Row],[NB NOTA_C_QTY]]="","",ROW()-2)</f>
        <v>203</v>
      </c>
    </row>
    <row r="206" spans="1:49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06" s="50" t="str">
        <f>IF(OR(NOTA[[#This Row],[QTY]]="",NOTA[[#This Row],[HARGA SATUAN]]="",),"",NOTA[[#This Row],[QTY]]*NOTA[[#This Row],[HARGA SATUAN]])</f>
        <v/>
      </c>
      <c r="AH206" s="39" t="str">
        <f ca="1">IF(NOTA[ID_H]="","",INDEX(NOTA[TANGGAL],MATCH(,INDIRECT(ADDRESS(ROW(NOTA[TANGGAL]),COLUMN(NOTA[TANGGAL]))&amp;":"&amp;ADDRESS(ROW(),COLUMN(NOTA[TANGGAL]))),-1)))</f>
        <v/>
      </c>
      <c r="AI206" s="41" t="str">
        <f ca="1">IF(NOTA[[#This Row],[NAMA BARANG]]="","",INDEX(NOTA[SUPPLIER],MATCH(,INDIRECT(ADDRESS(ROW(NOTA[ID]),COLUMN(NOTA[ID]))&amp;":"&amp;ADDRESS(ROW(),COLUMN(NOTA[ID]))),-1)))</f>
        <v/>
      </c>
      <c r="AJ206" s="41" t="str">
        <f ca="1">IF(NOTA[[#This Row],[ID_H]]="","",IF(NOTA[[#This Row],[FAKTUR]]="",INDIRECT(ADDRESS(ROW()-1,COLUMN())),NOTA[[#This Row],[FAKTUR]]))</f>
        <v/>
      </c>
      <c r="AK206" s="38" t="str">
        <f ca="1">IF(NOTA[[#This Row],[ID]]="","",COUNTIF(NOTA[ID_H],NOTA[[#This Row],[ID_H]]))</f>
        <v/>
      </c>
      <c r="AL206" s="38" t="str">
        <f ca="1">IF(NOTA[[#This Row],[TGL.NOTA]]="",IF(NOTA[[#This Row],[SUPPLIER_H]]="","",AL205),MONTH(NOTA[[#This Row],[TGL.NOTA]]))</f>
        <v/>
      </c>
      <c r="AM206" s="38" t="str">
        <f>LOWER(SUBSTITUTE(SUBSTITUTE(SUBSTITUTE(SUBSTITUTE(SUBSTITUTE(SUBSTITUTE(SUBSTITUTE(SUBSTITUTE(SUBSTITUTE(NOTA[NAMA BARANG]," ",),".",""),"-",""),"(",""),")",""),",",""),"/",""),"""",""),"+",""))</f>
        <v/>
      </c>
      <c r="AN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38" t="str">
        <f>IF(NOTA[[#This Row],[CONCAT4]]="","",_xlfn.IFNA(MATCH(NOTA[[#This Row],[CONCAT4]],[2]!RAW[CONCAT_H],0),FALSE))</f>
        <v/>
      </c>
      <c r="AR206" s="38" t="str">
        <f>IF(NOTA[[#This Row],[CONCAT1]]="","",MATCH(NOTA[[#This Row],[CONCAT1]],[3]!db[NB NOTA_C],0))</f>
        <v/>
      </c>
      <c r="AS206" s="38" t="str">
        <f>IF(NOTA[[#This Row],[QTY/ CTN]]="","",TRUE)</f>
        <v/>
      </c>
      <c r="AT206" s="38" t="str">
        <f ca="1">IF(NOTA[[#This Row],[ID_H]]="","",IF(NOTA[[#This Row],[Column3]]=TRUE,NOTA[[#This Row],[QTY/ CTN]],INDEX([3]!db[QTY/ CTN],NOTA[[#This Row],[//DB]])))</f>
        <v/>
      </c>
      <c r="AU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6" s="38" t="str">
        <f ca="1">IF(NOTA[[#This Row],[ID_H]]="","",MATCH(NOTA[[#This Row],[NB NOTA_C_QTY]],[4]!db[NB NOTA_C_QTY+F],0))</f>
        <v/>
      </c>
      <c r="AW206" s="53" t="str">
        <f ca="1">IF(NOTA[[#This Row],[NB NOTA_C_QTY]]="","",ROW()-2)</f>
        <v/>
      </c>
    </row>
    <row r="207" spans="1:49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GLO_1309_004-4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34</v>
      </c>
      <c r="E207" s="46">
        <v>45182</v>
      </c>
      <c r="F207" s="37" t="s">
        <v>335</v>
      </c>
      <c r="G207" s="37" t="s">
        <v>123</v>
      </c>
      <c r="H207" s="47" t="s">
        <v>336</v>
      </c>
      <c r="I207" s="37"/>
      <c r="J207" s="39">
        <v>45180</v>
      </c>
      <c r="K207" s="37"/>
      <c r="L207" s="37" t="s">
        <v>337</v>
      </c>
      <c r="M207" s="40">
        <v>3</v>
      </c>
      <c r="N207" s="38">
        <v>2400</v>
      </c>
      <c r="O207" s="37" t="s">
        <v>126</v>
      </c>
      <c r="P207" s="41">
        <v>2250</v>
      </c>
      <c r="Q207" s="42"/>
      <c r="R207" s="48" t="s">
        <v>338</v>
      </c>
      <c r="S207" s="49">
        <v>0.03</v>
      </c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5400000</v>
      </c>
      <c r="Y207" s="50">
        <f>IF(NOTA[[#This Row],[JUMLAH]]="","",NOTA[[#This Row],[JUMLAH]]*NOTA[[#This Row],[DISC 1]])</f>
        <v>162000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162000</v>
      </c>
      <c r="AC207" s="50">
        <f>IF(NOTA[[#This Row],[JUMLAH]]="","",NOTA[[#This Row],[JUMLAH]]-NOTA[[#This Row],[DISC]])</f>
        <v>5238000</v>
      </c>
      <c r="AD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207" s="50">
        <f>IF(OR(NOTA[[#This Row],[QTY]]="",NOTA[[#This Row],[HARGA SATUAN]]="",),"",NOTA[[#This Row],[QTY]]*NOTA[[#This Row],[HARGA SATUAN]])</f>
        <v>5400000</v>
      </c>
      <c r="AH207" s="39">
        <f ca="1">IF(NOTA[ID_H]="","",INDEX(NOTA[TANGGAL],MATCH(,INDIRECT(ADDRESS(ROW(NOTA[TANGGAL]),COLUMN(NOTA[TANGGAL]))&amp;":"&amp;ADDRESS(ROW(),COLUMN(NOTA[TANGGAL]))),-1)))</f>
        <v>45182</v>
      </c>
      <c r="AI207" s="41" t="str">
        <f ca="1">IF(NOTA[[#This Row],[NAMA BARANG]]="","",INDEX(NOTA[SUPPLIER],MATCH(,INDIRECT(ADDRESS(ROW(NOTA[ID]),COLUMN(NOTA[ID]))&amp;":"&amp;ADDRESS(ROW(),COLUMN(NOTA[ID]))),-1)))</f>
        <v>GLORY</v>
      </c>
      <c r="AJ207" s="41" t="str">
        <f ca="1">IF(NOTA[[#This Row],[ID_H]]="","",IF(NOTA[[#This Row],[FAKTUR]]="",INDIRECT(ADDRESS(ROW()-1,COLUMN())),NOTA[[#This Row],[FAKTUR]]))</f>
        <v>UNTANA</v>
      </c>
      <c r="AK207" s="38">
        <f ca="1">IF(NOTA[[#This Row],[ID]]="","",COUNTIF(NOTA[ID_H],NOTA[[#This Row],[ID_H]]))</f>
        <v>4</v>
      </c>
      <c r="AL207" s="38">
        <f>IF(NOTA[[#This Row],[TGL.NOTA]]="",IF(NOTA[[#This Row],[SUPPLIER_H]]="","",AL206),MONTH(NOTA[[#This Row],[TGL.NOTA]]))</f>
        <v>9</v>
      </c>
      <c r="AM207" s="38" t="str">
        <f>LOWER(SUBSTITUTE(SUBSTITUTE(SUBSTITUTE(SUBSTITUTE(SUBSTITUTE(SUBSTITUTE(SUBSTITUTE(SUBSTITUTE(SUBSTITUTE(NOTA[NAMA BARANG]," ",),".",""),"-",""),"(",""),")",""),",",""),"/",""),"""",""),"+",""))</f>
        <v>bkmwrndottodotif</v>
      </c>
      <c r="AN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bkmwrndottodotif18000000.03</v>
      </c>
      <c r="AO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bkmwrndottodotif18000000.03</v>
      </c>
      <c r="AP20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GLORYUNTANAFP2309000445180bkmwrndottodotif</v>
      </c>
      <c r="AQ207" s="38" t="e">
        <f>IF(NOTA[[#This Row],[CONCAT4]]="","",_xlfn.IFNA(MATCH(NOTA[[#This Row],[CONCAT4]],[2]!RAW[CONCAT_H],0),FALSE))</f>
        <v>#REF!</v>
      </c>
      <c r="AR207" s="38" t="e">
        <f>IF(NOTA[[#This Row],[CONCAT1]]="","",MATCH(NOTA[[#This Row],[CONCAT1]],[3]!db[NB NOTA_C],0))</f>
        <v>#N/A</v>
      </c>
      <c r="AS207" s="38" t="b">
        <f>IF(NOTA[[#This Row],[QTY/ CTN]]="","",TRUE)</f>
        <v>1</v>
      </c>
      <c r="AT207" s="38" t="str">
        <f ca="1">IF(NOTA[[#This Row],[ID_H]]="","",IF(NOTA[[#This Row],[Column3]]=TRUE,NOTA[[#This Row],[QTY/ CTN]],INDEX([3]!db[QTY/ CTN],NOTA[[#This Row],[//DB]])))</f>
        <v>800 PCS</v>
      </c>
      <c r="AU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bkmwrndottodotif800pcsuntana</v>
      </c>
      <c r="AV207" s="38" t="e">
        <f ca="1">IF(NOTA[[#This Row],[ID_H]]="","",MATCH(NOTA[[#This Row],[NB NOTA_C_QTY]],[4]!db[NB NOTA_C_QTY+F],0))</f>
        <v>#REF!</v>
      </c>
      <c r="AW207" s="53">
        <f ca="1">IF(NOTA[[#This Row],[NB NOTA_C_QTY]]="","",ROW()-2)</f>
        <v>205</v>
      </c>
    </row>
    <row r="208" spans="1:49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34</v>
      </c>
      <c r="E208" s="46"/>
      <c r="F208" s="37"/>
      <c r="G208" s="37"/>
      <c r="H208" s="47"/>
      <c r="I208" s="37"/>
      <c r="J208" s="39"/>
      <c r="K208" s="37"/>
      <c r="L208" s="37" t="s">
        <v>339</v>
      </c>
      <c r="M208" s="40">
        <v>3</v>
      </c>
      <c r="N208" s="38">
        <v>1800</v>
      </c>
      <c r="O208" s="37" t="s">
        <v>126</v>
      </c>
      <c r="P208" s="41">
        <v>2250</v>
      </c>
      <c r="Q208" s="42"/>
      <c r="R208" s="48" t="s">
        <v>340</v>
      </c>
      <c r="S208" s="49">
        <v>0.03</v>
      </c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4050000</v>
      </c>
      <c r="Y208" s="50">
        <f>IF(NOTA[[#This Row],[JUMLAH]]="","",NOTA[[#This Row],[JUMLAH]]*NOTA[[#This Row],[DISC 1]])</f>
        <v>121500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121500</v>
      </c>
      <c r="AC208" s="50">
        <f>IF(NOTA[[#This Row],[JUMLAH]]="","",NOTA[[#This Row],[JUMLAH]]-NOTA[[#This Row],[DISC]])</f>
        <v>3928500</v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8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G208" s="50">
        <f>IF(OR(NOTA[[#This Row],[QTY]]="",NOTA[[#This Row],[HARGA SATUAN]]="",),"",NOTA[[#This Row],[QTY]]*NOTA[[#This Row],[HARGA SATUAN]])</f>
        <v>4050000</v>
      </c>
      <c r="AH208" s="39">
        <f ca="1">IF(NOTA[ID_H]="","",INDEX(NOTA[TANGGAL],MATCH(,INDIRECT(ADDRESS(ROW(NOTA[TANGGAL]),COLUMN(NOTA[TANGGAL]))&amp;":"&amp;ADDRESS(ROW(),COLUMN(NOTA[TANGGAL]))),-1)))</f>
        <v>45182</v>
      </c>
      <c r="AI208" s="41" t="str">
        <f ca="1">IF(NOTA[[#This Row],[NAMA BARANG]]="","",INDEX(NOTA[SUPPLIER],MATCH(,INDIRECT(ADDRESS(ROW(NOTA[ID]),COLUMN(NOTA[ID]))&amp;":"&amp;ADDRESS(ROW(),COLUMN(NOTA[ID]))),-1)))</f>
        <v>GLORY</v>
      </c>
      <c r="AJ208" s="41" t="str">
        <f ca="1">IF(NOTA[[#This Row],[ID_H]]="","",IF(NOTA[[#This Row],[FAKTUR]]="",INDIRECT(ADDRESS(ROW()-1,COLUMN())),NOTA[[#This Row],[FAKTUR]]))</f>
        <v>UNTANA</v>
      </c>
      <c r="AK208" s="38" t="str">
        <f ca="1">IF(NOTA[[#This Row],[ID]]="","",COUNTIF(NOTA[ID_H],NOTA[[#This Row],[ID_H]]))</f>
        <v/>
      </c>
      <c r="AL208" s="38">
        <f ca="1">IF(NOTA[[#This Row],[TGL.NOTA]]="",IF(NOTA[[#This Row],[SUPPLIER_H]]="","",AL207),MONTH(NOTA[[#This Row],[TGL.NOTA]]))</f>
        <v>9</v>
      </c>
      <c r="AM208" s="38" t="str">
        <f>LOWER(SUBSTITUTE(SUBSTITUTE(SUBSTITUTE(SUBSTITUTE(SUBSTITUTE(SUBSTITUTE(SUBSTITUTE(SUBSTITUTE(SUBSTITUTE(NOTA[NAMA BARANG]," ",),".",""),"-",""),"(",""),")",""),",",""),"/",""),"""",""),"+",""))</f>
        <v>bkmwrnjumboabjdangka</v>
      </c>
      <c r="AN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bkmwrnjumboabjdangka13500000.03</v>
      </c>
      <c r="AO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bkmwrnjumboabjdangka13500000.03</v>
      </c>
      <c r="AP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38" t="str">
        <f>IF(NOTA[[#This Row],[CONCAT4]]="","",_xlfn.IFNA(MATCH(NOTA[[#This Row],[CONCAT4]],[2]!RAW[CONCAT_H],0),FALSE))</f>
        <v/>
      </c>
      <c r="AR208" s="38" t="e">
        <f>IF(NOTA[[#This Row],[CONCAT1]]="","",MATCH(NOTA[[#This Row],[CONCAT1]],[3]!db[NB NOTA_C],0))</f>
        <v>#N/A</v>
      </c>
      <c r="AS208" s="38" t="b">
        <f>IF(NOTA[[#This Row],[QTY/ CTN]]="","",TRUE)</f>
        <v>1</v>
      </c>
      <c r="AT208" s="38" t="str">
        <f ca="1">IF(NOTA[[#This Row],[ID_H]]="","",IF(NOTA[[#This Row],[Column3]]=TRUE,NOTA[[#This Row],[QTY/ CTN]],INDEX([3]!db[QTY/ CTN],NOTA[[#This Row],[//DB]])))</f>
        <v>600 PCS</v>
      </c>
      <c r="AU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bkmwrnjumboabjdangka600pcsuntana</v>
      </c>
      <c r="AV208" s="38" t="e">
        <f ca="1">IF(NOTA[[#This Row],[ID_H]]="","",MATCH(NOTA[[#This Row],[NB NOTA_C_QTY]],[4]!db[NB NOTA_C_QTY+F],0))</f>
        <v>#REF!</v>
      </c>
      <c r="AW208" s="53">
        <f ca="1">IF(NOTA[[#This Row],[NB NOTA_C_QTY]]="","",ROW()-2)</f>
        <v>206</v>
      </c>
    </row>
    <row r="209" spans="1:49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34</v>
      </c>
      <c r="E209" s="46"/>
      <c r="F209" s="37"/>
      <c r="G209" s="37"/>
      <c r="H209" s="47"/>
      <c r="I209" s="37"/>
      <c r="J209" s="39"/>
      <c r="K209" s="37"/>
      <c r="L209" s="37" t="s">
        <v>341</v>
      </c>
      <c r="M209" s="40">
        <v>3</v>
      </c>
      <c r="N209" s="38">
        <v>1800</v>
      </c>
      <c r="O209" s="37" t="s">
        <v>126</v>
      </c>
      <c r="P209" s="41">
        <v>2250</v>
      </c>
      <c r="Q209" s="42"/>
      <c r="R209" s="48" t="s">
        <v>340</v>
      </c>
      <c r="S209" s="49">
        <v>0.03</v>
      </c>
      <c r="T209" s="44"/>
      <c r="U209" s="44"/>
      <c r="V209" s="50"/>
      <c r="W209" s="45"/>
      <c r="X209" s="50">
        <f>IF(NOTA[[#This Row],[HARGA/ CTN]]="",NOTA[[#This Row],[JUMLAH_H]],NOTA[[#This Row],[HARGA/ CTN]]*IF(NOTA[[#This Row],[C]]="",0,NOTA[[#This Row],[C]]))</f>
        <v>4050000</v>
      </c>
      <c r="Y209" s="50">
        <f>IF(NOTA[[#This Row],[JUMLAH]]="","",NOTA[[#This Row],[JUMLAH]]*NOTA[[#This Row],[DISC 1]])</f>
        <v>121500</v>
      </c>
      <c r="Z209" s="50">
        <f>IF(NOTA[[#This Row],[JUMLAH]]="","",(NOTA[[#This Row],[JUMLAH]]-NOTA[[#This Row],[DISC 1-]])*NOTA[[#This Row],[DISC 2]])</f>
        <v>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121500</v>
      </c>
      <c r="AC209" s="50">
        <f>IF(NOTA[[#This Row],[JUMLAH]]="","",NOTA[[#This Row],[JUMLAH]]-NOTA[[#This Row],[DISC]])</f>
        <v>3928500</v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G209" s="50">
        <f>IF(OR(NOTA[[#This Row],[QTY]]="",NOTA[[#This Row],[HARGA SATUAN]]="",),"",NOTA[[#This Row],[QTY]]*NOTA[[#This Row],[HARGA SATUAN]])</f>
        <v>4050000</v>
      </c>
      <c r="AH209" s="39">
        <f ca="1">IF(NOTA[ID_H]="","",INDEX(NOTA[TANGGAL],MATCH(,INDIRECT(ADDRESS(ROW(NOTA[TANGGAL]),COLUMN(NOTA[TANGGAL]))&amp;":"&amp;ADDRESS(ROW(),COLUMN(NOTA[TANGGAL]))),-1)))</f>
        <v>45182</v>
      </c>
      <c r="AI209" s="41" t="str">
        <f ca="1">IF(NOTA[[#This Row],[NAMA BARANG]]="","",INDEX(NOTA[SUPPLIER],MATCH(,INDIRECT(ADDRESS(ROW(NOTA[ID]),COLUMN(NOTA[ID]))&amp;":"&amp;ADDRESS(ROW(),COLUMN(NOTA[ID]))),-1)))</f>
        <v>GLORY</v>
      </c>
      <c r="AJ209" s="41" t="str">
        <f ca="1">IF(NOTA[[#This Row],[ID_H]]="","",IF(NOTA[[#This Row],[FAKTUR]]="",INDIRECT(ADDRESS(ROW()-1,COLUMN())),NOTA[[#This Row],[FAKTUR]]))</f>
        <v>UNTANA</v>
      </c>
      <c r="AK209" s="38" t="str">
        <f ca="1">IF(NOTA[[#This Row],[ID]]="","",COUNTIF(NOTA[ID_H],NOTA[[#This Row],[ID_H]]))</f>
        <v/>
      </c>
      <c r="AL209" s="38">
        <f ca="1">IF(NOTA[[#This Row],[TGL.NOTA]]="",IF(NOTA[[#This Row],[SUPPLIER_H]]="","",AL208),MONTH(NOTA[[#This Row],[TGL.NOTA]]))</f>
        <v>9</v>
      </c>
      <c r="AM209" s="38" t="str">
        <f>LOWER(SUBSTITUTE(SUBSTITUTE(SUBSTITUTE(SUBSTITUTE(SUBSTITUTE(SUBSTITUTE(SUBSTITUTE(SUBSTITUTE(SUBSTITUTE(NOTA[NAMA BARANG]," ",),".",""),"-",""),"(",""),")",""),",",""),"/",""),"""",""),"+",""))</f>
        <v>bkmwrn4seriejumboif</v>
      </c>
      <c r="AN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bkmwrn4seriejumboif13500000.03</v>
      </c>
      <c r="AO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bkmwrn4seriejumboif13500000.03</v>
      </c>
      <c r="AP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38" t="str">
        <f>IF(NOTA[[#This Row],[CONCAT4]]="","",_xlfn.IFNA(MATCH(NOTA[[#This Row],[CONCAT4]],[2]!RAW[CONCAT_H],0),FALSE))</f>
        <v/>
      </c>
      <c r="AR209" s="38">
        <f>IF(NOTA[[#This Row],[CONCAT1]]="","",MATCH(NOTA[[#This Row],[CONCAT1]],[3]!db[NB NOTA_C],0))</f>
        <v>331</v>
      </c>
      <c r="AS209" s="38" t="b">
        <f>IF(NOTA[[#This Row],[QTY/ CTN]]="","",TRUE)</f>
        <v>1</v>
      </c>
      <c r="AT209" s="38" t="str">
        <f ca="1">IF(NOTA[[#This Row],[ID_H]]="","",IF(NOTA[[#This Row],[Column3]]=TRUE,NOTA[[#This Row],[QTY/ CTN]],INDEX([3]!db[QTY/ CTN],NOTA[[#This Row],[//DB]])))</f>
        <v>600 PCS</v>
      </c>
      <c r="AU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bkmwrn4seriejumboif600pcsuntana</v>
      </c>
      <c r="AV209" s="38" t="e">
        <f ca="1">IF(NOTA[[#This Row],[ID_H]]="","",MATCH(NOTA[[#This Row],[NB NOTA_C_QTY]],[4]!db[NB NOTA_C_QTY+F],0))</f>
        <v>#REF!</v>
      </c>
      <c r="AW209" s="53">
        <f ca="1">IF(NOTA[[#This Row],[NB NOTA_C_QTY]]="","",ROW()-2)</f>
        <v>207</v>
      </c>
    </row>
    <row r="210" spans="1:49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34</v>
      </c>
      <c r="E210" s="46"/>
      <c r="F210" s="37"/>
      <c r="G210" s="37"/>
      <c r="H210" s="47"/>
      <c r="I210" s="37"/>
      <c r="J210" s="39"/>
      <c r="K210" s="37"/>
      <c r="L210" s="37" t="s">
        <v>342</v>
      </c>
      <c r="M210" s="40">
        <v>3</v>
      </c>
      <c r="N210" s="38">
        <v>1800</v>
      </c>
      <c r="O210" s="37" t="s">
        <v>126</v>
      </c>
      <c r="P210" s="41">
        <v>2300</v>
      </c>
      <c r="Q210" s="42"/>
      <c r="R210" s="48" t="s">
        <v>340</v>
      </c>
      <c r="S210" s="49">
        <v>0.03</v>
      </c>
      <c r="T210" s="44"/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4140000</v>
      </c>
      <c r="Y210" s="50">
        <f>IF(NOTA[[#This Row],[JUMLAH]]="","",NOTA[[#This Row],[JUMLAH]]*NOTA[[#This Row],[DISC 1]])</f>
        <v>124200</v>
      </c>
      <c r="Z210" s="50">
        <f>IF(NOTA[[#This Row],[JUMLAH]]="","",(NOTA[[#This Row],[JUMLAH]]-NOTA[[#This Row],[DISC 1-]])*NOTA[[#This Row],[DISC 2]])</f>
        <v>0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124200</v>
      </c>
      <c r="AC210" s="50">
        <f>IF(NOTA[[#This Row],[JUMLAH]]="","",NOTA[[#This Row],[JUMLAH]]-NOTA[[#This Row],[DISC]])</f>
        <v>4015800</v>
      </c>
      <c r="AD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529200</v>
      </c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17110800</v>
      </c>
      <c r="AF210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G210" s="50">
        <f>IF(OR(NOTA[[#This Row],[QTY]]="",NOTA[[#This Row],[HARGA SATUAN]]="",),"",NOTA[[#This Row],[QTY]]*NOTA[[#This Row],[HARGA SATUAN]])</f>
        <v>4140000</v>
      </c>
      <c r="AH210" s="39">
        <f ca="1">IF(NOTA[ID_H]="","",INDEX(NOTA[TANGGAL],MATCH(,INDIRECT(ADDRESS(ROW(NOTA[TANGGAL]),COLUMN(NOTA[TANGGAL]))&amp;":"&amp;ADDRESS(ROW(),COLUMN(NOTA[TANGGAL]))),-1)))</f>
        <v>45182</v>
      </c>
      <c r="AI210" s="41" t="str">
        <f ca="1">IF(NOTA[[#This Row],[NAMA BARANG]]="","",INDEX(NOTA[SUPPLIER],MATCH(,INDIRECT(ADDRESS(ROW(NOTA[ID]),COLUMN(NOTA[ID]))&amp;":"&amp;ADDRESS(ROW(),COLUMN(NOTA[ID]))),-1)))</f>
        <v>GLORY</v>
      </c>
      <c r="AJ210" s="41" t="str">
        <f ca="1">IF(NOTA[[#This Row],[ID_H]]="","",IF(NOTA[[#This Row],[FAKTUR]]="",INDIRECT(ADDRESS(ROW()-1,COLUMN())),NOTA[[#This Row],[FAKTUR]]))</f>
        <v>UNTANA</v>
      </c>
      <c r="AK210" s="38" t="str">
        <f ca="1">IF(NOTA[[#This Row],[ID]]="","",COUNTIF(NOTA[ID_H],NOTA[[#This Row],[ID_H]]))</f>
        <v/>
      </c>
      <c r="AL210" s="38">
        <f ca="1">IF(NOTA[[#This Row],[TGL.NOTA]]="",IF(NOTA[[#This Row],[SUPPLIER_H]]="","",AL209),MONTH(NOTA[[#This Row],[TGL.NOTA]]))</f>
        <v>9</v>
      </c>
      <c r="AM210" s="38" t="str">
        <f>LOWER(SUBSTITUTE(SUBSTITUTE(SUBSTITUTE(SUBSTITUTE(SUBSTITUTE(SUBSTITUTE(SUBSTITUTE(SUBSTITUTE(SUBSTITUTE(NOTA[NAMA BARANG]," ",),".",""),"-",""),"(",""),")",""),",",""),"/",""),"""",""),"+",""))</f>
        <v>bkmwrnjumbopondif</v>
      </c>
      <c r="AN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bkmwrnjumbopondif13800000.03</v>
      </c>
      <c r="AO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bkmwrnjumbopondif13800000.03</v>
      </c>
      <c r="AP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38" t="str">
        <f>IF(NOTA[[#This Row],[CONCAT4]]="","",_xlfn.IFNA(MATCH(NOTA[[#This Row],[CONCAT4]],[2]!RAW[CONCAT_H],0),FALSE))</f>
        <v/>
      </c>
      <c r="AR210" s="38" t="e">
        <f>IF(NOTA[[#This Row],[CONCAT1]]="","",MATCH(NOTA[[#This Row],[CONCAT1]],[3]!db[NB NOTA_C],0))</f>
        <v>#N/A</v>
      </c>
      <c r="AS210" s="38" t="b">
        <f>IF(NOTA[[#This Row],[QTY/ CTN]]="","",TRUE)</f>
        <v>1</v>
      </c>
      <c r="AT210" s="38" t="str">
        <f ca="1">IF(NOTA[[#This Row],[ID_H]]="","",IF(NOTA[[#This Row],[Column3]]=TRUE,NOTA[[#This Row],[QTY/ CTN]],INDEX([3]!db[QTY/ CTN],NOTA[[#This Row],[//DB]])))</f>
        <v>600 PCS</v>
      </c>
      <c r="AU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bkmwrnjumbopondif600pcsuntana</v>
      </c>
      <c r="AV210" s="38" t="e">
        <f ca="1">IF(NOTA[[#This Row],[ID_H]]="","",MATCH(NOTA[[#This Row],[NB NOTA_C_QTY]],[4]!db[NB NOTA_C_QTY+F],0))</f>
        <v>#REF!</v>
      </c>
      <c r="AW210" s="53">
        <f ca="1">IF(NOTA[[#This Row],[NB NOTA_C_QTY]]="","",ROW()-2)</f>
        <v>208</v>
      </c>
    </row>
    <row r="211" spans="1:49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11" s="50" t="str">
        <f>IF(OR(NOTA[[#This Row],[QTY]]="",NOTA[[#This Row],[HARGA SATUAN]]="",),"",NOTA[[#This Row],[QTY]]*NOTA[[#This Row],[HARGA SATUAN]])</f>
        <v/>
      </c>
      <c r="AH211" s="39" t="str">
        <f ca="1">IF(NOTA[ID_H]="","",INDEX(NOTA[TANGGAL],MATCH(,INDIRECT(ADDRESS(ROW(NOTA[TANGGAL]),COLUMN(NOTA[TANGGAL]))&amp;":"&amp;ADDRESS(ROW(),COLUMN(NOTA[TANGGAL]))),-1)))</f>
        <v/>
      </c>
      <c r="AI211" s="41" t="str">
        <f ca="1">IF(NOTA[[#This Row],[NAMA BARANG]]="","",INDEX(NOTA[SUPPLIER],MATCH(,INDIRECT(ADDRESS(ROW(NOTA[ID]),COLUMN(NOTA[ID]))&amp;":"&amp;ADDRESS(ROW(),COLUMN(NOTA[ID]))),-1)))</f>
        <v/>
      </c>
      <c r="AJ211" s="41" t="str">
        <f ca="1">IF(NOTA[[#This Row],[ID_H]]="","",IF(NOTA[[#This Row],[FAKTUR]]="",INDIRECT(ADDRESS(ROW()-1,COLUMN())),NOTA[[#This Row],[FAKTUR]]))</f>
        <v/>
      </c>
      <c r="AK211" s="38" t="str">
        <f ca="1">IF(NOTA[[#This Row],[ID]]="","",COUNTIF(NOTA[ID_H],NOTA[[#This Row],[ID_H]]))</f>
        <v/>
      </c>
      <c r="AL211" s="38" t="str">
        <f ca="1">IF(NOTA[[#This Row],[TGL.NOTA]]="",IF(NOTA[[#This Row],[SUPPLIER_H]]="","",AL210),MONTH(NOTA[[#This Row],[TGL.NOTA]]))</f>
        <v/>
      </c>
      <c r="AM211" s="38" t="str">
        <f>LOWER(SUBSTITUTE(SUBSTITUTE(SUBSTITUTE(SUBSTITUTE(SUBSTITUTE(SUBSTITUTE(SUBSTITUTE(SUBSTITUTE(SUBSTITUTE(NOTA[NAMA BARANG]," ",),".",""),"-",""),"(",""),")",""),",",""),"/",""),"""",""),"+",""))</f>
        <v/>
      </c>
      <c r="AN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38" t="str">
        <f>IF(NOTA[[#This Row],[CONCAT4]]="","",_xlfn.IFNA(MATCH(NOTA[[#This Row],[CONCAT4]],[2]!RAW[CONCAT_H],0),FALSE))</f>
        <v/>
      </c>
      <c r="AR211" s="38" t="str">
        <f>IF(NOTA[[#This Row],[CONCAT1]]="","",MATCH(NOTA[[#This Row],[CONCAT1]],[3]!db[NB NOTA_C],0))</f>
        <v/>
      </c>
      <c r="AS211" s="38" t="str">
        <f>IF(NOTA[[#This Row],[QTY/ CTN]]="","",TRUE)</f>
        <v/>
      </c>
      <c r="AT211" s="38" t="str">
        <f ca="1">IF(NOTA[[#This Row],[ID_H]]="","",IF(NOTA[[#This Row],[Column3]]=TRUE,NOTA[[#This Row],[QTY/ CTN]],INDEX([3]!db[QTY/ CTN],NOTA[[#This Row],[//DB]])))</f>
        <v/>
      </c>
      <c r="AU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1" s="38" t="str">
        <f ca="1">IF(NOTA[[#This Row],[ID_H]]="","",MATCH(NOTA[[#This Row],[NB NOTA_C_QTY]],[4]!db[NB NOTA_C_QTY+F],0))</f>
        <v/>
      </c>
      <c r="AW211" s="53" t="str">
        <f ca="1">IF(NOTA[[#This Row],[NB NOTA_C_QTY]]="","",ROW()-2)</f>
        <v/>
      </c>
    </row>
    <row r="212" spans="1:49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GLO_1309_005-4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35</v>
      </c>
      <c r="E212" s="46">
        <v>45182</v>
      </c>
      <c r="F212" s="37" t="s">
        <v>335</v>
      </c>
      <c r="G212" s="37" t="s">
        <v>123</v>
      </c>
      <c r="H212" s="47" t="s">
        <v>343</v>
      </c>
      <c r="I212" s="37"/>
      <c r="J212" s="39">
        <v>45181</v>
      </c>
      <c r="K212" s="37"/>
      <c r="L212" s="37" t="s">
        <v>344</v>
      </c>
      <c r="M212" s="40">
        <v>28</v>
      </c>
      <c r="N212" s="38">
        <v>33600</v>
      </c>
      <c r="O212" s="37" t="s">
        <v>126</v>
      </c>
      <c r="P212" s="41">
        <v>400</v>
      </c>
      <c r="Q212" s="42"/>
      <c r="R212" s="48" t="s">
        <v>345</v>
      </c>
      <c r="S212" s="49"/>
      <c r="T212" s="44"/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13440000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13440000</v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2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G212" s="50">
        <f>IF(OR(NOTA[[#This Row],[QTY]]="",NOTA[[#This Row],[HARGA SATUAN]]="",),"",NOTA[[#This Row],[QTY]]*NOTA[[#This Row],[HARGA SATUAN]])</f>
        <v>13440000</v>
      </c>
      <c r="AH212" s="39">
        <f ca="1">IF(NOTA[ID_H]="","",INDEX(NOTA[TANGGAL],MATCH(,INDIRECT(ADDRESS(ROW(NOTA[TANGGAL]),COLUMN(NOTA[TANGGAL]))&amp;":"&amp;ADDRESS(ROW(),COLUMN(NOTA[TANGGAL]))),-1)))</f>
        <v>45182</v>
      </c>
      <c r="AI212" s="41" t="str">
        <f ca="1">IF(NOTA[[#This Row],[NAMA BARANG]]="","",INDEX(NOTA[SUPPLIER],MATCH(,INDIRECT(ADDRESS(ROW(NOTA[ID]),COLUMN(NOTA[ID]))&amp;":"&amp;ADDRESS(ROW(),COLUMN(NOTA[ID]))),-1)))</f>
        <v>GLORY</v>
      </c>
      <c r="AJ212" s="41" t="str">
        <f ca="1">IF(NOTA[[#This Row],[ID_H]]="","",IF(NOTA[[#This Row],[FAKTUR]]="",INDIRECT(ADDRESS(ROW()-1,COLUMN())),NOTA[[#This Row],[FAKTUR]]))</f>
        <v>UNTANA</v>
      </c>
      <c r="AK212" s="38">
        <f ca="1">IF(NOTA[[#This Row],[ID]]="","",COUNTIF(NOTA[ID_H],NOTA[[#This Row],[ID_H]]))</f>
        <v>4</v>
      </c>
      <c r="AL212" s="38">
        <f>IF(NOTA[[#This Row],[TGL.NOTA]]="",IF(NOTA[[#This Row],[SUPPLIER_H]]="","",AL211),MONTH(NOTA[[#This Row],[TGL.NOTA]]))</f>
        <v>9</v>
      </c>
      <c r="AM212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N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origamisukungbox12x12480000</v>
      </c>
      <c r="AO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origamisukungbox12x12480000</v>
      </c>
      <c r="AP21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GLORYUNTANAFP2309000545181origamisukungbox12x12</v>
      </c>
      <c r="AQ212" s="38" t="e">
        <f>IF(NOTA[[#This Row],[CONCAT4]]="","",_xlfn.IFNA(MATCH(NOTA[[#This Row],[CONCAT4]],[2]!RAW[CONCAT_H],0),FALSE))</f>
        <v>#REF!</v>
      </c>
      <c r="AR212" s="38" t="e">
        <f>IF(NOTA[[#This Row],[CONCAT1]]="","",MATCH(NOTA[[#This Row],[CONCAT1]],[3]!db[NB NOTA_C],0))</f>
        <v>#N/A</v>
      </c>
      <c r="AS212" s="38" t="b">
        <f>IF(NOTA[[#This Row],[QTY/ CTN]]="","",TRUE)</f>
        <v>1</v>
      </c>
      <c r="AT212" s="38" t="str">
        <f ca="1">IF(NOTA[[#This Row],[ID_H]]="","",IF(NOTA[[#This Row],[Column3]]=TRUE,NOTA[[#This Row],[QTY/ CTN]],INDEX([3]!db[QTY/ CTN],NOTA[[#This Row],[//DB]])))</f>
        <v>1200 PCS</v>
      </c>
      <c r="AU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V212" s="38" t="e">
        <f ca="1">IF(NOTA[[#This Row],[ID_H]]="","",MATCH(NOTA[[#This Row],[NB NOTA_C_QTY]],[4]!db[NB NOTA_C_QTY+F],0))</f>
        <v>#REF!</v>
      </c>
      <c r="AW212" s="53">
        <f ca="1">IF(NOTA[[#This Row],[NB NOTA_C_QTY]]="","",ROW()-2)</f>
        <v>210</v>
      </c>
    </row>
    <row r="213" spans="1:49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35</v>
      </c>
      <c r="E213" s="46"/>
      <c r="F213" s="37"/>
      <c r="G213" s="37"/>
      <c r="H213" s="47"/>
      <c r="I213" s="37"/>
      <c r="J213" s="39"/>
      <c r="K213" s="37"/>
      <c r="L213" s="37" t="s">
        <v>344</v>
      </c>
      <c r="M213" s="40"/>
      <c r="N213" s="38">
        <v>690</v>
      </c>
      <c r="O213" s="37" t="s">
        <v>126</v>
      </c>
      <c r="P213" s="41">
        <v>400</v>
      </c>
      <c r="Q213" s="42"/>
      <c r="R213" s="48" t="s">
        <v>345</v>
      </c>
      <c r="S213" s="49"/>
      <c r="T213" s="44"/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276000</v>
      </c>
      <c r="Y213" s="50">
        <f>IF(NOTA[[#This Row],[JUMLAH]]="","",NOTA[[#This Row],[JUMLAH]]*NOTA[[#This Row],[DISC 1]])</f>
        <v>0</v>
      </c>
      <c r="Z213" s="50">
        <f>IF(NOTA[[#This Row],[JUMLAH]]="","",(NOTA[[#This Row],[JUMLAH]]-NOTA[[#This Row],[DISC 1-]])*NOTA[[#This Row],[DISC 2]])</f>
        <v>0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0</v>
      </c>
      <c r="AC213" s="50">
        <f>IF(NOTA[[#This Row],[JUMLAH]]="","",NOTA[[#This Row],[JUMLAH]]-NOTA[[#This Row],[DISC]])</f>
        <v>276000</v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3" s="41">
        <f>IF(NOTA[[#This Row],[NAMA BARANG]]="","",IF(NOTA[[#This Row],[JUMLAH_H]]="",NOTA[[#This Row],[HARGA/ CTN]],NOTA[[#This Row],[QTY]]*NOTA[[#This Row],[HARGA SATUAN]]/IF(ISNUMBER(NOTA[[#This Row],[C]]),NOTA[[#This Row],[C]],1)))</f>
        <v>276000</v>
      </c>
      <c r="AG213" s="50">
        <f>IF(OR(NOTA[[#This Row],[QTY]]="",NOTA[[#This Row],[HARGA SATUAN]]="",),"",NOTA[[#This Row],[QTY]]*NOTA[[#This Row],[HARGA SATUAN]])</f>
        <v>276000</v>
      </c>
      <c r="AH213" s="39">
        <f ca="1">IF(NOTA[ID_H]="","",INDEX(NOTA[TANGGAL],MATCH(,INDIRECT(ADDRESS(ROW(NOTA[TANGGAL]),COLUMN(NOTA[TANGGAL]))&amp;":"&amp;ADDRESS(ROW(),COLUMN(NOTA[TANGGAL]))),-1)))</f>
        <v>45182</v>
      </c>
      <c r="AI213" s="41" t="str">
        <f ca="1">IF(NOTA[[#This Row],[NAMA BARANG]]="","",INDEX(NOTA[SUPPLIER],MATCH(,INDIRECT(ADDRESS(ROW(NOTA[ID]),COLUMN(NOTA[ID]))&amp;":"&amp;ADDRESS(ROW(),COLUMN(NOTA[ID]))),-1)))</f>
        <v>GLORY</v>
      </c>
      <c r="AJ213" s="41" t="str">
        <f ca="1">IF(NOTA[[#This Row],[ID_H]]="","",IF(NOTA[[#This Row],[FAKTUR]]="",INDIRECT(ADDRESS(ROW()-1,COLUMN())),NOTA[[#This Row],[FAKTUR]]))</f>
        <v>UNTANA</v>
      </c>
      <c r="AK213" s="38" t="str">
        <f ca="1">IF(NOTA[[#This Row],[ID]]="","",COUNTIF(NOTA[ID_H],NOTA[[#This Row],[ID_H]]))</f>
        <v/>
      </c>
      <c r="AL213" s="38">
        <f ca="1">IF(NOTA[[#This Row],[TGL.NOTA]]="",IF(NOTA[[#This Row],[SUPPLIER_H]]="","",AL212),MONTH(NOTA[[#This Row],[TGL.NOTA]]))</f>
        <v>9</v>
      </c>
      <c r="AM213" s="38" t="str">
        <f>LOWER(SUBSTITUTE(SUBSTITUTE(SUBSTITUTE(SUBSTITUTE(SUBSTITUTE(SUBSTITUTE(SUBSTITUTE(SUBSTITUTE(SUBSTITUTE(NOTA[NAMA BARANG]," ",),".",""),"-",""),"(",""),")",""),",",""),"/",""),"""",""),"+",""))</f>
        <v>origamisukungbox12x12</v>
      </c>
      <c r="AN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origamisukungbox12x12276000</v>
      </c>
      <c r="AO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origamisukungbox12x12400</v>
      </c>
      <c r="AP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38" t="str">
        <f>IF(NOTA[[#This Row],[CONCAT4]]="","",_xlfn.IFNA(MATCH(NOTA[[#This Row],[CONCAT4]],[2]!RAW[CONCAT_H],0),FALSE))</f>
        <v/>
      </c>
      <c r="AR213" s="38" t="e">
        <f>IF(NOTA[[#This Row],[CONCAT1]]="","",MATCH(NOTA[[#This Row],[CONCAT1]],[3]!db[NB NOTA_C],0))</f>
        <v>#N/A</v>
      </c>
      <c r="AS213" s="38" t="b">
        <f>IF(NOTA[[#This Row],[QTY/ CTN]]="","",TRUE)</f>
        <v>1</v>
      </c>
      <c r="AT213" s="38" t="str">
        <f ca="1">IF(NOTA[[#This Row],[ID_H]]="","",IF(NOTA[[#This Row],[Column3]]=TRUE,NOTA[[#This Row],[QTY/ CTN]],INDEX([3]!db[QTY/ CTN],NOTA[[#This Row],[//DB]])))</f>
        <v>1200 PCS</v>
      </c>
      <c r="AU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origamisukungbox12x121200pcsuntana</v>
      </c>
      <c r="AV213" s="38" t="e">
        <f ca="1">IF(NOTA[[#This Row],[ID_H]]="","",MATCH(NOTA[[#This Row],[NB NOTA_C_QTY]],[4]!db[NB NOTA_C_QTY+F],0))</f>
        <v>#REF!</v>
      </c>
      <c r="AW213" s="53">
        <f ca="1">IF(NOTA[[#This Row],[NB NOTA_C_QTY]]="","",ROW()-2)</f>
        <v>211</v>
      </c>
    </row>
    <row r="214" spans="1:49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35</v>
      </c>
      <c r="E214" s="46"/>
      <c r="F214" s="37"/>
      <c r="G214" s="37"/>
      <c r="H214" s="47"/>
      <c r="I214" s="37"/>
      <c r="J214" s="39"/>
      <c r="K214" s="37"/>
      <c r="L214" s="37" t="s">
        <v>346</v>
      </c>
      <c r="M214" s="40">
        <v>10</v>
      </c>
      <c r="N214" s="38">
        <v>9000</v>
      </c>
      <c r="O214" s="37" t="s">
        <v>126</v>
      </c>
      <c r="P214" s="41">
        <v>500</v>
      </c>
      <c r="Q214" s="42"/>
      <c r="R214" s="48" t="s">
        <v>347</v>
      </c>
      <c r="S214" s="49"/>
      <c r="T214" s="44"/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4500000</v>
      </c>
      <c r="Y214" s="50">
        <f>IF(NOTA[[#This Row],[JUMLAH]]="","",NOTA[[#This Row],[JUMLAH]]*NOTA[[#This Row],[DISC 1]])</f>
        <v>0</v>
      </c>
      <c r="Z214" s="50">
        <f>IF(NOTA[[#This Row],[JUMLAH]]="","",(NOTA[[#This Row],[JUMLAH]]-NOTA[[#This Row],[DISC 1-]])*NOTA[[#This Row],[DISC 2]])</f>
        <v>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0</v>
      </c>
      <c r="AC214" s="50">
        <f>IF(NOTA[[#This Row],[JUMLAH]]="","",NOTA[[#This Row],[JUMLAH]]-NOTA[[#This Row],[DISC]])</f>
        <v>4500000</v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4" s="41">
        <f>IF(NOTA[[#This Row],[NAMA BARANG]]="","",IF(NOTA[[#This Row],[JUMLAH_H]]="",NOTA[[#This Row],[HARGA/ CTN]],NOTA[[#This Row],[QTY]]*NOTA[[#This Row],[HARGA SATUAN]]/IF(ISNUMBER(NOTA[[#This Row],[C]]),NOTA[[#This Row],[C]],1)))</f>
        <v>450000</v>
      </c>
      <c r="AG214" s="50">
        <f>IF(OR(NOTA[[#This Row],[QTY]]="",NOTA[[#This Row],[HARGA SATUAN]]="",),"",NOTA[[#This Row],[QTY]]*NOTA[[#This Row],[HARGA SATUAN]])</f>
        <v>4500000</v>
      </c>
      <c r="AH214" s="39">
        <f ca="1">IF(NOTA[ID_H]="","",INDEX(NOTA[TANGGAL],MATCH(,INDIRECT(ADDRESS(ROW(NOTA[TANGGAL]),COLUMN(NOTA[TANGGAL]))&amp;":"&amp;ADDRESS(ROW(),COLUMN(NOTA[TANGGAL]))),-1)))</f>
        <v>45182</v>
      </c>
      <c r="AI214" s="41" t="str">
        <f ca="1">IF(NOTA[[#This Row],[NAMA BARANG]]="","",INDEX(NOTA[SUPPLIER],MATCH(,INDIRECT(ADDRESS(ROW(NOTA[ID]),COLUMN(NOTA[ID]))&amp;":"&amp;ADDRESS(ROW(),COLUMN(NOTA[ID]))),-1)))</f>
        <v>GLORY</v>
      </c>
      <c r="AJ214" s="41" t="str">
        <f ca="1">IF(NOTA[[#This Row],[ID_H]]="","",IF(NOTA[[#This Row],[FAKTUR]]="",INDIRECT(ADDRESS(ROW()-1,COLUMN())),NOTA[[#This Row],[FAKTUR]]))</f>
        <v>UNTANA</v>
      </c>
      <c r="AK214" s="38" t="str">
        <f ca="1">IF(NOTA[[#This Row],[ID]]="","",COUNTIF(NOTA[ID_H],NOTA[[#This Row],[ID_H]]))</f>
        <v/>
      </c>
      <c r="AL214" s="38">
        <f ca="1">IF(NOTA[[#This Row],[TGL.NOTA]]="",IF(NOTA[[#This Row],[SUPPLIER_H]]="","",AL213),MONTH(NOTA[[#This Row],[TGL.NOTA]]))</f>
        <v>9</v>
      </c>
      <c r="AM214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N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origamisukungbox14x14450000</v>
      </c>
      <c r="AO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origamisukungbox14x14450000</v>
      </c>
      <c r="AP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38" t="str">
        <f>IF(NOTA[[#This Row],[CONCAT4]]="","",_xlfn.IFNA(MATCH(NOTA[[#This Row],[CONCAT4]],[2]!RAW[CONCAT_H],0),FALSE))</f>
        <v/>
      </c>
      <c r="AR214" s="38" t="e">
        <f>IF(NOTA[[#This Row],[CONCAT1]]="","",MATCH(NOTA[[#This Row],[CONCAT1]],[3]!db[NB NOTA_C],0))</f>
        <v>#N/A</v>
      </c>
      <c r="AS214" s="38" t="b">
        <f>IF(NOTA[[#This Row],[QTY/ CTN]]="","",TRUE)</f>
        <v>1</v>
      </c>
      <c r="AT214" s="38" t="str">
        <f ca="1">IF(NOTA[[#This Row],[ID_H]]="","",IF(NOTA[[#This Row],[Column3]]=TRUE,NOTA[[#This Row],[QTY/ CTN]],INDEX([3]!db[QTY/ CTN],NOTA[[#This Row],[//DB]])))</f>
        <v>900 PCS</v>
      </c>
      <c r="AU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V214" s="38" t="e">
        <f ca="1">IF(NOTA[[#This Row],[ID_H]]="","",MATCH(NOTA[[#This Row],[NB NOTA_C_QTY]],[4]!db[NB NOTA_C_QTY+F],0))</f>
        <v>#REF!</v>
      </c>
      <c r="AW214" s="53">
        <f ca="1">IF(NOTA[[#This Row],[NB NOTA_C_QTY]]="","",ROW()-2)</f>
        <v>212</v>
      </c>
    </row>
    <row r="215" spans="1:49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35</v>
      </c>
      <c r="E215" s="46"/>
      <c r="F215" s="37"/>
      <c r="G215" s="37"/>
      <c r="H215" s="47"/>
      <c r="I215" s="37"/>
      <c r="J215" s="39"/>
      <c r="K215" s="37"/>
      <c r="L215" s="37" t="s">
        <v>346</v>
      </c>
      <c r="M215" s="40"/>
      <c r="N215" s="38">
        <v>996</v>
      </c>
      <c r="O215" s="37" t="s">
        <v>126</v>
      </c>
      <c r="P215" s="41">
        <v>500</v>
      </c>
      <c r="Q215" s="42"/>
      <c r="R215" s="48" t="s">
        <v>347</v>
      </c>
      <c r="S215" s="49"/>
      <c r="T215" s="44"/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498000</v>
      </c>
      <c r="Y215" s="50">
        <f>IF(NOTA[[#This Row],[JUMLAH]]="","",NOTA[[#This Row],[JUMLAH]]*NOTA[[#This Row],[DISC 1]])</f>
        <v>0</v>
      </c>
      <c r="Z215" s="50">
        <f>IF(NOTA[[#This Row],[JUMLAH]]="","",(NOTA[[#This Row],[JUMLAH]]-NOTA[[#This Row],[DISC 1-]])*NOTA[[#This Row],[DISC 2]])</f>
        <v>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0</v>
      </c>
      <c r="AC215" s="50">
        <f>IF(NOTA[[#This Row],[JUMLAH]]="","",NOTA[[#This Row],[JUMLAH]]-NOTA[[#This Row],[DISC]])</f>
        <v>498000</v>
      </c>
      <c r="AD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18714000</v>
      </c>
      <c r="AF215" s="41">
        <f>IF(NOTA[[#This Row],[NAMA BARANG]]="","",IF(NOTA[[#This Row],[JUMLAH_H]]="",NOTA[[#This Row],[HARGA/ CTN]],NOTA[[#This Row],[QTY]]*NOTA[[#This Row],[HARGA SATUAN]]/IF(ISNUMBER(NOTA[[#This Row],[C]]),NOTA[[#This Row],[C]],1)))</f>
        <v>498000</v>
      </c>
      <c r="AG215" s="50">
        <f>IF(OR(NOTA[[#This Row],[QTY]]="",NOTA[[#This Row],[HARGA SATUAN]]="",),"",NOTA[[#This Row],[QTY]]*NOTA[[#This Row],[HARGA SATUAN]])</f>
        <v>498000</v>
      </c>
      <c r="AH215" s="39">
        <f ca="1">IF(NOTA[ID_H]="","",INDEX(NOTA[TANGGAL],MATCH(,INDIRECT(ADDRESS(ROW(NOTA[TANGGAL]),COLUMN(NOTA[TANGGAL]))&amp;":"&amp;ADDRESS(ROW(),COLUMN(NOTA[TANGGAL]))),-1)))</f>
        <v>45182</v>
      </c>
      <c r="AI215" s="41" t="str">
        <f ca="1">IF(NOTA[[#This Row],[NAMA BARANG]]="","",INDEX(NOTA[SUPPLIER],MATCH(,INDIRECT(ADDRESS(ROW(NOTA[ID]),COLUMN(NOTA[ID]))&amp;":"&amp;ADDRESS(ROW(),COLUMN(NOTA[ID]))),-1)))</f>
        <v>GLORY</v>
      </c>
      <c r="AJ215" s="41" t="str">
        <f ca="1">IF(NOTA[[#This Row],[ID_H]]="","",IF(NOTA[[#This Row],[FAKTUR]]="",INDIRECT(ADDRESS(ROW()-1,COLUMN())),NOTA[[#This Row],[FAKTUR]]))</f>
        <v>UNTANA</v>
      </c>
      <c r="AK215" s="38" t="str">
        <f ca="1">IF(NOTA[[#This Row],[ID]]="","",COUNTIF(NOTA[ID_H],NOTA[[#This Row],[ID_H]]))</f>
        <v/>
      </c>
      <c r="AL215" s="38">
        <f ca="1">IF(NOTA[[#This Row],[TGL.NOTA]]="",IF(NOTA[[#This Row],[SUPPLIER_H]]="","",AL214),MONTH(NOTA[[#This Row],[TGL.NOTA]]))</f>
        <v>9</v>
      </c>
      <c r="AM215" s="38" t="str">
        <f>LOWER(SUBSTITUTE(SUBSTITUTE(SUBSTITUTE(SUBSTITUTE(SUBSTITUTE(SUBSTITUTE(SUBSTITUTE(SUBSTITUTE(SUBSTITUTE(NOTA[NAMA BARANG]," ",),".",""),"-",""),"(",""),")",""),",",""),"/",""),"""",""),"+",""))</f>
        <v>origamisukungbox14x14</v>
      </c>
      <c r="AN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origamisukungbox14x14498000</v>
      </c>
      <c r="AO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origamisukungbox14x14500</v>
      </c>
      <c r="AP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38" t="str">
        <f>IF(NOTA[[#This Row],[CONCAT4]]="","",_xlfn.IFNA(MATCH(NOTA[[#This Row],[CONCAT4]],[2]!RAW[CONCAT_H],0),FALSE))</f>
        <v/>
      </c>
      <c r="AR215" s="38" t="e">
        <f>IF(NOTA[[#This Row],[CONCAT1]]="","",MATCH(NOTA[[#This Row],[CONCAT1]],[3]!db[NB NOTA_C],0))</f>
        <v>#N/A</v>
      </c>
      <c r="AS215" s="38" t="b">
        <f>IF(NOTA[[#This Row],[QTY/ CTN]]="","",TRUE)</f>
        <v>1</v>
      </c>
      <c r="AT215" s="38" t="str">
        <f ca="1">IF(NOTA[[#This Row],[ID_H]]="","",IF(NOTA[[#This Row],[Column3]]=TRUE,NOTA[[#This Row],[QTY/ CTN]],INDEX([3]!db[QTY/ CTN],NOTA[[#This Row],[//DB]])))</f>
        <v>900 PCS</v>
      </c>
      <c r="AU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origamisukungbox14x14900pcsuntana</v>
      </c>
      <c r="AV215" s="38" t="e">
        <f ca="1">IF(NOTA[[#This Row],[ID_H]]="","",MATCH(NOTA[[#This Row],[NB NOTA_C_QTY]],[4]!db[NB NOTA_C_QTY+F],0))</f>
        <v>#REF!</v>
      </c>
      <c r="AW215" s="53">
        <f ca="1">IF(NOTA[[#This Row],[NB NOTA_C_QTY]]="","",ROW()-2)</f>
        <v>213</v>
      </c>
    </row>
    <row r="216" spans="1:49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16" s="50" t="str">
        <f>IF(OR(NOTA[[#This Row],[QTY]]="",NOTA[[#This Row],[HARGA SATUAN]]="",),"",NOTA[[#This Row],[QTY]]*NOTA[[#This Row],[HARGA SATUAN]])</f>
        <v/>
      </c>
      <c r="AH216" s="39" t="str">
        <f ca="1">IF(NOTA[ID_H]="","",INDEX(NOTA[TANGGAL],MATCH(,INDIRECT(ADDRESS(ROW(NOTA[TANGGAL]),COLUMN(NOTA[TANGGAL]))&amp;":"&amp;ADDRESS(ROW(),COLUMN(NOTA[TANGGAL]))),-1)))</f>
        <v/>
      </c>
      <c r="AI216" s="41" t="str">
        <f ca="1">IF(NOTA[[#This Row],[NAMA BARANG]]="","",INDEX(NOTA[SUPPLIER],MATCH(,INDIRECT(ADDRESS(ROW(NOTA[ID]),COLUMN(NOTA[ID]))&amp;":"&amp;ADDRESS(ROW(),COLUMN(NOTA[ID]))),-1)))</f>
        <v/>
      </c>
      <c r="AJ216" s="41" t="str">
        <f ca="1">IF(NOTA[[#This Row],[ID_H]]="","",IF(NOTA[[#This Row],[FAKTUR]]="",INDIRECT(ADDRESS(ROW()-1,COLUMN())),NOTA[[#This Row],[FAKTUR]]))</f>
        <v/>
      </c>
      <c r="AK216" s="38" t="str">
        <f ca="1">IF(NOTA[[#This Row],[ID]]="","",COUNTIF(NOTA[ID_H],NOTA[[#This Row],[ID_H]]))</f>
        <v/>
      </c>
      <c r="AL216" s="38" t="str">
        <f ca="1">IF(NOTA[[#This Row],[TGL.NOTA]]="",IF(NOTA[[#This Row],[SUPPLIER_H]]="","",AL215),MONTH(NOTA[[#This Row],[TGL.NOTA]]))</f>
        <v/>
      </c>
      <c r="AM216" s="38" t="str">
        <f>LOWER(SUBSTITUTE(SUBSTITUTE(SUBSTITUTE(SUBSTITUTE(SUBSTITUTE(SUBSTITUTE(SUBSTITUTE(SUBSTITUTE(SUBSTITUTE(NOTA[NAMA BARANG]," ",),".",""),"-",""),"(",""),")",""),",",""),"/",""),"""",""),"+",""))</f>
        <v/>
      </c>
      <c r="AN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6" s="38" t="str">
        <f>IF(NOTA[[#This Row],[CONCAT4]]="","",_xlfn.IFNA(MATCH(NOTA[[#This Row],[CONCAT4]],[2]!RAW[CONCAT_H],0),FALSE))</f>
        <v/>
      </c>
      <c r="AR216" s="38" t="str">
        <f>IF(NOTA[[#This Row],[CONCAT1]]="","",MATCH(NOTA[[#This Row],[CONCAT1]],[3]!db[NB NOTA_C],0))</f>
        <v/>
      </c>
      <c r="AS216" s="38" t="str">
        <f>IF(NOTA[[#This Row],[QTY/ CTN]]="","",TRUE)</f>
        <v/>
      </c>
      <c r="AT216" s="38" t="str">
        <f ca="1">IF(NOTA[[#This Row],[ID_H]]="","",IF(NOTA[[#This Row],[Column3]]=TRUE,NOTA[[#This Row],[QTY/ CTN]],INDEX([3]!db[QTY/ CTN],NOTA[[#This Row],[//DB]])))</f>
        <v/>
      </c>
      <c r="AU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6" s="38" t="str">
        <f ca="1">IF(NOTA[[#This Row],[ID_H]]="","",MATCH(NOTA[[#This Row],[NB NOTA_C_QTY]],[4]!db[NB NOTA_C_QTY+F],0))</f>
        <v/>
      </c>
      <c r="AW216" s="53" t="str">
        <f ca="1">IF(NOTA[[#This Row],[NB NOTA_C_QTY]]="","",ROW()-2)</f>
        <v/>
      </c>
    </row>
    <row r="217" spans="1:49" s="38" customFormat="1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HON_1309_175-2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36</v>
      </c>
      <c r="E217" s="46">
        <v>45182</v>
      </c>
      <c r="F217" s="37" t="s">
        <v>348</v>
      </c>
      <c r="G217" s="37" t="s">
        <v>123</v>
      </c>
      <c r="H217" s="47" t="s">
        <v>349</v>
      </c>
      <c r="I217" s="37"/>
      <c r="J217" s="39">
        <v>45182</v>
      </c>
      <c r="K217" s="37"/>
      <c r="L217" s="37" t="s">
        <v>350</v>
      </c>
      <c r="M217" s="40">
        <v>1</v>
      </c>
      <c r="N217" s="38">
        <v>8</v>
      </c>
      <c r="O217" s="37" t="s">
        <v>138</v>
      </c>
      <c r="P217" s="41">
        <v>220000</v>
      </c>
      <c r="Q217" s="42"/>
      <c r="R217" s="48" t="s">
        <v>351</v>
      </c>
      <c r="S217" s="49"/>
      <c r="T217" s="44"/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1760000</v>
      </c>
      <c r="Y217" s="50">
        <f>IF(NOTA[[#This Row],[JUMLAH]]="","",NOTA[[#This Row],[JUMLAH]]*NOTA[[#This Row],[DISC 1]])</f>
        <v>0</v>
      </c>
      <c r="Z217" s="50">
        <f>IF(NOTA[[#This Row],[JUMLAH]]="","",(NOTA[[#This Row],[JUMLAH]]-NOTA[[#This Row],[DISC 1-]])*NOTA[[#This Row],[DISC 2]])</f>
        <v>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0</v>
      </c>
      <c r="AC217" s="50">
        <f>IF(NOTA[[#This Row],[JUMLAH]]="","",NOTA[[#This Row],[JUMLAH]]-NOTA[[#This Row],[DISC]])</f>
        <v>1760000</v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7" s="41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G217" s="50">
        <f>IF(OR(NOTA[[#This Row],[QTY]]="",NOTA[[#This Row],[HARGA SATUAN]]="",),"",NOTA[[#This Row],[QTY]]*NOTA[[#This Row],[HARGA SATUAN]])</f>
        <v>1760000</v>
      </c>
      <c r="AH217" s="39">
        <f ca="1">IF(NOTA[ID_H]="","",INDEX(NOTA[TANGGAL],MATCH(,INDIRECT(ADDRESS(ROW(NOTA[TANGGAL]),COLUMN(NOTA[TANGGAL]))&amp;":"&amp;ADDRESS(ROW(),COLUMN(NOTA[TANGGAL]))),-1)))</f>
        <v>45182</v>
      </c>
      <c r="AI217" s="41" t="str">
        <f ca="1">IF(NOTA[[#This Row],[NAMA BARANG]]="","",INDEX(NOTA[SUPPLIER],MATCH(,INDIRECT(ADDRESS(ROW(NOTA[ID]),COLUMN(NOTA[ID]))&amp;":"&amp;ADDRESS(ROW(),COLUMN(NOTA[ID]))),-1)))</f>
        <v>HONGSIAN</v>
      </c>
      <c r="AJ217" s="41" t="str">
        <f ca="1">IF(NOTA[[#This Row],[ID_H]]="","",IF(NOTA[[#This Row],[FAKTUR]]="",INDIRECT(ADDRESS(ROW()-1,COLUMN())),NOTA[[#This Row],[FAKTUR]]))</f>
        <v>UNTANA</v>
      </c>
      <c r="AK217" s="38">
        <f ca="1">IF(NOTA[[#This Row],[ID]]="","",COUNTIF(NOTA[ID_H],NOTA[[#This Row],[ID_H]]))</f>
        <v>2</v>
      </c>
      <c r="AL217" s="38">
        <f>IF(NOTA[[#This Row],[TGL.NOTA]]="",IF(NOTA[[#This Row],[SUPPLIER_H]]="","",AL216),MONTH(NOTA[[#This Row],[TGL.NOTA]]))</f>
        <v>9</v>
      </c>
      <c r="AM217" s="38" t="str">
        <f>LOWER(SUBSTITUTE(SUBSTITUTE(SUBSTITUTE(SUBSTITUTE(SUBSTITUTE(SUBSTITUTE(SUBSTITUTE(SUBSTITUTE(SUBSTITUTE(NOTA[NAMA BARANG]," ",),".",""),"-",""),"(",""),")",""),",",""),"/",""),"""",""),"+",""))</f>
        <v>dochd53</v>
      </c>
      <c r="AN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dochd531760000</v>
      </c>
      <c r="AO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dochd531760000</v>
      </c>
      <c r="AP217" s="38" t="str">
        <f>IF(NOTA[[#This Row],[SUPPLIER]]="","",NOTA[[#This Row],[SUPPLIER]]&amp;NOTA[[#This Row],[FAKTUR]]&amp;NOTA[[#This Row],[NO.NOTA]]&amp;NOTA[[#This Row],[NO.SJ]]&amp;NOTA[[#This Row],[TGL.NOTA]]&amp;NOTA[[#This Row],[CONCAT1]])</f>
        <v>HONGSIANUNTANA617545182dochd53</v>
      </c>
      <c r="AQ217" s="38" t="e">
        <f>IF(NOTA[[#This Row],[CONCAT4]]="","",_xlfn.IFNA(MATCH(NOTA[[#This Row],[CONCAT4]],[2]!RAW[CONCAT_H],0),FALSE))</f>
        <v>#REF!</v>
      </c>
      <c r="AR217" s="38" t="e">
        <f>IF(NOTA[[#This Row],[CONCAT1]]="","",MATCH(NOTA[[#This Row],[CONCAT1]],[3]!db[NB NOTA_C],0))</f>
        <v>#N/A</v>
      </c>
      <c r="AS217" s="38" t="b">
        <f>IF(NOTA[[#This Row],[QTY/ CTN]]="","",TRUE)</f>
        <v>1</v>
      </c>
      <c r="AT217" s="38" t="str">
        <f ca="1">IF(NOTA[[#This Row],[ID_H]]="","",IF(NOTA[[#This Row],[Column3]]=TRUE,NOTA[[#This Row],[QTY/ CTN]],INDEX([3]!db[QTY/ CTN],NOTA[[#This Row],[//DB]])))</f>
        <v>8 LSN</v>
      </c>
      <c r="AU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dochd538lsnuntana</v>
      </c>
      <c r="AV217" s="38" t="e">
        <f ca="1">IF(NOTA[[#This Row],[ID_H]]="","",MATCH(NOTA[[#This Row],[NB NOTA_C_QTY]],[4]!db[NB NOTA_C_QTY+F],0))</f>
        <v>#REF!</v>
      </c>
      <c r="AW217" s="53">
        <f ca="1">IF(NOTA[[#This Row],[NB NOTA_C_QTY]]="","",ROW()-2)</f>
        <v>215</v>
      </c>
    </row>
    <row r="218" spans="1:49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36</v>
      </c>
      <c r="E218" s="46"/>
      <c r="F218" s="37"/>
      <c r="G218" s="37"/>
      <c r="H218" s="47"/>
      <c r="I218" s="37"/>
      <c r="J218" s="39"/>
      <c r="K218" s="37"/>
      <c r="L218" s="37" t="s">
        <v>352</v>
      </c>
      <c r="M218" s="40">
        <v>1</v>
      </c>
      <c r="N218" s="38">
        <v>8</v>
      </c>
      <c r="O218" s="37" t="s">
        <v>138</v>
      </c>
      <c r="P218" s="41">
        <v>240000</v>
      </c>
      <c r="Q218" s="42"/>
      <c r="R218" s="48" t="s">
        <v>351</v>
      </c>
      <c r="S218" s="49"/>
      <c r="T218" s="44"/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1920000</v>
      </c>
      <c r="Y218" s="50">
        <f>IF(NOTA[[#This Row],[JUMLAH]]="","",NOTA[[#This Row],[JUMLAH]]*NOTA[[#This Row],[DISC 1]])</f>
        <v>0</v>
      </c>
      <c r="Z218" s="50">
        <f>IF(NOTA[[#This Row],[JUMLAH]]="","",(NOTA[[#This Row],[JUMLAH]]-NOTA[[#This Row],[DISC 1-]])*NOTA[[#This Row],[DISC 2]])</f>
        <v>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0</v>
      </c>
      <c r="AC218" s="50">
        <f>IF(NOTA[[#This Row],[JUMLAH]]="","",NOTA[[#This Row],[JUMLAH]]-NOTA[[#This Row],[DISC]])</f>
        <v>1920000</v>
      </c>
      <c r="AD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3680000</v>
      </c>
      <c r="AF218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G218" s="50">
        <f>IF(OR(NOTA[[#This Row],[QTY]]="",NOTA[[#This Row],[HARGA SATUAN]]="",),"",NOTA[[#This Row],[QTY]]*NOTA[[#This Row],[HARGA SATUAN]])</f>
        <v>1920000</v>
      </c>
      <c r="AH218" s="39">
        <f ca="1">IF(NOTA[ID_H]="","",INDEX(NOTA[TANGGAL],MATCH(,INDIRECT(ADDRESS(ROW(NOTA[TANGGAL]),COLUMN(NOTA[TANGGAL]))&amp;":"&amp;ADDRESS(ROW(),COLUMN(NOTA[TANGGAL]))),-1)))</f>
        <v>45182</v>
      </c>
      <c r="AI218" s="41" t="str">
        <f ca="1">IF(NOTA[[#This Row],[NAMA BARANG]]="","",INDEX(NOTA[SUPPLIER],MATCH(,INDIRECT(ADDRESS(ROW(NOTA[ID]),COLUMN(NOTA[ID]))&amp;":"&amp;ADDRESS(ROW(),COLUMN(NOTA[ID]))),-1)))</f>
        <v>HONGSIAN</v>
      </c>
      <c r="AJ218" s="41" t="str">
        <f ca="1">IF(NOTA[[#This Row],[ID_H]]="","",IF(NOTA[[#This Row],[FAKTUR]]="",INDIRECT(ADDRESS(ROW()-1,COLUMN())),NOTA[[#This Row],[FAKTUR]]))</f>
        <v>UNTANA</v>
      </c>
      <c r="AK218" s="38" t="str">
        <f ca="1">IF(NOTA[[#This Row],[ID]]="","",COUNTIF(NOTA[ID_H],NOTA[[#This Row],[ID_H]]))</f>
        <v/>
      </c>
      <c r="AL218" s="38">
        <f ca="1">IF(NOTA[[#This Row],[TGL.NOTA]]="",IF(NOTA[[#This Row],[SUPPLIER_H]]="","",AL217),MONTH(NOTA[[#This Row],[TGL.NOTA]]))</f>
        <v>9</v>
      </c>
      <c r="AM218" s="38" t="str">
        <f>LOWER(SUBSTITUTE(SUBSTITUTE(SUBSTITUTE(SUBSTITUTE(SUBSTITUTE(SUBSTITUTE(SUBSTITUTE(SUBSTITUTE(SUBSTITUTE(NOTA[NAMA BARANG]," ",),".",""),"-",""),"(",""),")",""),",",""),"/",""),"""",""),"+",""))</f>
        <v>dochd62</v>
      </c>
      <c r="AN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dochd621920000</v>
      </c>
      <c r="AO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dochd621920000</v>
      </c>
      <c r="AP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38" t="str">
        <f>IF(NOTA[[#This Row],[CONCAT4]]="","",_xlfn.IFNA(MATCH(NOTA[[#This Row],[CONCAT4]],[2]!RAW[CONCAT_H],0),FALSE))</f>
        <v/>
      </c>
      <c r="AR218" s="38" t="e">
        <f>IF(NOTA[[#This Row],[CONCAT1]]="","",MATCH(NOTA[[#This Row],[CONCAT1]],[3]!db[NB NOTA_C],0))</f>
        <v>#N/A</v>
      </c>
      <c r="AS218" s="38" t="b">
        <f>IF(NOTA[[#This Row],[QTY/ CTN]]="","",TRUE)</f>
        <v>1</v>
      </c>
      <c r="AT218" s="38" t="str">
        <f ca="1">IF(NOTA[[#This Row],[ID_H]]="","",IF(NOTA[[#This Row],[Column3]]=TRUE,NOTA[[#This Row],[QTY/ CTN]],INDEX([3]!db[QTY/ CTN],NOTA[[#This Row],[//DB]])))</f>
        <v>8 LSN</v>
      </c>
      <c r="AU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dochd628lsnuntana</v>
      </c>
      <c r="AV218" s="38" t="e">
        <f ca="1">IF(NOTA[[#This Row],[ID_H]]="","",MATCH(NOTA[[#This Row],[NB NOTA_C_QTY]],[4]!db[NB NOTA_C_QTY+F],0))</f>
        <v>#REF!</v>
      </c>
      <c r="AW218" s="53">
        <f ca="1">IF(NOTA[[#This Row],[NB NOTA_C_QTY]]="","",ROW()-2)</f>
        <v>216</v>
      </c>
    </row>
    <row r="219" spans="1:49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19" s="50" t="str">
        <f>IF(OR(NOTA[[#This Row],[QTY]]="",NOTA[[#This Row],[HARGA SATUAN]]="",),"",NOTA[[#This Row],[QTY]]*NOTA[[#This Row],[HARGA SATUAN]])</f>
        <v/>
      </c>
      <c r="AH219" s="39" t="str">
        <f ca="1">IF(NOTA[ID_H]="","",INDEX(NOTA[TANGGAL],MATCH(,INDIRECT(ADDRESS(ROW(NOTA[TANGGAL]),COLUMN(NOTA[TANGGAL]))&amp;":"&amp;ADDRESS(ROW(),COLUMN(NOTA[TANGGAL]))),-1)))</f>
        <v/>
      </c>
      <c r="AI219" s="41" t="str">
        <f ca="1">IF(NOTA[[#This Row],[NAMA BARANG]]="","",INDEX(NOTA[SUPPLIER],MATCH(,INDIRECT(ADDRESS(ROW(NOTA[ID]),COLUMN(NOTA[ID]))&amp;":"&amp;ADDRESS(ROW(),COLUMN(NOTA[ID]))),-1)))</f>
        <v/>
      </c>
      <c r="AJ219" s="41" t="str">
        <f ca="1">IF(NOTA[[#This Row],[ID_H]]="","",IF(NOTA[[#This Row],[FAKTUR]]="",INDIRECT(ADDRESS(ROW()-1,COLUMN())),NOTA[[#This Row],[FAKTUR]]))</f>
        <v/>
      </c>
      <c r="AK219" s="38" t="str">
        <f ca="1">IF(NOTA[[#This Row],[ID]]="","",COUNTIF(NOTA[ID_H],NOTA[[#This Row],[ID_H]]))</f>
        <v/>
      </c>
      <c r="AL219" s="38" t="str">
        <f ca="1">IF(NOTA[[#This Row],[TGL.NOTA]]="",IF(NOTA[[#This Row],[SUPPLIER_H]]="","",AL218),MONTH(NOTA[[#This Row],[TGL.NOTA]]))</f>
        <v/>
      </c>
      <c r="AM219" s="38" t="str">
        <f>LOWER(SUBSTITUTE(SUBSTITUTE(SUBSTITUTE(SUBSTITUTE(SUBSTITUTE(SUBSTITUTE(SUBSTITUTE(SUBSTITUTE(SUBSTITUTE(NOTA[NAMA BARANG]," ",),".",""),"-",""),"(",""),")",""),",",""),"/",""),"""",""),"+",""))</f>
        <v/>
      </c>
      <c r="AN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38" t="str">
        <f>IF(NOTA[[#This Row],[CONCAT4]]="","",_xlfn.IFNA(MATCH(NOTA[[#This Row],[CONCAT4]],[2]!RAW[CONCAT_H],0),FALSE))</f>
        <v/>
      </c>
      <c r="AR219" s="38" t="str">
        <f>IF(NOTA[[#This Row],[CONCAT1]]="","",MATCH(NOTA[[#This Row],[CONCAT1]],[3]!db[NB NOTA_C],0))</f>
        <v/>
      </c>
      <c r="AS219" s="38" t="str">
        <f>IF(NOTA[[#This Row],[QTY/ CTN]]="","",TRUE)</f>
        <v/>
      </c>
      <c r="AT219" s="38" t="str">
        <f ca="1">IF(NOTA[[#This Row],[ID_H]]="","",IF(NOTA[[#This Row],[Column3]]=TRUE,NOTA[[#This Row],[QTY/ CTN]],INDEX([3]!db[QTY/ CTN],NOTA[[#This Row],[//DB]])))</f>
        <v/>
      </c>
      <c r="AU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9" s="38" t="str">
        <f ca="1">IF(NOTA[[#This Row],[ID_H]]="","",MATCH(NOTA[[#This Row],[NB NOTA_C_QTY]],[4]!db[NB NOTA_C_QTY+F],0))</f>
        <v/>
      </c>
      <c r="AW219" s="53" t="str">
        <f ca="1">IF(NOTA[[#This Row],[NB NOTA_C_QTY]]="","",ROW()-2)</f>
        <v/>
      </c>
    </row>
    <row r="220" spans="1:49" s="38" customFormat="1" ht="20.100000000000001" customHeight="1" x14ac:dyDescent="0.25">
      <c r="A220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KEN_1409_177-7</v>
      </c>
      <c r="C220" s="38" t="e">
        <f ca="1">IF(NOTA[[#This Row],[ID_P]]="","",MATCH(NOTA[[#This Row],[ID_P]],[1]!B_MSK[N_ID],0))</f>
        <v>#REF!</v>
      </c>
      <c r="D220" s="38">
        <f ca="1">IF(NOTA[[#This Row],[NAMA BARANG]]="","",INDEX(NOTA[ID],MATCH(,INDIRECT(ADDRESS(ROW(NOTA[ID]),COLUMN(NOTA[ID]))&amp;":"&amp;ADDRESS(ROW(),COLUMN(NOTA[ID]))),-1)))</f>
        <v>37</v>
      </c>
      <c r="E220" s="46">
        <v>45183</v>
      </c>
      <c r="F220" s="37" t="s">
        <v>22</v>
      </c>
      <c r="G220" s="37" t="s">
        <v>23</v>
      </c>
      <c r="H220" s="47" t="s">
        <v>353</v>
      </c>
      <c r="I220" s="37"/>
      <c r="J220" s="39">
        <v>45182</v>
      </c>
      <c r="K220" s="37"/>
      <c r="L220" s="37" t="s">
        <v>106</v>
      </c>
      <c r="M220" s="40">
        <v>3</v>
      </c>
      <c r="O220" s="37"/>
      <c r="P220" s="41"/>
      <c r="Q220" s="42">
        <v>900000</v>
      </c>
      <c r="R220" s="48"/>
      <c r="S220" s="49">
        <v>0.17</v>
      </c>
      <c r="T220" s="44"/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2700000</v>
      </c>
      <c r="Y220" s="50">
        <f>IF(NOTA[[#This Row],[JUMLAH]]="","",NOTA[[#This Row],[JUMLAH]]*NOTA[[#This Row],[DISC 1]])</f>
        <v>459000.00000000006</v>
      </c>
      <c r="Z220" s="50">
        <f>IF(NOTA[[#This Row],[JUMLAH]]="","",(NOTA[[#This Row],[JUMLAH]]-NOTA[[#This Row],[DISC 1-]])*NOTA[[#This Row],[DISC 2]])</f>
        <v>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459000.00000000006</v>
      </c>
      <c r="AC220" s="50">
        <f>IF(NOTA[[#This Row],[JUMLAH]]="","",NOTA[[#This Row],[JUMLAH]]-NOTA[[#This Row],[DISC]])</f>
        <v>2241000</v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0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220" s="50" t="str">
        <f>IF(OR(NOTA[[#This Row],[QTY]]="",NOTA[[#This Row],[HARGA SATUAN]]="",),"",NOTA[[#This Row],[QTY]]*NOTA[[#This Row],[HARGA SATUAN]])</f>
        <v/>
      </c>
      <c r="AH220" s="39">
        <f ca="1">IF(NOTA[ID_H]="","",INDEX(NOTA[TANGGAL],MATCH(,INDIRECT(ADDRESS(ROW(NOTA[TANGGAL]),COLUMN(NOTA[TANGGAL]))&amp;":"&amp;ADDRESS(ROW(),COLUMN(NOTA[TANGGAL]))),-1)))</f>
        <v>45183</v>
      </c>
      <c r="AI220" s="41" t="str">
        <f ca="1">IF(NOTA[[#This Row],[NAMA BARANG]]="","",INDEX(NOTA[SUPPLIER],MATCH(,INDIRECT(ADDRESS(ROW(NOTA[ID]),COLUMN(NOTA[ID]))&amp;":"&amp;ADDRESS(ROW(),COLUMN(NOTA[ID]))),-1)))</f>
        <v>KENKO SINAR INDONESIA</v>
      </c>
      <c r="AJ220" s="41" t="str">
        <f ca="1">IF(NOTA[[#This Row],[ID_H]]="","",IF(NOTA[[#This Row],[FAKTUR]]="",INDIRECT(ADDRESS(ROW()-1,COLUMN())),NOTA[[#This Row],[FAKTUR]]))</f>
        <v>ARTO MORO</v>
      </c>
      <c r="AK220" s="38">
        <f ca="1">IF(NOTA[[#This Row],[ID]]="","",COUNTIF(NOTA[ID_H],NOTA[[#This Row],[ID_H]]))</f>
        <v>7</v>
      </c>
      <c r="AL220" s="38">
        <f>IF(NOTA[[#This Row],[TGL.NOTA]]="",IF(NOTA[[#This Row],[SUPPLIER_H]]="","",AL219),MONTH(NOTA[[#This Row],[TGL.NOTA]]))</f>
        <v>9</v>
      </c>
      <c r="AM220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2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MORO2309117745182kenkobinderclipno260</v>
      </c>
      <c r="AQ220" s="38" t="e">
        <f>IF(NOTA[[#This Row],[CONCAT4]]="","",_xlfn.IFNA(MATCH(NOTA[[#This Row],[CONCAT4]],[2]!RAW[CONCAT_H],0),FALSE))</f>
        <v>#REF!</v>
      </c>
      <c r="AR220" s="38">
        <f>IF(NOTA[[#This Row],[CONCAT1]]="","",MATCH(NOTA[[#This Row],[CONCAT1]],[3]!db[NB NOTA_C],0))</f>
        <v>1287</v>
      </c>
      <c r="AS220" s="38" t="str">
        <f>IF(NOTA[[#This Row],[QTY/ CTN]]="","",TRUE)</f>
        <v/>
      </c>
      <c r="AT220" s="38" t="str">
        <f ca="1">IF(NOTA[[#This Row],[ID_H]]="","",IF(NOTA[[#This Row],[Column3]]=TRUE,NOTA[[#This Row],[QTY/ CTN]],INDEX([3]!db[QTY/ CTN],NOTA[[#This Row],[//DB]])))</f>
        <v>5 GRS</v>
      </c>
      <c r="AU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220" s="38" t="e">
        <f ca="1">IF(NOTA[[#This Row],[ID_H]]="","",MATCH(NOTA[[#This Row],[NB NOTA_C_QTY]],[4]!db[NB NOTA_C_QTY+F],0))</f>
        <v>#REF!</v>
      </c>
      <c r="AW220" s="53">
        <f ca="1">IF(NOTA[[#This Row],[NB NOTA_C_QTY]]="","",ROW()-2)</f>
        <v>218</v>
      </c>
    </row>
    <row r="221" spans="1:49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37</v>
      </c>
      <c r="E221" s="46"/>
      <c r="F221" s="37"/>
      <c r="G221" s="37"/>
      <c r="H221" s="47"/>
      <c r="I221" s="37"/>
      <c r="J221" s="39"/>
      <c r="K221" s="37"/>
      <c r="L221" s="37" t="s">
        <v>354</v>
      </c>
      <c r="M221" s="40">
        <v>1</v>
      </c>
      <c r="O221" s="37"/>
      <c r="P221" s="41"/>
      <c r="Q221" s="42">
        <v>396000</v>
      </c>
      <c r="R221" s="48"/>
      <c r="S221" s="49">
        <v>0.17</v>
      </c>
      <c r="T221" s="44"/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396000</v>
      </c>
      <c r="Y221" s="50">
        <f>IF(NOTA[[#This Row],[JUMLAH]]="","",NOTA[[#This Row],[JUMLAH]]*NOTA[[#This Row],[DISC 1]])</f>
        <v>67320</v>
      </c>
      <c r="Z221" s="50">
        <f>IF(NOTA[[#This Row],[JUMLAH]]="","",(NOTA[[#This Row],[JUMLAH]]-NOTA[[#This Row],[DISC 1-]])*NOTA[[#This Row],[DISC 2]])</f>
        <v>0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67320</v>
      </c>
      <c r="AC221" s="50">
        <f>IF(NOTA[[#This Row],[JUMLAH]]="","",NOTA[[#This Row],[JUMLAH]]-NOTA[[#This Row],[DISC]])</f>
        <v>328680</v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1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G221" s="50" t="str">
        <f>IF(OR(NOTA[[#This Row],[QTY]]="",NOTA[[#This Row],[HARGA SATUAN]]="",),"",NOTA[[#This Row],[QTY]]*NOTA[[#This Row],[HARGA SATUAN]])</f>
        <v/>
      </c>
      <c r="AH221" s="39">
        <f ca="1">IF(NOTA[ID_H]="","",INDEX(NOTA[TANGGAL],MATCH(,INDIRECT(ADDRESS(ROW(NOTA[TANGGAL]),COLUMN(NOTA[TANGGAL]))&amp;":"&amp;ADDRESS(ROW(),COLUMN(NOTA[TANGGAL]))),-1)))</f>
        <v>45183</v>
      </c>
      <c r="AI221" s="41" t="str">
        <f ca="1">IF(NOTA[[#This Row],[NAMA BARANG]]="","",INDEX(NOTA[SUPPLIER],MATCH(,INDIRECT(ADDRESS(ROW(NOTA[ID]),COLUMN(NOTA[ID]))&amp;":"&amp;ADDRESS(ROW(),COLUMN(NOTA[ID]))),-1)))</f>
        <v>KENKO SINAR INDONESIA</v>
      </c>
      <c r="AJ221" s="41" t="str">
        <f ca="1">IF(NOTA[[#This Row],[ID_H]]="","",IF(NOTA[[#This Row],[FAKTUR]]="",INDIRECT(ADDRESS(ROW()-1,COLUMN())),NOTA[[#This Row],[FAKTUR]]))</f>
        <v>ARTO MORO</v>
      </c>
      <c r="AK221" s="38" t="str">
        <f ca="1">IF(NOTA[[#This Row],[ID]]="","",COUNTIF(NOTA[ID_H],NOTA[[#This Row],[ID_H]]))</f>
        <v/>
      </c>
      <c r="AL221" s="38">
        <f ca="1">IF(NOTA[[#This Row],[TGL.NOTA]]="",IF(NOTA[[#This Row],[SUPPLIER_H]]="","",AL220),MONTH(NOTA[[#This Row],[TGL.NOTA]]))</f>
        <v>9</v>
      </c>
      <c r="AM221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38" t="str">
        <f>IF(NOTA[[#This Row],[CONCAT4]]="","",_xlfn.IFNA(MATCH(NOTA[[#This Row],[CONCAT4]],[2]!RAW[CONCAT_H],0),FALSE))</f>
        <v/>
      </c>
      <c r="AR221" s="38">
        <f>IF(NOTA[[#This Row],[CONCAT1]]="","",MATCH(NOTA[[#This Row],[CONCAT1]],[3]!db[NB NOTA_C],0))</f>
        <v>1473</v>
      </c>
      <c r="AS221" s="38" t="str">
        <f>IF(NOTA[[#This Row],[QTY/ CTN]]="","",TRUE)</f>
        <v/>
      </c>
      <c r="AT221" s="38" t="str">
        <f ca="1">IF(NOTA[[#This Row],[ID_H]]="","",IF(NOTA[[#This Row],[Column3]]=TRUE,NOTA[[#This Row],[QTY/ CTN]],INDEX([3]!db[QTY/ CTN],NOTA[[#This Row],[//DB]])))</f>
        <v>20 LSN</v>
      </c>
      <c r="AU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V221" s="38" t="e">
        <f ca="1">IF(NOTA[[#This Row],[ID_H]]="","",MATCH(NOTA[[#This Row],[NB NOTA_C_QTY]],[4]!db[NB NOTA_C_QTY+F],0))</f>
        <v>#REF!</v>
      </c>
      <c r="AW221" s="53">
        <f ca="1">IF(NOTA[[#This Row],[NB NOTA_C_QTY]]="","",ROW()-2)</f>
        <v>219</v>
      </c>
    </row>
    <row r="222" spans="1:49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37</v>
      </c>
      <c r="E222" s="46"/>
      <c r="F222" s="37"/>
      <c r="G222" s="37"/>
      <c r="H222" s="47"/>
      <c r="I222" s="37"/>
      <c r="J222" s="39"/>
      <c r="K222" s="37"/>
      <c r="L222" s="37" t="s">
        <v>355</v>
      </c>
      <c r="M222" s="40">
        <v>1</v>
      </c>
      <c r="O222" s="37"/>
      <c r="P222" s="41"/>
      <c r="Q222" s="42">
        <v>504000</v>
      </c>
      <c r="R222" s="48"/>
      <c r="S222" s="49">
        <v>0.17</v>
      </c>
      <c r="T222" s="44"/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504000</v>
      </c>
      <c r="Y222" s="50">
        <f>IF(NOTA[[#This Row],[JUMLAH]]="","",NOTA[[#This Row],[JUMLAH]]*NOTA[[#This Row],[DISC 1]])</f>
        <v>85680</v>
      </c>
      <c r="Z222" s="50">
        <f>IF(NOTA[[#This Row],[JUMLAH]]="","",(NOTA[[#This Row],[JUMLAH]]-NOTA[[#This Row],[DISC 1-]])*NOTA[[#This Row],[DISC 2]])</f>
        <v>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85680</v>
      </c>
      <c r="AC222" s="50">
        <f>IF(NOTA[[#This Row],[JUMLAH]]="","",NOTA[[#This Row],[JUMLAH]]-NOTA[[#This Row],[DISC]])</f>
        <v>418320</v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222" s="50" t="str">
        <f>IF(OR(NOTA[[#This Row],[QTY]]="",NOTA[[#This Row],[HARGA SATUAN]]="",),"",NOTA[[#This Row],[QTY]]*NOTA[[#This Row],[HARGA SATUAN]])</f>
        <v/>
      </c>
      <c r="AH222" s="39">
        <f ca="1">IF(NOTA[ID_H]="","",INDEX(NOTA[TANGGAL],MATCH(,INDIRECT(ADDRESS(ROW(NOTA[TANGGAL]),COLUMN(NOTA[TANGGAL]))&amp;":"&amp;ADDRESS(ROW(),COLUMN(NOTA[TANGGAL]))),-1)))</f>
        <v>45183</v>
      </c>
      <c r="AI222" s="41" t="str">
        <f ca="1">IF(NOTA[[#This Row],[NAMA BARANG]]="","",INDEX(NOTA[SUPPLIER],MATCH(,INDIRECT(ADDRESS(ROW(NOTA[ID]),COLUMN(NOTA[ID]))&amp;":"&amp;ADDRESS(ROW(),COLUMN(NOTA[ID]))),-1)))</f>
        <v>KENKO SINAR INDONESIA</v>
      </c>
      <c r="AJ222" s="41" t="str">
        <f ca="1">IF(NOTA[[#This Row],[ID_H]]="","",IF(NOTA[[#This Row],[FAKTUR]]="",INDIRECT(ADDRESS(ROW()-1,COLUMN())),NOTA[[#This Row],[FAKTUR]]))</f>
        <v>ARTO MORO</v>
      </c>
      <c r="AK222" s="38" t="str">
        <f ca="1">IF(NOTA[[#This Row],[ID]]="","",COUNTIF(NOTA[ID_H],NOTA[[#This Row],[ID_H]]))</f>
        <v/>
      </c>
      <c r="AL222" s="38">
        <f ca="1">IF(NOTA[[#This Row],[TGL.NOTA]]="",IF(NOTA[[#This Row],[SUPPLIER_H]]="","",AL221),MONTH(NOTA[[#This Row],[TGL.NOTA]]))</f>
        <v>9</v>
      </c>
      <c r="AM222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38" t="str">
        <f>IF(NOTA[[#This Row],[CONCAT4]]="","",_xlfn.IFNA(MATCH(NOTA[[#This Row],[CONCAT4]],[2]!RAW[CONCAT_H],0),FALSE))</f>
        <v/>
      </c>
      <c r="AR222" s="38">
        <f>IF(NOTA[[#This Row],[CONCAT1]]="","",MATCH(NOTA[[#This Row],[CONCAT1]],[3]!db[NB NOTA_C],0))</f>
        <v>1474</v>
      </c>
      <c r="AS222" s="38" t="str">
        <f>IF(NOTA[[#This Row],[QTY/ CTN]]="","",TRUE)</f>
        <v/>
      </c>
      <c r="AT222" s="38" t="str">
        <f ca="1">IF(NOTA[[#This Row],[ID_H]]="","",IF(NOTA[[#This Row],[Column3]]=TRUE,NOTA[[#This Row],[QTY/ CTN]],INDEX([3]!db[QTY/ CTN],NOTA[[#This Row],[//DB]])))</f>
        <v>20 LSN</v>
      </c>
      <c r="AU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V222" s="38" t="e">
        <f ca="1">IF(NOTA[[#This Row],[ID_H]]="","",MATCH(NOTA[[#This Row],[NB NOTA_C_QTY]],[4]!db[NB NOTA_C_QTY+F],0))</f>
        <v>#REF!</v>
      </c>
      <c r="AW222" s="53">
        <f ca="1">IF(NOTA[[#This Row],[NB NOTA_C_QTY]]="","",ROW()-2)</f>
        <v>220</v>
      </c>
    </row>
    <row r="223" spans="1:49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37</v>
      </c>
      <c r="E223" s="46"/>
      <c r="F223" s="37"/>
      <c r="G223" s="37"/>
      <c r="H223" s="47"/>
      <c r="I223" s="37"/>
      <c r="J223" s="39"/>
      <c r="K223" s="37"/>
      <c r="L223" s="37" t="s">
        <v>356</v>
      </c>
      <c r="M223" s="40">
        <v>1</v>
      </c>
      <c r="O223" s="37"/>
      <c r="P223" s="41"/>
      <c r="Q223" s="42">
        <v>990000</v>
      </c>
      <c r="R223" s="48"/>
      <c r="S223" s="49">
        <v>0.17</v>
      </c>
      <c r="T223" s="44"/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990000</v>
      </c>
      <c r="Y223" s="50">
        <f>IF(NOTA[[#This Row],[JUMLAH]]="","",NOTA[[#This Row],[JUMLAH]]*NOTA[[#This Row],[DISC 1]])</f>
        <v>168300</v>
      </c>
      <c r="Z223" s="50">
        <f>IF(NOTA[[#This Row],[JUMLAH]]="","",(NOTA[[#This Row],[JUMLAH]]-NOTA[[#This Row],[DISC 1-]])*NOTA[[#This Row],[DISC 2]])</f>
        <v>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168300</v>
      </c>
      <c r="AC223" s="50">
        <f>IF(NOTA[[#This Row],[JUMLAH]]="","",NOTA[[#This Row],[JUMLAH]]-NOTA[[#This Row],[DISC]])</f>
        <v>821700</v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3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G223" s="50" t="str">
        <f>IF(OR(NOTA[[#This Row],[QTY]]="",NOTA[[#This Row],[HARGA SATUAN]]="",),"",NOTA[[#This Row],[QTY]]*NOTA[[#This Row],[HARGA SATUAN]])</f>
        <v/>
      </c>
      <c r="AH223" s="39">
        <f ca="1">IF(NOTA[ID_H]="","",INDEX(NOTA[TANGGAL],MATCH(,INDIRECT(ADDRESS(ROW(NOTA[TANGGAL]),COLUMN(NOTA[TANGGAL]))&amp;":"&amp;ADDRESS(ROW(),COLUMN(NOTA[TANGGAL]))),-1)))</f>
        <v>45183</v>
      </c>
      <c r="AI223" s="41" t="str">
        <f ca="1">IF(NOTA[[#This Row],[NAMA BARANG]]="","",INDEX(NOTA[SUPPLIER],MATCH(,INDIRECT(ADDRESS(ROW(NOTA[ID]),COLUMN(NOTA[ID]))&amp;":"&amp;ADDRESS(ROW(),COLUMN(NOTA[ID]))),-1)))</f>
        <v>KENKO SINAR INDONESIA</v>
      </c>
      <c r="AJ223" s="41" t="str">
        <f ca="1">IF(NOTA[[#This Row],[ID_H]]="","",IF(NOTA[[#This Row],[FAKTUR]]="",INDIRECT(ADDRESS(ROW()-1,COLUMN())),NOTA[[#This Row],[FAKTUR]]))</f>
        <v>ARTO MORO</v>
      </c>
      <c r="AK223" s="38" t="str">
        <f ca="1">IF(NOTA[[#This Row],[ID]]="","",COUNTIF(NOTA[ID_H],NOTA[[#This Row],[ID_H]]))</f>
        <v/>
      </c>
      <c r="AL223" s="38">
        <f ca="1">IF(NOTA[[#This Row],[TGL.NOTA]]="",IF(NOTA[[#This Row],[SUPPLIER_H]]="","",AL222),MONTH(NOTA[[#This Row],[TGL.NOTA]]))</f>
        <v>9</v>
      </c>
      <c r="AM223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38" t="str">
        <f>IF(NOTA[[#This Row],[CONCAT4]]="","",_xlfn.IFNA(MATCH(NOTA[[#This Row],[CONCAT4]],[2]!RAW[CONCAT_H],0),FALSE))</f>
        <v/>
      </c>
      <c r="AR223" s="38">
        <f>IF(NOTA[[#This Row],[CONCAT1]]="","",MATCH(NOTA[[#This Row],[CONCAT1]],[3]!db[NB NOTA_C],0))</f>
        <v>1309</v>
      </c>
      <c r="AS223" s="38" t="str">
        <f>IF(NOTA[[#This Row],[QTY/ CTN]]="","",TRUE)</f>
        <v/>
      </c>
      <c r="AT223" s="38" t="str">
        <f ca="1">IF(NOTA[[#This Row],[ID_H]]="","",IF(NOTA[[#This Row],[Column3]]=TRUE,NOTA[[#This Row],[QTY/ CTN]],INDEX([3]!db[QTY/ CTN],NOTA[[#This Row],[//DB]])))</f>
        <v>5 LSN</v>
      </c>
      <c r="AU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V223" s="38" t="e">
        <f ca="1">IF(NOTA[[#This Row],[ID_H]]="","",MATCH(NOTA[[#This Row],[NB NOTA_C_QTY]],[4]!db[NB NOTA_C_QTY+F],0))</f>
        <v>#REF!</v>
      </c>
      <c r="AW223" s="53">
        <f ca="1">IF(NOTA[[#This Row],[NB NOTA_C_QTY]]="","",ROW()-2)</f>
        <v>221</v>
      </c>
    </row>
    <row r="224" spans="1:49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37</v>
      </c>
      <c r="E224" s="46"/>
      <c r="F224" s="37"/>
      <c r="G224" s="37"/>
      <c r="H224" s="47"/>
      <c r="I224" s="37"/>
      <c r="J224" s="39"/>
      <c r="K224" s="37"/>
      <c r="L224" s="37" t="s">
        <v>162</v>
      </c>
      <c r="M224" s="40">
        <v>2</v>
      </c>
      <c r="O224" s="37"/>
      <c r="P224" s="41"/>
      <c r="Q224" s="42">
        <v>3110400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6220800</v>
      </c>
      <c r="Y224" s="50">
        <f>IF(NOTA[[#This Row],[JUMLAH]]="","",NOTA[[#This Row],[JUMLAH]]*NOTA[[#This Row],[DISC 1]])</f>
        <v>1057536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1057536</v>
      </c>
      <c r="AC224" s="50">
        <f>IF(NOTA[[#This Row],[JUMLAH]]="","",NOTA[[#This Row],[JUMLAH]]-NOTA[[#This Row],[DISC]])</f>
        <v>5163264</v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G224" s="50" t="str">
        <f>IF(OR(NOTA[[#This Row],[QTY]]="",NOTA[[#This Row],[HARGA SATUAN]]="",),"",NOTA[[#This Row],[QTY]]*NOTA[[#This Row],[HARGA SATUAN]])</f>
        <v/>
      </c>
      <c r="AH224" s="39">
        <f ca="1">IF(NOTA[ID_H]="","",INDEX(NOTA[TANGGAL],MATCH(,INDIRECT(ADDRESS(ROW(NOTA[TANGGAL]),COLUMN(NOTA[TANGGAL]))&amp;":"&amp;ADDRESS(ROW(),COLUMN(NOTA[TANGGAL]))),-1)))</f>
        <v>45183</v>
      </c>
      <c r="AI224" s="41" t="str">
        <f ca="1">IF(NOTA[[#This Row],[NAMA BARANG]]="","",INDEX(NOTA[SUPPLIER],MATCH(,INDIRECT(ADDRESS(ROW(NOTA[ID]),COLUMN(NOTA[ID]))&amp;":"&amp;ADDRESS(ROW(),COLUMN(NOTA[ID]))),-1)))</f>
        <v>KENKO SINAR INDONESIA</v>
      </c>
      <c r="AJ224" s="41" t="str">
        <f ca="1">IF(NOTA[[#This Row],[ID_H]]="","",IF(NOTA[[#This Row],[FAKTUR]]="",INDIRECT(ADDRESS(ROW()-1,COLUMN())),NOTA[[#This Row],[FAKTUR]]))</f>
        <v>ARTO MORO</v>
      </c>
      <c r="AK224" s="38" t="str">
        <f ca="1">IF(NOTA[[#This Row],[ID]]="","",COUNTIF(NOTA[ID_H],NOTA[[#This Row],[ID_H]]))</f>
        <v/>
      </c>
      <c r="AL224" s="38">
        <f ca="1">IF(NOTA[[#This Row],[TGL.NOTA]]="",IF(NOTA[[#This Row],[SUPPLIER_H]]="","",AL223),MONTH(NOTA[[#This Row],[TGL.NOTA]]))</f>
        <v>9</v>
      </c>
      <c r="AM22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4" s="38" t="str">
        <f>IF(NOTA[[#This Row],[CONCAT4]]="","",_xlfn.IFNA(MATCH(NOTA[[#This Row],[CONCAT4]],[2]!RAW[CONCAT_H],0),FALSE))</f>
        <v/>
      </c>
      <c r="AR224" s="38">
        <f>IF(NOTA[[#This Row],[CONCAT1]]="","",MATCH(NOTA[[#This Row],[CONCAT1]],[3]!db[NB NOTA_C],0))</f>
        <v>1429</v>
      </c>
      <c r="AS224" s="38" t="str">
        <f>IF(NOTA[[#This Row],[QTY/ CTN]]="","",TRUE)</f>
        <v/>
      </c>
      <c r="AT224" s="38" t="str">
        <f ca="1">IF(NOTA[[#This Row],[ID_H]]="","",IF(NOTA[[#This Row],[Column3]]=TRUE,NOTA[[#This Row],[QTY/ CTN]],INDEX([3]!db[QTY/ CTN],NOTA[[#This Row],[//DB]])))</f>
        <v>144 LSN</v>
      </c>
      <c r="AU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V224" s="38" t="e">
        <f ca="1">IF(NOTA[[#This Row],[ID_H]]="","",MATCH(NOTA[[#This Row],[NB NOTA_C_QTY]],[4]!db[NB NOTA_C_QTY+F],0))</f>
        <v>#REF!</v>
      </c>
      <c r="AW224" s="53">
        <f ca="1">IF(NOTA[[#This Row],[NB NOTA_C_QTY]]="","",ROW()-2)</f>
        <v>222</v>
      </c>
    </row>
    <row r="225" spans="1:49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37</v>
      </c>
      <c r="E225" s="46"/>
      <c r="F225" s="37"/>
      <c r="G225" s="37"/>
      <c r="H225" s="47"/>
      <c r="I225" s="37"/>
      <c r="J225" s="39"/>
      <c r="K225" s="37"/>
      <c r="L225" s="37" t="s">
        <v>357</v>
      </c>
      <c r="M225" s="40">
        <v>1</v>
      </c>
      <c r="O225" s="37"/>
      <c r="P225" s="41"/>
      <c r="Q225" s="42">
        <v>850000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850000</v>
      </c>
      <c r="Y225" s="50">
        <f>IF(NOTA[[#This Row],[JUMLAH]]="","",NOTA[[#This Row],[JUMLAH]]*NOTA[[#This Row],[DISC 1]])</f>
        <v>144500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144500</v>
      </c>
      <c r="AC225" s="50">
        <f>IF(NOTA[[#This Row],[JUMLAH]]="","",NOTA[[#This Row],[JUMLAH]]-NOTA[[#This Row],[DISC]])</f>
        <v>705500</v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G225" s="50" t="str">
        <f>IF(OR(NOTA[[#This Row],[QTY]]="",NOTA[[#This Row],[HARGA SATUAN]]="",),"",NOTA[[#This Row],[QTY]]*NOTA[[#This Row],[HARGA SATUAN]])</f>
        <v/>
      </c>
      <c r="AH225" s="39">
        <f ca="1">IF(NOTA[ID_H]="","",INDEX(NOTA[TANGGAL],MATCH(,INDIRECT(ADDRESS(ROW(NOTA[TANGGAL]),COLUMN(NOTA[TANGGAL]))&amp;":"&amp;ADDRESS(ROW(),COLUMN(NOTA[TANGGAL]))),-1)))</f>
        <v>45183</v>
      </c>
      <c r="AI225" s="41" t="str">
        <f ca="1">IF(NOTA[[#This Row],[NAMA BARANG]]="","",INDEX(NOTA[SUPPLIER],MATCH(,INDIRECT(ADDRESS(ROW(NOTA[ID]),COLUMN(NOTA[ID]))&amp;":"&amp;ADDRESS(ROW(),COLUMN(NOTA[ID]))),-1)))</f>
        <v>KENKO SINAR INDONESIA</v>
      </c>
      <c r="AJ225" s="41" t="str">
        <f ca="1">IF(NOTA[[#This Row],[ID_H]]="","",IF(NOTA[[#This Row],[FAKTUR]]="",INDIRECT(ADDRESS(ROW()-1,COLUMN())),NOTA[[#This Row],[FAKTUR]]))</f>
        <v>ARTO MORO</v>
      </c>
      <c r="AK225" s="38" t="str">
        <f ca="1">IF(NOTA[[#This Row],[ID]]="","",COUNTIF(NOTA[ID_H],NOTA[[#This Row],[ID_H]]))</f>
        <v/>
      </c>
      <c r="AL225" s="38">
        <f ca="1">IF(NOTA[[#This Row],[TGL.NOTA]]="",IF(NOTA[[#This Row],[SUPPLIER_H]]="","",AL224),MONTH(NOTA[[#This Row],[TGL.NOTA]]))</f>
        <v>9</v>
      </c>
      <c r="AM22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38" t="str">
        <f>IF(NOTA[[#This Row],[CONCAT4]]="","",_xlfn.IFNA(MATCH(NOTA[[#This Row],[CONCAT4]],[2]!RAW[CONCAT_H],0),FALSE))</f>
        <v/>
      </c>
      <c r="AR225" s="38">
        <f>IF(NOTA[[#This Row],[CONCAT1]]="","",MATCH(NOTA[[#This Row],[CONCAT1]],[3]!db[NB NOTA_C],0))</f>
        <v>1581</v>
      </c>
      <c r="AS225" s="38" t="str">
        <f>IF(NOTA[[#This Row],[QTY/ CTN]]="","",TRUE)</f>
        <v/>
      </c>
      <c r="AT225" s="38" t="str">
        <f ca="1">IF(NOTA[[#This Row],[ID_H]]="","",IF(NOTA[[#This Row],[Column3]]=TRUE,NOTA[[#This Row],[QTY/ CTN]],INDEX([3]!db[QTY/ CTN],NOTA[[#This Row],[//DB]])))</f>
        <v>500 BOX</v>
      </c>
      <c r="AU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V225" s="38" t="e">
        <f ca="1">IF(NOTA[[#This Row],[ID_H]]="","",MATCH(NOTA[[#This Row],[NB NOTA_C_QTY]],[4]!db[NB NOTA_C_QTY+F],0))</f>
        <v>#REF!</v>
      </c>
      <c r="AW225" s="53">
        <f ca="1">IF(NOTA[[#This Row],[NB NOTA_C_QTY]]="","",ROW()-2)</f>
        <v>223</v>
      </c>
    </row>
    <row r="226" spans="1:49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37</v>
      </c>
      <c r="E226" s="46"/>
      <c r="F226" s="37"/>
      <c r="G226" s="37"/>
      <c r="H226" s="47"/>
      <c r="I226" s="37"/>
      <c r="J226" s="39"/>
      <c r="K226" s="37"/>
      <c r="L226" s="37" t="s">
        <v>204</v>
      </c>
      <c r="M226" s="40">
        <v>1</v>
      </c>
      <c r="O226" s="37"/>
      <c r="P226" s="41"/>
      <c r="Q226" s="42">
        <v>801600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801600</v>
      </c>
      <c r="Y226" s="50">
        <f>IF(NOTA[[#This Row],[JUMLAH]]="","",NOTA[[#This Row],[JUMLAH]]*NOTA[[#This Row],[DISC 1]])</f>
        <v>136272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136272</v>
      </c>
      <c r="AC226" s="50">
        <f>IF(NOTA[[#This Row],[JUMLAH]]="","",NOTA[[#This Row],[JUMLAH]]-NOTA[[#This Row],[DISC]])</f>
        <v>665328</v>
      </c>
      <c r="AD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2118608</v>
      </c>
      <c r="AE2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10343792</v>
      </c>
      <c r="AF22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G226" s="50" t="str">
        <f>IF(OR(NOTA[[#This Row],[QTY]]="",NOTA[[#This Row],[HARGA SATUAN]]="",),"",NOTA[[#This Row],[QTY]]*NOTA[[#This Row],[HARGA SATUAN]])</f>
        <v/>
      </c>
      <c r="AH226" s="39">
        <f ca="1">IF(NOTA[ID_H]="","",INDEX(NOTA[TANGGAL],MATCH(,INDIRECT(ADDRESS(ROW(NOTA[TANGGAL]),COLUMN(NOTA[TANGGAL]))&amp;":"&amp;ADDRESS(ROW(),COLUMN(NOTA[TANGGAL]))),-1)))</f>
        <v>45183</v>
      </c>
      <c r="AI226" s="41" t="str">
        <f ca="1">IF(NOTA[[#This Row],[NAMA BARANG]]="","",INDEX(NOTA[SUPPLIER],MATCH(,INDIRECT(ADDRESS(ROW(NOTA[ID]),COLUMN(NOTA[ID]))&amp;":"&amp;ADDRESS(ROW(),COLUMN(NOTA[ID]))),-1)))</f>
        <v>KENKO SINAR INDONESIA</v>
      </c>
      <c r="AJ226" s="41" t="str">
        <f ca="1">IF(NOTA[[#This Row],[ID_H]]="","",IF(NOTA[[#This Row],[FAKTUR]]="",INDIRECT(ADDRESS(ROW()-1,COLUMN())),NOTA[[#This Row],[FAKTUR]]))</f>
        <v>ARTO MORO</v>
      </c>
      <c r="AK226" s="38" t="str">
        <f ca="1">IF(NOTA[[#This Row],[ID]]="","",COUNTIF(NOTA[ID_H],NOTA[[#This Row],[ID_H]]))</f>
        <v/>
      </c>
      <c r="AL226" s="38">
        <f ca="1">IF(NOTA[[#This Row],[TGL.NOTA]]="",IF(NOTA[[#This Row],[SUPPLIER_H]]="","",AL225),MONTH(NOTA[[#This Row],[TGL.NOTA]]))</f>
        <v>9</v>
      </c>
      <c r="AM22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N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O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P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38" t="str">
        <f>IF(NOTA[[#This Row],[CONCAT4]]="","",_xlfn.IFNA(MATCH(NOTA[[#This Row],[CONCAT4]],[2]!RAW[CONCAT_H],0),FALSE))</f>
        <v/>
      </c>
      <c r="AR226" s="38">
        <f>IF(NOTA[[#This Row],[CONCAT1]]="","",MATCH(NOTA[[#This Row],[CONCAT1]],[3]!db[NB NOTA_C],0))</f>
        <v>1475</v>
      </c>
      <c r="AS226" s="38" t="str">
        <f>IF(NOTA[[#This Row],[QTY/ CTN]]="","",TRUE)</f>
        <v/>
      </c>
      <c r="AT226" s="38" t="str">
        <f ca="1">IF(NOTA[[#This Row],[ID_H]]="","",IF(NOTA[[#This Row],[Column3]]=TRUE,NOTA[[#This Row],[QTY/ CTN]],INDEX([3]!db[QTY/ CTN],NOTA[[#This Row],[//DB]])))</f>
        <v>96 PCS</v>
      </c>
      <c r="AU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V226" s="38" t="e">
        <f ca="1">IF(NOTA[[#This Row],[ID_H]]="","",MATCH(NOTA[[#This Row],[NB NOTA_C_QTY]],[4]!db[NB NOTA_C_QTY+F],0))</f>
        <v>#REF!</v>
      </c>
      <c r="AW226" s="53">
        <f ca="1">IF(NOTA[[#This Row],[NB NOTA_C_QTY]]="","",ROW()-2)</f>
        <v>224</v>
      </c>
    </row>
    <row r="227" spans="1:49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27" s="50" t="str">
        <f>IF(OR(NOTA[[#This Row],[QTY]]="",NOTA[[#This Row],[HARGA SATUAN]]="",),"",NOTA[[#This Row],[QTY]]*NOTA[[#This Row],[HARGA SATUAN]])</f>
        <v/>
      </c>
      <c r="AH227" s="39" t="str">
        <f ca="1">IF(NOTA[ID_H]="","",INDEX(NOTA[TANGGAL],MATCH(,INDIRECT(ADDRESS(ROW(NOTA[TANGGAL]),COLUMN(NOTA[TANGGAL]))&amp;":"&amp;ADDRESS(ROW(),COLUMN(NOTA[TANGGAL]))),-1)))</f>
        <v/>
      </c>
      <c r="AI227" s="41" t="str">
        <f ca="1">IF(NOTA[[#This Row],[NAMA BARANG]]="","",INDEX(NOTA[SUPPLIER],MATCH(,INDIRECT(ADDRESS(ROW(NOTA[ID]),COLUMN(NOTA[ID]))&amp;":"&amp;ADDRESS(ROW(),COLUMN(NOTA[ID]))),-1)))</f>
        <v/>
      </c>
      <c r="AJ227" s="41" t="str">
        <f ca="1">IF(NOTA[[#This Row],[ID_H]]="","",IF(NOTA[[#This Row],[FAKTUR]]="",INDIRECT(ADDRESS(ROW()-1,COLUMN())),NOTA[[#This Row],[FAKTUR]]))</f>
        <v/>
      </c>
      <c r="AK227" s="38" t="str">
        <f ca="1">IF(NOTA[[#This Row],[ID]]="","",COUNTIF(NOTA[ID_H],NOTA[[#This Row],[ID_H]]))</f>
        <v/>
      </c>
      <c r="AL227" s="38" t="str">
        <f ca="1">IF(NOTA[[#This Row],[TGL.NOTA]]="",IF(NOTA[[#This Row],[SUPPLIER_H]]="","",AL226),MONTH(NOTA[[#This Row],[TGL.NOTA]]))</f>
        <v/>
      </c>
      <c r="AM227" s="38" t="str">
        <f>LOWER(SUBSTITUTE(SUBSTITUTE(SUBSTITUTE(SUBSTITUTE(SUBSTITUTE(SUBSTITUTE(SUBSTITUTE(SUBSTITUTE(SUBSTITUTE(NOTA[NAMA BARANG]," ",),".",""),"-",""),"(",""),")",""),",",""),"/",""),"""",""),"+",""))</f>
        <v/>
      </c>
      <c r="AN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38" t="str">
        <f>IF(NOTA[[#This Row],[CONCAT4]]="","",_xlfn.IFNA(MATCH(NOTA[[#This Row],[CONCAT4]],[2]!RAW[CONCAT_H],0),FALSE))</f>
        <v/>
      </c>
      <c r="AR227" s="38" t="str">
        <f>IF(NOTA[[#This Row],[CONCAT1]]="","",MATCH(NOTA[[#This Row],[CONCAT1]],[3]!db[NB NOTA_C],0))</f>
        <v/>
      </c>
      <c r="AS227" s="38" t="str">
        <f>IF(NOTA[[#This Row],[QTY/ CTN]]="","",TRUE)</f>
        <v/>
      </c>
      <c r="AT227" s="38" t="str">
        <f ca="1">IF(NOTA[[#This Row],[ID_H]]="","",IF(NOTA[[#This Row],[Column3]]=TRUE,NOTA[[#This Row],[QTY/ CTN]],INDEX([3]!db[QTY/ CTN],NOTA[[#This Row],[//DB]])))</f>
        <v/>
      </c>
      <c r="AU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27" s="38" t="str">
        <f ca="1">IF(NOTA[[#This Row],[ID_H]]="","",MATCH(NOTA[[#This Row],[NB NOTA_C_QTY]],[4]!db[NB NOTA_C_QTY+F],0))</f>
        <v/>
      </c>
      <c r="AW227" s="53" t="str">
        <f ca="1">IF(NOTA[[#This Row],[NB NOTA_C_QTY]]="","",ROW()-2)</f>
        <v/>
      </c>
    </row>
    <row r="228" spans="1:49" s="38" customFormat="1" ht="19.5" customHeight="1" x14ac:dyDescent="0.25">
      <c r="A228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KEN_1409_114-3</v>
      </c>
      <c r="C228" s="38" t="e">
        <f ca="1">IF(NOTA[[#This Row],[ID_P]]="","",MATCH(NOTA[[#This Row],[ID_P]],[1]!B_MSK[N_ID],0))</f>
        <v>#REF!</v>
      </c>
      <c r="D228" s="38">
        <f ca="1">IF(NOTA[[#This Row],[NAMA BARANG]]="","",INDEX(NOTA[ID],MATCH(,INDIRECT(ADDRESS(ROW(NOTA[ID]),COLUMN(NOTA[ID]))&amp;":"&amp;ADDRESS(ROW(),COLUMN(NOTA[ID]))),-1)))</f>
        <v>38</v>
      </c>
      <c r="E228" s="46"/>
      <c r="F228" s="37" t="s">
        <v>22</v>
      </c>
      <c r="G228" s="37" t="s">
        <v>23</v>
      </c>
      <c r="H228" s="47" t="s">
        <v>358</v>
      </c>
      <c r="I228" s="37"/>
      <c r="J228" s="39">
        <v>45181</v>
      </c>
      <c r="K228" s="37"/>
      <c r="L228" s="37" t="s">
        <v>155</v>
      </c>
      <c r="M228" s="40">
        <v>6</v>
      </c>
      <c r="O228" s="37"/>
      <c r="P228" s="41"/>
      <c r="Q228" s="42">
        <v>1695600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10173600</v>
      </c>
      <c r="Y228" s="50">
        <f>IF(NOTA[[#This Row],[JUMLAH]]="","",NOTA[[#This Row],[JUMLAH]]*NOTA[[#This Row],[DISC 1]])</f>
        <v>1729512.0000000002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1729512.0000000002</v>
      </c>
      <c r="AC228" s="50">
        <f>IF(NOTA[[#This Row],[JUMLAH]]="","",NOTA[[#This Row],[JUMLAH]]-NOTA[[#This Row],[DISC]])</f>
        <v>8444088</v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228" s="50" t="str">
        <f>IF(OR(NOTA[[#This Row],[QTY]]="",NOTA[[#This Row],[HARGA SATUAN]]="",),"",NOTA[[#This Row],[QTY]]*NOTA[[#This Row],[HARGA SATUAN]])</f>
        <v/>
      </c>
      <c r="AH228" s="39">
        <f ca="1">IF(NOTA[ID_H]="","",INDEX(NOTA[TANGGAL],MATCH(,INDIRECT(ADDRESS(ROW(NOTA[TANGGAL]),COLUMN(NOTA[TANGGAL]))&amp;":"&amp;ADDRESS(ROW(),COLUMN(NOTA[TANGGAL]))),-1)))</f>
        <v>45183</v>
      </c>
      <c r="AI228" s="41" t="str">
        <f ca="1">IF(NOTA[[#This Row],[NAMA BARANG]]="","",INDEX(NOTA[SUPPLIER],MATCH(,INDIRECT(ADDRESS(ROW(NOTA[ID]),COLUMN(NOTA[ID]))&amp;":"&amp;ADDRESS(ROW(),COLUMN(NOTA[ID]))),-1)))</f>
        <v>KENKO SINAR INDONESIA</v>
      </c>
      <c r="AJ228" s="41" t="str">
        <f ca="1">IF(NOTA[[#This Row],[ID_H]]="","",IF(NOTA[[#This Row],[FAKTUR]]="",INDIRECT(ADDRESS(ROW()-1,COLUMN())),NOTA[[#This Row],[FAKTUR]]))</f>
        <v>ARTO MORO</v>
      </c>
      <c r="AK228" s="38">
        <f ca="1">IF(NOTA[[#This Row],[ID]]="","",COUNTIF(NOTA[ID_H],NOTA[[#This Row],[ID_H]]))</f>
        <v>3</v>
      </c>
      <c r="AL228" s="38">
        <f>IF(NOTA[[#This Row],[TGL.NOTA]]="",IF(NOTA[[#This Row],[SUPPLIER_H]]="","",AL227),MONTH(NOTA[[#This Row],[TGL.NOTA]]))</f>
        <v>9</v>
      </c>
      <c r="AM22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MORO2309111445181kenkocorrectionfluidke108</v>
      </c>
      <c r="AQ228" s="38" t="e">
        <f>IF(NOTA[[#This Row],[CONCAT4]]="","",_xlfn.IFNA(MATCH(NOTA[[#This Row],[CONCAT4]],[2]!RAW[CONCAT_H],0),FALSE))</f>
        <v>#REF!</v>
      </c>
      <c r="AR228" s="38">
        <f>IF(NOTA[[#This Row],[CONCAT1]]="","",MATCH(NOTA[[#This Row],[CONCAT1]],[3]!db[NB NOTA_C],0))</f>
        <v>1345</v>
      </c>
      <c r="AS228" s="38" t="str">
        <f>IF(NOTA[[#This Row],[QTY/ CTN]]="","",TRUE)</f>
        <v/>
      </c>
      <c r="AT228" s="38" t="str">
        <f ca="1">IF(NOTA[[#This Row],[ID_H]]="","",IF(NOTA[[#This Row],[Column3]]=TRUE,NOTA[[#This Row],[QTY/ CTN]],INDEX([3]!db[QTY/ CTN],NOTA[[#This Row],[//DB]])))</f>
        <v>36 LSN</v>
      </c>
      <c r="AU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228" s="38" t="e">
        <f ca="1">IF(NOTA[[#This Row],[ID_H]]="","",MATCH(NOTA[[#This Row],[NB NOTA_C_QTY]],[4]!db[NB NOTA_C_QTY+F],0))</f>
        <v>#REF!</v>
      </c>
      <c r="AW228" s="53">
        <f ca="1">IF(NOTA[[#This Row],[NB NOTA_C_QTY]]="","",ROW()-2)</f>
        <v>226</v>
      </c>
    </row>
    <row r="229" spans="1:49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38</v>
      </c>
      <c r="E229" s="46"/>
      <c r="F229" s="37"/>
      <c r="G229" s="37"/>
      <c r="H229" s="47"/>
      <c r="I229" s="37"/>
      <c r="J229" s="39"/>
      <c r="K229" s="37"/>
      <c r="L229" s="37" t="s">
        <v>359</v>
      </c>
      <c r="M229" s="40">
        <v>2</v>
      </c>
      <c r="O229" s="37"/>
      <c r="P229" s="41"/>
      <c r="Q229" s="42">
        <v>1375000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2750000</v>
      </c>
      <c r="Y229" s="50">
        <f>IF(NOTA[[#This Row],[JUMLAH]]="","",NOTA[[#This Row],[JUMLAH]]*NOTA[[#This Row],[DISC 1]])</f>
        <v>467500.00000000006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467500.00000000006</v>
      </c>
      <c r="AC229" s="50">
        <f>IF(NOTA[[#This Row],[JUMLAH]]="","",NOTA[[#This Row],[JUMLAH]]-NOTA[[#This Row],[DISC]])</f>
        <v>2282500</v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29" s="41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G229" s="50" t="str">
        <f>IF(OR(NOTA[[#This Row],[QTY]]="",NOTA[[#This Row],[HARGA SATUAN]]="",),"",NOTA[[#This Row],[QTY]]*NOTA[[#This Row],[HARGA SATUAN]])</f>
        <v/>
      </c>
      <c r="AH229" s="39">
        <f ca="1">IF(NOTA[ID_H]="","",INDEX(NOTA[TANGGAL],MATCH(,INDIRECT(ADDRESS(ROW(NOTA[TANGGAL]),COLUMN(NOTA[TANGGAL]))&amp;":"&amp;ADDRESS(ROW(),COLUMN(NOTA[TANGGAL]))),-1)))</f>
        <v>45183</v>
      </c>
      <c r="AI229" s="41" t="str">
        <f ca="1">IF(NOTA[[#This Row],[NAMA BARANG]]="","",INDEX(NOTA[SUPPLIER],MATCH(,INDIRECT(ADDRESS(ROW(NOTA[ID]),COLUMN(NOTA[ID]))&amp;":"&amp;ADDRESS(ROW(),COLUMN(NOTA[ID]))),-1)))</f>
        <v>KENKO SINAR INDONESIA</v>
      </c>
      <c r="AJ229" s="41" t="str">
        <f ca="1">IF(NOTA[[#This Row],[ID_H]]="","",IF(NOTA[[#This Row],[FAKTUR]]="",INDIRECT(ADDRESS(ROW()-1,COLUMN())),NOTA[[#This Row],[FAKTUR]]))</f>
        <v>ARTO MORO</v>
      </c>
      <c r="AK229" s="38" t="str">
        <f ca="1">IF(NOTA[[#This Row],[ID]]="","",COUNTIF(NOTA[ID_H],NOTA[[#This Row],[ID_H]]))</f>
        <v/>
      </c>
      <c r="AL229" s="38">
        <f ca="1">IF(NOTA[[#This Row],[TGL.NOTA]]="",IF(NOTA[[#This Row],[SUPPLIER_H]]="","",AL228),MONTH(NOTA[[#This Row],[TGL.NOTA]]))</f>
        <v>9</v>
      </c>
      <c r="AM229" s="38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38" t="str">
        <f>IF(NOTA[[#This Row],[CONCAT4]]="","",_xlfn.IFNA(MATCH(NOTA[[#This Row],[CONCAT4]],[2]!RAW[CONCAT_H],0),FALSE))</f>
        <v/>
      </c>
      <c r="AR229" s="38">
        <f>IF(NOTA[[#This Row],[CONCAT1]]="","",MATCH(NOTA[[#This Row],[CONCAT1]],[3]!db[NB NOTA_C],0))</f>
        <v>1398</v>
      </c>
      <c r="AS229" s="38" t="str">
        <f>IF(NOTA[[#This Row],[QTY/ CTN]]="","",TRUE)</f>
        <v/>
      </c>
      <c r="AT229" s="38" t="str">
        <f ca="1">IF(NOTA[[#This Row],[ID_H]]="","",IF(NOTA[[#This Row],[Column3]]=TRUE,NOTA[[#This Row],[QTY/ CTN]],INDEX([3]!db[QTY/ CTN],NOTA[[#This Row],[//DB]])))</f>
        <v>50 BOX</v>
      </c>
      <c r="AU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kenkoerasererw40sqwhite50boxartomoro</v>
      </c>
      <c r="AV229" s="38" t="e">
        <f ca="1">IF(NOTA[[#This Row],[ID_H]]="","",MATCH(NOTA[[#This Row],[NB NOTA_C_QTY]],[4]!db[NB NOTA_C_QTY+F],0))</f>
        <v>#REF!</v>
      </c>
      <c r="AW229" s="53">
        <f ca="1">IF(NOTA[[#This Row],[NB NOTA_C_QTY]]="","",ROW()-2)</f>
        <v>227</v>
      </c>
    </row>
    <row r="230" spans="1:49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38</v>
      </c>
      <c r="E230" s="46"/>
      <c r="F230" s="37"/>
      <c r="G230" s="37"/>
      <c r="H230" s="47"/>
      <c r="I230" s="37"/>
      <c r="J230" s="39"/>
      <c r="K230" s="37"/>
      <c r="L230" s="37" t="s">
        <v>156</v>
      </c>
      <c r="M230" s="40">
        <v>1</v>
      </c>
      <c r="O230" s="37"/>
      <c r="P230" s="41"/>
      <c r="Q230" s="42">
        <v>2088000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2088000</v>
      </c>
      <c r="Y230" s="50">
        <f>IF(NOTA[[#This Row],[JUMLAH]]="","",NOTA[[#This Row],[JUMLAH]]*NOTA[[#This Row],[DISC 1]])</f>
        <v>354960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354960</v>
      </c>
      <c r="AC230" s="50">
        <f>IF(NOTA[[#This Row],[JUMLAH]]="","",NOTA[[#This Row],[JUMLAH]]-NOTA[[#This Row],[DISC]])</f>
        <v>1733040</v>
      </c>
      <c r="AD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2551972.0000000005</v>
      </c>
      <c r="AE2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12459628</v>
      </c>
      <c r="AF230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G230" s="50" t="str">
        <f>IF(OR(NOTA[[#This Row],[QTY]]="",NOTA[[#This Row],[HARGA SATUAN]]="",),"",NOTA[[#This Row],[QTY]]*NOTA[[#This Row],[HARGA SATUAN]])</f>
        <v/>
      </c>
      <c r="AH230" s="39">
        <f ca="1">IF(NOTA[ID_H]="","",INDEX(NOTA[TANGGAL],MATCH(,INDIRECT(ADDRESS(ROW(NOTA[TANGGAL]),COLUMN(NOTA[TANGGAL]))&amp;":"&amp;ADDRESS(ROW(),COLUMN(NOTA[TANGGAL]))),-1)))</f>
        <v>45183</v>
      </c>
      <c r="AI230" s="41" t="str">
        <f ca="1">IF(NOTA[[#This Row],[NAMA BARANG]]="","",INDEX(NOTA[SUPPLIER],MATCH(,INDIRECT(ADDRESS(ROW(NOTA[ID]),COLUMN(NOTA[ID]))&amp;":"&amp;ADDRESS(ROW(),COLUMN(NOTA[ID]))),-1)))</f>
        <v>KENKO SINAR INDONESIA</v>
      </c>
      <c r="AJ230" s="41" t="str">
        <f ca="1">IF(NOTA[[#This Row],[ID_H]]="","",IF(NOTA[[#This Row],[FAKTUR]]="",INDIRECT(ADDRESS(ROW()-1,COLUMN())),NOTA[[#This Row],[FAKTUR]]))</f>
        <v>ARTO MORO</v>
      </c>
      <c r="AK230" s="38" t="str">
        <f ca="1">IF(NOTA[[#This Row],[ID]]="","",COUNTIF(NOTA[ID_H],NOTA[[#This Row],[ID_H]]))</f>
        <v/>
      </c>
      <c r="AL230" s="38">
        <f ca="1">IF(NOTA[[#This Row],[TGL.NOTA]]="",IF(NOTA[[#This Row],[SUPPLIER_H]]="","",AL229),MONTH(NOTA[[#This Row],[TGL.NOTA]]))</f>
        <v>9</v>
      </c>
      <c r="AM230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38" t="str">
        <f>IF(NOTA[[#This Row],[CONCAT4]]="","",_xlfn.IFNA(MATCH(NOTA[[#This Row],[CONCAT4]],[2]!RAW[CONCAT_H],0),FALSE))</f>
        <v/>
      </c>
      <c r="AR230" s="38">
        <f>IF(NOTA[[#This Row],[CONCAT1]]="","",MATCH(NOTA[[#This Row],[CONCAT1]],[3]!db[NB NOTA_C],0))</f>
        <v>2572</v>
      </c>
      <c r="AS230" s="38" t="str">
        <f>IF(NOTA[[#This Row],[QTY/ CTN]]="","",TRUE)</f>
        <v/>
      </c>
      <c r="AT230" s="38" t="str">
        <f ca="1">IF(NOTA[[#This Row],[ID_H]]="","",IF(NOTA[[#This Row],[Column3]]=TRUE,NOTA[[#This Row],[QTY/ CTN]],INDEX([3]!db[QTY/ CTN],NOTA[[#This Row],[//DB]])))</f>
        <v>12 LSN</v>
      </c>
      <c r="AU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V230" s="38" t="e">
        <f ca="1">IF(NOTA[[#This Row],[ID_H]]="","",MATCH(NOTA[[#This Row],[NB NOTA_C_QTY]],[4]!db[NB NOTA_C_QTY+F],0))</f>
        <v>#REF!</v>
      </c>
      <c r="AW230" s="53">
        <f ca="1">IF(NOTA[[#This Row],[NB NOTA_C_QTY]]="","",ROW()-2)</f>
        <v>228</v>
      </c>
    </row>
    <row r="231" spans="1:49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31" s="50" t="str">
        <f>IF(OR(NOTA[[#This Row],[QTY]]="",NOTA[[#This Row],[HARGA SATUAN]]="",),"",NOTA[[#This Row],[QTY]]*NOTA[[#This Row],[HARGA SATUAN]])</f>
        <v/>
      </c>
      <c r="AH231" s="39" t="str">
        <f ca="1">IF(NOTA[ID_H]="","",INDEX(NOTA[TANGGAL],MATCH(,INDIRECT(ADDRESS(ROW(NOTA[TANGGAL]),COLUMN(NOTA[TANGGAL]))&amp;":"&amp;ADDRESS(ROW(),COLUMN(NOTA[TANGGAL]))),-1)))</f>
        <v/>
      </c>
      <c r="AI231" s="41" t="str">
        <f ca="1">IF(NOTA[[#This Row],[NAMA BARANG]]="","",INDEX(NOTA[SUPPLIER],MATCH(,INDIRECT(ADDRESS(ROW(NOTA[ID]),COLUMN(NOTA[ID]))&amp;":"&amp;ADDRESS(ROW(),COLUMN(NOTA[ID]))),-1)))</f>
        <v/>
      </c>
      <c r="AJ231" s="41" t="str">
        <f ca="1">IF(NOTA[[#This Row],[ID_H]]="","",IF(NOTA[[#This Row],[FAKTUR]]="",INDIRECT(ADDRESS(ROW()-1,COLUMN())),NOTA[[#This Row],[FAKTUR]]))</f>
        <v/>
      </c>
      <c r="AK231" s="38" t="str">
        <f ca="1">IF(NOTA[[#This Row],[ID]]="","",COUNTIF(NOTA[ID_H],NOTA[[#This Row],[ID_H]]))</f>
        <v/>
      </c>
      <c r="AL231" s="38" t="str">
        <f ca="1">IF(NOTA[[#This Row],[TGL.NOTA]]="",IF(NOTA[[#This Row],[SUPPLIER_H]]="","",AL230),MONTH(NOTA[[#This Row],[TGL.NOTA]]))</f>
        <v/>
      </c>
      <c r="AM231" s="38" t="str">
        <f>LOWER(SUBSTITUTE(SUBSTITUTE(SUBSTITUTE(SUBSTITUTE(SUBSTITUTE(SUBSTITUTE(SUBSTITUTE(SUBSTITUTE(SUBSTITUTE(NOTA[NAMA BARANG]," ",),".",""),"-",""),"(",""),")",""),",",""),"/",""),"""",""),"+",""))</f>
        <v/>
      </c>
      <c r="AN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38" t="str">
        <f>IF(NOTA[[#This Row],[CONCAT4]]="","",_xlfn.IFNA(MATCH(NOTA[[#This Row],[CONCAT4]],[2]!RAW[CONCAT_H],0),FALSE))</f>
        <v/>
      </c>
      <c r="AR231" s="38" t="str">
        <f>IF(NOTA[[#This Row],[CONCAT1]]="","",MATCH(NOTA[[#This Row],[CONCAT1]],[3]!db[NB NOTA_C],0))</f>
        <v/>
      </c>
      <c r="AS231" s="38" t="str">
        <f>IF(NOTA[[#This Row],[QTY/ CTN]]="","",TRUE)</f>
        <v/>
      </c>
      <c r="AT231" s="38" t="str">
        <f ca="1">IF(NOTA[[#This Row],[ID_H]]="","",IF(NOTA[[#This Row],[Column3]]=TRUE,NOTA[[#This Row],[QTY/ CTN]],INDEX([3]!db[QTY/ CTN],NOTA[[#This Row],[//DB]])))</f>
        <v/>
      </c>
      <c r="AU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31" s="38" t="str">
        <f ca="1">IF(NOTA[[#This Row],[ID_H]]="","",MATCH(NOTA[[#This Row],[NB NOTA_C_QTY]],[4]!db[NB NOTA_C_QTY+F],0))</f>
        <v/>
      </c>
      <c r="AW231" s="53" t="str">
        <f ca="1">IF(NOTA[[#This Row],[NB NOTA_C_QTY]]="","",ROW()-2)</f>
        <v/>
      </c>
    </row>
    <row r="232" spans="1:49" s="38" customFormat="1" ht="20.100000000000001" customHeight="1" x14ac:dyDescent="0.25">
      <c r="A232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KEN_1409_140-11</v>
      </c>
      <c r="C232" s="38" t="e">
        <f ca="1">IF(NOTA[[#This Row],[ID_P]]="","",MATCH(NOTA[[#This Row],[ID_P]],[1]!B_MSK[N_ID],0))</f>
        <v>#REF!</v>
      </c>
      <c r="D232" s="38">
        <f ca="1">IF(NOTA[[#This Row],[NAMA BARANG]]="","",INDEX(NOTA[ID],MATCH(,INDIRECT(ADDRESS(ROW(NOTA[ID]),COLUMN(NOTA[ID]))&amp;":"&amp;ADDRESS(ROW(),COLUMN(NOTA[ID]))),-1)))</f>
        <v>39</v>
      </c>
      <c r="E232" s="46"/>
      <c r="F232" s="37" t="s">
        <v>22</v>
      </c>
      <c r="G232" s="37" t="s">
        <v>23</v>
      </c>
      <c r="H232" s="47" t="s">
        <v>360</v>
      </c>
      <c r="I232" s="37"/>
      <c r="J232" s="39">
        <v>45181</v>
      </c>
      <c r="K232" s="37"/>
      <c r="L232" s="37" t="s">
        <v>367</v>
      </c>
      <c r="M232" s="40">
        <v>5</v>
      </c>
      <c r="O232" s="37"/>
      <c r="P232" s="41"/>
      <c r="Q232" s="42">
        <v>396000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1980000</v>
      </c>
      <c r="Y232" s="50">
        <f>IF(NOTA[[#This Row],[JUMLAH]]="","",NOTA[[#This Row],[JUMLAH]]*NOTA[[#This Row],[DISC 1]])</f>
        <v>336600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336600</v>
      </c>
      <c r="AC232" s="50">
        <f>IF(NOTA[[#This Row],[JUMLAH]]="","",NOTA[[#This Row],[JUMLAH]]-NOTA[[#This Row],[DISC]])</f>
        <v>1643400</v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2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G232" s="50" t="str">
        <f>IF(OR(NOTA[[#This Row],[QTY]]="",NOTA[[#This Row],[HARGA SATUAN]]="",),"",NOTA[[#This Row],[QTY]]*NOTA[[#This Row],[HARGA SATUAN]])</f>
        <v/>
      </c>
      <c r="AH232" s="39">
        <f ca="1">IF(NOTA[ID_H]="","",INDEX(NOTA[TANGGAL],MATCH(,INDIRECT(ADDRESS(ROW(NOTA[TANGGAL]),COLUMN(NOTA[TANGGAL]))&amp;":"&amp;ADDRESS(ROW(),COLUMN(NOTA[TANGGAL]))),-1)))</f>
        <v>45183</v>
      </c>
      <c r="AI232" s="41" t="str">
        <f ca="1">IF(NOTA[[#This Row],[NAMA BARANG]]="","",INDEX(NOTA[SUPPLIER],MATCH(,INDIRECT(ADDRESS(ROW(NOTA[ID]),COLUMN(NOTA[ID]))&amp;":"&amp;ADDRESS(ROW(),COLUMN(NOTA[ID]))),-1)))</f>
        <v>KENKO SINAR INDONESIA</v>
      </c>
      <c r="AJ232" s="41" t="str">
        <f ca="1">IF(NOTA[[#This Row],[ID_H]]="","",IF(NOTA[[#This Row],[FAKTUR]]="",INDIRECT(ADDRESS(ROW()-1,COLUMN())),NOTA[[#This Row],[FAKTUR]]))</f>
        <v>ARTO MORO</v>
      </c>
      <c r="AK232" s="38">
        <f ca="1">IF(NOTA[[#This Row],[ID]]="","",COUNTIF(NOTA[ID_H],NOTA[[#This Row],[ID_H]]))</f>
        <v>11</v>
      </c>
      <c r="AL232" s="38">
        <f>IF(NOTA[[#This Row],[TGL.NOTA]]="",IF(NOTA[[#This Row],[SUPPLIER_H]]="","",AL231),MONTH(NOTA[[#This Row],[TGL.NOTA]]))</f>
        <v>9</v>
      </c>
      <c r="AM232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2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MORO2309114045181kenkoliquidgluelg3535ml</v>
      </c>
      <c r="AQ232" s="38" t="e">
        <f>IF(NOTA[[#This Row],[CONCAT4]]="","",_xlfn.IFNA(MATCH(NOTA[[#This Row],[CONCAT4]],[2]!RAW[CONCAT_H],0),FALSE))</f>
        <v>#REF!</v>
      </c>
      <c r="AR232" s="38">
        <f>IF(NOTA[[#This Row],[CONCAT1]]="","",MATCH(NOTA[[#This Row],[CONCAT1]],[3]!db[NB NOTA_C],0))</f>
        <v>1473</v>
      </c>
      <c r="AS232" s="38" t="str">
        <f>IF(NOTA[[#This Row],[QTY/ CTN]]="","",TRUE)</f>
        <v/>
      </c>
      <c r="AT232" s="38" t="str">
        <f ca="1">IF(NOTA[[#This Row],[ID_H]]="","",IF(NOTA[[#This Row],[Column3]]=TRUE,NOTA[[#This Row],[QTY/ CTN]],INDEX([3]!db[QTY/ CTN],NOTA[[#This Row],[//DB]])))</f>
        <v>20 LSN</v>
      </c>
      <c r="AU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V232" s="38" t="e">
        <f ca="1">IF(NOTA[[#This Row],[ID_H]]="","",MATCH(NOTA[[#This Row],[NB NOTA_C_QTY]],[4]!db[NB NOTA_C_QTY+F],0))</f>
        <v>#REF!</v>
      </c>
      <c r="AW232" s="53">
        <f ca="1">IF(NOTA[[#This Row],[NB NOTA_C_QTY]]="","",ROW()-2)</f>
        <v>230</v>
      </c>
    </row>
    <row r="233" spans="1:49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39</v>
      </c>
      <c r="E233" s="46"/>
      <c r="F233" s="37"/>
      <c r="G233" s="37"/>
      <c r="H233" s="47"/>
      <c r="I233" s="37"/>
      <c r="J233" s="39"/>
      <c r="K233" s="37"/>
      <c r="L233" s="37" t="s">
        <v>368</v>
      </c>
      <c r="M233" s="40">
        <v>5</v>
      </c>
      <c r="O233" s="37"/>
      <c r="P233" s="41"/>
      <c r="Q233" s="42">
        <v>504000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2520000</v>
      </c>
      <c r="Y233" s="50">
        <f>IF(NOTA[[#This Row],[JUMLAH]]="","",NOTA[[#This Row],[JUMLAH]]*NOTA[[#This Row],[DISC 1]])</f>
        <v>428400.00000000006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428400.00000000006</v>
      </c>
      <c r="AC233" s="50">
        <f>IF(NOTA[[#This Row],[JUMLAH]]="","",NOTA[[#This Row],[JUMLAH]]-NOTA[[#This Row],[DISC]])</f>
        <v>2091600</v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3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233" s="50" t="str">
        <f>IF(OR(NOTA[[#This Row],[QTY]]="",NOTA[[#This Row],[HARGA SATUAN]]="",),"",NOTA[[#This Row],[QTY]]*NOTA[[#This Row],[HARGA SATUAN]])</f>
        <v/>
      </c>
      <c r="AH233" s="39">
        <f ca="1">IF(NOTA[ID_H]="","",INDEX(NOTA[TANGGAL],MATCH(,INDIRECT(ADDRESS(ROW(NOTA[TANGGAL]),COLUMN(NOTA[TANGGAL]))&amp;":"&amp;ADDRESS(ROW(),COLUMN(NOTA[TANGGAL]))),-1)))</f>
        <v>45183</v>
      </c>
      <c r="AI233" s="41" t="str">
        <f ca="1">IF(NOTA[[#This Row],[NAMA BARANG]]="","",INDEX(NOTA[SUPPLIER],MATCH(,INDIRECT(ADDRESS(ROW(NOTA[ID]),COLUMN(NOTA[ID]))&amp;":"&amp;ADDRESS(ROW(),COLUMN(NOTA[ID]))),-1)))</f>
        <v>KENKO SINAR INDONESIA</v>
      </c>
      <c r="AJ233" s="41" t="str">
        <f ca="1">IF(NOTA[[#This Row],[ID_H]]="","",IF(NOTA[[#This Row],[FAKTUR]]="",INDIRECT(ADDRESS(ROW()-1,COLUMN())),NOTA[[#This Row],[FAKTUR]]))</f>
        <v>ARTO MORO</v>
      </c>
      <c r="AK233" s="38" t="str">
        <f ca="1">IF(NOTA[[#This Row],[ID]]="","",COUNTIF(NOTA[ID_H],NOTA[[#This Row],[ID_H]]))</f>
        <v/>
      </c>
      <c r="AL233" s="38">
        <f ca="1">IF(NOTA[[#This Row],[TGL.NOTA]]="",IF(NOTA[[#This Row],[SUPPLIER_H]]="","",AL232),MONTH(NOTA[[#This Row],[TGL.NOTA]]))</f>
        <v>9</v>
      </c>
      <c r="AM233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3" s="38" t="str">
        <f>IF(NOTA[[#This Row],[CONCAT4]]="","",_xlfn.IFNA(MATCH(NOTA[[#This Row],[CONCAT4]],[2]!RAW[CONCAT_H],0),FALSE))</f>
        <v/>
      </c>
      <c r="AR233" s="38">
        <f>IF(NOTA[[#This Row],[CONCAT1]]="","",MATCH(NOTA[[#This Row],[CONCAT1]],[3]!db[NB NOTA_C],0))</f>
        <v>1474</v>
      </c>
      <c r="AS233" s="38" t="str">
        <f>IF(NOTA[[#This Row],[QTY/ CTN]]="","",TRUE)</f>
        <v/>
      </c>
      <c r="AT233" s="38" t="str">
        <f ca="1">IF(NOTA[[#This Row],[ID_H]]="","",IF(NOTA[[#This Row],[Column3]]=TRUE,NOTA[[#This Row],[QTY/ CTN]],INDEX([3]!db[QTY/ CTN],NOTA[[#This Row],[//DB]])))</f>
        <v>20 LSN</v>
      </c>
      <c r="AU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V233" s="38" t="e">
        <f ca="1">IF(NOTA[[#This Row],[ID_H]]="","",MATCH(NOTA[[#This Row],[NB NOTA_C_QTY]],[4]!db[NB NOTA_C_QTY+F],0))</f>
        <v>#REF!</v>
      </c>
      <c r="AW233" s="53">
        <f ca="1">IF(NOTA[[#This Row],[NB NOTA_C_QTY]]="","",ROW()-2)</f>
        <v>231</v>
      </c>
    </row>
    <row r="234" spans="1:49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39</v>
      </c>
      <c r="E234" s="46"/>
      <c r="F234" s="37"/>
      <c r="G234" s="37"/>
      <c r="H234" s="47"/>
      <c r="I234" s="37"/>
      <c r="J234" s="39"/>
      <c r="K234" s="37"/>
      <c r="L234" s="37" t="s">
        <v>361</v>
      </c>
      <c r="M234" s="40">
        <v>5</v>
      </c>
      <c r="O234" s="37"/>
      <c r="P234" s="41"/>
      <c r="Q234" s="42">
        <v>1050000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5250000</v>
      </c>
      <c r="Y234" s="50">
        <f>IF(NOTA[[#This Row],[JUMLAH]]="","",NOTA[[#This Row],[JUMLAH]]*NOTA[[#This Row],[DISC 1]])</f>
        <v>892500.00000000012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892500.00000000012</v>
      </c>
      <c r="AC234" s="50">
        <f>IF(NOTA[[#This Row],[JUMLAH]]="","",NOTA[[#This Row],[JUMLAH]]-NOTA[[#This Row],[DISC]])</f>
        <v>4357500</v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G234" s="50" t="str">
        <f>IF(OR(NOTA[[#This Row],[QTY]]="",NOTA[[#This Row],[HARGA SATUAN]]="",),"",NOTA[[#This Row],[QTY]]*NOTA[[#This Row],[HARGA SATUAN]])</f>
        <v/>
      </c>
      <c r="AH234" s="39">
        <f ca="1">IF(NOTA[ID_H]="","",INDEX(NOTA[TANGGAL],MATCH(,INDIRECT(ADDRESS(ROW(NOTA[TANGGAL]),COLUMN(NOTA[TANGGAL]))&amp;":"&amp;ADDRESS(ROW(),COLUMN(NOTA[TANGGAL]))),-1)))</f>
        <v>45183</v>
      </c>
      <c r="AI234" s="41" t="str">
        <f ca="1">IF(NOTA[[#This Row],[NAMA BARANG]]="","",INDEX(NOTA[SUPPLIER],MATCH(,INDIRECT(ADDRESS(ROW(NOTA[ID]),COLUMN(NOTA[ID]))&amp;":"&amp;ADDRESS(ROW(),COLUMN(NOTA[ID]))),-1)))</f>
        <v>KENKO SINAR INDONESIA</v>
      </c>
      <c r="AJ234" s="41" t="str">
        <f ca="1">IF(NOTA[[#This Row],[ID_H]]="","",IF(NOTA[[#This Row],[FAKTUR]]="",INDIRECT(ADDRESS(ROW()-1,COLUMN())),NOTA[[#This Row],[FAKTUR]]))</f>
        <v>ARTO MORO</v>
      </c>
      <c r="AK234" s="38" t="str">
        <f ca="1">IF(NOTA[[#This Row],[ID]]="","",COUNTIF(NOTA[ID_H],NOTA[[#This Row],[ID_H]]))</f>
        <v/>
      </c>
      <c r="AL234" s="38">
        <f ca="1">IF(NOTA[[#This Row],[TGL.NOTA]]="",IF(NOTA[[#This Row],[SUPPLIER_H]]="","",AL233),MONTH(NOTA[[#This Row],[TGL.NOTA]]))</f>
        <v>9</v>
      </c>
      <c r="AM23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N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38" t="str">
        <f>IF(NOTA[[#This Row],[CONCAT4]]="","",_xlfn.IFNA(MATCH(NOTA[[#This Row],[CONCAT4]],[2]!RAW[CONCAT_H],0),FALSE))</f>
        <v/>
      </c>
      <c r="AR234" s="38">
        <f>IF(NOTA[[#This Row],[CONCAT1]]="","",MATCH(NOTA[[#This Row],[CONCAT1]],[3]!db[NB NOTA_C],0))</f>
        <v>1521</v>
      </c>
      <c r="AS234" s="38" t="str">
        <f>IF(NOTA[[#This Row],[QTY/ CTN]]="","",TRUE)</f>
        <v/>
      </c>
      <c r="AT234" s="38" t="str">
        <f ca="1">IF(NOTA[[#This Row],[ID_H]]="","",IF(NOTA[[#This Row],[Column3]]=TRUE,NOTA[[#This Row],[QTY/ CTN]],INDEX([3]!db[QTY/ CTN],NOTA[[#This Row],[//DB]])))</f>
        <v>50 TUB</v>
      </c>
      <c r="AU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V234" s="38" t="e">
        <f ca="1">IF(NOTA[[#This Row],[ID_H]]="","",MATCH(NOTA[[#This Row],[NB NOTA_C_QTY]],[4]!db[NB NOTA_C_QTY+F],0))</f>
        <v>#REF!</v>
      </c>
      <c r="AW234" s="53">
        <f ca="1">IF(NOTA[[#This Row],[NB NOTA_C_QTY]]="","",ROW()-2)</f>
        <v>232</v>
      </c>
    </row>
    <row r="235" spans="1:49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39</v>
      </c>
      <c r="E235" s="46"/>
      <c r="F235" s="37"/>
      <c r="G235" s="37"/>
      <c r="H235" s="47"/>
      <c r="I235" s="37"/>
      <c r="J235" s="39"/>
      <c r="K235" s="37"/>
      <c r="L235" s="37" t="s">
        <v>104</v>
      </c>
      <c r="M235" s="40">
        <v>2</v>
      </c>
      <c r="O235" s="37"/>
      <c r="P235" s="41"/>
      <c r="Q235" s="42">
        <v>1860000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3720000</v>
      </c>
      <c r="Y235" s="50">
        <f>IF(NOTA[[#This Row],[JUMLAH]]="","",NOTA[[#This Row],[JUMLAH]]*NOTA[[#This Row],[DISC 1]])</f>
        <v>632400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632400</v>
      </c>
      <c r="AC235" s="50">
        <f>IF(NOTA[[#This Row],[JUMLAH]]="","",NOTA[[#This Row],[JUMLAH]]-NOTA[[#This Row],[DISC]])</f>
        <v>3087600</v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235" s="50" t="str">
        <f>IF(OR(NOTA[[#This Row],[QTY]]="",NOTA[[#This Row],[HARGA SATUAN]]="",),"",NOTA[[#This Row],[QTY]]*NOTA[[#This Row],[HARGA SATUAN]])</f>
        <v/>
      </c>
      <c r="AH235" s="39">
        <f ca="1">IF(NOTA[ID_H]="","",INDEX(NOTA[TANGGAL],MATCH(,INDIRECT(ADDRESS(ROW(NOTA[TANGGAL]),COLUMN(NOTA[TANGGAL]))&amp;":"&amp;ADDRESS(ROW(),COLUMN(NOTA[TANGGAL]))),-1)))</f>
        <v>45183</v>
      </c>
      <c r="AI235" s="41" t="str">
        <f ca="1">IF(NOTA[[#This Row],[NAMA BARANG]]="","",INDEX(NOTA[SUPPLIER],MATCH(,INDIRECT(ADDRESS(ROW(NOTA[ID]),COLUMN(NOTA[ID]))&amp;":"&amp;ADDRESS(ROW(),COLUMN(NOTA[ID]))),-1)))</f>
        <v>KENKO SINAR INDONESIA</v>
      </c>
      <c r="AJ235" s="41" t="str">
        <f ca="1">IF(NOTA[[#This Row],[ID_H]]="","",IF(NOTA[[#This Row],[FAKTUR]]="",INDIRECT(ADDRESS(ROW()-1,COLUMN())),NOTA[[#This Row],[FAKTUR]]))</f>
        <v>ARTO MORO</v>
      </c>
      <c r="AK235" s="38" t="str">
        <f ca="1">IF(NOTA[[#This Row],[ID]]="","",COUNTIF(NOTA[ID_H],NOTA[[#This Row],[ID_H]]))</f>
        <v/>
      </c>
      <c r="AL235" s="38">
        <f ca="1">IF(NOTA[[#This Row],[TGL.NOTA]]="",IF(NOTA[[#This Row],[SUPPLIER_H]]="","",AL234),MONTH(NOTA[[#This Row],[TGL.NOTA]]))</f>
        <v>9</v>
      </c>
      <c r="AM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N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38" t="str">
        <f>IF(NOTA[[#This Row],[CONCAT4]]="","",_xlfn.IFNA(MATCH(NOTA[[#This Row],[CONCAT4]],[2]!RAW[CONCAT_H],0),FALSE))</f>
        <v/>
      </c>
      <c r="AR235" s="38">
        <f>IF(NOTA[[#This Row],[CONCAT1]]="","",MATCH(NOTA[[#This Row],[CONCAT1]],[3]!db[NB NOTA_C],0))</f>
        <v>1559</v>
      </c>
      <c r="AS235" s="38" t="str">
        <f>IF(NOTA[[#This Row],[QTY/ CTN]]="","",TRUE)</f>
        <v/>
      </c>
      <c r="AT235" s="38" t="str">
        <f ca="1">IF(NOTA[[#This Row],[ID_H]]="","",IF(NOTA[[#This Row],[Column3]]=TRUE,NOTA[[#This Row],[QTY/ CTN]],INDEX([3]!db[QTY/ CTN],NOTA[[#This Row],[//DB]])))</f>
        <v>20 LSN</v>
      </c>
      <c r="AU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235" s="38" t="e">
        <f ca="1">IF(NOTA[[#This Row],[ID_H]]="","",MATCH(NOTA[[#This Row],[NB NOTA_C_QTY]],[4]!db[NB NOTA_C_QTY+F],0))</f>
        <v>#REF!</v>
      </c>
      <c r="AW235" s="53">
        <f ca="1">IF(NOTA[[#This Row],[NB NOTA_C_QTY]]="","",ROW()-2)</f>
        <v>233</v>
      </c>
    </row>
    <row r="236" spans="1:49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39</v>
      </c>
      <c r="E236" s="46"/>
      <c r="F236" s="37"/>
      <c r="G236" s="37"/>
      <c r="H236" s="47"/>
      <c r="I236" s="37"/>
      <c r="J236" s="39"/>
      <c r="K236" s="37"/>
      <c r="L236" s="37" t="s">
        <v>362</v>
      </c>
      <c r="M236" s="40">
        <v>1</v>
      </c>
      <c r="O236" s="37"/>
      <c r="P236" s="41"/>
      <c r="Q236" s="42">
        <v>2352000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2352000</v>
      </c>
      <c r="Y236" s="50">
        <f>IF(NOTA[[#This Row],[JUMLAH]]="","",NOTA[[#This Row],[JUMLAH]]*NOTA[[#This Row],[DISC 1]])</f>
        <v>399840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399840</v>
      </c>
      <c r="AC236" s="50">
        <f>IF(NOTA[[#This Row],[JUMLAH]]="","",NOTA[[#This Row],[JUMLAH]]-NOTA[[#This Row],[DISC]])</f>
        <v>1952160</v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G236" s="50" t="str">
        <f>IF(OR(NOTA[[#This Row],[QTY]]="",NOTA[[#This Row],[HARGA SATUAN]]="",),"",NOTA[[#This Row],[QTY]]*NOTA[[#This Row],[HARGA SATUAN]])</f>
        <v/>
      </c>
      <c r="AH236" s="39">
        <f ca="1">IF(NOTA[ID_H]="","",INDEX(NOTA[TANGGAL],MATCH(,INDIRECT(ADDRESS(ROW(NOTA[TANGGAL]),COLUMN(NOTA[TANGGAL]))&amp;":"&amp;ADDRESS(ROW(),COLUMN(NOTA[TANGGAL]))),-1)))</f>
        <v>45183</v>
      </c>
      <c r="AI236" s="41" t="str">
        <f ca="1">IF(NOTA[[#This Row],[NAMA BARANG]]="","",INDEX(NOTA[SUPPLIER],MATCH(,INDIRECT(ADDRESS(ROW(NOTA[ID]),COLUMN(NOTA[ID]))&amp;":"&amp;ADDRESS(ROW(),COLUMN(NOTA[ID]))),-1)))</f>
        <v>KENKO SINAR INDONESIA</v>
      </c>
      <c r="AJ236" s="41" t="str">
        <f ca="1">IF(NOTA[[#This Row],[ID_H]]="","",IF(NOTA[[#This Row],[FAKTUR]]="",INDIRECT(ADDRESS(ROW()-1,COLUMN())),NOTA[[#This Row],[FAKTUR]]))</f>
        <v>ARTO MORO</v>
      </c>
      <c r="AK236" s="38" t="str">
        <f ca="1">IF(NOTA[[#This Row],[ID]]="","",COUNTIF(NOTA[ID_H],NOTA[[#This Row],[ID_H]]))</f>
        <v/>
      </c>
      <c r="AL236" s="38">
        <f ca="1">IF(NOTA[[#This Row],[TGL.NOTA]]="",IF(NOTA[[#This Row],[SUPPLIER_H]]="","",AL235),MONTH(NOTA[[#This Row],[TGL.NOTA]]))</f>
        <v>9</v>
      </c>
      <c r="AM236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N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O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P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6" s="38" t="str">
        <f>IF(NOTA[[#This Row],[CONCAT4]]="","",_xlfn.IFNA(MATCH(NOTA[[#This Row],[CONCAT4]],[2]!RAW[CONCAT_H],0),FALSE))</f>
        <v/>
      </c>
      <c r="AR236" s="38">
        <f>IF(NOTA[[#This Row],[CONCAT1]]="","",MATCH(NOTA[[#This Row],[CONCAT1]],[3]!db[NB NOTA_C],0))</f>
        <v>1560</v>
      </c>
      <c r="AS236" s="38" t="str">
        <f>IF(NOTA[[#This Row],[QTY/ CTN]]="","",TRUE)</f>
        <v/>
      </c>
      <c r="AT236" s="38" t="str">
        <f ca="1">IF(NOTA[[#This Row],[ID_H]]="","",IF(NOTA[[#This Row],[Column3]]=TRUE,NOTA[[#This Row],[QTY/ CTN]],INDEX([3]!db[QTY/ CTN],NOTA[[#This Row],[//DB]])))</f>
        <v>20 LSN</v>
      </c>
      <c r="AU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V236" s="38" t="e">
        <f ca="1">IF(NOTA[[#This Row],[ID_H]]="","",MATCH(NOTA[[#This Row],[NB NOTA_C_QTY]],[4]!db[NB NOTA_C_QTY+F],0))</f>
        <v>#REF!</v>
      </c>
      <c r="AW236" s="53">
        <f ca="1">IF(NOTA[[#This Row],[NB NOTA_C_QTY]]="","",ROW()-2)</f>
        <v>234</v>
      </c>
    </row>
    <row r="237" spans="1:49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39</v>
      </c>
      <c r="E237" s="46"/>
      <c r="F237" s="37"/>
      <c r="G237" s="37"/>
      <c r="H237" s="47"/>
      <c r="I237" s="37"/>
      <c r="J237" s="39"/>
      <c r="K237" s="37"/>
      <c r="L237" s="37" t="s">
        <v>363</v>
      </c>
      <c r="M237" s="40">
        <v>1</v>
      </c>
      <c r="O237" s="37"/>
      <c r="P237" s="41"/>
      <c r="Q237" s="42">
        <v>1497600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1497600</v>
      </c>
      <c r="Y237" s="50">
        <f>IF(NOTA[[#This Row],[JUMLAH]]="","",NOTA[[#This Row],[JUMLAH]]*NOTA[[#This Row],[DISC 1]])</f>
        <v>254592.00000000003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254592.00000000003</v>
      </c>
      <c r="AC237" s="50">
        <f>IF(NOTA[[#This Row],[JUMLAH]]="","",NOTA[[#This Row],[JUMLAH]]-NOTA[[#This Row],[DISC]])</f>
        <v>1243008</v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7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G237" s="50" t="str">
        <f>IF(OR(NOTA[[#This Row],[QTY]]="",NOTA[[#This Row],[HARGA SATUAN]]="",),"",NOTA[[#This Row],[QTY]]*NOTA[[#This Row],[HARGA SATUAN]])</f>
        <v/>
      </c>
      <c r="AH237" s="39">
        <f ca="1">IF(NOTA[ID_H]="","",INDEX(NOTA[TANGGAL],MATCH(,INDIRECT(ADDRESS(ROW(NOTA[TANGGAL]),COLUMN(NOTA[TANGGAL]))&amp;":"&amp;ADDRESS(ROW(),COLUMN(NOTA[TANGGAL]))),-1)))</f>
        <v>45183</v>
      </c>
      <c r="AI237" s="41" t="str">
        <f ca="1">IF(NOTA[[#This Row],[NAMA BARANG]]="","",INDEX(NOTA[SUPPLIER],MATCH(,INDIRECT(ADDRESS(ROW(NOTA[ID]),COLUMN(NOTA[ID]))&amp;":"&amp;ADDRESS(ROW(),COLUMN(NOTA[ID]))),-1)))</f>
        <v>KENKO SINAR INDONESIA</v>
      </c>
      <c r="AJ237" s="41" t="str">
        <f ca="1">IF(NOTA[[#This Row],[ID_H]]="","",IF(NOTA[[#This Row],[FAKTUR]]="",INDIRECT(ADDRESS(ROW()-1,COLUMN())),NOTA[[#This Row],[FAKTUR]]))</f>
        <v>ARTO MORO</v>
      </c>
      <c r="AK237" s="38" t="str">
        <f ca="1">IF(NOTA[[#This Row],[ID]]="","",COUNTIF(NOTA[ID_H],NOTA[[#This Row],[ID_H]]))</f>
        <v/>
      </c>
      <c r="AL237" s="38">
        <f ca="1">IF(NOTA[[#This Row],[TGL.NOTA]]="",IF(NOTA[[#This Row],[SUPPLIER_H]]="","",AL236),MONTH(NOTA[[#This Row],[TGL.NOTA]]))</f>
        <v>9</v>
      </c>
      <c r="AM237" s="38" t="str">
        <f>LOWER(SUBSTITUTE(SUBSTITUTE(SUBSTITUTE(SUBSTITUTE(SUBSTITUTE(SUBSTITUTE(SUBSTITUTE(SUBSTITUTE(SUBSTITUTE(NOTA[NAMA BARANG]," ",),".",""),"-",""),"(",""),")",""),",",""),"/",""),"""",""),"+",""))</f>
        <v>kenkopencilcasepc0719tk</v>
      </c>
      <c r="AN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kenkopencilcasepc0719tk14976000.17</v>
      </c>
      <c r="AO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kenkopencilcasepc0719tk14976000.17</v>
      </c>
      <c r="AP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38" t="str">
        <f>IF(NOTA[[#This Row],[CONCAT4]]="","",_xlfn.IFNA(MATCH(NOTA[[#This Row],[CONCAT4]],[2]!RAW[CONCAT_H],0),FALSE))</f>
        <v/>
      </c>
      <c r="AR237" s="38">
        <f>IF(NOTA[[#This Row],[CONCAT1]]="","",MATCH(NOTA[[#This Row],[CONCAT1]],[3]!db[NB NOTA_C],0))</f>
        <v>1511</v>
      </c>
      <c r="AS237" s="38" t="str">
        <f>IF(NOTA[[#This Row],[QTY/ CTN]]="","",TRUE)</f>
        <v/>
      </c>
      <c r="AT237" s="38" t="str">
        <f ca="1">IF(NOTA[[#This Row],[ID_H]]="","",IF(NOTA[[#This Row],[Column3]]=TRUE,NOTA[[#This Row],[QTY/ CTN]],INDEX([3]!db[QTY/ CTN],NOTA[[#This Row],[//DB]])))</f>
        <v>24 LSN</v>
      </c>
      <c r="AU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kenkopencilcasepc0719tk24lsnartomoro</v>
      </c>
      <c r="AV237" s="38" t="e">
        <f ca="1">IF(NOTA[[#This Row],[ID_H]]="","",MATCH(NOTA[[#This Row],[NB NOTA_C_QTY]],[4]!db[NB NOTA_C_QTY+F],0))</f>
        <v>#REF!</v>
      </c>
      <c r="AW237" s="53">
        <f ca="1">IF(NOTA[[#This Row],[NB NOTA_C_QTY]]="","",ROW()-2)</f>
        <v>235</v>
      </c>
    </row>
    <row r="238" spans="1:49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39</v>
      </c>
      <c r="E238" s="46"/>
      <c r="F238" s="37"/>
      <c r="G238" s="37"/>
      <c r="H238" s="47"/>
      <c r="I238" s="37"/>
      <c r="J238" s="39"/>
      <c r="K238" s="37"/>
      <c r="L238" s="37" t="s">
        <v>364</v>
      </c>
      <c r="M238" s="40">
        <v>1</v>
      </c>
      <c r="O238" s="37"/>
      <c r="P238" s="41"/>
      <c r="Q238" s="42">
        <v>3800000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3800000</v>
      </c>
      <c r="Y238" s="50">
        <f>IF(NOTA[[#This Row],[JUMLAH]]="","",NOTA[[#This Row],[JUMLAH]]*NOTA[[#This Row],[DISC 1]])</f>
        <v>646000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646000</v>
      </c>
      <c r="AC238" s="50">
        <f>IF(NOTA[[#This Row],[JUMLAH]]="","",NOTA[[#This Row],[JUMLAH]]-NOTA[[#This Row],[DISC]])</f>
        <v>3154000</v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8" s="41">
        <f>IF(NOTA[[#This Row],[NAMA BARANG]]="","",IF(NOTA[[#This Row],[JUMLAH_H]]="",NOTA[[#This Row],[HARGA/ CTN]],NOTA[[#This Row],[QTY]]*NOTA[[#This Row],[HARGA SATUAN]]/IF(ISNUMBER(NOTA[[#This Row],[C]]),NOTA[[#This Row],[C]],1)))</f>
        <v>3800000</v>
      </c>
      <c r="AG238" s="50" t="str">
        <f>IF(OR(NOTA[[#This Row],[QTY]]="",NOTA[[#This Row],[HARGA SATUAN]]="",),"",NOTA[[#This Row],[QTY]]*NOTA[[#This Row],[HARGA SATUAN]])</f>
        <v/>
      </c>
      <c r="AH238" s="39">
        <f ca="1">IF(NOTA[ID_H]="","",INDEX(NOTA[TANGGAL],MATCH(,INDIRECT(ADDRESS(ROW(NOTA[TANGGAL]),COLUMN(NOTA[TANGGAL]))&amp;":"&amp;ADDRESS(ROW(),COLUMN(NOTA[TANGGAL]))),-1)))</f>
        <v>45183</v>
      </c>
      <c r="AI238" s="41" t="str">
        <f ca="1">IF(NOTA[[#This Row],[NAMA BARANG]]="","",INDEX(NOTA[SUPPLIER],MATCH(,INDIRECT(ADDRESS(ROW(NOTA[ID]),COLUMN(NOTA[ID]))&amp;":"&amp;ADDRESS(ROW(),COLUMN(NOTA[ID]))),-1)))</f>
        <v>KENKO SINAR INDONESIA</v>
      </c>
      <c r="AJ238" s="41" t="str">
        <f ca="1">IF(NOTA[[#This Row],[ID_H]]="","",IF(NOTA[[#This Row],[FAKTUR]]="",INDIRECT(ADDRESS(ROW()-1,COLUMN())),NOTA[[#This Row],[FAKTUR]]))</f>
        <v>ARTO MORO</v>
      </c>
      <c r="AK238" s="38" t="str">
        <f ca="1">IF(NOTA[[#This Row],[ID]]="","",COUNTIF(NOTA[ID_H],NOTA[[#This Row],[ID_H]]))</f>
        <v/>
      </c>
      <c r="AL238" s="38">
        <f ca="1">IF(NOTA[[#This Row],[TGL.NOTA]]="",IF(NOTA[[#This Row],[SUPPLIER_H]]="","",AL237),MONTH(NOTA[[#This Row],[TGL.NOTA]]))</f>
        <v>9</v>
      </c>
      <c r="AM238" s="38" t="str">
        <f>LOWER(SUBSTITUTE(SUBSTITUTE(SUBSTITUTE(SUBSTITUTE(SUBSTITUTE(SUBSTITUTE(SUBSTITUTE(SUBSTITUTE(SUBSTITUTE(NOTA[NAMA BARANG]," ",),".",""),"-",""),"(",""),")",""),",",""),"/",""),"""",""),"+",""))</f>
        <v>kenkohandtallycounterht30210pcsbox</v>
      </c>
      <c r="AN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O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kenkohandtallycounterht30210pcsbox38000000.17</v>
      </c>
      <c r="AP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8" s="38" t="str">
        <f>IF(NOTA[[#This Row],[CONCAT4]]="","",_xlfn.IFNA(MATCH(NOTA[[#This Row],[CONCAT4]],[2]!RAW[CONCAT_H],0),FALSE))</f>
        <v/>
      </c>
      <c r="AR238" s="38">
        <f>IF(NOTA[[#This Row],[CONCAT1]]="","",MATCH(NOTA[[#This Row],[CONCAT1]],[3]!db[NB NOTA_C],0))</f>
        <v>1450</v>
      </c>
      <c r="AS238" s="38" t="str">
        <f>IF(NOTA[[#This Row],[QTY/ CTN]]="","",TRUE)</f>
        <v/>
      </c>
      <c r="AT238" s="38" t="str">
        <f ca="1">IF(NOTA[[#This Row],[ID_H]]="","",IF(NOTA[[#This Row],[Column3]]=TRUE,NOTA[[#This Row],[QTY/ CTN]],INDEX([3]!db[QTY/ CTN],NOTA[[#This Row],[//DB]])))</f>
        <v>20 BOX (10 PCS)</v>
      </c>
      <c r="AU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kenkohandtallycounterht30210pcsbox20box10pcsartomoro</v>
      </c>
      <c r="AV238" s="38" t="e">
        <f ca="1">IF(NOTA[[#This Row],[ID_H]]="","",MATCH(NOTA[[#This Row],[NB NOTA_C_QTY]],[4]!db[NB NOTA_C_QTY+F],0))</f>
        <v>#REF!</v>
      </c>
      <c r="AW238" s="53">
        <f ca="1">IF(NOTA[[#This Row],[NB NOTA_C_QTY]]="","",ROW()-2)</f>
        <v>236</v>
      </c>
    </row>
    <row r="239" spans="1:49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39</v>
      </c>
      <c r="E239" s="46"/>
      <c r="F239" s="37"/>
      <c r="G239" s="37"/>
      <c r="H239" s="47"/>
      <c r="I239" s="37"/>
      <c r="J239" s="39"/>
      <c r="K239" s="37"/>
      <c r="L239" s="37" t="s">
        <v>196</v>
      </c>
      <c r="M239" s="40">
        <v>1</v>
      </c>
      <c r="O239" s="37"/>
      <c r="P239" s="41"/>
      <c r="Q239" s="42">
        <v>1560000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1560000</v>
      </c>
      <c r="Y239" s="50">
        <f>IF(NOTA[[#This Row],[JUMLAH]]="","",NOTA[[#This Row],[JUMLAH]]*NOTA[[#This Row],[DISC 1]])</f>
        <v>265200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265200</v>
      </c>
      <c r="AC239" s="50">
        <f>IF(NOTA[[#This Row],[JUMLAH]]="","",NOTA[[#This Row],[JUMLAH]]-NOTA[[#This Row],[DISC]])</f>
        <v>1294800</v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3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239" s="50" t="str">
        <f>IF(OR(NOTA[[#This Row],[QTY]]="",NOTA[[#This Row],[HARGA SATUAN]]="",),"",NOTA[[#This Row],[QTY]]*NOTA[[#This Row],[HARGA SATUAN]])</f>
        <v/>
      </c>
      <c r="AH239" s="39">
        <f ca="1">IF(NOTA[ID_H]="","",INDEX(NOTA[TANGGAL],MATCH(,INDIRECT(ADDRESS(ROW(NOTA[TANGGAL]),COLUMN(NOTA[TANGGAL]))&amp;":"&amp;ADDRESS(ROW(),COLUMN(NOTA[TANGGAL]))),-1)))</f>
        <v>45183</v>
      </c>
      <c r="AI239" s="41" t="str">
        <f ca="1">IF(NOTA[[#This Row],[NAMA BARANG]]="","",INDEX(NOTA[SUPPLIER],MATCH(,INDIRECT(ADDRESS(ROW(NOTA[ID]),COLUMN(NOTA[ID]))&amp;":"&amp;ADDRESS(ROW(),COLUMN(NOTA[ID]))),-1)))</f>
        <v>KENKO SINAR INDONESIA</v>
      </c>
      <c r="AJ239" s="41" t="str">
        <f ca="1">IF(NOTA[[#This Row],[ID_H]]="","",IF(NOTA[[#This Row],[FAKTUR]]="",INDIRECT(ADDRESS(ROW()-1,COLUMN())),NOTA[[#This Row],[FAKTUR]]))</f>
        <v>ARTO MORO</v>
      </c>
      <c r="AK239" s="38" t="str">
        <f ca="1">IF(NOTA[[#This Row],[ID]]="","",COUNTIF(NOTA[ID_H],NOTA[[#This Row],[ID_H]]))</f>
        <v/>
      </c>
      <c r="AL239" s="38">
        <f ca="1">IF(NOTA[[#This Row],[TGL.NOTA]]="",IF(NOTA[[#This Row],[SUPPLIER_H]]="","",AL238),MONTH(NOTA[[#This Row],[TGL.NOTA]]))</f>
        <v>9</v>
      </c>
      <c r="AM239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N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38" t="str">
        <f>IF(NOTA[[#This Row],[CONCAT4]]="","",_xlfn.IFNA(MATCH(NOTA[[#This Row],[CONCAT4]],[2]!RAW[CONCAT_H],0),FALSE))</f>
        <v/>
      </c>
      <c r="AR239" s="38">
        <f>IF(NOTA[[#This Row],[CONCAT1]]="","",MATCH(NOTA[[#This Row],[CONCAT1]],[3]!db[NB NOTA_C],0))</f>
        <v>1526</v>
      </c>
      <c r="AS239" s="38" t="str">
        <f>IF(NOTA[[#This Row],[QTY/ CTN]]="","",TRUE)</f>
        <v/>
      </c>
      <c r="AT239" s="38" t="str">
        <f ca="1">IF(NOTA[[#This Row],[ID_H]]="","",IF(NOTA[[#This Row],[Column3]]=TRUE,NOTA[[#This Row],[QTY/ CTN]],INDEX([3]!db[QTY/ CTN],NOTA[[#This Row],[//DB]])))</f>
        <v>10 LSN</v>
      </c>
      <c r="AU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V239" s="38" t="e">
        <f ca="1">IF(NOTA[[#This Row],[ID_H]]="","",MATCH(NOTA[[#This Row],[NB NOTA_C_QTY]],[4]!db[NB NOTA_C_QTY+F],0))</f>
        <v>#REF!</v>
      </c>
      <c r="AW239" s="53">
        <f ca="1">IF(NOTA[[#This Row],[NB NOTA_C_QTY]]="","",ROW()-2)</f>
        <v>237</v>
      </c>
    </row>
    <row r="240" spans="1:49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39</v>
      </c>
      <c r="E240" s="46"/>
      <c r="F240" s="37"/>
      <c r="G240" s="37"/>
      <c r="H240" s="47"/>
      <c r="I240" s="37"/>
      <c r="J240" s="39"/>
      <c r="K240" s="37"/>
      <c r="L240" s="37" t="s">
        <v>197</v>
      </c>
      <c r="M240" s="40">
        <v>1</v>
      </c>
      <c r="O240" s="37"/>
      <c r="P240" s="41"/>
      <c r="Q240" s="42">
        <v>1440000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1440000</v>
      </c>
      <c r="Y240" s="50">
        <f>IF(NOTA[[#This Row],[JUMLAH]]="","",NOTA[[#This Row],[JUMLAH]]*NOTA[[#This Row],[DISC 1]])</f>
        <v>244800.00000000003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244800.00000000003</v>
      </c>
      <c r="AC240" s="50">
        <f>IF(NOTA[[#This Row],[JUMLAH]]="","",NOTA[[#This Row],[JUMLAH]]-NOTA[[#This Row],[DISC]])</f>
        <v>1195200</v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0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G240" s="50" t="str">
        <f>IF(OR(NOTA[[#This Row],[QTY]]="",NOTA[[#This Row],[HARGA SATUAN]]="",),"",NOTA[[#This Row],[QTY]]*NOTA[[#This Row],[HARGA SATUAN]])</f>
        <v/>
      </c>
      <c r="AH240" s="39">
        <f ca="1">IF(NOTA[ID_H]="","",INDEX(NOTA[TANGGAL],MATCH(,INDIRECT(ADDRESS(ROW(NOTA[TANGGAL]),COLUMN(NOTA[TANGGAL]))&amp;":"&amp;ADDRESS(ROW(),COLUMN(NOTA[TANGGAL]))),-1)))</f>
        <v>45183</v>
      </c>
      <c r="AI240" s="41" t="str">
        <f ca="1">IF(NOTA[[#This Row],[NAMA BARANG]]="","",INDEX(NOTA[SUPPLIER],MATCH(,INDIRECT(ADDRESS(ROW(NOTA[ID]),COLUMN(NOTA[ID]))&amp;":"&amp;ADDRESS(ROW(),COLUMN(NOTA[ID]))),-1)))</f>
        <v>KENKO SINAR INDONESIA</v>
      </c>
      <c r="AJ240" s="41" t="str">
        <f ca="1">IF(NOTA[[#This Row],[ID_H]]="","",IF(NOTA[[#This Row],[FAKTUR]]="",INDIRECT(ADDRESS(ROW()-1,COLUMN())),NOTA[[#This Row],[FAKTUR]]))</f>
        <v>ARTO MORO</v>
      </c>
      <c r="AK240" s="38" t="str">
        <f ca="1">IF(NOTA[[#This Row],[ID]]="","",COUNTIF(NOTA[ID_H],NOTA[[#This Row],[ID_H]]))</f>
        <v/>
      </c>
      <c r="AL240" s="38">
        <f ca="1">IF(NOTA[[#This Row],[TGL.NOTA]]="",IF(NOTA[[#This Row],[SUPPLIER_H]]="","",AL239),MONTH(NOTA[[#This Row],[TGL.NOTA]]))</f>
        <v>9</v>
      </c>
      <c r="AM240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N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0" s="38" t="str">
        <f>IF(NOTA[[#This Row],[CONCAT4]]="","",_xlfn.IFNA(MATCH(NOTA[[#This Row],[CONCAT4]],[2]!RAW[CONCAT_H],0),FALSE))</f>
        <v/>
      </c>
      <c r="AR240" s="38">
        <f>IF(NOTA[[#This Row],[CONCAT1]]="","",MATCH(NOTA[[#This Row],[CONCAT1]],[3]!db[NB NOTA_C],0))</f>
        <v>1527</v>
      </c>
      <c r="AS240" s="38" t="str">
        <f>IF(NOTA[[#This Row],[QTY/ CTN]]="","",TRUE)</f>
        <v/>
      </c>
      <c r="AT240" s="38" t="str">
        <f ca="1">IF(NOTA[[#This Row],[ID_H]]="","",IF(NOTA[[#This Row],[Column3]]=TRUE,NOTA[[#This Row],[QTY/ CTN]],INDEX([3]!db[QTY/ CTN],NOTA[[#This Row],[//DB]])))</f>
        <v>4 BOX (24 PCS)</v>
      </c>
      <c r="AU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V240" s="38" t="e">
        <f ca="1">IF(NOTA[[#This Row],[ID_H]]="","",MATCH(NOTA[[#This Row],[NB NOTA_C_QTY]],[4]!db[NB NOTA_C_QTY+F],0))</f>
        <v>#REF!</v>
      </c>
      <c r="AW240" s="53">
        <f ca="1">IF(NOTA[[#This Row],[NB NOTA_C_QTY]]="","",ROW()-2)</f>
        <v>238</v>
      </c>
    </row>
    <row r="241" spans="1:49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39</v>
      </c>
      <c r="E241" s="46"/>
      <c r="F241" s="37"/>
      <c r="G241" s="37"/>
      <c r="H241" s="47"/>
      <c r="I241" s="37"/>
      <c r="J241" s="39"/>
      <c r="K241" s="37"/>
      <c r="L241" s="37" t="s">
        <v>365</v>
      </c>
      <c r="M241" s="40">
        <v>1</v>
      </c>
      <c r="O241" s="37"/>
      <c r="P241" s="41"/>
      <c r="Q241" s="42">
        <v>1536000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1536000</v>
      </c>
      <c r="Y241" s="50">
        <f>IF(NOTA[[#This Row],[JUMLAH]]="","",NOTA[[#This Row],[JUMLAH]]*NOTA[[#This Row],[DISC 1]])</f>
        <v>261120.00000000003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261120.00000000003</v>
      </c>
      <c r="AC241" s="50">
        <f>IF(NOTA[[#This Row],[JUMLAH]]="","",NOTA[[#This Row],[JUMLAH]]-NOTA[[#This Row],[DISC]])</f>
        <v>1274880</v>
      </c>
      <c r="AD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1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241" s="50" t="str">
        <f>IF(OR(NOTA[[#This Row],[QTY]]="",NOTA[[#This Row],[HARGA SATUAN]]="",),"",NOTA[[#This Row],[QTY]]*NOTA[[#This Row],[HARGA SATUAN]])</f>
        <v/>
      </c>
      <c r="AH241" s="39">
        <f ca="1">IF(NOTA[ID_H]="","",INDEX(NOTA[TANGGAL],MATCH(,INDIRECT(ADDRESS(ROW(NOTA[TANGGAL]),COLUMN(NOTA[TANGGAL]))&amp;":"&amp;ADDRESS(ROW(),COLUMN(NOTA[TANGGAL]))),-1)))</f>
        <v>45183</v>
      </c>
      <c r="AI241" s="41" t="str">
        <f ca="1">IF(NOTA[[#This Row],[NAMA BARANG]]="","",INDEX(NOTA[SUPPLIER],MATCH(,INDIRECT(ADDRESS(ROW(NOTA[ID]),COLUMN(NOTA[ID]))&amp;":"&amp;ADDRESS(ROW(),COLUMN(NOTA[ID]))),-1)))</f>
        <v>KENKO SINAR INDONESIA</v>
      </c>
      <c r="AJ241" s="41" t="str">
        <f ca="1">IF(NOTA[[#This Row],[ID_H]]="","",IF(NOTA[[#This Row],[FAKTUR]]="",INDIRECT(ADDRESS(ROW()-1,COLUMN())),NOTA[[#This Row],[FAKTUR]]))</f>
        <v>ARTO MORO</v>
      </c>
      <c r="AK241" s="38" t="str">
        <f ca="1">IF(NOTA[[#This Row],[ID]]="","",COUNTIF(NOTA[ID_H],NOTA[[#This Row],[ID_H]]))</f>
        <v/>
      </c>
      <c r="AL241" s="38">
        <f ca="1">IF(NOTA[[#This Row],[TGL.NOTA]]="",IF(NOTA[[#This Row],[SUPPLIER_H]]="","",AL240),MONTH(NOTA[[#This Row],[TGL.NOTA]]))</f>
        <v>9</v>
      </c>
      <c r="AM241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N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38" t="str">
        <f>IF(NOTA[[#This Row],[CONCAT4]]="","",_xlfn.IFNA(MATCH(NOTA[[#This Row],[CONCAT4]],[2]!RAW[CONCAT_H],0),FALSE))</f>
        <v/>
      </c>
      <c r="AR241" s="38">
        <f>IF(NOTA[[#This Row],[CONCAT1]]="","",MATCH(NOTA[[#This Row],[CONCAT1]],[3]!db[NB NOTA_C],0))</f>
        <v>1529</v>
      </c>
      <c r="AS241" s="38" t="str">
        <f>IF(NOTA[[#This Row],[QTY/ CTN]]="","",TRUE)</f>
        <v/>
      </c>
      <c r="AT241" s="38" t="str">
        <f ca="1">IF(NOTA[[#This Row],[ID_H]]="","",IF(NOTA[[#This Row],[Column3]]=TRUE,NOTA[[#This Row],[QTY/ CTN]],INDEX([3]!db[QTY/ CTN],NOTA[[#This Row],[//DB]])))</f>
        <v>4 LSN</v>
      </c>
      <c r="AU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V241" s="38" t="e">
        <f ca="1">IF(NOTA[[#This Row],[ID_H]]="","",MATCH(NOTA[[#This Row],[NB NOTA_C_QTY]],[4]!db[NB NOTA_C_QTY+F],0))</f>
        <v>#REF!</v>
      </c>
      <c r="AW241" s="53">
        <f ca="1">IF(NOTA[[#This Row],[NB NOTA_C_QTY]]="","",ROW()-2)</f>
        <v>239</v>
      </c>
    </row>
    <row r="242" spans="1:49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39</v>
      </c>
      <c r="E242" s="46"/>
      <c r="F242" s="37"/>
      <c r="G242" s="37"/>
      <c r="H242" s="47"/>
      <c r="I242" s="37"/>
      <c r="J242" s="39"/>
      <c r="K242" s="37"/>
      <c r="L242" s="37" t="s">
        <v>366</v>
      </c>
      <c r="M242" s="40">
        <v>2</v>
      </c>
      <c r="O242" s="37"/>
      <c r="P242" s="41"/>
      <c r="Q242" s="42">
        <v>504000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1008000</v>
      </c>
      <c r="Y242" s="50">
        <f>IF(NOTA[[#This Row],[JUMLAH]]="","",NOTA[[#This Row],[JUMLAH]]*NOTA[[#This Row],[DISC 1]])</f>
        <v>171360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171360</v>
      </c>
      <c r="AC242" s="50">
        <f>IF(NOTA[[#This Row],[JUMLAH]]="","",NOTA[[#This Row],[JUMLAH]]-NOTA[[#This Row],[DISC]])</f>
        <v>836640</v>
      </c>
      <c r="AD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4532812</v>
      </c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22130788</v>
      </c>
      <c r="AF24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G242" s="50" t="str">
        <f>IF(OR(NOTA[[#This Row],[QTY]]="",NOTA[[#This Row],[HARGA SATUAN]]="",),"",NOTA[[#This Row],[QTY]]*NOTA[[#This Row],[HARGA SATUAN]])</f>
        <v/>
      </c>
      <c r="AH242" s="39">
        <f ca="1">IF(NOTA[ID_H]="","",INDEX(NOTA[TANGGAL],MATCH(,INDIRECT(ADDRESS(ROW(NOTA[TANGGAL]),COLUMN(NOTA[TANGGAL]))&amp;":"&amp;ADDRESS(ROW(),COLUMN(NOTA[TANGGAL]))),-1)))</f>
        <v>45183</v>
      </c>
      <c r="AI242" s="41" t="str">
        <f ca="1">IF(NOTA[[#This Row],[NAMA BARANG]]="","",INDEX(NOTA[SUPPLIER],MATCH(,INDIRECT(ADDRESS(ROW(NOTA[ID]),COLUMN(NOTA[ID]))&amp;":"&amp;ADDRESS(ROW(),COLUMN(NOTA[ID]))),-1)))</f>
        <v>KENKO SINAR INDONESIA</v>
      </c>
      <c r="AJ242" s="41" t="str">
        <f ca="1">IF(NOTA[[#This Row],[ID_H]]="","",IF(NOTA[[#This Row],[FAKTUR]]="",INDIRECT(ADDRESS(ROW()-1,COLUMN())),NOTA[[#This Row],[FAKTUR]]))</f>
        <v>ARTO MORO</v>
      </c>
      <c r="AK242" s="38" t="str">
        <f ca="1">IF(NOTA[[#This Row],[ID]]="","",COUNTIF(NOTA[ID_H],NOTA[[#This Row],[ID_H]]))</f>
        <v/>
      </c>
      <c r="AL242" s="38">
        <f ca="1">IF(NOTA[[#This Row],[TGL.NOTA]]="",IF(NOTA[[#This Row],[SUPPLIER_H]]="","",AL241),MONTH(NOTA[[#This Row],[TGL.NOTA]]))</f>
        <v>9</v>
      </c>
      <c r="AM24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N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O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P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2" s="38" t="str">
        <f>IF(NOTA[[#This Row],[CONCAT4]]="","",_xlfn.IFNA(MATCH(NOTA[[#This Row],[CONCAT4]],[2]!RAW[CONCAT_H],0),FALSE))</f>
        <v/>
      </c>
      <c r="AR242" s="38">
        <f>IF(NOTA[[#This Row],[CONCAT1]]="","",MATCH(NOTA[[#This Row],[CONCAT1]],[3]!db[NB NOTA_C],0))</f>
        <v>1456</v>
      </c>
      <c r="AS242" s="38" t="str">
        <f>IF(NOTA[[#This Row],[QTY/ CTN]]="","",TRUE)</f>
        <v/>
      </c>
      <c r="AT242" s="38" t="str">
        <f ca="1">IF(NOTA[[#This Row],[ID_H]]="","",IF(NOTA[[#This Row],[Column3]]=TRUE,NOTA[[#This Row],[QTY/ CTN]],INDEX([3]!db[QTY/ CTN],NOTA[[#This Row],[//DB]])))</f>
        <v>6 PCS</v>
      </c>
      <c r="AU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V242" s="38" t="e">
        <f ca="1">IF(NOTA[[#This Row],[ID_H]]="","",MATCH(NOTA[[#This Row],[NB NOTA_C_QTY]],[4]!db[NB NOTA_C_QTY+F],0))</f>
        <v>#REF!</v>
      </c>
      <c r="AW242" s="53">
        <f ca="1">IF(NOTA[[#This Row],[NB NOTA_C_QTY]]="","",ROW()-2)</f>
        <v>240</v>
      </c>
    </row>
    <row r="243" spans="1:49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43" s="50" t="str">
        <f>IF(OR(NOTA[[#This Row],[QTY]]="",NOTA[[#This Row],[HARGA SATUAN]]="",),"",NOTA[[#This Row],[QTY]]*NOTA[[#This Row],[HARGA SATUAN]])</f>
        <v/>
      </c>
      <c r="AH243" s="39" t="str">
        <f ca="1">IF(NOTA[ID_H]="","",INDEX(NOTA[TANGGAL],MATCH(,INDIRECT(ADDRESS(ROW(NOTA[TANGGAL]),COLUMN(NOTA[TANGGAL]))&amp;":"&amp;ADDRESS(ROW(),COLUMN(NOTA[TANGGAL]))),-1)))</f>
        <v/>
      </c>
      <c r="AI243" s="41" t="str">
        <f ca="1">IF(NOTA[[#This Row],[NAMA BARANG]]="","",INDEX(NOTA[SUPPLIER],MATCH(,INDIRECT(ADDRESS(ROW(NOTA[ID]),COLUMN(NOTA[ID]))&amp;":"&amp;ADDRESS(ROW(),COLUMN(NOTA[ID]))),-1)))</f>
        <v/>
      </c>
      <c r="AJ243" s="41" t="str">
        <f ca="1">IF(NOTA[[#This Row],[ID_H]]="","",IF(NOTA[[#This Row],[FAKTUR]]="",INDIRECT(ADDRESS(ROW()-1,COLUMN())),NOTA[[#This Row],[FAKTUR]]))</f>
        <v/>
      </c>
      <c r="AK243" s="38" t="str">
        <f ca="1">IF(NOTA[[#This Row],[ID]]="","",COUNTIF(NOTA[ID_H],NOTA[[#This Row],[ID_H]]))</f>
        <v/>
      </c>
      <c r="AL243" s="38" t="str">
        <f ca="1">IF(NOTA[[#This Row],[TGL.NOTA]]="",IF(NOTA[[#This Row],[SUPPLIER_H]]="","",AL242),MONTH(NOTA[[#This Row],[TGL.NOTA]]))</f>
        <v/>
      </c>
      <c r="AM243" s="38" t="str">
        <f>LOWER(SUBSTITUTE(SUBSTITUTE(SUBSTITUTE(SUBSTITUTE(SUBSTITUTE(SUBSTITUTE(SUBSTITUTE(SUBSTITUTE(SUBSTITUTE(NOTA[NAMA BARANG]," ",),".",""),"-",""),"(",""),")",""),",",""),"/",""),"""",""),"+",""))</f>
        <v/>
      </c>
      <c r="AN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38" t="str">
        <f>IF(NOTA[[#This Row],[CONCAT4]]="","",_xlfn.IFNA(MATCH(NOTA[[#This Row],[CONCAT4]],[2]!RAW[CONCAT_H],0),FALSE))</f>
        <v/>
      </c>
      <c r="AR243" s="38" t="str">
        <f>IF(NOTA[[#This Row],[CONCAT1]]="","",MATCH(NOTA[[#This Row],[CONCAT1]],[3]!db[NB NOTA_C],0))</f>
        <v/>
      </c>
      <c r="AS243" s="38" t="str">
        <f>IF(NOTA[[#This Row],[QTY/ CTN]]="","",TRUE)</f>
        <v/>
      </c>
      <c r="AT243" s="38" t="str">
        <f ca="1">IF(NOTA[[#This Row],[ID_H]]="","",IF(NOTA[[#This Row],[Column3]]=TRUE,NOTA[[#This Row],[QTY/ CTN]],INDEX([3]!db[QTY/ CTN],NOTA[[#This Row],[//DB]])))</f>
        <v/>
      </c>
      <c r="AU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43" s="38" t="str">
        <f ca="1">IF(NOTA[[#This Row],[ID_H]]="","",MATCH(NOTA[[#This Row],[NB NOTA_C_QTY]],[4]!db[NB NOTA_C_QTY+F],0))</f>
        <v/>
      </c>
      <c r="AW243" s="53" t="str">
        <f ca="1">IF(NOTA[[#This Row],[NB NOTA_C_QTY]]="","",ROW()-2)</f>
        <v/>
      </c>
    </row>
    <row r="244" spans="1:49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SDI_1409_198-2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40</v>
      </c>
      <c r="E244" s="46"/>
      <c r="F244" s="37" t="s">
        <v>72</v>
      </c>
      <c r="G244" s="37" t="s">
        <v>23</v>
      </c>
      <c r="H244" s="47" t="s">
        <v>369</v>
      </c>
      <c r="I244" s="37"/>
      <c r="J244" s="39">
        <v>45181</v>
      </c>
      <c r="K244" s="37"/>
      <c r="L244" s="37" t="s">
        <v>370</v>
      </c>
      <c r="M244" s="40">
        <v>1</v>
      </c>
      <c r="N244" s="38">
        <v>20</v>
      </c>
      <c r="O244" s="37" t="s">
        <v>138</v>
      </c>
      <c r="P244" s="41">
        <v>216283.78</v>
      </c>
      <c r="Q244" s="42"/>
      <c r="R244" s="48" t="s">
        <v>371</v>
      </c>
      <c r="S244" s="49"/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4325675.5999999996</v>
      </c>
      <c r="Y244" s="50">
        <f>IF(NOTA[[#This Row],[JUMLAH]]="","",NOTA[[#This Row],[JUMLAH]]*NOTA[[#This Row],[DISC 1]])</f>
        <v>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0</v>
      </c>
      <c r="AC244" s="50">
        <f>IF(NOTA[[#This Row],[JUMLAH]]="","",NOTA[[#This Row],[JUMLAH]]-NOTA[[#This Row],[DISC]])</f>
        <v>4325675.5999999996</v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4" s="41">
        <f>IF(NOTA[[#This Row],[NAMA BARANG]]="","",IF(NOTA[[#This Row],[JUMLAH_H]]="",NOTA[[#This Row],[HARGA/ CTN]],NOTA[[#This Row],[QTY]]*NOTA[[#This Row],[HARGA SATUAN]]/IF(ISNUMBER(NOTA[[#This Row],[C]]),NOTA[[#This Row],[C]],1)))</f>
        <v>4325675.5999999996</v>
      </c>
      <c r="AG244" s="50">
        <f>IF(OR(NOTA[[#This Row],[QTY]]="",NOTA[[#This Row],[HARGA SATUAN]]="",),"",NOTA[[#This Row],[QTY]]*NOTA[[#This Row],[HARGA SATUAN]])</f>
        <v>4325675.5999999996</v>
      </c>
      <c r="AH244" s="39">
        <f ca="1">IF(NOTA[ID_H]="","",INDEX(NOTA[TANGGAL],MATCH(,INDIRECT(ADDRESS(ROW(NOTA[TANGGAL]),COLUMN(NOTA[TANGGAL]))&amp;":"&amp;ADDRESS(ROW(),COLUMN(NOTA[TANGGAL]))),-1)))</f>
        <v>45183</v>
      </c>
      <c r="AI244" s="41" t="str">
        <f ca="1">IF(NOTA[[#This Row],[NAMA BARANG]]="","",INDEX(NOTA[SUPPLIER],MATCH(,INDIRECT(ADDRESS(ROW(NOTA[ID]),COLUMN(NOTA[ID]))&amp;":"&amp;ADDRESS(ROW(),COLUMN(NOTA[ID]))),-1)))</f>
        <v>SDI</v>
      </c>
      <c r="AJ244" s="41" t="str">
        <f ca="1">IF(NOTA[[#This Row],[ID_H]]="","",IF(NOTA[[#This Row],[FAKTUR]]="",INDIRECT(ADDRESS(ROW()-1,COLUMN())),NOTA[[#This Row],[FAKTUR]]))</f>
        <v>ARTO MORO</v>
      </c>
      <c r="AK244" s="38">
        <f ca="1">IF(NOTA[[#This Row],[ID]]="","",COUNTIF(NOTA[ID_H],NOTA[[#This Row],[ID_H]]))</f>
        <v>2</v>
      </c>
      <c r="AL244" s="38">
        <f>IF(NOTA[[#This Row],[TGL.NOTA]]="",IF(NOTA[[#This Row],[SUPPLIER_H]]="","",AL243),MONTH(NOTA[[#This Row],[TGL.NOTA]]))</f>
        <v>9</v>
      </c>
      <c r="AM244" s="38" t="str">
        <f>LOWER(SUBSTITUTE(SUBSTITUTE(SUBSTITUTE(SUBSTITUTE(SUBSTITUTE(SUBSTITUTE(SUBSTITUTE(SUBSTITUTE(SUBSTITUTE(NOTA[NAMA BARANG]," ",),".",""),"-",""),"(",""),")",""),",",""),"/",""),"""",""),"+",""))</f>
        <v>sdistapler1123</v>
      </c>
      <c r="AN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sdistapler11234325675.6</v>
      </c>
      <c r="AO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sdistapler11234325675.6</v>
      </c>
      <c r="AP244" s="38" t="str">
        <f>IF(NOTA[[#This Row],[SUPPLIER]]="","",NOTA[[#This Row],[SUPPLIER]]&amp;NOTA[[#This Row],[FAKTUR]]&amp;NOTA[[#This Row],[NO.NOTA]]&amp;NOTA[[#This Row],[NO.SJ]]&amp;NOTA[[#This Row],[TGL.NOTA]]&amp;NOTA[[#This Row],[CONCAT1]])</f>
        <v>SDIARTO MOROSINV99-23090000019845181sdistapler1123</v>
      </c>
      <c r="AQ244" s="38" t="e">
        <f>IF(NOTA[[#This Row],[CONCAT4]]="","",_xlfn.IFNA(MATCH(NOTA[[#This Row],[CONCAT4]],[2]!RAW[CONCAT_H],0),FALSE))</f>
        <v>#REF!</v>
      </c>
      <c r="AR244" s="38">
        <f>IF(NOTA[[#This Row],[CONCAT1]]="","",MATCH(NOTA[[#This Row],[CONCAT1]],[3]!db[NB NOTA_C],0))</f>
        <v>2405</v>
      </c>
      <c r="AS244" s="38" t="b">
        <f>IF(NOTA[[#This Row],[QTY/ CTN]]="","",TRUE)</f>
        <v>1</v>
      </c>
      <c r="AT244" s="38" t="str">
        <f ca="1">IF(NOTA[[#This Row],[ID_H]]="","",IF(NOTA[[#This Row],[Column3]]=TRUE,NOTA[[#This Row],[QTY/ CTN]],INDEX([3]!db[QTY/ CTN],NOTA[[#This Row],[//DB]])))</f>
        <v>20 LSN</v>
      </c>
      <c r="AU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sdistapler112320lsnartomoro</v>
      </c>
      <c r="AV244" s="38" t="e">
        <f ca="1">IF(NOTA[[#This Row],[ID_H]]="","",MATCH(NOTA[[#This Row],[NB NOTA_C_QTY]],[4]!db[NB NOTA_C_QTY+F],0))</f>
        <v>#REF!</v>
      </c>
      <c r="AW244" s="53">
        <f ca="1">IF(NOTA[[#This Row],[NB NOTA_C_QTY]]="","",ROW()-2)</f>
        <v>242</v>
      </c>
    </row>
    <row r="245" spans="1:49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40</v>
      </c>
      <c r="E245" s="46"/>
      <c r="F245" s="37"/>
      <c r="G245" s="37"/>
      <c r="H245" s="47"/>
      <c r="I245" s="37"/>
      <c r="J245" s="39"/>
      <c r="K245" s="37"/>
      <c r="L245" s="37" t="s">
        <v>548</v>
      </c>
      <c r="M245" s="40"/>
      <c r="N245" s="38">
        <v>12</v>
      </c>
      <c r="O245" s="37" t="s">
        <v>132</v>
      </c>
      <c r="P245" s="41">
        <v>3195.95</v>
      </c>
      <c r="Q245" s="42"/>
      <c r="R245" s="48"/>
      <c r="S245" s="49"/>
      <c r="T245" s="44"/>
      <c r="U245" s="44"/>
      <c r="V245" s="50"/>
      <c r="W245" s="45" t="s">
        <v>417</v>
      </c>
      <c r="X245" s="50">
        <f>IF(NOTA[[#This Row],[HARGA/ CTN]]="",NOTA[[#This Row],[JUMLAH_H]],NOTA[[#This Row],[HARGA/ CTN]]*IF(NOTA[[#This Row],[C]]="",0,NOTA[[#This Row],[C]]))</f>
        <v>38351.399999999994</v>
      </c>
      <c r="Y245" s="50">
        <f>IF(NOTA[[#This Row],[JUMLAH]]="","",NOTA[[#This Row],[JUMLAH]]*NOTA[[#This Row],[DISC 1]])</f>
        <v>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0</v>
      </c>
      <c r="AC245" s="50">
        <f>IF(NOTA[[#This Row],[JUMLAH]]="","",NOTA[[#This Row],[JUMLAH]]-NOTA[[#This Row],[DISC]])</f>
        <v>38351.399999999994</v>
      </c>
      <c r="AD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4364027</v>
      </c>
      <c r="AF245" s="41">
        <f>IF(NOTA[[#This Row],[NAMA BARANG]]="","",IF(NOTA[[#This Row],[JUMLAH_H]]="",NOTA[[#This Row],[HARGA/ CTN]],NOTA[[#This Row],[QTY]]*NOTA[[#This Row],[HARGA SATUAN]]/IF(ISNUMBER(NOTA[[#This Row],[C]]),NOTA[[#This Row],[C]],1)))</f>
        <v>38351.399999999994</v>
      </c>
      <c r="AG245" s="50">
        <f>IF(OR(NOTA[[#This Row],[QTY]]="",NOTA[[#This Row],[HARGA SATUAN]]="",),"",NOTA[[#This Row],[QTY]]*NOTA[[#This Row],[HARGA SATUAN]])</f>
        <v>38351.399999999994</v>
      </c>
      <c r="AH245" s="39">
        <f ca="1">IF(NOTA[ID_H]="","",INDEX(NOTA[TANGGAL],MATCH(,INDIRECT(ADDRESS(ROW(NOTA[TANGGAL]),COLUMN(NOTA[TANGGAL]))&amp;":"&amp;ADDRESS(ROW(),COLUMN(NOTA[TANGGAL]))),-1)))</f>
        <v>45183</v>
      </c>
      <c r="AI245" s="41" t="str">
        <f ca="1">IF(NOTA[[#This Row],[NAMA BARANG]]="","",INDEX(NOTA[SUPPLIER],MATCH(,INDIRECT(ADDRESS(ROW(NOTA[ID]),COLUMN(NOTA[ID]))&amp;":"&amp;ADDRESS(ROW(),COLUMN(NOTA[ID]))),-1)))</f>
        <v>SDI</v>
      </c>
      <c r="AJ245" s="41" t="str">
        <f ca="1">IF(NOTA[[#This Row],[ID_H]]="","",IF(NOTA[[#This Row],[FAKTUR]]="",INDIRECT(ADDRESS(ROW()-1,COLUMN())),NOTA[[#This Row],[FAKTUR]]))</f>
        <v>ARTO MORO</v>
      </c>
      <c r="AK245" s="38" t="str">
        <f ca="1">IF(NOTA[[#This Row],[ID]]="","",COUNTIF(NOTA[ID_H],NOTA[[#This Row],[ID_H]]))</f>
        <v/>
      </c>
      <c r="AL245" s="38">
        <f ca="1">IF(NOTA[[#This Row],[TGL.NOTA]]="",IF(NOTA[[#This Row],[SUPPLIER_H]]="","",AL244),MONTH(NOTA[[#This Row],[TGL.NOTA]]))</f>
        <v>9</v>
      </c>
      <c r="AM245" s="38" t="str">
        <f>LOWER(SUBSTITUTE(SUBSTITUTE(SUBSTITUTE(SUBSTITUTE(SUBSTITUTE(SUBSTITUTE(SUBSTITUTE(SUBSTITUTE(SUBSTITUTE(NOTA[NAMA BARANG]," ",),".",""),"-",""),"(",""),")",""),",",""),"/",""),"""",""),"+",""))</f>
        <v>sdipmarkerp500vpbiru</v>
      </c>
      <c r="AN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sdipmarkerp500vpbiru38351.4</v>
      </c>
      <c r="AO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sdipmarkerp500vpbiru3195.95</v>
      </c>
      <c r="AP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38" t="str">
        <f>IF(NOTA[[#This Row],[CONCAT4]]="","",_xlfn.IFNA(MATCH(NOTA[[#This Row],[CONCAT4]],[2]!RAW[CONCAT_H],0),FALSE))</f>
        <v/>
      </c>
      <c r="AR245" s="38">
        <f>IF(NOTA[[#This Row],[CONCAT1]]="","",MATCH(NOTA[[#This Row],[CONCAT1]],[3]!db[NB NOTA_C],0))</f>
        <v>2401</v>
      </c>
      <c r="AS245" s="38" t="str">
        <f>IF(NOTA[[#This Row],[QTY/ CTN]]="","",TRUE)</f>
        <v/>
      </c>
      <c r="AT245" s="38" t="str">
        <f ca="1">IF(NOTA[[#This Row],[ID_H]]="","",IF(NOTA[[#This Row],[Column3]]=TRUE,NOTA[[#This Row],[QTY/ CTN]],INDEX([3]!db[QTY/ CTN],NOTA[[#This Row],[//DB]])))</f>
        <v>12 SET</v>
      </c>
      <c r="AU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sdipmarkerp500vpbiru12setartomoro</v>
      </c>
      <c r="AV245" s="38" t="e">
        <f ca="1">IF(NOTA[[#This Row],[ID_H]]="","",MATCH(NOTA[[#This Row],[NB NOTA_C_QTY]],[4]!db[NB NOTA_C_QTY+F],0))</f>
        <v>#REF!</v>
      </c>
      <c r="AW245" s="53">
        <f ca="1">IF(NOTA[[#This Row],[NB NOTA_C_QTY]]="","",ROW()-2)</f>
        <v>243</v>
      </c>
    </row>
    <row r="246" spans="1:49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46" s="50" t="str">
        <f>IF(OR(NOTA[[#This Row],[QTY]]="",NOTA[[#This Row],[HARGA SATUAN]]="",),"",NOTA[[#This Row],[QTY]]*NOTA[[#This Row],[HARGA SATUAN]])</f>
        <v/>
      </c>
      <c r="AH246" s="39" t="str">
        <f ca="1">IF(NOTA[ID_H]="","",INDEX(NOTA[TANGGAL],MATCH(,INDIRECT(ADDRESS(ROW(NOTA[TANGGAL]),COLUMN(NOTA[TANGGAL]))&amp;":"&amp;ADDRESS(ROW(),COLUMN(NOTA[TANGGAL]))),-1)))</f>
        <v/>
      </c>
      <c r="AI246" s="41" t="str">
        <f ca="1">IF(NOTA[[#This Row],[NAMA BARANG]]="","",INDEX(NOTA[SUPPLIER],MATCH(,INDIRECT(ADDRESS(ROW(NOTA[ID]),COLUMN(NOTA[ID]))&amp;":"&amp;ADDRESS(ROW(),COLUMN(NOTA[ID]))),-1)))</f>
        <v/>
      </c>
      <c r="AJ246" s="41" t="str">
        <f ca="1">IF(NOTA[[#This Row],[ID_H]]="","",IF(NOTA[[#This Row],[FAKTUR]]="",INDIRECT(ADDRESS(ROW()-1,COLUMN())),NOTA[[#This Row],[FAKTUR]]))</f>
        <v/>
      </c>
      <c r="AK246" s="38" t="str">
        <f ca="1">IF(NOTA[[#This Row],[ID]]="","",COUNTIF(NOTA[ID_H],NOTA[[#This Row],[ID_H]]))</f>
        <v/>
      </c>
      <c r="AL246" s="38" t="str">
        <f ca="1">IF(NOTA[[#This Row],[TGL.NOTA]]="",IF(NOTA[[#This Row],[SUPPLIER_H]]="","",AL245),MONTH(NOTA[[#This Row],[TGL.NOTA]]))</f>
        <v/>
      </c>
      <c r="AM246" s="38" t="str">
        <f>LOWER(SUBSTITUTE(SUBSTITUTE(SUBSTITUTE(SUBSTITUTE(SUBSTITUTE(SUBSTITUTE(SUBSTITUTE(SUBSTITUTE(SUBSTITUTE(NOTA[NAMA BARANG]," ",),".",""),"-",""),"(",""),")",""),",",""),"/",""),"""",""),"+",""))</f>
        <v/>
      </c>
      <c r="AN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6" s="38" t="str">
        <f>IF(NOTA[[#This Row],[CONCAT4]]="","",_xlfn.IFNA(MATCH(NOTA[[#This Row],[CONCAT4]],[2]!RAW[CONCAT_H],0),FALSE))</f>
        <v/>
      </c>
      <c r="AR246" s="38" t="str">
        <f>IF(NOTA[[#This Row],[CONCAT1]]="","",MATCH(NOTA[[#This Row],[CONCAT1]],[3]!db[NB NOTA_C],0))</f>
        <v/>
      </c>
      <c r="AS246" s="38" t="str">
        <f>IF(NOTA[[#This Row],[QTY/ CTN]]="","",TRUE)</f>
        <v/>
      </c>
      <c r="AT246" s="38" t="str">
        <f ca="1">IF(NOTA[[#This Row],[ID_H]]="","",IF(NOTA[[#This Row],[Column3]]=TRUE,NOTA[[#This Row],[QTY/ CTN]],INDEX([3]!db[QTY/ CTN],NOTA[[#This Row],[//DB]])))</f>
        <v/>
      </c>
      <c r="AU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46" s="38" t="str">
        <f ca="1">IF(NOTA[[#This Row],[ID_H]]="","",MATCH(NOTA[[#This Row],[NB NOTA_C_QTY]],[4]!db[NB NOTA_C_QTY+F],0))</f>
        <v/>
      </c>
      <c r="AW246" s="53" t="str">
        <f ca="1">IF(NOTA[[#This Row],[NB NOTA_C_QTY]]="","",ROW()-2)</f>
        <v/>
      </c>
    </row>
    <row r="247" spans="1:49" s="38" customFormat="1" ht="20.100000000000001" customHeight="1" x14ac:dyDescent="0.25">
      <c r="A24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DBS_1509_323-5</v>
      </c>
      <c r="C247" s="38" t="e">
        <f ca="1">IF(NOTA[[#This Row],[ID_P]]="","",MATCH(NOTA[[#This Row],[ID_P]],[1]!B_MSK[N_ID],0))</f>
        <v>#REF!</v>
      </c>
      <c r="D247" s="38">
        <f ca="1">IF(NOTA[[#This Row],[NAMA BARANG]]="","",INDEX(NOTA[ID],MATCH(,INDIRECT(ADDRESS(ROW(NOTA[ID]),COLUMN(NOTA[ID]))&amp;":"&amp;ADDRESS(ROW(),COLUMN(NOTA[ID]))),-1)))</f>
        <v>41</v>
      </c>
      <c r="E247" s="46">
        <v>45184</v>
      </c>
      <c r="F247" s="37" t="s">
        <v>297</v>
      </c>
      <c r="G247" s="37" t="s">
        <v>123</v>
      </c>
      <c r="H247" s="47" t="s">
        <v>372</v>
      </c>
      <c r="I247" s="37"/>
      <c r="J247" s="39">
        <v>45183</v>
      </c>
      <c r="K247" s="37"/>
      <c r="L247" s="37" t="s">
        <v>373</v>
      </c>
      <c r="M247" s="40">
        <v>2</v>
      </c>
      <c r="N247" s="38">
        <v>192</v>
      </c>
      <c r="O247" s="37" t="s">
        <v>138</v>
      </c>
      <c r="P247" s="41">
        <v>29000</v>
      </c>
      <c r="Q247" s="42"/>
      <c r="R247" s="48" t="s">
        <v>300</v>
      </c>
      <c r="S247" s="49"/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5568000</v>
      </c>
      <c r="Y247" s="50">
        <f>IF(NOTA[[#This Row],[JUMLAH]]="","",NOTA[[#This Row],[JUMLAH]]*NOTA[[#This Row],[DISC 1]])</f>
        <v>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0</v>
      </c>
      <c r="AC247" s="50">
        <f>IF(NOTA[[#This Row],[JUMLAH]]="","",NOTA[[#This Row],[JUMLAH]]-NOTA[[#This Row],[DISC]])</f>
        <v>5568000</v>
      </c>
      <c r="AD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247" s="50">
        <f>IF(OR(NOTA[[#This Row],[QTY]]="",NOTA[[#This Row],[HARGA SATUAN]]="",),"",NOTA[[#This Row],[QTY]]*NOTA[[#This Row],[HARGA SATUAN]])</f>
        <v>5568000</v>
      </c>
      <c r="AH247" s="39">
        <f ca="1">IF(NOTA[ID_H]="","",INDEX(NOTA[TANGGAL],MATCH(,INDIRECT(ADDRESS(ROW(NOTA[TANGGAL]),COLUMN(NOTA[TANGGAL]))&amp;":"&amp;ADDRESS(ROW(),COLUMN(NOTA[TANGGAL]))),-1)))</f>
        <v>45184</v>
      </c>
      <c r="AI247" s="41" t="str">
        <f ca="1">IF(NOTA[[#This Row],[NAMA BARANG]]="","",INDEX(NOTA[SUPPLIER],MATCH(,INDIRECT(ADDRESS(ROW(NOTA[ID]),COLUMN(NOTA[ID]))&amp;":"&amp;ADDRESS(ROW(),COLUMN(NOTA[ID]))),-1)))</f>
        <v>DB STATIONERY</v>
      </c>
      <c r="AJ247" s="41" t="str">
        <f ca="1">IF(NOTA[[#This Row],[ID_H]]="","",IF(NOTA[[#This Row],[FAKTUR]]="",INDIRECT(ADDRESS(ROW()-1,COLUMN())),NOTA[[#This Row],[FAKTUR]]))</f>
        <v>UNTANA</v>
      </c>
      <c r="AK247" s="38">
        <f ca="1">IF(NOTA[[#This Row],[ID]]="","",COUNTIF(NOTA[ID_H],NOTA[[#This Row],[ID_H]]))</f>
        <v>5</v>
      </c>
      <c r="AL247" s="38">
        <f>IF(NOTA[[#This Row],[TGL.NOTA]]="",IF(NOTA[[#This Row],[SUPPLIER_H]]="","",AL246),MONTH(NOTA[[#This Row],[TGL.NOTA]]))</f>
        <v>9</v>
      </c>
      <c r="AM247" s="38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24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STATIONERYUNTANAJUI253/2345183mekpensil20tm01800</v>
      </c>
      <c r="AQ247" s="38" t="e">
        <f>IF(NOTA[[#This Row],[CONCAT4]]="","",_xlfn.IFNA(MATCH(NOTA[[#This Row],[CONCAT4]],[2]!RAW[CONCAT_H],0),FALSE))</f>
        <v>#REF!</v>
      </c>
      <c r="AR247" s="38">
        <f>IF(NOTA[[#This Row],[CONCAT1]]="","",MATCH(NOTA[[#This Row],[CONCAT1]],[3]!db[NB NOTA_C],0))</f>
        <v>1813</v>
      </c>
      <c r="AS247" s="38" t="b">
        <f>IF(NOTA[[#This Row],[QTY/ CTN]]="","",TRUE)</f>
        <v>1</v>
      </c>
      <c r="AT247" s="38" t="str">
        <f ca="1">IF(NOTA[[#This Row],[ID_H]]="","",IF(NOTA[[#This Row],[Column3]]=TRUE,NOTA[[#This Row],[QTY/ CTN]],INDEX([3]!db[QTY/ CTN],NOTA[[#This Row],[//DB]])))</f>
        <v>96 LSN</v>
      </c>
      <c r="AU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mekpensil20tm0180096lsnuntana</v>
      </c>
      <c r="AV247" s="38" t="e">
        <f ca="1">IF(NOTA[[#This Row],[ID_H]]="","",MATCH(NOTA[[#This Row],[NB NOTA_C_QTY]],[4]!db[NB NOTA_C_QTY+F],0))</f>
        <v>#REF!</v>
      </c>
      <c r="AW247" s="53">
        <f ca="1">IF(NOTA[[#This Row],[NB NOTA_C_QTY]]="","",ROW()-2)</f>
        <v>245</v>
      </c>
    </row>
    <row r="248" spans="1:49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41</v>
      </c>
      <c r="E248" s="46"/>
      <c r="F248" s="37"/>
      <c r="G248" s="37"/>
      <c r="H248" s="47"/>
      <c r="I248" s="37"/>
      <c r="J248" s="39"/>
      <c r="K248" s="37"/>
      <c r="L248" s="37" t="s">
        <v>374</v>
      </c>
      <c r="M248" s="40">
        <v>2</v>
      </c>
      <c r="N248" s="38">
        <v>192</v>
      </c>
      <c r="O248" s="37" t="s">
        <v>138</v>
      </c>
      <c r="P248" s="41">
        <v>29000</v>
      </c>
      <c r="Q248" s="42"/>
      <c r="R248" s="48" t="s">
        <v>300</v>
      </c>
      <c r="S248" s="49"/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5568000</v>
      </c>
      <c r="Y248" s="50">
        <f>IF(NOTA[[#This Row],[JUMLAH]]="","",NOTA[[#This Row],[JUMLAH]]*NOTA[[#This Row],[DISC 1]])</f>
        <v>0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0</v>
      </c>
      <c r="AC248" s="50">
        <f>IF(NOTA[[#This Row],[JUMLAH]]="","",NOTA[[#This Row],[JUMLAH]]-NOTA[[#This Row],[DISC]])</f>
        <v>5568000</v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248" s="50">
        <f>IF(OR(NOTA[[#This Row],[QTY]]="",NOTA[[#This Row],[HARGA SATUAN]]="",),"",NOTA[[#This Row],[QTY]]*NOTA[[#This Row],[HARGA SATUAN]])</f>
        <v>5568000</v>
      </c>
      <c r="AH248" s="39">
        <f ca="1">IF(NOTA[ID_H]="","",INDEX(NOTA[TANGGAL],MATCH(,INDIRECT(ADDRESS(ROW(NOTA[TANGGAL]),COLUMN(NOTA[TANGGAL]))&amp;":"&amp;ADDRESS(ROW(),COLUMN(NOTA[TANGGAL]))),-1)))</f>
        <v>45184</v>
      </c>
      <c r="AI248" s="41" t="str">
        <f ca="1">IF(NOTA[[#This Row],[NAMA BARANG]]="","",INDEX(NOTA[SUPPLIER],MATCH(,INDIRECT(ADDRESS(ROW(NOTA[ID]),COLUMN(NOTA[ID]))&amp;":"&amp;ADDRESS(ROW(),COLUMN(NOTA[ID]))),-1)))</f>
        <v>DB STATIONERY</v>
      </c>
      <c r="AJ248" s="41" t="str">
        <f ca="1">IF(NOTA[[#This Row],[ID_H]]="","",IF(NOTA[[#This Row],[FAKTUR]]="",INDIRECT(ADDRESS(ROW()-1,COLUMN())),NOTA[[#This Row],[FAKTUR]]))</f>
        <v>UNTANA</v>
      </c>
      <c r="AK248" s="38" t="str">
        <f ca="1">IF(NOTA[[#This Row],[ID]]="","",COUNTIF(NOTA[ID_H],NOTA[[#This Row],[ID_H]]))</f>
        <v/>
      </c>
      <c r="AL248" s="38">
        <f ca="1">IF(NOTA[[#This Row],[TGL.NOTA]]="",IF(NOTA[[#This Row],[SUPPLIER_H]]="","",AL247),MONTH(NOTA[[#This Row],[TGL.NOTA]]))</f>
        <v>9</v>
      </c>
      <c r="AM248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38" t="str">
        <f>IF(NOTA[[#This Row],[CONCAT4]]="","",_xlfn.IFNA(MATCH(NOTA[[#This Row],[CONCAT4]],[2]!RAW[CONCAT_H],0),FALSE))</f>
        <v/>
      </c>
      <c r="AR248" s="38">
        <f>IF(NOTA[[#This Row],[CONCAT1]]="","",MATCH(NOTA[[#This Row],[CONCAT1]],[3]!db[NB NOTA_C],0))</f>
        <v>1810</v>
      </c>
      <c r="AS248" s="38" t="b">
        <f>IF(NOTA[[#This Row],[QTY/ CTN]]="","",TRUE)</f>
        <v>1</v>
      </c>
      <c r="AT248" s="38" t="str">
        <f ca="1">IF(NOTA[[#This Row],[ID_H]]="","",IF(NOTA[[#This Row],[Column3]]=TRUE,NOTA[[#This Row],[QTY/ CTN]],INDEX([3]!db[QTY/ CTN],NOTA[[#This Row],[//DB]])))</f>
        <v>96 LSN</v>
      </c>
      <c r="AU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V248" s="38" t="e">
        <f ca="1">IF(NOTA[[#This Row],[ID_H]]="","",MATCH(NOTA[[#This Row],[NB NOTA_C_QTY]],[4]!db[NB NOTA_C_QTY+F],0))</f>
        <v>#REF!</v>
      </c>
      <c r="AW248" s="53">
        <f ca="1">IF(NOTA[[#This Row],[NB NOTA_C_QTY]]="","",ROW()-2)</f>
        <v>246</v>
      </c>
    </row>
    <row r="249" spans="1:49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41</v>
      </c>
      <c r="E249" s="46"/>
      <c r="F249" s="37"/>
      <c r="G249" s="37"/>
      <c r="H249" s="47"/>
      <c r="I249" s="37"/>
      <c r="J249" s="39"/>
      <c r="K249" s="37"/>
      <c r="L249" s="37" t="s">
        <v>375</v>
      </c>
      <c r="M249" s="40">
        <v>2</v>
      </c>
      <c r="N249" s="38">
        <v>192</v>
      </c>
      <c r="O249" s="37" t="s">
        <v>138</v>
      </c>
      <c r="P249" s="41">
        <v>29000</v>
      </c>
      <c r="Q249" s="42"/>
      <c r="R249" s="48" t="s">
        <v>300</v>
      </c>
      <c r="S249" s="49"/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5568000</v>
      </c>
      <c r="Y249" s="50">
        <f>IF(NOTA[[#This Row],[JUMLAH]]="","",NOTA[[#This Row],[JUMLAH]]*NOTA[[#This Row],[DISC 1]])</f>
        <v>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0</v>
      </c>
      <c r="AC249" s="50">
        <f>IF(NOTA[[#This Row],[JUMLAH]]="","",NOTA[[#This Row],[JUMLAH]]-NOTA[[#This Row],[DISC]])</f>
        <v>5568000</v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4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249" s="50">
        <f>IF(OR(NOTA[[#This Row],[QTY]]="",NOTA[[#This Row],[HARGA SATUAN]]="",),"",NOTA[[#This Row],[QTY]]*NOTA[[#This Row],[HARGA SATUAN]])</f>
        <v>5568000</v>
      </c>
      <c r="AH249" s="39">
        <f ca="1">IF(NOTA[ID_H]="","",INDEX(NOTA[TANGGAL],MATCH(,INDIRECT(ADDRESS(ROW(NOTA[TANGGAL]),COLUMN(NOTA[TANGGAL]))&amp;":"&amp;ADDRESS(ROW(),COLUMN(NOTA[TANGGAL]))),-1)))</f>
        <v>45184</v>
      </c>
      <c r="AI249" s="41" t="str">
        <f ca="1">IF(NOTA[[#This Row],[NAMA BARANG]]="","",INDEX(NOTA[SUPPLIER],MATCH(,INDIRECT(ADDRESS(ROW(NOTA[ID]),COLUMN(NOTA[ID]))&amp;":"&amp;ADDRESS(ROW(),COLUMN(NOTA[ID]))),-1)))</f>
        <v>DB STATIONERY</v>
      </c>
      <c r="AJ249" s="41" t="str">
        <f ca="1">IF(NOTA[[#This Row],[ID_H]]="","",IF(NOTA[[#This Row],[FAKTUR]]="",INDIRECT(ADDRESS(ROW()-1,COLUMN())),NOTA[[#This Row],[FAKTUR]]))</f>
        <v>UNTANA</v>
      </c>
      <c r="AK249" s="38" t="str">
        <f ca="1">IF(NOTA[[#This Row],[ID]]="","",COUNTIF(NOTA[ID_H],NOTA[[#This Row],[ID_H]]))</f>
        <v/>
      </c>
      <c r="AL249" s="38">
        <f ca="1">IF(NOTA[[#This Row],[TGL.NOTA]]="",IF(NOTA[[#This Row],[SUPPLIER_H]]="","",AL248),MONTH(NOTA[[#This Row],[TGL.NOTA]]))</f>
        <v>9</v>
      </c>
      <c r="AM249" s="38" t="str">
        <f>LOWER(SUBSTITUTE(SUBSTITUTE(SUBSTITUTE(SUBSTITUTE(SUBSTITUTE(SUBSTITUTE(SUBSTITUTE(SUBSTITUTE(SUBSTITUTE(NOTA[NAMA BARANG]," ",),".",""),"-",""),"(",""),")",""),",",""),"/",""),"""",""),"+",""))</f>
        <v>mekpensil20tizotm30g</v>
      </c>
      <c r="AN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mekpensil20tizotm30g2784000</v>
      </c>
      <c r="AO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mekpensil20tizotm30g2784000</v>
      </c>
      <c r="AP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38" t="str">
        <f>IF(NOTA[[#This Row],[CONCAT4]]="","",_xlfn.IFNA(MATCH(NOTA[[#This Row],[CONCAT4]],[2]!RAW[CONCAT_H],0),FALSE))</f>
        <v/>
      </c>
      <c r="AR249" s="38" t="e">
        <f>IF(NOTA[[#This Row],[CONCAT1]]="","",MATCH(NOTA[[#This Row],[CONCAT1]],[3]!db[NB NOTA_C],0))</f>
        <v>#N/A</v>
      </c>
      <c r="AS249" s="38" t="b">
        <f>IF(NOTA[[#This Row],[QTY/ CTN]]="","",TRUE)</f>
        <v>1</v>
      </c>
      <c r="AT249" s="38" t="str">
        <f ca="1">IF(NOTA[[#This Row],[ID_H]]="","",IF(NOTA[[#This Row],[Column3]]=TRUE,NOTA[[#This Row],[QTY/ CTN]],INDEX([3]!db[QTY/ CTN],NOTA[[#This Row],[//DB]])))</f>
        <v>96 LSN</v>
      </c>
      <c r="AU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mekpensil20tizotm30g96lsnuntana</v>
      </c>
      <c r="AV249" s="38" t="e">
        <f ca="1">IF(NOTA[[#This Row],[ID_H]]="","",MATCH(NOTA[[#This Row],[NB NOTA_C_QTY]],[4]!db[NB NOTA_C_QTY+F],0))</f>
        <v>#REF!</v>
      </c>
      <c r="AW249" s="53">
        <f ca="1">IF(NOTA[[#This Row],[NB NOTA_C_QTY]]="","",ROW()-2)</f>
        <v>247</v>
      </c>
    </row>
    <row r="250" spans="1:49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41</v>
      </c>
      <c r="E250" s="46"/>
      <c r="F250" s="37"/>
      <c r="G250" s="37"/>
      <c r="H250" s="47"/>
      <c r="I250" s="37"/>
      <c r="J250" s="39"/>
      <c r="K250" s="37"/>
      <c r="L250" s="37" t="s">
        <v>377</v>
      </c>
      <c r="M250" s="40">
        <v>2</v>
      </c>
      <c r="N250" s="38">
        <v>144</v>
      </c>
      <c r="O250" s="37" t="s">
        <v>126</v>
      </c>
      <c r="P250" s="41">
        <v>25000</v>
      </c>
      <c r="Q250" s="42"/>
      <c r="R250" s="48" t="s">
        <v>378</v>
      </c>
      <c r="S250" s="49"/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3600000</v>
      </c>
      <c r="Y250" s="50">
        <f>IF(NOTA[[#This Row],[JUMLAH]]="","",NOTA[[#This Row],[JUMLAH]]*NOTA[[#This Row],[DISC 1]])</f>
        <v>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0</v>
      </c>
      <c r="AC250" s="50">
        <f>IF(NOTA[[#This Row],[JUMLAH]]="","",NOTA[[#This Row],[JUMLAH]]-NOTA[[#This Row],[DISC]])</f>
        <v>3600000</v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250" s="50">
        <f>IF(OR(NOTA[[#This Row],[QTY]]="",NOTA[[#This Row],[HARGA SATUAN]]="",),"",NOTA[[#This Row],[QTY]]*NOTA[[#This Row],[HARGA SATUAN]])</f>
        <v>3600000</v>
      </c>
      <c r="AH250" s="39">
        <f ca="1">IF(NOTA[ID_H]="","",INDEX(NOTA[TANGGAL],MATCH(,INDIRECT(ADDRESS(ROW(NOTA[TANGGAL]),COLUMN(NOTA[TANGGAL]))&amp;":"&amp;ADDRESS(ROW(),COLUMN(NOTA[TANGGAL]))),-1)))</f>
        <v>45184</v>
      </c>
      <c r="AI250" s="41" t="str">
        <f ca="1">IF(NOTA[[#This Row],[NAMA BARANG]]="","",INDEX(NOTA[SUPPLIER],MATCH(,INDIRECT(ADDRESS(ROW(NOTA[ID]),COLUMN(NOTA[ID]))&amp;":"&amp;ADDRESS(ROW(),COLUMN(NOTA[ID]))),-1)))</f>
        <v>DB STATIONERY</v>
      </c>
      <c r="AJ250" s="41" t="str">
        <f ca="1">IF(NOTA[[#This Row],[ID_H]]="","",IF(NOTA[[#This Row],[FAKTUR]]="",INDIRECT(ADDRESS(ROW()-1,COLUMN())),NOTA[[#This Row],[FAKTUR]]))</f>
        <v>UNTANA</v>
      </c>
      <c r="AK250" s="38" t="str">
        <f ca="1">IF(NOTA[[#This Row],[ID]]="","",COUNTIF(NOTA[ID_H],NOTA[[#This Row],[ID_H]]))</f>
        <v/>
      </c>
      <c r="AL250" s="38">
        <f ca="1">IF(NOTA[[#This Row],[TGL.NOTA]]="",IF(NOTA[[#This Row],[SUPPLIER_H]]="","",AL249),MONTH(NOTA[[#This Row],[TGL.NOTA]]))</f>
        <v>9</v>
      </c>
      <c r="AM250" s="3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N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O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P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38" t="str">
        <f>IF(NOTA[[#This Row],[CONCAT4]]="","",_xlfn.IFNA(MATCH(NOTA[[#This Row],[CONCAT4]],[2]!RAW[CONCAT_H],0),FALSE))</f>
        <v/>
      </c>
      <c r="AR250" s="38">
        <f>IF(NOTA[[#This Row],[CONCAT1]]="","",MATCH(NOTA[[#This Row],[CONCAT1]],[3]!db[NB NOTA_C],0))</f>
        <v>1828</v>
      </c>
      <c r="AS250" s="38" t="b">
        <f>IF(NOTA[[#This Row],[QTY/ CTN]]="","",TRUE)</f>
        <v>1</v>
      </c>
      <c r="AT250" s="38" t="str">
        <f ca="1">IF(NOTA[[#This Row],[ID_H]]="","",IF(NOTA[[#This Row],[Column3]]=TRUE,NOTA[[#This Row],[QTY/ CTN]],INDEX([3]!db[QTY/ CTN],NOTA[[#This Row],[//DB]])))</f>
        <v>72 LSN</v>
      </c>
      <c r="AU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mekpensil24pcsg0930772lsnuntana</v>
      </c>
      <c r="AV250" s="38" t="e">
        <f ca="1">IF(NOTA[[#This Row],[ID_H]]="","",MATCH(NOTA[[#This Row],[NB NOTA_C_QTY]],[4]!db[NB NOTA_C_QTY+F],0))</f>
        <v>#REF!</v>
      </c>
      <c r="AW250" s="53">
        <f ca="1">IF(NOTA[[#This Row],[NB NOTA_C_QTY]]="","",ROW()-2)</f>
        <v>248</v>
      </c>
    </row>
    <row r="251" spans="1:49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41</v>
      </c>
      <c r="E251" s="46"/>
      <c r="F251" s="37"/>
      <c r="G251" s="37"/>
      <c r="H251" s="47"/>
      <c r="I251" s="37"/>
      <c r="J251" s="39"/>
      <c r="K251" s="39"/>
      <c r="L251" s="37" t="s">
        <v>376</v>
      </c>
      <c r="M251" s="40">
        <v>2</v>
      </c>
      <c r="N251" s="38">
        <v>144</v>
      </c>
      <c r="O251" s="37" t="s">
        <v>126</v>
      </c>
      <c r="P251" s="41">
        <v>25000</v>
      </c>
      <c r="Q251" s="42"/>
      <c r="R251" s="48" t="s">
        <v>378</v>
      </c>
      <c r="S251" s="49"/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3600000</v>
      </c>
      <c r="Y251" s="50">
        <f>IF(NOTA[[#This Row],[JUMLAH]]="","",NOTA[[#This Row],[JUMLAH]]*NOTA[[#This Row],[DISC 1]])</f>
        <v>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0</v>
      </c>
      <c r="AC251" s="50">
        <f>IF(NOTA[[#This Row],[JUMLAH]]="","",NOTA[[#This Row],[JUMLAH]]-NOTA[[#This Row],[DISC]])</f>
        <v>3600000</v>
      </c>
      <c r="AD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F25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251" s="50">
        <f>IF(OR(NOTA[[#This Row],[QTY]]="",NOTA[[#This Row],[HARGA SATUAN]]="",),"",NOTA[[#This Row],[QTY]]*NOTA[[#This Row],[HARGA SATUAN]])</f>
        <v>3600000</v>
      </c>
      <c r="AH251" s="39">
        <f ca="1">IF(NOTA[ID_H]="","",INDEX(NOTA[TANGGAL],MATCH(,INDIRECT(ADDRESS(ROW(NOTA[TANGGAL]),COLUMN(NOTA[TANGGAL]))&amp;":"&amp;ADDRESS(ROW(),COLUMN(NOTA[TANGGAL]))),-1)))</f>
        <v>45184</v>
      </c>
      <c r="AI251" s="41" t="str">
        <f ca="1">IF(NOTA[[#This Row],[NAMA BARANG]]="","",INDEX(NOTA[SUPPLIER],MATCH(,INDIRECT(ADDRESS(ROW(NOTA[ID]),COLUMN(NOTA[ID]))&amp;":"&amp;ADDRESS(ROW(),COLUMN(NOTA[ID]))),-1)))</f>
        <v>DB STATIONERY</v>
      </c>
      <c r="AJ251" s="41" t="str">
        <f ca="1">IF(NOTA[[#This Row],[ID_H]]="","",IF(NOTA[[#This Row],[FAKTUR]]="",INDIRECT(ADDRESS(ROW()-1,COLUMN())),NOTA[[#This Row],[FAKTUR]]))</f>
        <v>UNTANA</v>
      </c>
      <c r="AK251" s="38" t="str">
        <f ca="1">IF(NOTA[[#This Row],[ID]]="","",COUNTIF(NOTA[ID_H],NOTA[[#This Row],[ID_H]]))</f>
        <v/>
      </c>
      <c r="AL251" s="38">
        <f ca="1">IF(NOTA[[#This Row],[TGL.NOTA]]="",IF(NOTA[[#This Row],[SUPPLIER_H]]="","",AL250),MONTH(NOTA[[#This Row],[TGL.NOTA]]))</f>
        <v>9</v>
      </c>
      <c r="AM251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N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O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P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38" t="str">
        <f>IF(NOTA[[#This Row],[CONCAT4]]="","",_xlfn.IFNA(MATCH(NOTA[[#This Row],[CONCAT4]],[2]!RAW[CONCAT_H],0),FALSE))</f>
        <v/>
      </c>
      <c r="AR251" s="38">
        <f>IF(NOTA[[#This Row],[CONCAT1]]="","",MATCH(NOTA[[#This Row],[CONCAT1]],[3]!db[NB NOTA_C],0))</f>
        <v>1815</v>
      </c>
      <c r="AS251" s="38" t="b">
        <f>IF(NOTA[[#This Row],[QTY/ CTN]]="","",TRUE)</f>
        <v>1</v>
      </c>
      <c r="AT251" s="38" t="str">
        <f ca="1">IF(NOTA[[#This Row],[ID_H]]="","",IF(NOTA[[#This Row],[Column3]]=TRUE,NOTA[[#This Row],[QTY/ CTN]],INDEX([3]!db[QTY/ CTN],NOTA[[#This Row],[//DB]])))</f>
        <v>72 LSN</v>
      </c>
      <c r="AU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mekpensil24pcsg0930972lsnuntana</v>
      </c>
      <c r="AV251" s="38" t="e">
        <f ca="1">IF(NOTA[[#This Row],[ID_H]]="","",MATCH(NOTA[[#This Row],[NB NOTA_C_QTY]],[4]!db[NB NOTA_C_QTY+F],0))</f>
        <v>#REF!</v>
      </c>
      <c r="AW251" s="53">
        <f ca="1">IF(NOTA[[#This Row],[NB NOTA_C_QTY]]="","",ROW()-2)</f>
        <v>249</v>
      </c>
    </row>
    <row r="252" spans="1:49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52" s="50" t="str">
        <f>IF(OR(NOTA[[#This Row],[QTY]]="",NOTA[[#This Row],[HARGA SATUAN]]="",),"",NOTA[[#This Row],[QTY]]*NOTA[[#This Row],[HARGA SATUAN]])</f>
        <v/>
      </c>
      <c r="AH252" s="39" t="str">
        <f ca="1">IF(NOTA[ID_H]="","",INDEX(NOTA[TANGGAL],MATCH(,INDIRECT(ADDRESS(ROW(NOTA[TANGGAL]),COLUMN(NOTA[TANGGAL]))&amp;":"&amp;ADDRESS(ROW(),COLUMN(NOTA[TANGGAL]))),-1)))</f>
        <v/>
      </c>
      <c r="AI252" s="41" t="str">
        <f ca="1">IF(NOTA[[#This Row],[NAMA BARANG]]="","",INDEX(NOTA[SUPPLIER],MATCH(,INDIRECT(ADDRESS(ROW(NOTA[ID]),COLUMN(NOTA[ID]))&amp;":"&amp;ADDRESS(ROW(),COLUMN(NOTA[ID]))),-1)))</f>
        <v/>
      </c>
      <c r="AJ252" s="41" t="str">
        <f ca="1">IF(NOTA[[#This Row],[ID_H]]="","",IF(NOTA[[#This Row],[FAKTUR]]="",INDIRECT(ADDRESS(ROW()-1,COLUMN())),NOTA[[#This Row],[FAKTUR]]))</f>
        <v/>
      </c>
      <c r="AK252" s="38" t="str">
        <f ca="1">IF(NOTA[[#This Row],[ID]]="","",COUNTIF(NOTA[ID_H],NOTA[[#This Row],[ID_H]]))</f>
        <v/>
      </c>
      <c r="AL252" s="38" t="str">
        <f ca="1">IF(NOTA[[#This Row],[TGL.NOTA]]="",IF(NOTA[[#This Row],[SUPPLIER_H]]="","",AL251),MONTH(NOTA[[#This Row],[TGL.NOTA]]))</f>
        <v/>
      </c>
      <c r="AM252" s="38" t="str">
        <f>LOWER(SUBSTITUTE(SUBSTITUTE(SUBSTITUTE(SUBSTITUTE(SUBSTITUTE(SUBSTITUTE(SUBSTITUTE(SUBSTITUTE(SUBSTITUTE(NOTA[NAMA BARANG]," ",),".",""),"-",""),"(",""),")",""),",",""),"/",""),"""",""),"+",""))</f>
        <v/>
      </c>
      <c r="AN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38" t="str">
        <f>IF(NOTA[[#This Row],[CONCAT4]]="","",_xlfn.IFNA(MATCH(NOTA[[#This Row],[CONCAT4]],[2]!RAW[CONCAT_H],0),FALSE))</f>
        <v/>
      </c>
      <c r="AR252" s="38" t="str">
        <f>IF(NOTA[[#This Row],[CONCAT1]]="","",MATCH(NOTA[[#This Row],[CONCAT1]],[3]!db[NB NOTA_C],0))</f>
        <v/>
      </c>
      <c r="AS252" s="38" t="str">
        <f>IF(NOTA[[#This Row],[QTY/ CTN]]="","",TRUE)</f>
        <v/>
      </c>
      <c r="AT252" s="38" t="str">
        <f ca="1">IF(NOTA[[#This Row],[ID_H]]="","",IF(NOTA[[#This Row],[Column3]]=TRUE,NOTA[[#This Row],[QTY/ CTN]],INDEX([3]!db[QTY/ CTN],NOTA[[#This Row],[//DB]])))</f>
        <v/>
      </c>
      <c r="AU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52" s="38" t="str">
        <f ca="1">IF(NOTA[[#This Row],[ID_H]]="","",MATCH(NOTA[[#This Row],[NB NOTA_C_QTY]],[4]!db[NB NOTA_C_QTY+F],0))</f>
        <v/>
      </c>
      <c r="AW252" s="53" t="str">
        <f ca="1">IF(NOTA[[#This Row],[NB NOTA_C_QTY]]="","",ROW()-2)</f>
        <v/>
      </c>
    </row>
    <row r="253" spans="1:49" s="38" customFormat="1" ht="20.100000000000001" customHeight="1" x14ac:dyDescent="0.25">
      <c r="A253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KEN_1609_397-3</v>
      </c>
      <c r="C253" s="38" t="e">
        <f ca="1">IF(NOTA[[#This Row],[ID_P]]="","",MATCH(NOTA[[#This Row],[ID_P]],[1]!B_MSK[N_ID],0))</f>
        <v>#REF!</v>
      </c>
      <c r="D253" s="38">
        <f ca="1">IF(NOTA[[#This Row],[NAMA BARANG]]="","",INDEX(NOTA[ID],MATCH(,INDIRECT(ADDRESS(ROW(NOTA[ID]),COLUMN(NOTA[ID]))&amp;":"&amp;ADDRESS(ROW(),COLUMN(NOTA[ID]))),-1)))</f>
        <v>42</v>
      </c>
      <c r="E253" s="46">
        <v>45185</v>
      </c>
      <c r="F253" s="37" t="s">
        <v>22</v>
      </c>
      <c r="G253" s="37" t="s">
        <v>23</v>
      </c>
      <c r="H253" s="47" t="s">
        <v>379</v>
      </c>
      <c r="I253" s="37"/>
      <c r="J253" s="39">
        <v>45184</v>
      </c>
      <c r="K253" s="37"/>
      <c r="L253" s="37" t="s">
        <v>380</v>
      </c>
      <c r="M253" s="40">
        <v>1</v>
      </c>
      <c r="O253" s="37"/>
      <c r="P253" s="41"/>
      <c r="Q253" s="42">
        <v>1150000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1150000</v>
      </c>
      <c r="Y253" s="50">
        <f>IF(NOTA[[#This Row],[JUMLAH]]="","",NOTA[[#This Row],[JUMLAH]]*NOTA[[#This Row],[DISC 1]])</f>
        <v>195500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195500</v>
      </c>
      <c r="AC253" s="50">
        <f>IF(NOTA[[#This Row],[JUMLAH]]="","",NOTA[[#This Row],[JUMLAH]]-NOTA[[#This Row],[DISC]])</f>
        <v>954500</v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3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G253" s="50" t="str">
        <f>IF(OR(NOTA[[#This Row],[QTY]]="",NOTA[[#This Row],[HARGA SATUAN]]="",),"",NOTA[[#This Row],[QTY]]*NOTA[[#This Row],[HARGA SATUAN]])</f>
        <v/>
      </c>
      <c r="AH253" s="39">
        <f ca="1">IF(NOTA[ID_H]="","",INDEX(NOTA[TANGGAL],MATCH(,INDIRECT(ADDRESS(ROW(NOTA[TANGGAL]),COLUMN(NOTA[TANGGAL]))&amp;":"&amp;ADDRESS(ROW(),COLUMN(NOTA[TANGGAL]))),-1)))</f>
        <v>45185</v>
      </c>
      <c r="AI253" s="41" t="str">
        <f ca="1">IF(NOTA[[#This Row],[NAMA BARANG]]="","",INDEX(NOTA[SUPPLIER],MATCH(,INDIRECT(ADDRESS(ROW(NOTA[ID]),COLUMN(NOTA[ID]))&amp;":"&amp;ADDRESS(ROW(),COLUMN(NOTA[ID]))),-1)))</f>
        <v>KENKO SINAR INDONESIA</v>
      </c>
      <c r="AJ253" s="41" t="str">
        <f ca="1">IF(NOTA[[#This Row],[ID_H]]="","",IF(NOTA[[#This Row],[FAKTUR]]="",INDIRECT(ADDRESS(ROW()-1,COLUMN())),NOTA[[#This Row],[FAKTUR]]))</f>
        <v>ARTO MORO</v>
      </c>
      <c r="AK253" s="38">
        <f ca="1">IF(NOTA[[#This Row],[ID]]="","",COUNTIF(NOTA[ID_H],NOTA[[#This Row],[ID_H]]))</f>
        <v>3</v>
      </c>
      <c r="AL253" s="38">
        <f>IF(NOTA[[#This Row],[TGL.NOTA]]="",IF(NOTA[[#This Row],[SUPPLIER_H]]="","",AL252),MONTH(NOTA[[#This Row],[TGL.NOTA]]))</f>
        <v>9</v>
      </c>
      <c r="AM253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N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25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MORO2309139745184kenkolaminatingfilmlf1002234fc@100pcs</v>
      </c>
      <c r="AQ253" s="38" t="e">
        <f>IF(NOTA[[#This Row],[CONCAT4]]="","",_xlfn.IFNA(MATCH(NOTA[[#This Row],[CONCAT4]],[2]!RAW[CONCAT_H],0),FALSE))</f>
        <v>#REF!</v>
      </c>
      <c r="AR253" s="38">
        <f>IF(NOTA[[#This Row],[CONCAT1]]="","",MATCH(NOTA[[#This Row],[CONCAT1]],[3]!db[NB NOTA_C],0))</f>
        <v>1472</v>
      </c>
      <c r="AS253" s="38" t="str">
        <f>IF(NOTA[[#This Row],[QTY/ CTN]]="","",TRUE)</f>
        <v/>
      </c>
      <c r="AT253" s="38" t="str">
        <f ca="1">IF(NOTA[[#This Row],[ID_H]]="","",IF(NOTA[[#This Row],[Column3]]=TRUE,NOTA[[#This Row],[QTY/ CTN]],INDEX([3]!db[QTY/ CTN],NOTA[[#This Row],[//DB]])))</f>
        <v>10 BOX</v>
      </c>
      <c r="AU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V253" s="38" t="e">
        <f ca="1">IF(NOTA[[#This Row],[ID_H]]="","",MATCH(NOTA[[#This Row],[NB NOTA_C_QTY]],[4]!db[NB NOTA_C_QTY+F],0))</f>
        <v>#REF!</v>
      </c>
      <c r="AW253" s="53">
        <f ca="1">IF(NOTA[[#This Row],[NB NOTA_C_QTY]]="","",ROW()-2)</f>
        <v>251</v>
      </c>
    </row>
    <row r="254" spans="1:49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42</v>
      </c>
      <c r="E254" s="46"/>
      <c r="F254" s="37"/>
      <c r="G254" s="37"/>
      <c r="H254" s="47"/>
      <c r="I254" s="37"/>
      <c r="J254" s="39"/>
      <c r="K254" s="37"/>
      <c r="L254" s="37" t="s">
        <v>361</v>
      </c>
      <c r="M254" s="40">
        <v>1</v>
      </c>
      <c r="O254" s="37"/>
      <c r="P254" s="41"/>
      <c r="Q254" s="42">
        <v>1050000</v>
      </c>
      <c r="R254" s="48"/>
      <c r="S254" s="49">
        <v>0.17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1050000</v>
      </c>
      <c r="Y254" s="50">
        <f>IF(NOTA[[#This Row],[JUMLAH]]="","",NOTA[[#This Row],[JUMLAH]]*NOTA[[#This Row],[DISC 1]])</f>
        <v>178500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178500</v>
      </c>
      <c r="AC254" s="50">
        <f>IF(NOTA[[#This Row],[JUMLAH]]="","",NOTA[[#This Row],[JUMLAH]]-NOTA[[#This Row],[DISC]])</f>
        <v>871500</v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4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G254" s="50" t="str">
        <f>IF(OR(NOTA[[#This Row],[QTY]]="",NOTA[[#This Row],[HARGA SATUAN]]="",),"",NOTA[[#This Row],[QTY]]*NOTA[[#This Row],[HARGA SATUAN]])</f>
        <v/>
      </c>
      <c r="AH254" s="39">
        <f ca="1">IF(NOTA[ID_H]="","",INDEX(NOTA[TANGGAL],MATCH(,INDIRECT(ADDRESS(ROW(NOTA[TANGGAL]),COLUMN(NOTA[TANGGAL]))&amp;":"&amp;ADDRESS(ROW(),COLUMN(NOTA[TANGGAL]))),-1)))</f>
        <v>45185</v>
      </c>
      <c r="AI254" s="41" t="str">
        <f ca="1">IF(NOTA[[#This Row],[NAMA BARANG]]="","",INDEX(NOTA[SUPPLIER],MATCH(,INDIRECT(ADDRESS(ROW(NOTA[ID]),COLUMN(NOTA[ID]))&amp;":"&amp;ADDRESS(ROW(),COLUMN(NOTA[ID]))),-1)))</f>
        <v>KENKO SINAR INDONESIA</v>
      </c>
      <c r="AJ254" s="41" t="str">
        <f ca="1">IF(NOTA[[#This Row],[ID_H]]="","",IF(NOTA[[#This Row],[FAKTUR]]="",INDIRECT(ADDRESS(ROW()-1,COLUMN())),NOTA[[#This Row],[FAKTUR]]))</f>
        <v>ARTO MORO</v>
      </c>
      <c r="AK254" s="38" t="str">
        <f ca="1">IF(NOTA[[#This Row],[ID]]="","",COUNTIF(NOTA[ID_H],NOTA[[#This Row],[ID_H]]))</f>
        <v/>
      </c>
      <c r="AL254" s="38">
        <f ca="1">IF(NOTA[[#This Row],[TGL.NOTA]]="",IF(NOTA[[#This Row],[SUPPLIER_H]]="","",AL253),MONTH(NOTA[[#This Row],[TGL.NOTA]]))</f>
        <v>9</v>
      </c>
      <c r="AM254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N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38" t="str">
        <f>IF(NOTA[[#This Row],[CONCAT4]]="","",_xlfn.IFNA(MATCH(NOTA[[#This Row],[CONCAT4]],[2]!RAW[CONCAT_H],0),FALSE))</f>
        <v/>
      </c>
      <c r="AR254" s="38">
        <f>IF(NOTA[[#This Row],[CONCAT1]]="","",MATCH(NOTA[[#This Row],[CONCAT1]],[3]!db[NB NOTA_C],0))</f>
        <v>1521</v>
      </c>
      <c r="AS254" s="38" t="str">
        <f>IF(NOTA[[#This Row],[QTY/ CTN]]="","",TRUE)</f>
        <v/>
      </c>
      <c r="AT254" s="38" t="str">
        <f ca="1">IF(NOTA[[#This Row],[ID_H]]="","",IF(NOTA[[#This Row],[Column3]]=TRUE,NOTA[[#This Row],[QTY/ CTN]],INDEX([3]!db[QTY/ CTN],NOTA[[#This Row],[//DB]])))</f>
        <v>50 TUB</v>
      </c>
      <c r="AU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V254" s="38" t="e">
        <f ca="1">IF(NOTA[[#This Row],[ID_H]]="","",MATCH(NOTA[[#This Row],[NB NOTA_C_QTY]],[4]!db[NB NOTA_C_QTY+F],0))</f>
        <v>#REF!</v>
      </c>
      <c r="AW254" s="53">
        <f ca="1">IF(NOTA[[#This Row],[NB NOTA_C_QTY]]="","",ROW()-2)</f>
        <v>252</v>
      </c>
    </row>
    <row r="255" spans="1:49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42</v>
      </c>
      <c r="E255" s="46"/>
      <c r="F255" s="37"/>
      <c r="G255" s="37"/>
      <c r="H255" s="47"/>
      <c r="I255" s="37"/>
      <c r="J255" s="39"/>
      <c r="K255" s="37"/>
      <c r="L255" s="37" t="s">
        <v>155</v>
      </c>
      <c r="M255" s="40">
        <v>4</v>
      </c>
      <c r="O255" s="37"/>
      <c r="P255" s="41"/>
      <c r="Q255" s="42">
        <v>1695600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6782400</v>
      </c>
      <c r="Y255" s="50">
        <f>IF(NOTA[[#This Row],[JUMLAH]]="","",NOTA[[#This Row],[JUMLAH]]*NOTA[[#This Row],[DISC 1]])</f>
        <v>1153008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1153008</v>
      </c>
      <c r="AC255" s="50">
        <f>IF(NOTA[[#This Row],[JUMLAH]]="","",NOTA[[#This Row],[JUMLAH]]-NOTA[[#This Row],[DISC]])</f>
        <v>5629392</v>
      </c>
      <c r="AD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1527008</v>
      </c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7455392</v>
      </c>
      <c r="AF25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255" s="50" t="str">
        <f>IF(OR(NOTA[[#This Row],[QTY]]="",NOTA[[#This Row],[HARGA SATUAN]]="",),"",NOTA[[#This Row],[QTY]]*NOTA[[#This Row],[HARGA SATUAN]])</f>
        <v/>
      </c>
      <c r="AH255" s="39">
        <f ca="1">IF(NOTA[ID_H]="","",INDEX(NOTA[TANGGAL],MATCH(,INDIRECT(ADDRESS(ROW(NOTA[TANGGAL]),COLUMN(NOTA[TANGGAL]))&amp;":"&amp;ADDRESS(ROW(),COLUMN(NOTA[TANGGAL]))),-1)))</f>
        <v>45185</v>
      </c>
      <c r="AI255" s="41" t="str">
        <f ca="1">IF(NOTA[[#This Row],[NAMA BARANG]]="","",INDEX(NOTA[SUPPLIER],MATCH(,INDIRECT(ADDRESS(ROW(NOTA[ID]),COLUMN(NOTA[ID]))&amp;":"&amp;ADDRESS(ROW(),COLUMN(NOTA[ID]))),-1)))</f>
        <v>KENKO SINAR INDONESIA</v>
      </c>
      <c r="AJ255" s="41" t="str">
        <f ca="1">IF(NOTA[[#This Row],[ID_H]]="","",IF(NOTA[[#This Row],[FAKTUR]]="",INDIRECT(ADDRESS(ROW()-1,COLUMN())),NOTA[[#This Row],[FAKTUR]]))</f>
        <v>ARTO MORO</v>
      </c>
      <c r="AK255" s="38" t="str">
        <f ca="1">IF(NOTA[[#This Row],[ID]]="","",COUNTIF(NOTA[ID_H],NOTA[[#This Row],[ID_H]]))</f>
        <v/>
      </c>
      <c r="AL255" s="38">
        <f ca="1">IF(NOTA[[#This Row],[TGL.NOTA]]="",IF(NOTA[[#This Row],[SUPPLIER_H]]="","",AL254),MONTH(NOTA[[#This Row],[TGL.NOTA]]))</f>
        <v>9</v>
      </c>
      <c r="AM25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38" t="str">
        <f>IF(NOTA[[#This Row],[CONCAT4]]="","",_xlfn.IFNA(MATCH(NOTA[[#This Row],[CONCAT4]],[2]!RAW[CONCAT_H],0),FALSE))</f>
        <v/>
      </c>
      <c r="AR255" s="38">
        <f>IF(NOTA[[#This Row],[CONCAT1]]="","",MATCH(NOTA[[#This Row],[CONCAT1]],[3]!db[NB NOTA_C],0))</f>
        <v>1345</v>
      </c>
      <c r="AS255" s="38" t="str">
        <f>IF(NOTA[[#This Row],[QTY/ CTN]]="","",TRUE)</f>
        <v/>
      </c>
      <c r="AT255" s="38" t="str">
        <f ca="1">IF(NOTA[[#This Row],[ID_H]]="","",IF(NOTA[[#This Row],[Column3]]=TRUE,NOTA[[#This Row],[QTY/ CTN]],INDEX([3]!db[QTY/ CTN],NOTA[[#This Row],[//DB]])))</f>
        <v>36 LSN</v>
      </c>
      <c r="AU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255" s="38" t="e">
        <f ca="1">IF(NOTA[[#This Row],[ID_H]]="","",MATCH(NOTA[[#This Row],[NB NOTA_C_QTY]],[4]!db[NB NOTA_C_QTY+F],0))</f>
        <v>#REF!</v>
      </c>
      <c r="AW255" s="53">
        <f ca="1">IF(NOTA[[#This Row],[NB NOTA_C_QTY]]="","",ROW()-2)</f>
        <v>253</v>
      </c>
    </row>
    <row r="256" spans="1:49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56" s="50" t="str">
        <f>IF(OR(NOTA[[#This Row],[QTY]]="",NOTA[[#This Row],[HARGA SATUAN]]="",),"",NOTA[[#This Row],[QTY]]*NOTA[[#This Row],[HARGA SATUAN]])</f>
        <v/>
      </c>
      <c r="AH256" s="39" t="str">
        <f ca="1">IF(NOTA[ID_H]="","",INDEX(NOTA[TANGGAL],MATCH(,INDIRECT(ADDRESS(ROW(NOTA[TANGGAL]),COLUMN(NOTA[TANGGAL]))&amp;":"&amp;ADDRESS(ROW(),COLUMN(NOTA[TANGGAL]))),-1)))</f>
        <v/>
      </c>
      <c r="AI256" s="41" t="str">
        <f ca="1">IF(NOTA[[#This Row],[NAMA BARANG]]="","",INDEX(NOTA[SUPPLIER],MATCH(,INDIRECT(ADDRESS(ROW(NOTA[ID]),COLUMN(NOTA[ID]))&amp;":"&amp;ADDRESS(ROW(),COLUMN(NOTA[ID]))),-1)))</f>
        <v/>
      </c>
      <c r="AJ256" s="41" t="str">
        <f ca="1">IF(NOTA[[#This Row],[ID_H]]="","",IF(NOTA[[#This Row],[FAKTUR]]="",INDIRECT(ADDRESS(ROW()-1,COLUMN())),NOTA[[#This Row],[FAKTUR]]))</f>
        <v/>
      </c>
      <c r="AK256" s="38" t="str">
        <f ca="1">IF(NOTA[[#This Row],[ID]]="","",COUNTIF(NOTA[ID_H],NOTA[[#This Row],[ID_H]]))</f>
        <v/>
      </c>
      <c r="AL256" s="38" t="str">
        <f ca="1">IF(NOTA[[#This Row],[TGL.NOTA]]="",IF(NOTA[[#This Row],[SUPPLIER_H]]="","",AL255),MONTH(NOTA[[#This Row],[TGL.NOTA]]))</f>
        <v/>
      </c>
      <c r="AM256" s="38" t="str">
        <f>LOWER(SUBSTITUTE(SUBSTITUTE(SUBSTITUTE(SUBSTITUTE(SUBSTITUTE(SUBSTITUTE(SUBSTITUTE(SUBSTITUTE(SUBSTITUTE(NOTA[NAMA BARANG]," ",),".",""),"-",""),"(",""),")",""),",",""),"/",""),"""",""),"+",""))</f>
        <v/>
      </c>
      <c r="AN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6" s="38" t="str">
        <f>IF(NOTA[[#This Row],[CONCAT4]]="","",_xlfn.IFNA(MATCH(NOTA[[#This Row],[CONCAT4]],[2]!RAW[CONCAT_H],0),FALSE))</f>
        <v/>
      </c>
      <c r="AR256" s="38" t="str">
        <f>IF(NOTA[[#This Row],[CONCAT1]]="","",MATCH(NOTA[[#This Row],[CONCAT1]],[3]!db[NB NOTA_C],0))</f>
        <v/>
      </c>
      <c r="AS256" s="38" t="str">
        <f>IF(NOTA[[#This Row],[QTY/ CTN]]="","",TRUE)</f>
        <v/>
      </c>
      <c r="AT256" s="38" t="str">
        <f ca="1">IF(NOTA[[#This Row],[ID_H]]="","",IF(NOTA[[#This Row],[Column3]]=TRUE,NOTA[[#This Row],[QTY/ CTN]],INDEX([3]!db[QTY/ CTN],NOTA[[#This Row],[//DB]])))</f>
        <v/>
      </c>
      <c r="AU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56" s="38" t="str">
        <f ca="1">IF(NOTA[[#This Row],[ID_H]]="","",MATCH(NOTA[[#This Row],[NB NOTA_C_QTY]],[4]!db[NB NOTA_C_QTY+F],0))</f>
        <v/>
      </c>
      <c r="AW256" s="53" t="str">
        <f ca="1">IF(NOTA[[#This Row],[NB NOTA_C_QTY]]="","",ROW()-2)</f>
        <v/>
      </c>
    </row>
    <row r="257" spans="1:49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ATA_1609_213-4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43</v>
      </c>
      <c r="E257" s="46"/>
      <c r="F257" s="37" t="s">
        <v>24</v>
      </c>
      <c r="G257" s="37" t="s">
        <v>23</v>
      </c>
      <c r="H257" s="47" t="s">
        <v>381</v>
      </c>
      <c r="I257" s="37"/>
      <c r="J257" s="39">
        <v>45181</v>
      </c>
      <c r="K257" s="37"/>
      <c r="L257" s="37" t="s">
        <v>382</v>
      </c>
      <c r="M257" s="40">
        <v>1</v>
      </c>
      <c r="N257" s="38">
        <v>216</v>
      </c>
      <c r="O257" s="37" t="s">
        <v>126</v>
      </c>
      <c r="P257" s="41">
        <v>4900</v>
      </c>
      <c r="Q257" s="42"/>
      <c r="R257" s="48"/>
      <c r="S257" s="49">
        <v>0.125</v>
      </c>
      <c r="T257" s="44">
        <v>0.05</v>
      </c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1058400</v>
      </c>
      <c r="Y257" s="50">
        <f>IF(NOTA[[#This Row],[JUMLAH]]="","",NOTA[[#This Row],[JUMLAH]]*NOTA[[#This Row],[DISC 1]])</f>
        <v>132300</v>
      </c>
      <c r="Z257" s="50">
        <f>IF(NOTA[[#This Row],[JUMLAH]]="","",(NOTA[[#This Row],[JUMLAH]]-NOTA[[#This Row],[DISC 1-]])*NOTA[[#This Row],[DISC 2]])</f>
        <v>46305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178605</v>
      </c>
      <c r="AC257" s="50">
        <f>IF(NOTA[[#This Row],[JUMLAH]]="","",NOTA[[#This Row],[JUMLAH]]-NOTA[[#This Row],[DISC]])</f>
        <v>879795</v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7" s="41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G257" s="50">
        <f>IF(OR(NOTA[[#This Row],[QTY]]="",NOTA[[#This Row],[HARGA SATUAN]]="",),"",NOTA[[#This Row],[QTY]]*NOTA[[#This Row],[HARGA SATUAN]])</f>
        <v>1058400</v>
      </c>
      <c r="AH257" s="39">
        <f ca="1">IF(NOTA[ID_H]="","",INDEX(NOTA[TANGGAL],MATCH(,INDIRECT(ADDRESS(ROW(NOTA[TANGGAL]),COLUMN(NOTA[TANGGAL]))&amp;":"&amp;ADDRESS(ROW(),COLUMN(NOTA[TANGGAL]))),-1)))</f>
        <v>45185</v>
      </c>
      <c r="AI257" s="41" t="str">
        <f ca="1">IF(NOTA[[#This Row],[NAMA BARANG]]="","",INDEX(NOTA[SUPPLIER],MATCH(,INDIRECT(ADDRESS(ROW(NOTA[ID]),COLUMN(NOTA[ID]))&amp;":"&amp;ADDRESS(ROW(),COLUMN(NOTA[ID]))),-1)))</f>
        <v>ATALI MAKMUR</v>
      </c>
      <c r="AJ257" s="41" t="str">
        <f ca="1">IF(NOTA[[#This Row],[ID_H]]="","",IF(NOTA[[#This Row],[FAKTUR]]="",INDIRECT(ADDRESS(ROW()-1,COLUMN())),NOTA[[#This Row],[FAKTUR]]))</f>
        <v>ARTO MORO</v>
      </c>
      <c r="AK257" s="38">
        <f ca="1">IF(NOTA[[#This Row],[ID]]="","",COUNTIF(NOTA[ID_H],NOTA[[#This Row],[ID_H]]))</f>
        <v>4</v>
      </c>
      <c r="AL257" s="38">
        <f>IF(NOTA[[#This Row],[TGL.NOTA]]="",IF(NOTA[[#This Row],[SUPPLIER_H]]="","",AL256),MONTH(NOTA[[#This Row],[TGL.NOTA]]))</f>
        <v>9</v>
      </c>
      <c r="AM257" s="38" t="str">
        <f>LOWER(SUBSTITUTE(SUBSTITUTE(SUBSTITUTE(SUBSTITUTE(SUBSTITUTE(SUBSTITUTE(SUBSTITUTE(SUBSTITUTE(SUBSTITUTE(NOTA[NAMA BARANG]," ",),".",""),"-",""),"(",""),")",""),",",""),"/",""),"""",""),"+",""))</f>
        <v>stamppadno0jk</v>
      </c>
      <c r="AN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O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P2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MOROSA23091621345181stamppadno0jk</v>
      </c>
      <c r="AQ257" s="38" t="e">
        <f>IF(NOTA[[#This Row],[CONCAT4]]="","",_xlfn.IFNA(MATCH(NOTA[[#This Row],[CONCAT4]],[2]!RAW[CONCAT_H],0),FALSE))</f>
        <v>#REF!</v>
      </c>
      <c r="AR257" s="38">
        <f>IF(NOTA[[#This Row],[CONCAT1]]="","",MATCH(NOTA[[#This Row],[CONCAT1]],[3]!db[NB NOTA_C],0))</f>
        <v>2465</v>
      </c>
      <c r="AS257" s="38" t="str">
        <f>IF(NOTA[[#This Row],[QTY/ CTN]]="","",TRUE)</f>
        <v/>
      </c>
      <c r="AT257" s="38" t="str">
        <f ca="1">IF(NOTA[[#This Row],[ID_H]]="","",IF(NOTA[[#This Row],[Column3]]=TRUE,NOTA[[#This Row],[QTY/ CTN]],INDEX([3]!db[QTY/ CTN],NOTA[[#This Row],[//DB]])))</f>
        <v>18 LSN</v>
      </c>
      <c r="AU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stamppadno0jk18lsnartomoro</v>
      </c>
      <c r="AV257" s="38" t="e">
        <f ca="1">IF(NOTA[[#This Row],[ID_H]]="","",MATCH(NOTA[[#This Row],[NB NOTA_C_QTY]],[4]!db[NB NOTA_C_QTY+F],0))</f>
        <v>#REF!</v>
      </c>
      <c r="AW257" s="53">
        <f ca="1">IF(NOTA[[#This Row],[NB NOTA_C_QTY]]="","",ROW()-2)</f>
        <v>255</v>
      </c>
    </row>
    <row r="258" spans="1:49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43</v>
      </c>
      <c r="E258" s="46"/>
      <c r="F258" s="37"/>
      <c r="G258" s="37"/>
      <c r="H258" s="47"/>
      <c r="I258" s="37"/>
      <c r="J258" s="39"/>
      <c r="K258" s="37"/>
      <c r="L258" s="37" t="s">
        <v>266</v>
      </c>
      <c r="M258" s="40">
        <v>1</v>
      </c>
      <c r="N258" s="38">
        <v>216</v>
      </c>
      <c r="O258" s="37" t="s">
        <v>126</v>
      </c>
      <c r="P258" s="41">
        <v>5800</v>
      </c>
      <c r="Q258" s="42"/>
      <c r="R258" s="48"/>
      <c r="S258" s="49">
        <v>0.125</v>
      </c>
      <c r="T258" s="44">
        <v>0.05</v>
      </c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1252800</v>
      </c>
      <c r="Y258" s="50">
        <f>IF(NOTA[[#This Row],[JUMLAH]]="","",NOTA[[#This Row],[JUMLAH]]*NOTA[[#This Row],[DISC 1]])</f>
        <v>156600</v>
      </c>
      <c r="Z258" s="50">
        <f>IF(NOTA[[#This Row],[JUMLAH]]="","",(NOTA[[#This Row],[JUMLAH]]-NOTA[[#This Row],[DISC 1-]])*NOTA[[#This Row],[DISC 2]])</f>
        <v>54810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211410</v>
      </c>
      <c r="AC258" s="50">
        <f>IF(NOTA[[#This Row],[JUMLAH]]="","",NOTA[[#This Row],[JUMLAH]]-NOTA[[#This Row],[DISC]])</f>
        <v>1041390</v>
      </c>
      <c r="AD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8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G258" s="50">
        <f>IF(OR(NOTA[[#This Row],[QTY]]="",NOTA[[#This Row],[HARGA SATUAN]]="",),"",NOTA[[#This Row],[QTY]]*NOTA[[#This Row],[HARGA SATUAN]])</f>
        <v>1252800</v>
      </c>
      <c r="AH258" s="39">
        <f ca="1">IF(NOTA[ID_H]="","",INDEX(NOTA[TANGGAL],MATCH(,INDIRECT(ADDRESS(ROW(NOTA[TANGGAL]),COLUMN(NOTA[TANGGAL]))&amp;":"&amp;ADDRESS(ROW(),COLUMN(NOTA[TANGGAL]))),-1)))</f>
        <v>45185</v>
      </c>
      <c r="AI258" s="41" t="str">
        <f ca="1">IF(NOTA[[#This Row],[NAMA BARANG]]="","",INDEX(NOTA[SUPPLIER],MATCH(,INDIRECT(ADDRESS(ROW(NOTA[ID]),COLUMN(NOTA[ID]))&amp;":"&amp;ADDRESS(ROW(),COLUMN(NOTA[ID]))),-1)))</f>
        <v>ATALI MAKMUR</v>
      </c>
      <c r="AJ258" s="41" t="str">
        <f ca="1">IF(NOTA[[#This Row],[ID_H]]="","",IF(NOTA[[#This Row],[FAKTUR]]="",INDIRECT(ADDRESS(ROW()-1,COLUMN())),NOTA[[#This Row],[FAKTUR]]))</f>
        <v>ARTO MORO</v>
      </c>
      <c r="AK258" s="38" t="str">
        <f ca="1">IF(NOTA[[#This Row],[ID]]="","",COUNTIF(NOTA[ID_H],NOTA[[#This Row],[ID_H]]))</f>
        <v/>
      </c>
      <c r="AL258" s="38">
        <f ca="1">IF(NOTA[[#This Row],[TGL.NOTA]]="",IF(NOTA[[#This Row],[SUPPLIER_H]]="","",AL257),MONTH(NOTA[[#This Row],[TGL.NOTA]]))</f>
        <v>9</v>
      </c>
      <c r="AM258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N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O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P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38" t="str">
        <f>IF(NOTA[[#This Row],[CONCAT4]]="","",_xlfn.IFNA(MATCH(NOTA[[#This Row],[CONCAT4]],[2]!RAW[CONCAT_H],0),FALSE))</f>
        <v/>
      </c>
      <c r="AR258" s="38">
        <f>IF(NOTA[[#This Row],[CONCAT1]]="","",MATCH(NOTA[[#This Row],[CONCAT1]],[3]!db[NB NOTA_C],0))</f>
        <v>2467</v>
      </c>
      <c r="AS258" s="38" t="str">
        <f>IF(NOTA[[#This Row],[QTY/ CTN]]="","",TRUE)</f>
        <v/>
      </c>
      <c r="AT258" s="38" t="str">
        <f ca="1">IF(NOTA[[#This Row],[ID_H]]="","",IF(NOTA[[#This Row],[Column3]]=TRUE,NOTA[[#This Row],[QTY/ CTN]],INDEX([3]!db[QTY/ CTN],NOTA[[#This Row],[//DB]])))</f>
        <v>18 LSN</v>
      </c>
      <c r="AU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V258" s="38" t="e">
        <f ca="1">IF(NOTA[[#This Row],[ID_H]]="","",MATCH(NOTA[[#This Row],[NB NOTA_C_QTY]],[4]!db[NB NOTA_C_QTY+F],0))</f>
        <v>#REF!</v>
      </c>
      <c r="AW258" s="53">
        <f ca="1">IF(NOTA[[#This Row],[NB NOTA_C_QTY]]="","",ROW()-2)</f>
        <v>256</v>
      </c>
    </row>
    <row r="259" spans="1:49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43</v>
      </c>
      <c r="E259" s="46"/>
      <c r="F259" s="37"/>
      <c r="G259" s="37"/>
      <c r="H259" s="47"/>
      <c r="I259" s="37"/>
      <c r="J259" s="39"/>
      <c r="K259" s="37"/>
      <c r="L259" s="37" t="s">
        <v>384</v>
      </c>
      <c r="M259" s="40">
        <v>2</v>
      </c>
      <c r="N259" s="38">
        <v>480</v>
      </c>
      <c r="O259" s="37" t="s">
        <v>132</v>
      </c>
      <c r="P259" s="41">
        <v>8800</v>
      </c>
      <c r="Q259" s="42"/>
      <c r="R259" s="48"/>
      <c r="S259" s="49">
        <v>0.125</v>
      </c>
      <c r="T259" s="44">
        <v>0.05</v>
      </c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4224000</v>
      </c>
      <c r="Y259" s="50">
        <f>IF(NOTA[[#This Row],[JUMLAH]]="","",NOTA[[#This Row],[JUMLAH]]*NOTA[[#This Row],[DISC 1]])</f>
        <v>528000</v>
      </c>
      <c r="Z259" s="50">
        <f>IF(NOTA[[#This Row],[JUMLAH]]="","",(NOTA[[#This Row],[JUMLAH]]-NOTA[[#This Row],[DISC 1-]])*NOTA[[#This Row],[DISC 2]])</f>
        <v>184800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712800</v>
      </c>
      <c r="AC259" s="50">
        <f>IF(NOTA[[#This Row],[JUMLAH]]="","",NOTA[[#This Row],[JUMLAH]]-NOTA[[#This Row],[DISC]])</f>
        <v>3511200</v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59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259" s="50">
        <f>IF(OR(NOTA[[#This Row],[QTY]]="",NOTA[[#This Row],[HARGA SATUAN]]="",),"",NOTA[[#This Row],[QTY]]*NOTA[[#This Row],[HARGA SATUAN]])</f>
        <v>4224000</v>
      </c>
      <c r="AH259" s="39">
        <f ca="1">IF(NOTA[ID_H]="","",INDEX(NOTA[TANGGAL],MATCH(,INDIRECT(ADDRESS(ROW(NOTA[TANGGAL]),COLUMN(NOTA[TANGGAL]))&amp;":"&amp;ADDRESS(ROW(),COLUMN(NOTA[TANGGAL]))),-1)))</f>
        <v>45185</v>
      </c>
      <c r="AI259" s="41" t="str">
        <f ca="1">IF(NOTA[[#This Row],[NAMA BARANG]]="","",INDEX(NOTA[SUPPLIER],MATCH(,INDIRECT(ADDRESS(ROW(NOTA[ID]),COLUMN(NOTA[ID]))&amp;":"&amp;ADDRESS(ROW(),COLUMN(NOTA[ID]))),-1)))</f>
        <v>ATALI MAKMUR</v>
      </c>
      <c r="AJ259" s="41" t="str">
        <f ca="1">IF(NOTA[[#This Row],[ID_H]]="","",IF(NOTA[[#This Row],[FAKTUR]]="",INDIRECT(ADDRESS(ROW()-1,COLUMN())),NOTA[[#This Row],[FAKTUR]]))</f>
        <v>ARTO MORO</v>
      </c>
      <c r="AK259" s="38" t="str">
        <f ca="1">IF(NOTA[[#This Row],[ID]]="","",COUNTIF(NOTA[ID_H],NOTA[[#This Row],[ID_H]]))</f>
        <v/>
      </c>
      <c r="AL259" s="38">
        <f ca="1">IF(NOTA[[#This Row],[TGL.NOTA]]="",IF(NOTA[[#This Row],[SUPPLIER_H]]="","",AL258),MONTH(NOTA[[#This Row],[TGL.NOTA]]))</f>
        <v>9</v>
      </c>
      <c r="AM259" s="38" t="str">
        <f>LOWER(SUBSTITUTE(SUBSTITUTE(SUBSTITUTE(SUBSTITUTE(SUBSTITUTE(SUBSTITUTE(SUBSTITUTE(SUBSTITUTE(SUBSTITUTE(NOTA[NAMA BARANG]," ",),".",""),"-",""),"(",""),")",""),",",""),"/",""),"""",""),"+",""))</f>
        <v>brushbr1jk</v>
      </c>
      <c r="AN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38" t="str">
        <f>IF(NOTA[[#This Row],[CONCAT4]]="","",_xlfn.IFNA(MATCH(NOTA[[#This Row],[CONCAT4]],[2]!RAW[CONCAT_H],0),FALSE))</f>
        <v/>
      </c>
      <c r="AR259" s="38">
        <f>IF(NOTA[[#This Row],[CONCAT1]]="","",MATCH(NOTA[[#This Row],[CONCAT1]],[3]!db[NB NOTA_C],0))</f>
        <v>392</v>
      </c>
      <c r="AS259" s="38" t="str">
        <f>IF(NOTA[[#This Row],[QTY/ CTN]]="","",TRUE)</f>
        <v/>
      </c>
      <c r="AT259" s="38" t="str">
        <f ca="1">IF(NOTA[[#This Row],[ID_H]]="","",IF(NOTA[[#This Row],[Column3]]=TRUE,NOTA[[#This Row],[QTY/ CTN]],INDEX([3]!db[QTY/ CTN],NOTA[[#This Row],[//DB]])))</f>
        <v>10 BOX (24 SET)</v>
      </c>
      <c r="AU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259" s="38" t="e">
        <f ca="1">IF(NOTA[[#This Row],[ID_H]]="","",MATCH(NOTA[[#This Row],[NB NOTA_C_QTY]],[4]!db[NB NOTA_C_QTY+F],0))</f>
        <v>#REF!</v>
      </c>
      <c r="AW259" s="53">
        <f ca="1">IF(NOTA[[#This Row],[NB NOTA_C_QTY]]="","",ROW()-2)</f>
        <v>257</v>
      </c>
    </row>
    <row r="260" spans="1:49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43</v>
      </c>
      <c r="E260" s="46"/>
      <c r="F260" s="37"/>
      <c r="G260" s="37"/>
      <c r="H260" s="47"/>
      <c r="I260" s="37"/>
      <c r="J260" s="39"/>
      <c r="K260" s="37"/>
      <c r="L260" s="37" t="s">
        <v>383</v>
      </c>
      <c r="M260" s="40">
        <v>2</v>
      </c>
      <c r="N260" s="38">
        <v>288</v>
      </c>
      <c r="O260" s="37" t="s">
        <v>138</v>
      </c>
      <c r="P260" s="41">
        <v>20400</v>
      </c>
      <c r="Q260" s="42"/>
      <c r="R260" s="48"/>
      <c r="S260" s="49">
        <v>0.125</v>
      </c>
      <c r="T260" s="44">
        <v>0.05</v>
      </c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5875200</v>
      </c>
      <c r="Y260" s="50">
        <f>IF(NOTA[[#This Row],[JUMLAH]]="","",NOTA[[#This Row],[JUMLAH]]*NOTA[[#This Row],[DISC 1]])</f>
        <v>734400</v>
      </c>
      <c r="Z260" s="50">
        <f>IF(NOTA[[#This Row],[JUMLAH]]="","",(NOTA[[#This Row],[JUMLAH]]-NOTA[[#This Row],[DISC 1-]])*NOTA[[#This Row],[DISC 2]])</f>
        <v>257040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991440</v>
      </c>
      <c r="AC260" s="50">
        <f>IF(NOTA[[#This Row],[JUMLAH]]="","",NOTA[[#This Row],[JUMLAH]]-NOTA[[#This Row],[DISC]])</f>
        <v>4883760</v>
      </c>
      <c r="AD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2094255</v>
      </c>
      <c r="AE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10316145</v>
      </c>
      <c r="AF260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G260" s="50">
        <f>IF(OR(NOTA[[#This Row],[QTY]]="",NOTA[[#This Row],[HARGA SATUAN]]="",),"",NOTA[[#This Row],[QTY]]*NOTA[[#This Row],[HARGA SATUAN]])</f>
        <v>5875200</v>
      </c>
      <c r="AH260" s="39">
        <f ca="1">IF(NOTA[ID_H]="","",INDEX(NOTA[TANGGAL],MATCH(,INDIRECT(ADDRESS(ROW(NOTA[TANGGAL]),COLUMN(NOTA[TANGGAL]))&amp;":"&amp;ADDRESS(ROW(),COLUMN(NOTA[TANGGAL]))),-1)))</f>
        <v>45185</v>
      </c>
      <c r="AI260" s="41" t="str">
        <f ca="1">IF(NOTA[[#This Row],[NAMA BARANG]]="","",INDEX(NOTA[SUPPLIER],MATCH(,INDIRECT(ADDRESS(ROW(NOTA[ID]),COLUMN(NOTA[ID]))&amp;":"&amp;ADDRESS(ROW(),COLUMN(NOTA[ID]))),-1)))</f>
        <v>ATALI MAKMUR</v>
      </c>
      <c r="AJ260" s="41" t="str">
        <f ca="1">IF(NOTA[[#This Row],[ID_H]]="","",IF(NOTA[[#This Row],[FAKTUR]]="",INDIRECT(ADDRESS(ROW()-1,COLUMN())),NOTA[[#This Row],[FAKTUR]]))</f>
        <v>ARTO MORO</v>
      </c>
      <c r="AK260" s="38" t="str">
        <f ca="1">IF(NOTA[[#This Row],[ID]]="","",COUNTIF(NOTA[ID_H],NOTA[[#This Row],[ID_H]]))</f>
        <v/>
      </c>
      <c r="AL260" s="38">
        <f ca="1">IF(NOTA[[#This Row],[TGL.NOTA]]="",IF(NOTA[[#This Row],[SUPPLIER_H]]="","",AL259),MONTH(NOTA[[#This Row],[TGL.NOTA]]))</f>
        <v>9</v>
      </c>
      <c r="AM260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0" s="38" t="str">
        <f>IF(NOTA[[#This Row],[CONCAT4]]="","",_xlfn.IFNA(MATCH(NOTA[[#This Row],[CONCAT4]],[2]!RAW[CONCAT_H],0),FALSE))</f>
        <v/>
      </c>
      <c r="AR260" s="38">
        <f>IF(NOTA[[#This Row],[CONCAT1]]="","",MATCH(NOTA[[#This Row],[CONCAT1]],[3]!db[NB NOTA_C],0))</f>
        <v>1601</v>
      </c>
      <c r="AS260" s="38" t="str">
        <f>IF(NOTA[[#This Row],[QTY/ CTN]]="","",TRUE)</f>
        <v/>
      </c>
      <c r="AT260" s="38" t="str">
        <f ca="1">IF(NOTA[[#This Row],[ID_H]]="","",IF(NOTA[[#This Row],[Column3]]=TRUE,NOTA[[#This Row],[QTY/ CTN]],INDEX([3]!db[QTY/ CTN],NOTA[[#This Row],[//DB]])))</f>
        <v>144 LSN</v>
      </c>
      <c r="AU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V260" s="38" t="e">
        <f ca="1">IF(NOTA[[#This Row],[ID_H]]="","",MATCH(NOTA[[#This Row],[NB NOTA_C_QTY]],[4]!db[NB NOTA_C_QTY+F],0))</f>
        <v>#REF!</v>
      </c>
      <c r="AW260" s="53">
        <f ca="1">IF(NOTA[[#This Row],[NB NOTA_C_QTY]]="","",ROW()-2)</f>
        <v>258</v>
      </c>
    </row>
    <row r="261" spans="1:49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61" s="50" t="str">
        <f>IF(OR(NOTA[[#This Row],[QTY]]="",NOTA[[#This Row],[HARGA SATUAN]]="",),"",NOTA[[#This Row],[QTY]]*NOTA[[#This Row],[HARGA SATUAN]])</f>
        <v/>
      </c>
      <c r="AH261" s="39" t="str">
        <f ca="1">IF(NOTA[ID_H]="","",INDEX(NOTA[TANGGAL],MATCH(,INDIRECT(ADDRESS(ROW(NOTA[TANGGAL]),COLUMN(NOTA[TANGGAL]))&amp;":"&amp;ADDRESS(ROW(),COLUMN(NOTA[TANGGAL]))),-1)))</f>
        <v/>
      </c>
      <c r="AI261" s="41" t="str">
        <f ca="1">IF(NOTA[[#This Row],[NAMA BARANG]]="","",INDEX(NOTA[SUPPLIER],MATCH(,INDIRECT(ADDRESS(ROW(NOTA[ID]),COLUMN(NOTA[ID]))&amp;":"&amp;ADDRESS(ROW(),COLUMN(NOTA[ID]))),-1)))</f>
        <v/>
      </c>
      <c r="AJ261" s="41" t="str">
        <f ca="1">IF(NOTA[[#This Row],[ID_H]]="","",IF(NOTA[[#This Row],[FAKTUR]]="",INDIRECT(ADDRESS(ROW()-1,COLUMN())),NOTA[[#This Row],[FAKTUR]]))</f>
        <v/>
      </c>
      <c r="AK261" s="38" t="str">
        <f ca="1">IF(NOTA[[#This Row],[ID]]="","",COUNTIF(NOTA[ID_H],NOTA[[#This Row],[ID_H]]))</f>
        <v/>
      </c>
      <c r="AL261" s="38" t="str">
        <f ca="1">IF(NOTA[[#This Row],[TGL.NOTA]]="",IF(NOTA[[#This Row],[SUPPLIER_H]]="","",AL260),MONTH(NOTA[[#This Row],[TGL.NOTA]]))</f>
        <v/>
      </c>
      <c r="AM261" s="38" t="str">
        <f>LOWER(SUBSTITUTE(SUBSTITUTE(SUBSTITUTE(SUBSTITUTE(SUBSTITUTE(SUBSTITUTE(SUBSTITUTE(SUBSTITUTE(SUBSTITUTE(NOTA[NAMA BARANG]," ",),".",""),"-",""),"(",""),")",""),",",""),"/",""),"""",""),"+",""))</f>
        <v/>
      </c>
      <c r="AN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38" t="str">
        <f>IF(NOTA[[#This Row],[CONCAT4]]="","",_xlfn.IFNA(MATCH(NOTA[[#This Row],[CONCAT4]],[2]!RAW[CONCAT_H],0),FALSE))</f>
        <v/>
      </c>
      <c r="AR261" s="38" t="str">
        <f>IF(NOTA[[#This Row],[CONCAT1]]="","",MATCH(NOTA[[#This Row],[CONCAT1]],[3]!db[NB NOTA_C],0))</f>
        <v/>
      </c>
      <c r="AS261" s="38" t="str">
        <f>IF(NOTA[[#This Row],[QTY/ CTN]]="","",TRUE)</f>
        <v/>
      </c>
      <c r="AT261" s="38" t="str">
        <f ca="1">IF(NOTA[[#This Row],[ID_H]]="","",IF(NOTA[[#This Row],[Column3]]=TRUE,NOTA[[#This Row],[QTY/ CTN]],INDEX([3]!db[QTY/ CTN],NOTA[[#This Row],[//DB]])))</f>
        <v/>
      </c>
      <c r="AU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61" s="38" t="str">
        <f ca="1">IF(NOTA[[#This Row],[ID_H]]="","",MATCH(NOTA[[#This Row],[NB NOTA_C_QTY]],[4]!db[NB NOTA_C_QTY+F],0))</f>
        <v/>
      </c>
      <c r="AW261" s="53" t="str">
        <f ca="1">IF(NOTA[[#This Row],[NB NOTA_C_QTY]]="","",ROW()-2)</f>
        <v/>
      </c>
    </row>
    <row r="262" spans="1:49" s="38" customFormat="1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ATA_1609_235-11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44</v>
      </c>
      <c r="E262" s="46"/>
      <c r="F262" s="37" t="s">
        <v>24</v>
      </c>
      <c r="G262" s="37" t="s">
        <v>23</v>
      </c>
      <c r="H262" s="47" t="s">
        <v>385</v>
      </c>
      <c r="I262" s="37"/>
      <c r="J262" s="39">
        <v>45181</v>
      </c>
      <c r="K262" s="37"/>
      <c r="L262" s="37" t="s">
        <v>386</v>
      </c>
      <c r="M262" s="40">
        <v>3</v>
      </c>
      <c r="N262" s="38">
        <v>150</v>
      </c>
      <c r="O262" s="37" t="s">
        <v>183</v>
      </c>
      <c r="P262" s="41">
        <v>28300</v>
      </c>
      <c r="Q262" s="42"/>
      <c r="R262" s="48"/>
      <c r="S262" s="49">
        <v>0.125</v>
      </c>
      <c r="T262" s="44">
        <v>0.05</v>
      </c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4245000</v>
      </c>
      <c r="Y262" s="50">
        <f>IF(NOTA[[#This Row],[JUMLAH]]="","",NOTA[[#This Row],[JUMLAH]]*NOTA[[#This Row],[DISC 1]])</f>
        <v>530625</v>
      </c>
      <c r="Z262" s="50">
        <f>IF(NOTA[[#This Row],[JUMLAH]]="","",(NOTA[[#This Row],[JUMLAH]]-NOTA[[#This Row],[DISC 1-]])*NOTA[[#This Row],[DISC 2]])</f>
        <v>185718.75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716343.75</v>
      </c>
      <c r="AC262" s="50">
        <f>IF(NOTA[[#This Row],[JUMLAH]]="","",NOTA[[#This Row],[JUMLAH]]-NOTA[[#This Row],[DISC]])</f>
        <v>3528656.25</v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262" s="50">
        <f>IF(OR(NOTA[[#This Row],[QTY]]="",NOTA[[#This Row],[HARGA SATUAN]]="",),"",NOTA[[#This Row],[QTY]]*NOTA[[#This Row],[HARGA SATUAN]])</f>
        <v>4245000</v>
      </c>
      <c r="AH262" s="39">
        <f ca="1">IF(NOTA[ID_H]="","",INDEX(NOTA[TANGGAL],MATCH(,INDIRECT(ADDRESS(ROW(NOTA[TANGGAL]),COLUMN(NOTA[TANGGAL]))&amp;":"&amp;ADDRESS(ROW(),COLUMN(NOTA[TANGGAL]))),-1)))</f>
        <v>45185</v>
      </c>
      <c r="AI262" s="41" t="str">
        <f ca="1">IF(NOTA[[#This Row],[NAMA BARANG]]="","",INDEX(NOTA[SUPPLIER],MATCH(,INDIRECT(ADDRESS(ROW(NOTA[ID]),COLUMN(NOTA[ID]))&amp;":"&amp;ADDRESS(ROW(),COLUMN(NOTA[ID]))),-1)))</f>
        <v>ATALI MAKMUR</v>
      </c>
      <c r="AJ262" s="41" t="str">
        <f ca="1">IF(NOTA[[#This Row],[ID_H]]="","",IF(NOTA[[#This Row],[FAKTUR]]="",INDIRECT(ADDRESS(ROW()-1,COLUMN())),NOTA[[#This Row],[FAKTUR]]))</f>
        <v>ARTO MORO</v>
      </c>
      <c r="AK262" s="38">
        <f ca="1">IF(NOTA[[#This Row],[ID]]="","",COUNTIF(NOTA[ID_H],NOTA[[#This Row],[ID_H]]))</f>
        <v>11</v>
      </c>
      <c r="AL262" s="38">
        <f>IF(NOTA[[#This Row],[TGL.NOTA]]="",IF(NOTA[[#This Row],[SUPPLIER_H]]="","",AL261),MONTH(NOTA[[#This Row],[TGL.NOTA]]))</f>
        <v>9</v>
      </c>
      <c r="AM262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MOROSA23091623545181eraser526b40pjk</v>
      </c>
      <c r="AQ262" s="38" t="e">
        <f>IF(NOTA[[#This Row],[CONCAT4]]="","",_xlfn.IFNA(MATCH(NOTA[[#This Row],[CONCAT4]],[2]!RAW[CONCAT_H],0),FALSE))</f>
        <v>#REF!</v>
      </c>
      <c r="AR262" s="38">
        <f>IF(NOTA[[#This Row],[CONCAT1]]="","",MATCH(NOTA[[#This Row],[CONCAT1]],[3]!db[NB NOTA_C],0))</f>
        <v>834</v>
      </c>
      <c r="AS262" s="38" t="str">
        <f>IF(NOTA[[#This Row],[QTY/ CTN]]="","",TRUE)</f>
        <v/>
      </c>
      <c r="AT262" s="38" t="str">
        <f ca="1">IF(NOTA[[#This Row],[ID_H]]="","",IF(NOTA[[#This Row],[Column3]]=TRUE,NOTA[[#This Row],[QTY/ CTN]],INDEX([3]!db[QTY/ CTN],NOTA[[#This Row],[//DB]])))</f>
        <v>50 BOX (40 PCS)</v>
      </c>
      <c r="AU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262" s="38" t="e">
        <f ca="1">IF(NOTA[[#This Row],[ID_H]]="","",MATCH(NOTA[[#This Row],[NB NOTA_C_QTY]],[4]!db[NB NOTA_C_QTY+F],0))</f>
        <v>#REF!</v>
      </c>
      <c r="AW262" s="53">
        <f ca="1">IF(NOTA[[#This Row],[NB NOTA_C_QTY]]="","",ROW()-2)</f>
        <v>260</v>
      </c>
    </row>
    <row r="263" spans="1:49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44</v>
      </c>
      <c r="E263" s="46"/>
      <c r="F263" s="37"/>
      <c r="G263" s="37"/>
      <c r="H263" s="47"/>
      <c r="I263" s="37"/>
      <c r="J263" s="39"/>
      <c r="K263" s="37"/>
      <c r="L263" s="37" t="s">
        <v>240</v>
      </c>
      <c r="M263" s="40">
        <v>3</v>
      </c>
      <c r="N263" s="38">
        <v>2160</v>
      </c>
      <c r="O263" s="37" t="s">
        <v>126</v>
      </c>
      <c r="P263" s="41">
        <v>4800</v>
      </c>
      <c r="Q263" s="42"/>
      <c r="R263" s="48"/>
      <c r="S263" s="49">
        <v>0.125</v>
      </c>
      <c r="T263" s="44">
        <v>0.05</v>
      </c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10368000</v>
      </c>
      <c r="Y263" s="50">
        <f>IF(NOTA[[#This Row],[JUMLAH]]="","",NOTA[[#This Row],[JUMLAH]]*NOTA[[#This Row],[DISC 1]])</f>
        <v>1296000</v>
      </c>
      <c r="Z263" s="50">
        <f>IF(NOTA[[#This Row],[JUMLAH]]="","",(NOTA[[#This Row],[JUMLAH]]-NOTA[[#This Row],[DISC 1-]])*NOTA[[#This Row],[DISC 2]])</f>
        <v>453600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1749600</v>
      </c>
      <c r="AC263" s="50">
        <f>IF(NOTA[[#This Row],[JUMLAH]]="","",NOTA[[#This Row],[JUMLAH]]-NOTA[[#This Row],[DISC]])</f>
        <v>8618400</v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263" s="50">
        <f>IF(OR(NOTA[[#This Row],[QTY]]="",NOTA[[#This Row],[HARGA SATUAN]]="",),"",NOTA[[#This Row],[QTY]]*NOTA[[#This Row],[HARGA SATUAN]])</f>
        <v>10368000</v>
      </c>
      <c r="AH263" s="39">
        <f ca="1">IF(NOTA[ID_H]="","",INDEX(NOTA[TANGGAL],MATCH(,INDIRECT(ADDRESS(ROW(NOTA[TANGGAL]),COLUMN(NOTA[TANGGAL]))&amp;":"&amp;ADDRESS(ROW(),COLUMN(NOTA[TANGGAL]))),-1)))</f>
        <v>45185</v>
      </c>
      <c r="AI263" s="41" t="str">
        <f ca="1">IF(NOTA[[#This Row],[NAMA BARANG]]="","",INDEX(NOTA[SUPPLIER],MATCH(,INDIRECT(ADDRESS(ROW(NOTA[ID]),COLUMN(NOTA[ID]))&amp;":"&amp;ADDRESS(ROW(),COLUMN(NOTA[ID]))),-1)))</f>
        <v>ATALI MAKMUR</v>
      </c>
      <c r="AJ263" s="41" t="str">
        <f ca="1">IF(NOTA[[#This Row],[ID_H]]="","",IF(NOTA[[#This Row],[FAKTUR]]="",INDIRECT(ADDRESS(ROW()-1,COLUMN())),NOTA[[#This Row],[FAKTUR]]))</f>
        <v>ARTO MORO</v>
      </c>
      <c r="AK263" s="38" t="str">
        <f ca="1">IF(NOTA[[#This Row],[ID]]="","",COUNTIF(NOTA[ID_H],NOTA[[#This Row],[ID_H]]))</f>
        <v/>
      </c>
      <c r="AL263" s="38">
        <f ca="1">IF(NOTA[[#This Row],[TGL.NOTA]]="",IF(NOTA[[#This Row],[SUPPLIER_H]]="","",AL262),MONTH(NOTA[[#This Row],[TGL.NOTA]]))</f>
        <v>9</v>
      </c>
      <c r="AM2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38" t="str">
        <f>IF(NOTA[[#This Row],[CONCAT4]]="","",_xlfn.IFNA(MATCH(NOTA[[#This Row],[CONCAT4]],[2]!RAW[CONCAT_H],0),FALSE))</f>
        <v/>
      </c>
      <c r="AR263" s="38">
        <f>IF(NOTA[[#This Row],[CONCAT1]]="","",MATCH(NOTA[[#This Row],[CONCAT1]],[3]!db[NB NOTA_C],0))</f>
        <v>631</v>
      </c>
      <c r="AS263" s="38" t="str">
        <f>IF(NOTA[[#This Row],[QTY/ CTN]]="","",TRUE)</f>
        <v/>
      </c>
      <c r="AT263" s="38" t="str">
        <f ca="1">IF(NOTA[[#This Row],[ID_H]]="","",IF(NOTA[[#This Row],[Column3]]=TRUE,NOTA[[#This Row],[QTY/ CTN]],INDEX([3]!db[QTY/ CTN],NOTA[[#This Row],[//DB]])))</f>
        <v>60 LSN</v>
      </c>
      <c r="AU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263" s="38" t="e">
        <f ca="1">IF(NOTA[[#This Row],[ID_H]]="","",MATCH(NOTA[[#This Row],[NB NOTA_C_QTY]],[4]!db[NB NOTA_C_QTY+F],0))</f>
        <v>#REF!</v>
      </c>
      <c r="AW263" s="53">
        <f ca="1">IF(NOTA[[#This Row],[NB NOTA_C_QTY]]="","",ROW()-2)</f>
        <v>261</v>
      </c>
    </row>
    <row r="264" spans="1:49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44</v>
      </c>
      <c r="E264" s="46"/>
      <c r="F264" s="37"/>
      <c r="G264" s="37"/>
      <c r="H264" s="47"/>
      <c r="I264" s="37"/>
      <c r="J264" s="39"/>
      <c r="K264" s="37"/>
      <c r="L264" s="37" t="s">
        <v>387</v>
      </c>
      <c r="M264" s="40">
        <v>1</v>
      </c>
      <c r="N264" s="38">
        <v>144</v>
      </c>
      <c r="O264" s="37" t="s">
        <v>138</v>
      </c>
      <c r="P264" s="41">
        <v>14100</v>
      </c>
      <c r="Q264" s="42"/>
      <c r="R264" s="48"/>
      <c r="S264" s="49">
        <v>0.125</v>
      </c>
      <c r="T264" s="44">
        <v>0.05</v>
      </c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2030400</v>
      </c>
      <c r="Y264" s="50">
        <f>IF(NOTA[[#This Row],[JUMLAH]]="","",NOTA[[#This Row],[JUMLAH]]*NOTA[[#This Row],[DISC 1]])</f>
        <v>253800</v>
      </c>
      <c r="Z264" s="50">
        <f>IF(NOTA[[#This Row],[JUMLAH]]="","",(NOTA[[#This Row],[JUMLAH]]-NOTA[[#This Row],[DISC 1-]])*NOTA[[#This Row],[DISC 2]])</f>
        <v>88830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342630</v>
      </c>
      <c r="AC264" s="50">
        <f>IF(NOTA[[#This Row],[JUMLAH]]="","",NOTA[[#This Row],[JUMLAH]]-NOTA[[#This Row],[DISC]])</f>
        <v>1687770</v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G264" s="50">
        <f>IF(OR(NOTA[[#This Row],[QTY]]="",NOTA[[#This Row],[HARGA SATUAN]]="",),"",NOTA[[#This Row],[QTY]]*NOTA[[#This Row],[HARGA SATUAN]])</f>
        <v>2030400</v>
      </c>
      <c r="AH264" s="39">
        <f ca="1">IF(NOTA[ID_H]="","",INDEX(NOTA[TANGGAL],MATCH(,INDIRECT(ADDRESS(ROW(NOTA[TANGGAL]),COLUMN(NOTA[TANGGAL]))&amp;":"&amp;ADDRESS(ROW(),COLUMN(NOTA[TANGGAL]))),-1)))</f>
        <v>45185</v>
      </c>
      <c r="AI264" s="41" t="str">
        <f ca="1">IF(NOTA[[#This Row],[NAMA BARANG]]="","",INDEX(NOTA[SUPPLIER],MATCH(,INDIRECT(ADDRESS(ROW(NOTA[ID]),COLUMN(NOTA[ID]))&amp;":"&amp;ADDRESS(ROW(),COLUMN(NOTA[ID]))),-1)))</f>
        <v>ATALI MAKMUR</v>
      </c>
      <c r="AJ264" s="41" t="str">
        <f ca="1">IF(NOTA[[#This Row],[ID_H]]="","",IF(NOTA[[#This Row],[FAKTUR]]="",INDIRECT(ADDRESS(ROW()-1,COLUMN())),NOTA[[#This Row],[FAKTUR]]))</f>
        <v>ARTO MORO</v>
      </c>
      <c r="AK264" s="38" t="str">
        <f ca="1">IF(NOTA[[#This Row],[ID]]="","",COUNTIF(NOTA[ID_H],NOTA[[#This Row],[ID_H]]))</f>
        <v/>
      </c>
      <c r="AL264" s="38">
        <f ca="1">IF(NOTA[[#This Row],[TGL.NOTA]]="",IF(NOTA[[#This Row],[SUPPLIER_H]]="","",AL263),MONTH(NOTA[[#This Row],[TGL.NOTA]]))</f>
        <v>9</v>
      </c>
      <c r="AM26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N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O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P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4" s="38" t="str">
        <f>IF(NOTA[[#This Row],[CONCAT4]]="","",_xlfn.IFNA(MATCH(NOTA[[#This Row],[CONCAT4]],[2]!RAW[CONCAT_H],0),FALSE))</f>
        <v/>
      </c>
      <c r="AR264" s="38">
        <f>IF(NOTA[[#This Row],[CONCAT1]]="","",MATCH(NOTA[[#This Row],[CONCAT1]],[3]!db[NB NOTA_C],0))</f>
        <v>906</v>
      </c>
      <c r="AS264" s="38" t="str">
        <f>IF(NOTA[[#This Row],[QTY/ CTN]]="","",TRUE)</f>
        <v/>
      </c>
      <c r="AT264" s="38" t="str">
        <f ca="1">IF(NOTA[[#This Row],[ID_H]]="","",IF(NOTA[[#This Row],[Column3]]=TRUE,NOTA[[#This Row],[QTY/ CTN]],INDEX([3]!db[QTY/ CTN],NOTA[[#This Row],[//DB]])))</f>
        <v>144 LSN</v>
      </c>
      <c r="AU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V264" s="38" t="e">
        <f ca="1">IF(NOTA[[#This Row],[ID_H]]="","",MATCH(NOTA[[#This Row],[NB NOTA_C_QTY]],[4]!db[NB NOTA_C_QTY+F],0))</f>
        <v>#REF!</v>
      </c>
      <c r="AW264" s="53">
        <f ca="1">IF(NOTA[[#This Row],[NB NOTA_C_QTY]]="","",ROW()-2)</f>
        <v>262</v>
      </c>
    </row>
    <row r="265" spans="1:49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44</v>
      </c>
      <c r="E265" s="46"/>
      <c r="F265" s="37"/>
      <c r="G265" s="37"/>
      <c r="H265" s="47"/>
      <c r="I265" s="37"/>
      <c r="J265" s="39"/>
      <c r="K265" s="37"/>
      <c r="L265" s="37" t="s">
        <v>395</v>
      </c>
      <c r="M265" s="40">
        <v>1</v>
      </c>
      <c r="N265" s="38">
        <v>144</v>
      </c>
      <c r="O265" s="37" t="s">
        <v>138</v>
      </c>
      <c r="P265" s="41">
        <v>21000</v>
      </c>
      <c r="Q265" s="42"/>
      <c r="R265" s="48" t="s">
        <v>216</v>
      </c>
      <c r="S265" s="49">
        <v>0.125</v>
      </c>
      <c r="T265" s="44">
        <v>0.05</v>
      </c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3024000</v>
      </c>
      <c r="Y265" s="50">
        <f>IF(NOTA[[#This Row],[JUMLAH]]="","",NOTA[[#This Row],[JUMLAH]]*NOTA[[#This Row],[DISC 1]])</f>
        <v>378000</v>
      </c>
      <c r="Z265" s="50">
        <f>IF(NOTA[[#This Row],[JUMLAH]]="","",(NOTA[[#This Row],[JUMLAH]]-NOTA[[#This Row],[DISC 1-]])*NOTA[[#This Row],[DISC 2]])</f>
        <v>132300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510300</v>
      </c>
      <c r="AC265" s="50">
        <f>IF(NOTA[[#This Row],[JUMLAH]]="","",NOTA[[#This Row],[JUMLAH]]-NOTA[[#This Row],[DISC]])</f>
        <v>2513700</v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265" s="50">
        <f>IF(OR(NOTA[[#This Row],[QTY]]="",NOTA[[#This Row],[HARGA SATUAN]]="",),"",NOTA[[#This Row],[QTY]]*NOTA[[#This Row],[HARGA SATUAN]])</f>
        <v>3024000</v>
      </c>
      <c r="AH265" s="39">
        <f ca="1">IF(NOTA[ID_H]="","",INDEX(NOTA[TANGGAL],MATCH(,INDIRECT(ADDRESS(ROW(NOTA[TANGGAL]),COLUMN(NOTA[TANGGAL]))&amp;":"&amp;ADDRESS(ROW(),COLUMN(NOTA[TANGGAL]))),-1)))</f>
        <v>45185</v>
      </c>
      <c r="AI265" s="41" t="str">
        <f ca="1">IF(NOTA[[#This Row],[NAMA BARANG]]="","",INDEX(NOTA[SUPPLIER],MATCH(,INDIRECT(ADDRESS(ROW(NOTA[ID]),COLUMN(NOTA[ID]))&amp;":"&amp;ADDRESS(ROW(),COLUMN(NOTA[ID]))),-1)))</f>
        <v>ATALI MAKMUR</v>
      </c>
      <c r="AJ265" s="41" t="str">
        <f ca="1">IF(NOTA[[#This Row],[ID_H]]="","",IF(NOTA[[#This Row],[FAKTUR]]="",INDIRECT(ADDRESS(ROW()-1,COLUMN())),NOTA[[#This Row],[FAKTUR]]))</f>
        <v>ARTO MORO</v>
      </c>
      <c r="AK265" s="38" t="str">
        <f ca="1">IF(NOTA[[#This Row],[ID]]="","",COUNTIF(NOTA[ID_H],NOTA[[#This Row],[ID_H]]))</f>
        <v/>
      </c>
      <c r="AL265" s="38">
        <f ca="1">IF(NOTA[[#This Row],[TGL.NOTA]]="",IF(NOTA[[#This Row],[SUPPLIER_H]]="","",AL264),MONTH(NOTA[[#This Row],[TGL.NOTA]]))</f>
        <v>9</v>
      </c>
      <c r="AM265" s="38" t="str">
        <f>LOWER(SUBSTITUTE(SUBSTITUTE(SUBSTITUTE(SUBSTITUTE(SUBSTITUTE(SUBSTITUTE(SUBSTITUTE(SUBSTITUTE(SUBSTITUTE(NOTA[NAMA BARANG]," ",),".",""),"-",""),"(",""),")",""),",",""),"/",""),"""",""),"+",""))</f>
        <v>gelpengp346myteamblackjk</v>
      </c>
      <c r="AN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gelpengp346myteamblackjk30240000.1250.05</v>
      </c>
      <c r="AO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gelpengp346myteamblackjk30240000.1250.05</v>
      </c>
      <c r="AP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38" t="str">
        <f>IF(NOTA[[#This Row],[CONCAT4]]="","",_xlfn.IFNA(MATCH(NOTA[[#This Row],[CONCAT4]],[2]!RAW[CONCAT_H],0),FALSE))</f>
        <v/>
      </c>
      <c r="AR265" s="38">
        <f>IF(NOTA[[#This Row],[CONCAT1]]="","",MATCH(NOTA[[#This Row],[CONCAT1]],[3]!db[NB NOTA_C],0))</f>
        <v>908</v>
      </c>
      <c r="AS265" s="38" t="b">
        <f>IF(NOTA[[#This Row],[QTY/ CTN]]="","",TRUE)</f>
        <v>1</v>
      </c>
      <c r="AT265" s="38" t="str">
        <f ca="1">IF(NOTA[[#This Row],[ID_H]]="","",IF(NOTA[[#This Row],[Column3]]=TRUE,NOTA[[#This Row],[QTY/ CTN]],INDEX([3]!db[QTY/ CTN],NOTA[[#This Row],[//DB]])))</f>
        <v>144 LSN</v>
      </c>
      <c r="AU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gelpengp346myteamblackjk144lsnartomoro</v>
      </c>
      <c r="AV265" s="38" t="e">
        <f ca="1">IF(NOTA[[#This Row],[ID_H]]="","",MATCH(NOTA[[#This Row],[NB NOTA_C_QTY]],[4]!db[NB NOTA_C_QTY+F],0))</f>
        <v>#REF!</v>
      </c>
      <c r="AW265" s="53">
        <f ca="1">IF(NOTA[[#This Row],[NB NOTA_C_QTY]]="","",ROW()-2)</f>
        <v>263</v>
      </c>
    </row>
    <row r="266" spans="1:49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44</v>
      </c>
      <c r="E266" s="46"/>
      <c r="F266" s="37"/>
      <c r="G266" s="37"/>
      <c r="H266" s="47"/>
      <c r="I266" s="37"/>
      <c r="J266" s="39"/>
      <c r="K266" s="37"/>
      <c r="L266" s="37" t="s">
        <v>388</v>
      </c>
      <c r="M266" s="40">
        <v>1</v>
      </c>
      <c r="N266" s="38">
        <v>144</v>
      </c>
      <c r="O266" s="37" t="s">
        <v>138</v>
      </c>
      <c r="P266" s="41">
        <v>7020</v>
      </c>
      <c r="Q266" s="42"/>
      <c r="R266" s="48"/>
      <c r="S266" s="49">
        <v>0.125</v>
      </c>
      <c r="T266" s="44">
        <v>0.05</v>
      </c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1010880</v>
      </c>
      <c r="Y266" s="50">
        <f>IF(NOTA[[#This Row],[JUMLAH]]="","",NOTA[[#This Row],[JUMLAH]]*NOTA[[#This Row],[DISC 1]])</f>
        <v>126360</v>
      </c>
      <c r="Z266" s="50">
        <f>IF(NOTA[[#This Row],[JUMLAH]]="","",(NOTA[[#This Row],[JUMLAH]]-NOTA[[#This Row],[DISC 1-]])*NOTA[[#This Row],[DISC 2]])</f>
        <v>44226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170586</v>
      </c>
      <c r="AC266" s="50">
        <f>IF(NOTA[[#This Row],[JUMLAH]]="","",NOTA[[#This Row],[JUMLAH]]-NOTA[[#This Row],[DISC]])</f>
        <v>840294</v>
      </c>
      <c r="AD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6" s="4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G266" s="50">
        <f>IF(OR(NOTA[[#This Row],[QTY]]="",NOTA[[#This Row],[HARGA SATUAN]]="",),"",NOTA[[#This Row],[QTY]]*NOTA[[#This Row],[HARGA SATUAN]])</f>
        <v>1010880</v>
      </c>
      <c r="AH266" s="39">
        <f ca="1">IF(NOTA[ID_H]="","",INDEX(NOTA[TANGGAL],MATCH(,INDIRECT(ADDRESS(ROW(NOTA[TANGGAL]),COLUMN(NOTA[TANGGAL]))&amp;":"&amp;ADDRESS(ROW(),COLUMN(NOTA[TANGGAL]))),-1)))</f>
        <v>45185</v>
      </c>
      <c r="AI266" s="41" t="str">
        <f ca="1">IF(NOTA[[#This Row],[NAMA BARANG]]="","",INDEX(NOTA[SUPPLIER],MATCH(,INDIRECT(ADDRESS(ROW(NOTA[ID]),COLUMN(NOTA[ID]))&amp;":"&amp;ADDRESS(ROW(),COLUMN(NOTA[ID]))),-1)))</f>
        <v>ATALI MAKMUR</v>
      </c>
      <c r="AJ266" s="41" t="str">
        <f ca="1">IF(NOTA[[#This Row],[ID_H]]="","",IF(NOTA[[#This Row],[FAKTUR]]="",INDIRECT(ADDRESS(ROW()-1,COLUMN())),NOTA[[#This Row],[FAKTUR]]))</f>
        <v>ARTO MORO</v>
      </c>
      <c r="AK266" s="38" t="str">
        <f ca="1">IF(NOTA[[#This Row],[ID]]="","",COUNTIF(NOTA[ID_H],NOTA[[#This Row],[ID_H]]))</f>
        <v/>
      </c>
      <c r="AL266" s="38">
        <f ca="1">IF(NOTA[[#This Row],[TGL.NOTA]]="",IF(NOTA[[#This Row],[SUPPLIER_H]]="","",AL265),MONTH(NOTA[[#This Row],[TGL.NOTA]]))</f>
        <v>9</v>
      </c>
      <c r="AM266" s="38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6" s="38" t="str">
        <f>IF(NOTA[[#This Row],[CONCAT4]]="","",_xlfn.IFNA(MATCH(NOTA[[#This Row],[CONCAT4]],[2]!RAW[CONCAT_H],0),FALSE))</f>
        <v/>
      </c>
      <c r="AR266" s="38">
        <f>IF(NOTA[[#This Row],[CONCAT1]]="","",MATCH(NOTA[[#This Row],[CONCAT1]],[3]!db[NB NOTA_C],0))</f>
        <v>90</v>
      </c>
      <c r="AS266" s="38" t="str">
        <f>IF(NOTA[[#This Row],[QTY/ CTN]]="","",TRUE)</f>
        <v/>
      </c>
      <c r="AT266" s="38" t="str">
        <f ca="1">IF(NOTA[[#This Row],[ID_H]]="","",IF(NOTA[[#This Row],[Column3]]=TRUE,NOTA[[#This Row],[QTY/ CTN]],INDEX([3]!db[QTY/ CTN],NOTA[[#This Row],[//DB]])))</f>
        <v>144 LSN</v>
      </c>
      <c r="AU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ballpenbp250brizblackjk144lsnartomoro</v>
      </c>
      <c r="AV266" s="38" t="e">
        <f ca="1">IF(NOTA[[#This Row],[ID_H]]="","",MATCH(NOTA[[#This Row],[NB NOTA_C_QTY]],[4]!db[NB NOTA_C_QTY+F],0))</f>
        <v>#REF!</v>
      </c>
      <c r="AW266" s="53">
        <f ca="1">IF(NOTA[[#This Row],[NB NOTA_C_QTY]]="","",ROW()-2)</f>
        <v>264</v>
      </c>
    </row>
    <row r="267" spans="1:49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44</v>
      </c>
      <c r="E267" s="46"/>
      <c r="F267" s="37"/>
      <c r="G267" s="37"/>
      <c r="H267" s="47"/>
      <c r="I267" s="37"/>
      <c r="J267" s="39"/>
      <c r="K267" s="37"/>
      <c r="L267" s="37" t="s">
        <v>389</v>
      </c>
      <c r="M267" s="40">
        <v>2</v>
      </c>
      <c r="N267" s="38">
        <v>288</v>
      </c>
      <c r="O267" s="37" t="s">
        <v>132</v>
      </c>
      <c r="P267" s="41">
        <v>11900</v>
      </c>
      <c r="Q267" s="42"/>
      <c r="R267" s="48"/>
      <c r="S267" s="49">
        <v>0.125</v>
      </c>
      <c r="T267" s="44">
        <v>0.05</v>
      </c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3427200</v>
      </c>
      <c r="Y267" s="50">
        <f>IF(NOTA[[#This Row],[JUMLAH]]="","",NOTA[[#This Row],[JUMLAH]]*NOTA[[#This Row],[DISC 1]])</f>
        <v>428400</v>
      </c>
      <c r="Z267" s="50">
        <f>IF(NOTA[[#This Row],[JUMLAH]]="","",(NOTA[[#This Row],[JUMLAH]]-NOTA[[#This Row],[DISC 1-]])*NOTA[[#This Row],[DISC 2]])</f>
        <v>149940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578340</v>
      </c>
      <c r="AC267" s="50">
        <f>IF(NOTA[[#This Row],[JUMLAH]]="","",NOTA[[#This Row],[JUMLAH]]-NOTA[[#This Row],[DISC]])</f>
        <v>2848860</v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7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267" s="50">
        <f>IF(OR(NOTA[[#This Row],[QTY]]="",NOTA[[#This Row],[HARGA SATUAN]]="",),"",NOTA[[#This Row],[QTY]]*NOTA[[#This Row],[HARGA SATUAN]])</f>
        <v>3427200</v>
      </c>
      <c r="AH267" s="39">
        <f ca="1">IF(NOTA[ID_H]="","",INDEX(NOTA[TANGGAL],MATCH(,INDIRECT(ADDRESS(ROW(NOTA[TANGGAL]),COLUMN(NOTA[TANGGAL]))&amp;":"&amp;ADDRESS(ROW(),COLUMN(NOTA[TANGGAL]))),-1)))</f>
        <v>45185</v>
      </c>
      <c r="AI267" s="41" t="str">
        <f ca="1">IF(NOTA[[#This Row],[NAMA BARANG]]="","",INDEX(NOTA[SUPPLIER],MATCH(,INDIRECT(ADDRESS(ROW(NOTA[ID]),COLUMN(NOTA[ID]))&amp;":"&amp;ADDRESS(ROW(),COLUMN(NOTA[ID]))),-1)))</f>
        <v>ATALI MAKMUR</v>
      </c>
      <c r="AJ267" s="41" t="str">
        <f ca="1">IF(NOTA[[#This Row],[ID_H]]="","",IF(NOTA[[#This Row],[FAKTUR]]="",INDIRECT(ADDRESS(ROW()-1,COLUMN())),NOTA[[#This Row],[FAKTUR]]))</f>
        <v>ARTO MORO</v>
      </c>
      <c r="AK267" s="38" t="str">
        <f ca="1">IF(NOTA[[#This Row],[ID]]="","",COUNTIF(NOTA[ID_H],NOTA[[#This Row],[ID_H]]))</f>
        <v/>
      </c>
      <c r="AL267" s="38">
        <f ca="1">IF(NOTA[[#This Row],[TGL.NOTA]]="",IF(NOTA[[#This Row],[SUPPLIER_H]]="","",AL266),MONTH(NOTA[[#This Row],[TGL.NOTA]]))</f>
        <v>9</v>
      </c>
      <c r="AM267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38" t="str">
        <f>IF(NOTA[[#This Row],[CONCAT4]]="","",_xlfn.IFNA(MATCH(NOTA[[#This Row],[CONCAT4]],[2]!RAW[CONCAT_H],0),FALSE))</f>
        <v/>
      </c>
      <c r="AR267" s="38">
        <f>IF(NOTA[[#This Row],[CONCAT1]]="","",MATCH(NOTA[[#This Row],[CONCAT1]],[3]!db[NB NOTA_C],0))</f>
        <v>1895</v>
      </c>
      <c r="AS267" s="38" t="str">
        <f>IF(NOTA[[#This Row],[QTY/ CTN]]="","",TRUE)</f>
        <v/>
      </c>
      <c r="AT267" s="38" t="str">
        <f ca="1">IF(NOTA[[#This Row],[ID_H]]="","",IF(NOTA[[#This Row],[Column3]]=TRUE,NOTA[[#This Row],[QTY/ CTN]],INDEX([3]!db[QTY/ CTN],NOTA[[#This Row],[//DB]])))</f>
        <v>12 LSN</v>
      </c>
      <c r="AU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267" s="38" t="e">
        <f ca="1">IF(NOTA[[#This Row],[ID_H]]="","",MATCH(NOTA[[#This Row],[NB NOTA_C_QTY]],[4]!db[NB NOTA_C_QTY+F],0))</f>
        <v>#REF!</v>
      </c>
      <c r="AW267" s="53">
        <f ca="1">IF(NOTA[[#This Row],[NB NOTA_C_QTY]]="","",ROW()-2)</f>
        <v>265</v>
      </c>
    </row>
    <row r="268" spans="1:49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44</v>
      </c>
      <c r="E268" s="46"/>
      <c r="F268" s="37"/>
      <c r="G268" s="37"/>
      <c r="H268" s="47"/>
      <c r="I268" s="37"/>
      <c r="J268" s="39"/>
      <c r="K268" s="37"/>
      <c r="L268" s="37" t="s">
        <v>390</v>
      </c>
      <c r="M268" s="40">
        <v>1</v>
      </c>
      <c r="N268" s="38">
        <v>144</v>
      </c>
      <c r="O268" s="37" t="s">
        <v>126</v>
      </c>
      <c r="P268" s="41">
        <v>4350</v>
      </c>
      <c r="Q268" s="42"/>
      <c r="R268" s="48"/>
      <c r="S268" s="49">
        <v>0.125</v>
      </c>
      <c r="T268" s="44">
        <v>0.05</v>
      </c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626400</v>
      </c>
      <c r="Y268" s="50">
        <f>IF(NOTA[[#This Row],[JUMLAH]]="","",NOTA[[#This Row],[JUMLAH]]*NOTA[[#This Row],[DISC 1]])</f>
        <v>78300</v>
      </c>
      <c r="Z268" s="50">
        <f>IF(NOTA[[#This Row],[JUMLAH]]="","",(NOTA[[#This Row],[JUMLAH]]-NOTA[[#This Row],[DISC 1-]])*NOTA[[#This Row],[DISC 2]])</f>
        <v>27405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105705</v>
      </c>
      <c r="AC268" s="50">
        <f>IF(NOTA[[#This Row],[JUMLAH]]="","",NOTA[[#This Row],[JUMLAH]]-NOTA[[#This Row],[DISC]])</f>
        <v>520695</v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G268" s="50">
        <f>IF(OR(NOTA[[#This Row],[QTY]]="",NOTA[[#This Row],[HARGA SATUAN]]="",),"",NOTA[[#This Row],[QTY]]*NOTA[[#This Row],[HARGA SATUAN]])</f>
        <v>626400</v>
      </c>
      <c r="AH268" s="39">
        <f ca="1">IF(NOTA[ID_H]="","",INDEX(NOTA[TANGGAL],MATCH(,INDIRECT(ADDRESS(ROW(NOTA[TANGGAL]),COLUMN(NOTA[TANGGAL]))&amp;":"&amp;ADDRESS(ROW(),COLUMN(NOTA[TANGGAL]))),-1)))</f>
        <v>45185</v>
      </c>
      <c r="AI268" s="41" t="str">
        <f ca="1">IF(NOTA[[#This Row],[NAMA BARANG]]="","",INDEX(NOTA[SUPPLIER],MATCH(,INDIRECT(ADDRESS(ROW(NOTA[ID]),COLUMN(NOTA[ID]))&amp;":"&amp;ADDRESS(ROW(),COLUMN(NOTA[ID]))),-1)))</f>
        <v>ATALI MAKMUR</v>
      </c>
      <c r="AJ268" s="41" t="str">
        <f ca="1">IF(NOTA[[#This Row],[ID_H]]="","",IF(NOTA[[#This Row],[FAKTUR]]="",INDIRECT(ADDRESS(ROW()-1,COLUMN())),NOTA[[#This Row],[FAKTUR]]))</f>
        <v>ARTO MORO</v>
      </c>
      <c r="AK268" s="38" t="str">
        <f ca="1">IF(NOTA[[#This Row],[ID]]="","",COUNTIF(NOTA[ID_H],NOTA[[#This Row],[ID_H]]))</f>
        <v/>
      </c>
      <c r="AL268" s="38">
        <f ca="1">IF(NOTA[[#This Row],[TGL.NOTA]]="",IF(NOTA[[#This Row],[SUPPLIER_H]]="","",AL267),MONTH(NOTA[[#This Row],[TGL.NOTA]]))</f>
        <v>9</v>
      </c>
      <c r="AM2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38" t="str">
        <f>IF(NOTA[[#This Row],[CONCAT4]]="","",_xlfn.IFNA(MATCH(NOTA[[#This Row],[CONCAT4]],[2]!RAW[CONCAT_H],0),FALSE))</f>
        <v/>
      </c>
      <c r="AR268" s="38">
        <f>IF(NOTA[[#This Row],[CONCAT1]]="","",MATCH(NOTA[[#This Row],[CONCAT1]],[3]!db[NB NOTA_C],0))</f>
        <v>2394</v>
      </c>
      <c r="AS268" s="38" t="str">
        <f>IF(NOTA[[#This Row],[QTY/ CTN]]="","",TRUE)</f>
        <v/>
      </c>
      <c r="AT268" s="38" t="str">
        <f ca="1">IF(NOTA[[#This Row],[ID_H]]="","",IF(NOTA[[#This Row],[Column3]]=TRUE,NOTA[[#This Row],[QTY/ CTN]],INDEX([3]!db[QTY/ CTN],NOTA[[#This Row],[//DB]])))</f>
        <v>12 LSN</v>
      </c>
      <c r="AU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268" s="38" t="e">
        <f ca="1">IF(NOTA[[#This Row],[ID_H]]="","",MATCH(NOTA[[#This Row],[NB NOTA_C_QTY]],[4]!db[NB NOTA_C_QTY+F],0))</f>
        <v>#REF!</v>
      </c>
      <c r="AW268" s="53">
        <f ca="1">IF(NOTA[[#This Row],[NB NOTA_C_QTY]]="","",ROW()-2)</f>
        <v>266</v>
      </c>
    </row>
    <row r="269" spans="1:49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44</v>
      </c>
      <c r="E269" s="46"/>
      <c r="F269" s="37"/>
      <c r="G269" s="37"/>
      <c r="H269" s="47"/>
      <c r="I269" s="37"/>
      <c r="J269" s="39"/>
      <c r="K269" s="37"/>
      <c r="L269" s="37" t="s">
        <v>391</v>
      </c>
      <c r="M269" s="40">
        <v>1</v>
      </c>
      <c r="N269" s="38">
        <v>24</v>
      </c>
      <c r="O269" s="37" t="s">
        <v>126</v>
      </c>
      <c r="P269" s="41">
        <v>41000</v>
      </c>
      <c r="Q269" s="42"/>
      <c r="R269" s="48"/>
      <c r="S269" s="49">
        <v>0.125</v>
      </c>
      <c r="T269" s="44">
        <v>0.05</v>
      </c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984000</v>
      </c>
      <c r="Y269" s="50">
        <f>IF(NOTA[[#This Row],[JUMLAH]]="","",NOTA[[#This Row],[JUMLAH]]*NOTA[[#This Row],[DISC 1]])</f>
        <v>123000</v>
      </c>
      <c r="Z269" s="50">
        <f>IF(NOTA[[#This Row],[JUMLAH]]="","",(NOTA[[#This Row],[JUMLAH]]-NOTA[[#This Row],[DISC 1-]])*NOTA[[#This Row],[DISC 2]])</f>
        <v>43050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166050</v>
      </c>
      <c r="AC269" s="50">
        <f>IF(NOTA[[#This Row],[JUMLAH]]="","",NOTA[[#This Row],[JUMLAH]]-NOTA[[#This Row],[DISC]])</f>
        <v>817950</v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69" s="41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G269" s="50">
        <f>IF(OR(NOTA[[#This Row],[QTY]]="",NOTA[[#This Row],[HARGA SATUAN]]="",),"",NOTA[[#This Row],[QTY]]*NOTA[[#This Row],[HARGA SATUAN]])</f>
        <v>984000</v>
      </c>
      <c r="AH269" s="39">
        <f ca="1">IF(NOTA[ID_H]="","",INDEX(NOTA[TANGGAL],MATCH(,INDIRECT(ADDRESS(ROW(NOTA[TANGGAL]),COLUMN(NOTA[TANGGAL]))&amp;":"&amp;ADDRESS(ROW(),COLUMN(NOTA[TANGGAL]))),-1)))</f>
        <v>45185</v>
      </c>
      <c r="AI269" s="41" t="str">
        <f ca="1">IF(NOTA[[#This Row],[NAMA BARANG]]="","",INDEX(NOTA[SUPPLIER],MATCH(,INDIRECT(ADDRESS(ROW(NOTA[ID]),COLUMN(NOTA[ID]))&amp;":"&amp;ADDRESS(ROW(),COLUMN(NOTA[ID]))),-1)))</f>
        <v>ATALI MAKMUR</v>
      </c>
      <c r="AJ269" s="41" t="str">
        <f ca="1">IF(NOTA[[#This Row],[ID_H]]="","",IF(NOTA[[#This Row],[FAKTUR]]="",INDIRECT(ADDRESS(ROW()-1,COLUMN())),NOTA[[#This Row],[FAKTUR]]))</f>
        <v>ARTO MORO</v>
      </c>
      <c r="AK269" s="38" t="str">
        <f ca="1">IF(NOTA[[#This Row],[ID]]="","",COUNTIF(NOTA[ID_H],NOTA[[#This Row],[ID_H]]))</f>
        <v/>
      </c>
      <c r="AL269" s="38">
        <f ca="1">IF(NOTA[[#This Row],[TGL.NOTA]]="",IF(NOTA[[#This Row],[SUPPLIER_H]]="","",AL268),MONTH(NOTA[[#This Row],[TGL.NOTA]]))</f>
        <v>9</v>
      </c>
      <c r="AM269" s="38" t="str">
        <f>LOWER(SUBSTITUTE(SUBSTITUTE(SUBSTITUTE(SUBSTITUTE(SUBSTITUTE(SUBSTITUTE(SUBSTITUTE(SUBSTITUTE(SUBSTITUTE(NOTA[NAMA BARANG]," ",),".",""),"-",""),"(",""),")",""),",",""),"/",""),"""",""),"+",""))</f>
        <v>tapecuttertd2hjk</v>
      </c>
      <c r="AN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O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P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38" t="str">
        <f>IF(NOTA[[#This Row],[CONCAT4]]="","",_xlfn.IFNA(MATCH(NOTA[[#This Row],[CONCAT4]],[2]!RAW[CONCAT_H],0),FALSE))</f>
        <v/>
      </c>
      <c r="AR269" s="38">
        <f>IF(NOTA[[#This Row],[CONCAT1]]="","",MATCH(NOTA[[#This Row],[CONCAT1]],[3]!db[NB NOTA_C],0))</f>
        <v>2529</v>
      </c>
      <c r="AS269" s="38" t="str">
        <f>IF(NOTA[[#This Row],[QTY/ CTN]]="","",TRUE)</f>
        <v/>
      </c>
      <c r="AT269" s="38" t="str">
        <f ca="1">IF(NOTA[[#This Row],[ID_H]]="","",IF(NOTA[[#This Row],[Column3]]=TRUE,NOTA[[#This Row],[QTY/ CTN]],INDEX([3]!db[QTY/ CTN],NOTA[[#This Row],[//DB]])))</f>
        <v>24 PCS</v>
      </c>
      <c r="AU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tapecuttertd2hjk24pcsartomoro</v>
      </c>
      <c r="AV269" s="38" t="e">
        <f ca="1">IF(NOTA[[#This Row],[ID_H]]="","",MATCH(NOTA[[#This Row],[NB NOTA_C_QTY]],[4]!db[NB NOTA_C_QTY+F],0))</f>
        <v>#REF!</v>
      </c>
      <c r="AW269" s="53">
        <f ca="1">IF(NOTA[[#This Row],[NB NOTA_C_QTY]]="","",ROW()-2)</f>
        <v>267</v>
      </c>
    </row>
    <row r="270" spans="1:49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44</v>
      </c>
      <c r="E270" s="46"/>
      <c r="F270" s="37"/>
      <c r="G270" s="37"/>
      <c r="H270" s="47"/>
      <c r="I270" s="37"/>
      <c r="J270" s="39"/>
      <c r="K270" s="37"/>
      <c r="L270" s="37" t="s">
        <v>392</v>
      </c>
      <c r="M270" s="40">
        <v>1</v>
      </c>
      <c r="N270" s="38">
        <v>36</v>
      </c>
      <c r="O270" s="37" t="s">
        <v>138</v>
      </c>
      <c r="P270" s="41">
        <v>41400</v>
      </c>
      <c r="Q270" s="42"/>
      <c r="R270" s="48"/>
      <c r="S270" s="49">
        <v>0.125</v>
      </c>
      <c r="T270" s="44">
        <v>0.05</v>
      </c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1490400</v>
      </c>
      <c r="Y270" s="50">
        <f>IF(NOTA[[#This Row],[JUMLAH]]="","",NOTA[[#This Row],[JUMLAH]]*NOTA[[#This Row],[DISC 1]])</f>
        <v>186300</v>
      </c>
      <c r="Z270" s="50">
        <f>IF(NOTA[[#This Row],[JUMLAH]]="","",(NOTA[[#This Row],[JUMLAH]]-NOTA[[#This Row],[DISC 1-]])*NOTA[[#This Row],[DISC 2]])</f>
        <v>65205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251505</v>
      </c>
      <c r="AC270" s="50">
        <f>IF(NOTA[[#This Row],[JUMLAH]]="","",NOTA[[#This Row],[JUMLAH]]-NOTA[[#This Row],[DISC]])</f>
        <v>1238895</v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0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270" s="50">
        <f>IF(OR(NOTA[[#This Row],[QTY]]="",NOTA[[#This Row],[HARGA SATUAN]]="",),"",NOTA[[#This Row],[QTY]]*NOTA[[#This Row],[HARGA SATUAN]])</f>
        <v>1490400</v>
      </c>
      <c r="AH270" s="39">
        <f ca="1">IF(NOTA[ID_H]="","",INDEX(NOTA[TANGGAL],MATCH(,INDIRECT(ADDRESS(ROW(NOTA[TANGGAL]),COLUMN(NOTA[TANGGAL]))&amp;":"&amp;ADDRESS(ROW(),COLUMN(NOTA[TANGGAL]))),-1)))</f>
        <v>45185</v>
      </c>
      <c r="AI270" s="41" t="str">
        <f ca="1">IF(NOTA[[#This Row],[NAMA BARANG]]="","",INDEX(NOTA[SUPPLIER],MATCH(,INDIRECT(ADDRESS(ROW(NOTA[ID]),COLUMN(NOTA[ID]))&amp;":"&amp;ADDRESS(ROW(),COLUMN(NOTA[ID]))),-1)))</f>
        <v>ATALI MAKMUR</v>
      </c>
      <c r="AJ270" s="41" t="str">
        <f ca="1">IF(NOTA[[#This Row],[ID_H]]="","",IF(NOTA[[#This Row],[FAKTUR]]="",INDIRECT(ADDRESS(ROW()-1,COLUMN())),NOTA[[#This Row],[FAKTUR]]))</f>
        <v>ARTO MORO</v>
      </c>
      <c r="AK270" s="38" t="str">
        <f ca="1">IF(NOTA[[#This Row],[ID]]="","",COUNTIF(NOTA[ID_H],NOTA[[#This Row],[ID_H]]))</f>
        <v/>
      </c>
      <c r="AL270" s="38">
        <f ca="1">IF(NOTA[[#This Row],[TGL.NOTA]]="",IF(NOTA[[#This Row],[SUPPLIER_H]]="","",AL269),MONTH(NOTA[[#This Row],[TGL.NOTA]]))</f>
        <v>9</v>
      </c>
      <c r="AM270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38" t="str">
        <f>IF(NOTA[[#This Row],[CONCAT4]]="","",_xlfn.IFNA(MATCH(NOTA[[#This Row],[CONCAT4]],[2]!RAW[CONCAT_H],0),FALSE))</f>
        <v/>
      </c>
      <c r="AR270" s="38">
        <f>IF(NOTA[[#This Row],[CONCAT1]]="","",MATCH(NOTA[[#This Row],[CONCAT1]],[3]!db[NB NOTA_C],0))</f>
        <v>614</v>
      </c>
      <c r="AS270" s="38" t="str">
        <f>IF(NOTA[[#This Row],[QTY/ CTN]]="","",TRUE)</f>
        <v/>
      </c>
      <c r="AT270" s="38" t="str">
        <f ca="1">IF(NOTA[[#This Row],[ID_H]]="","",IF(NOTA[[#This Row],[Column3]]=TRUE,NOTA[[#This Row],[QTY/ CTN]],INDEX([3]!db[QTY/ CTN],NOTA[[#This Row],[//DB]])))</f>
        <v>36 LSN</v>
      </c>
      <c r="AU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V270" s="38" t="e">
        <f ca="1">IF(NOTA[[#This Row],[ID_H]]="","",MATCH(NOTA[[#This Row],[NB NOTA_C_QTY]],[4]!db[NB NOTA_C_QTY+F],0))</f>
        <v>#REF!</v>
      </c>
      <c r="AW270" s="53">
        <f ca="1">IF(NOTA[[#This Row],[NB NOTA_C_QTY]]="","",ROW()-2)</f>
        <v>268</v>
      </c>
    </row>
    <row r="271" spans="1:49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44</v>
      </c>
      <c r="E271" s="46"/>
      <c r="F271" s="37"/>
      <c r="G271" s="37"/>
      <c r="H271" s="47"/>
      <c r="I271" s="37"/>
      <c r="J271" s="39"/>
      <c r="K271" s="37"/>
      <c r="L271" s="37" t="s">
        <v>394</v>
      </c>
      <c r="M271" s="40">
        <v>1</v>
      </c>
      <c r="N271" s="38">
        <v>48</v>
      </c>
      <c r="O271" s="37" t="s">
        <v>138</v>
      </c>
      <c r="P271" s="41">
        <v>48000</v>
      </c>
      <c r="Q271" s="42"/>
      <c r="R271" s="48"/>
      <c r="S271" s="49">
        <v>0.125</v>
      </c>
      <c r="T271" s="44">
        <v>0.05</v>
      </c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2304000</v>
      </c>
      <c r="Y271" s="50">
        <f>IF(NOTA[[#This Row],[JUMLAH]]="","",NOTA[[#This Row],[JUMLAH]]*NOTA[[#This Row],[DISC 1]])</f>
        <v>288000</v>
      </c>
      <c r="Z271" s="50">
        <f>IF(NOTA[[#This Row],[JUMLAH]]="","",(NOTA[[#This Row],[JUMLAH]]-NOTA[[#This Row],[DISC 1-]])*NOTA[[#This Row],[DISC 2]])</f>
        <v>100800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388800</v>
      </c>
      <c r="AC271" s="50">
        <f>IF(NOTA[[#This Row],[JUMLAH]]="","",NOTA[[#This Row],[JUMLAH]]-NOTA[[#This Row],[DISC]])</f>
        <v>1915200</v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1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G271" s="50">
        <f>IF(OR(NOTA[[#This Row],[QTY]]="",NOTA[[#This Row],[HARGA SATUAN]]="",),"",NOTA[[#This Row],[QTY]]*NOTA[[#This Row],[HARGA SATUAN]])</f>
        <v>2304000</v>
      </c>
      <c r="AH271" s="39">
        <f ca="1">IF(NOTA[ID_H]="","",INDEX(NOTA[TANGGAL],MATCH(,INDIRECT(ADDRESS(ROW(NOTA[TANGGAL]),COLUMN(NOTA[TANGGAL]))&amp;":"&amp;ADDRESS(ROW(),COLUMN(NOTA[TANGGAL]))),-1)))</f>
        <v>45185</v>
      </c>
      <c r="AI271" s="41" t="str">
        <f ca="1">IF(NOTA[[#This Row],[NAMA BARANG]]="","",INDEX(NOTA[SUPPLIER],MATCH(,INDIRECT(ADDRESS(ROW(NOTA[ID]),COLUMN(NOTA[ID]))&amp;":"&amp;ADDRESS(ROW(),COLUMN(NOTA[ID]))),-1)))</f>
        <v>ATALI MAKMUR</v>
      </c>
      <c r="AJ271" s="41" t="str">
        <f ca="1">IF(NOTA[[#This Row],[ID_H]]="","",IF(NOTA[[#This Row],[FAKTUR]]="",INDIRECT(ADDRESS(ROW()-1,COLUMN())),NOTA[[#This Row],[FAKTUR]]))</f>
        <v>ARTO MORO</v>
      </c>
      <c r="AK271" s="38" t="str">
        <f ca="1">IF(NOTA[[#This Row],[ID]]="","",COUNTIF(NOTA[ID_H],NOTA[[#This Row],[ID_H]]))</f>
        <v/>
      </c>
      <c r="AL271" s="38">
        <f ca="1">IF(NOTA[[#This Row],[TGL.NOTA]]="",IF(NOTA[[#This Row],[SUPPLIER_H]]="","",AL270),MONTH(NOTA[[#This Row],[TGL.NOTA]]))</f>
        <v>9</v>
      </c>
      <c r="AM271" s="38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38" t="str">
        <f>IF(NOTA[[#This Row],[CONCAT4]]="","",_xlfn.IFNA(MATCH(NOTA[[#This Row],[CONCAT4]],[2]!RAW[CONCAT_H],0),FALSE))</f>
        <v/>
      </c>
      <c r="AR271" s="38">
        <f>IF(NOTA[[#This Row],[CONCAT1]]="","",MATCH(NOTA[[#This Row],[CONCAT1]],[3]!db[NB NOTA_C],0))</f>
        <v>613</v>
      </c>
      <c r="AS271" s="38" t="str">
        <f>IF(NOTA[[#This Row],[QTY/ CTN]]="","",TRUE)</f>
        <v/>
      </c>
      <c r="AT271" s="38" t="str">
        <f ca="1">IF(NOTA[[#This Row],[ID_H]]="","",IF(NOTA[[#This Row],[Column3]]=TRUE,NOTA[[#This Row],[QTY/ CTN]],INDEX([3]!db[QTY/ CTN],NOTA[[#This Row],[//DB]])))</f>
        <v>48 LSN</v>
      </c>
      <c r="AU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correctionfluidcfs205ptjk48lsnartomoro</v>
      </c>
      <c r="AV271" s="38" t="e">
        <f ca="1">IF(NOTA[[#This Row],[ID_H]]="","",MATCH(NOTA[[#This Row],[NB NOTA_C_QTY]],[4]!db[NB NOTA_C_QTY+F],0))</f>
        <v>#REF!</v>
      </c>
      <c r="AW271" s="53">
        <f ca="1">IF(NOTA[[#This Row],[NB NOTA_C_QTY]]="","",ROW()-2)</f>
        <v>269</v>
      </c>
    </row>
    <row r="272" spans="1:49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44</v>
      </c>
      <c r="E272" s="46"/>
      <c r="F272" s="37"/>
      <c r="G272" s="37"/>
      <c r="H272" s="47"/>
      <c r="I272" s="37"/>
      <c r="J272" s="39"/>
      <c r="K272" s="37"/>
      <c r="L272" s="37" t="s">
        <v>393</v>
      </c>
      <c r="M272" s="40">
        <v>1</v>
      </c>
      <c r="N272" s="38">
        <v>500</v>
      </c>
      <c r="O272" s="37" t="s">
        <v>239</v>
      </c>
      <c r="P272" s="41">
        <v>4300</v>
      </c>
      <c r="Q272" s="42"/>
      <c r="R272" s="48"/>
      <c r="S272" s="49">
        <v>0.125</v>
      </c>
      <c r="T272" s="44">
        <v>0.05</v>
      </c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2150000</v>
      </c>
      <c r="Y272" s="50">
        <f>IF(NOTA[[#This Row],[JUMLAH]]="","",NOTA[[#This Row],[JUMLAH]]*NOTA[[#This Row],[DISC 1]])</f>
        <v>268750</v>
      </c>
      <c r="Z272" s="50">
        <f>IF(NOTA[[#This Row],[JUMLAH]]="","",(NOTA[[#This Row],[JUMLAH]]-NOTA[[#This Row],[DISC 1-]])*NOTA[[#This Row],[DISC 2]])</f>
        <v>94062.5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362812.5</v>
      </c>
      <c r="AC272" s="50">
        <f>IF(NOTA[[#This Row],[JUMLAH]]="","",NOTA[[#This Row],[JUMLAH]]-NOTA[[#This Row],[DISC]])</f>
        <v>1787187.5</v>
      </c>
      <c r="AD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5342672.25</v>
      </c>
      <c r="AE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26317607.75</v>
      </c>
      <c r="AF272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G272" s="50">
        <f>IF(OR(NOTA[[#This Row],[QTY]]="",NOTA[[#This Row],[HARGA SATUAN]]="",),"",NOTA[[#This Row],[QTY]]*NOTA[[#This Row],[HARGA SATUAN]])</f>
        <v>2150000</v>
      </c>
      <c r="AH272" s="39">
        <f ca="1">IF(NOTA[ID_H]="","",INDEX(NOTA[TANGGAL],MATCH(,INDIRECT(ADDRESS(ROW(NOTA[TANGGAL]),COLUMN(NOTA[TANGGAL]))&amp;":"&amp;ADDRESS(ROW(),COLUMN(NOTA[TANGGAL]))),-1)))</f>
        <v>45185</v>
      </c>
      <c r="AI272" s="41" t="str">
        <f ca="1">IF(NOTA[[#This Row],[NAMA BARANG]]="","",INDEX(NOTA[SUPPLIER],MATCH(,INDIRECT(ADDRESS(ROW(NOTA[ID]),COLUMN(NOTA[ID]))&amp;":"&amp;ADDRESS(ROW(),COLUMN(NOTA[ID]))),-1)))</f>
        <v>ATALI MAKMUR</v>
      </c>
      <c r="AJ272" s="41" t="str">
        <f ca="1">IF(NOTA[[#This Row],[ID_H]]="","",IF(NOTA[[#This Row],[FAKTUR]]="",INDIRECT(ADDRESS(ROW()-1,COLUMN())),NOTA[[#This Row],[FAKTUR]]))</f>
        <v>ARTO MORO</v>
      </c>
      <c r="AK272" s="38" t="str">
        <f ca="1">IF(NOTA[[#This Row],[ID]]="","",COUNTIF(NOTA[ID_H],NOTA[[#This Row],[ID_H]]))</f>
        <v/>
      </c>
      <c r="AL272" s="38">
        <f ca="1">IF(NOTA[[#This Row],[TGL.NOTA]]="",IF(NOTA[[#This Row],[SUPPLIER_H]]="","",AL271),MONTH(NOTA[[#This Row],[TGL.NOTA]]))</f>
        <v>9</v>
      </c>
      <c r="AM272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N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38" t="str">
        <f>IF(NOTA[[#This Row],[CONCAT4]]="","",_xlfn.IFNA(MATCH(NOTA[[#This Row],[CONCAT4]],[2]!RAW[CONCAT_H],0),FALSE))</f>
        <v/>
      </c>
      <c r="AR272" s="38">
        <f>IF(NOTA[[#This Row],[CONCAT1]]="","",MATCH(NOTA[[#This Row],[CONCAT1]],[3]!db[NB NOTA_C],0))</f>
        <v>1625</v>
      </c>
      <c r="AS272" s="38" t="str">
        <f>IF(NOTA[[#This Row],[QTY/ CTN]]="","",TRUE)</f>
        <v/>
      </c>
      <c r="AT272" s="38" t="str">
        <f ca="1">IF(NOTA[[#This Row],[ID_H]]="","",IF(NOTA[[#This Row],[Column3]]=TRUE,NOTA[[#This Row],[QTY/ CTN]],INDEX([3]!db[QTY/ CTN],NOTA[[#This Row],[//DB]])))</f>
        <v>50 PAK (10 ROL)</v>
      </c>
      <c r="AU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V272" s="38" t="e">
        <f ca="1">IF(NOTA[[#This Row],[ID_H]]="","",MATCH(NOTA[[#This Row],[NB NOTA_C_QTY]],[4]!db[NB NOTA_C_QTY+F],0))</f>
        <v>#REF!</v>
      </c>
      <c r="AW272" s="53">
        <f ca="1">IF(NOTA[[#This Row],[NB NOTA_C_QTY]]="","",ROW()-2)</f>
        <v>270</v>
      </c>
    </row>
    <row r="273" spans="1:49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73" s="50" t="str">
        <f>IF(OR(NOTA[[#This Row],[QTY]]="",NOTA[[#This Row],[HARGA SATUAN]]="",),"",NOTA[[#This Row],[QTY]]*NOTA[[#This Row],[HARGA SATUAN]])</f>
        <v/>
      </c>
      <c r="AH273" s="39" t="str">
        <f ca="1">IF(NOTA[ID_H]="","",INDEX(NOTA[TANGGAL],MATCH(,INDIRECT(ADDRESS(ROW(NOTA[TANGGAL]),COLUMN(NOTA[TANGGAL]))&amp;":"&amp;ADDRESS(ROW(),COLUMN(NOTA[TANGGAL]))),-1)))</f>
        <v/>
      </c>
      <c r="AI273" s="41" t="str">
        <f ca="1">IF(NOTA[[#This Row],[NAMA BARANG]]="","",INDEX(NOTA[SUPPLIER],MATCH(,INDIRECT(ADDRESS(ROW(NOTA[ID]),COLUMN(NOTA[ID]))&amp;":"&amp;ADDRESS(ROW(),COLUMN(NOTA[ID]))),-1)))</f>
        <v/>
      </c>
      <c r="AJ273" s="41" t="str">
        <f ca="1">IF(NOTA[[#This Row],[ID_H]]="","",IF(NOTA[[#This Row],[FAKTUR]]="",INDIRECT(ADDRESS(ROW()-1,COLUMN())),NOTA[[#This Row],[FAKTUR]]))</f>
        <v/>
      </c>
      <c r="AK273" s="38" t="str">
        <f ca="1">IF(NOTA[[#This Row],[ID]]="","",COUNTIF(NOTA[ID_H],NOTA[[#This Row],[ID_H]]))</f>
        <v/>
      </c>
      <c r="AL273" s="38" t="str">
        <f ca="1">IF(NOTA[[#This Row],[TGL.NOTA]]="",IF(NOTA[[#This Row],[SUPPLIER_H]]="","",AL272),MONTH(NOTA[[#This Row],[TGL.NOTA]]))</f>
        <v/>
      </c>
      <c r="AM273" s="38" t="str">
        <f>LOWER(SUBSTITUTE(SUBSTITUTE(SUBSTITUTE(SUBSTITUTE(SUBSTITUTE(SUBSTITUTE(SUBSTITUTE(SUBSTITUTE(SUBSTITUTE(NOTA[NAMA BARANG]," ",),".",""),"-",""),"(",""),")",""),",",""),"/",""),"""",""),"+",""))</f>
        <v/>
      </c>
      <c r="AN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38" t="str">
        <f>IF(NOTA[[#This Row],[CONCAT4]]="","",_xlfn.IFNA(MATCH(NOTA[[#This Row],[CONCAT4]],[2]!RAW[CONCAT_H],0),FALSE))</f>
        <v/>
      </c>
      <c r="AR273" s="38" t="str">
        <f>IF(NOTA[[#This Row],[CONCAT1]]="","",MATCH(NOTA[[#This Row],[CONCAT1]],[3]!db[NB NOTA_C],0))</f>
        <v/>
      </c>
      <c r="AS273" s="38" t="str">
        <f>IF(NOTA[[#This Row],[QTY/ CTN]]="","",TRUE)</f>
        <v/>
      </c>
      <c r="AT273" s="38" t="str">
        <f ca="1">IF(NOTA[[#This Row],[ID_H]]="","",IF(NOTA[[#This Row],[Column3]]=TRUE,NOTA[[#This Row],[QTY/ CTN]],INDEX([3]!db[QTY/ CTN],NOTA[[#This Row],[//DB]])))</f>
        <v/>
      </c>
      <c r="AU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73" s="38" t="str">
        <f ca="1">IF(NOTA[[#This Row],[ID_H]]="","",MATCH(NOTA[[#This Row],[NB NOTA_C_QTY]],[4]!db[NB NOTA_C_QTY+F],0))</f>
        <v/>
      </c>
      <c r="AW273" s="53" t="str">
        <f ca="1">IF(NOTA[[#This Row],[NB NOTA_C_QTY]]="","",ROW()-2)</f>
        <v/>
      </c>
    </row>
    <row r="274" spans="1:49" s="38" customFormat="1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ATA_1609_212-12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45</v>
      </c>
      <c r="E274" s="46"/>
      <c r="F274" s="37" t="s">
        <v>24</v>
      </c>
      <c r="G274" s="37" t="s">
        <v>23</v>
      </c>
      <c r="H274" s="47" t="s">
        <v>396</v>
      </c>
      <c r="I274" s="37"/>
      <c r="J274" s="39">
        <v>45181</v>
      </c>
      <c r="K274" s="37"/>
      <c r="L274" s="37" t="s">
        <v>397</v>
      </c>
      <c r="M274" s="40">
        <v>2</v>
      </c>
      <c r="N274" s="38">
        <v>1000</v>
      </c>
      <c r="O274" s="37" t="s">
        <v>239</v>
      </c>
      <c r="P274" s="41">
        <v>3050</v>
      </c>
      <c r="Q274" s="42"/>
      <c r="R274" s="48"/>
      <c r="S274" s="49">
        <v>0.125</v>
      </c>
      <c r="T274" s="44">
        <v>0.05</v>
      </c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3050000</v>
      </c>
      <c r="Y274" s="50">
        <f>IF(NOTA[[#This Row],[JUMLAH]]="","",NOTA[[#This Row],[JUMLAH]]*NOTA[[#This Row],[DISC 1]])</f>
        <v>381250</v>
      </c>
      <c r="Z274" s="50">
        <f>IF(NOTA[[#This Row],[JUMLAH]]="","",(NOTA[[#This Row],[JUMLAH]]-NOTA[[#This Row],[DISC 1-]])*NOTA[[#This Row],[DISC 2]])</f>
        <v>133437.5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514687.5</v>
      </c>
      <c r="AC274" s="50">
        <f>IF(NOTA[[#This Row],[JUMLAH]]="","",NOTA[[#This Row],[JUMLAH]]-NOTA[[#This Row],[DISC]])</f>
        <v>2535312.5</v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4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274" s="50">
        <f>IF(OR(NOTA[[#This Row],[QTY]]="",NOTA[[#This Row],[HARGA SATUAN]]="",),"",NOTA[[#This Row],[QTY]]*NOTA[[#This Row],[HARGA SATUAN]])</f>
        <v>3050000</v>
      </c>
      <c r="AH274" s="39">
        <f ca="1">IF(NOTA[ID_H]="","",INDEX(NOTA[TANGGAL],MATCH(,INDIRECT(ADDRESS(ROW(NOTA[TANGGAL]),COLUMN(NOTA[TANGGAL]))&amp;":"&amp;ADDRESS(ROW(),COLUMN(NOTA[TANGGAL]))),-1)))</f>
        <v>45185</v>
      </c>
      <c r="AI274" s="41" t="str">
        <f ca="1">IF(NOTA[[#This Row],[NAMA BARANG]]="","",INDEX(NOTA[SUPPLIER],MATCH(,INDIRECT(ADDRESS(ROW(NOTA[ID]),COLUMN(NOTA[ID]))&amp;":"&amp;ADDRESS(ROW(),COLUMN(NOTA[ID]))),-1)))</f>
        <v>ATALI MAKMUR</v>
      </c>
      <c r="AJ274" s="41" t="str">
        <f ca="1">IF(NOTA[[#This Row],[ID_H]]="","",IF(NOTA[[#This Row],[FAKTUR]]="",INDIRECT(ADDRESS(ROW()-1,COLUMN())),NOTA[[#This Row],[FAKTUR]]))</f>
        <v>ARTO MORO</v>
      </c>
      <c r="AK274" s="38">
        <f ca="1">IF(NOTA[[#This Row],[ID]]="","",COUNTIF(NOTA[ID_H],NOTA[[#This Row],[ID_H]]))</f>
        <v>12</v>
      </c>
      <c r="AL274" s="38">
        <f>IF(NOTA[[#This Row],[TGL.NOTA]]="",IF(NOTA[[#This Row],[SUPPLIER_H]]="","",AL273),MONTH(NOTA[[#This Row],[TGL.NOTA]]))</f>
        <v>9</v>
      </c>
      <c r="AM274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27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MOROSA23091621245181labellbp2ln2barisjk</v>
      </c>
      <c r="AQ274" s="38" t="e">
        <f>IF(NOTA[[#This Row],[CONCAT4]]="","",_xlfn.IFNA(MATCH(NOTA[[#This Row],[CONCAT4]],[2]!RAW[CONCAT_H],0),FALSE))</f>
        <v>#REF!</v>
      </c>
      <c r="AR274" s="38">
        <f>IF(NOTA[[#This Row],[CONCAT1]]="","",MATCH(NOTA[[#This Row],[CONCAT1]],[3]!db[NB NOTA_C],0))</f>
        <v>1629</v>
      </c>
      <c r="AS274" s="38" t="str">
        <f>IF(NOTA[[#This Row],[QTY/ CTN]]="","",TRUE)</f>
        <v/>
      </c>
      <c r="AT274" s="38" t="str">
        <f ca="1">IF(NOTA[[#This Row],[ID_H]]="","",IF(NOTA[[#This Row],[Column3]]=TRUE,NOTA[[#This Row],[QTY/ CTN]],INDEX([3]!db[QTY/ CTN],NOTA[[#This Row],[//DB]])))</f>
        <v>50 PAK (10 ROL)</v>
      </c>
      <c r="AU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274" s="38" t="e">
        <f ca="1">IF(NOTA[[#This Row],[ID_H]]="","",MATCH(NOTA[[#This Row],[NB NOTA_C_QTY]],[4]!db[NB NOTA_C_QTY+F],0))</f>
        <v>#REF!</v>
      </c>
      <c r="AW274" s="53">
        <f ca="1">IF(NOTA[[#This Row],[NB NOTA_C_QTY]]="","",ROW()-2)</f>
        <v>272</v>
      </c>
    </row>
    <row r="275" spans="1:49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45</v>
      </c>
      <c r="E275" s="46"/>
      <c r="F275" s="37"/>
      <c r="G275" s="37"/>
      <c r="H275" s="47"/>
      <c r="I275" s="37"/>
      <c r="J275" s="39"/>
      <c r="K275" s="37"/>
      <c r="L275" s="37" t="s">
        <v>389</v>
      </c>
      <c r="M275" s="40">
        <v>2</v>
      </c>
      <c r="N275" s="38">
        <v>288</v>
      </c>
      <c r="O275" s="37" t="s">
        <v>132</v>
      </c>
      <c r="P275" s="41">
        <v>11900</v>
      </c>
      <c r="Q275" s="42"/>
      <c r="R275" s="48"/>
      <c r="S275" s="49">
        <v>0.125</v>
      </c>
      <c r="T275" s="44">
        <v>0.05</v>
      </c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3427200</v>
      </c>
      <c r="Y275" s="50">
        <f>IF(NOTA[[#This Row],[JUMLAH]]="","",NOTA[[#This Row],[JUMLAH]]*NOTA[[#This Row],[DISC 1]])</f>
        <v>428400</v>
      </c>
      <c r="Z275" s="50">
        <f>IF(NOTA[[#This Row],[JUMLAH]]="","",(NOTA[[#This Row],[JUMLAH]]-NOTA[[#This Row],[DISC 1-]])*NOTA[[#This Row],[DISC 2]])</f>
        <v>149940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578340</v>
      </c>
      <c r="AC275" s="50">
        <f>IF(NOTA[[#This Row],[JUMLAH]]="","",NOTA[[#This Row],[JUMLAH]]-NOTA[[#This Row],[DISC]])</f>
        <v>2848860</v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275" s="50">
        <f>IF(OR(NOTA[[#This Row],[QTY]]="",NOTA[[#This Row],[HARGA SATUAN]]="",),"",NOTA[[#This Row],[QTY]]*NOTA[[#This Row],[HARGA SATUAN]])</f>
        <v>3427200</v>
      </c>
      <c r="AH275" s="39">
        <f ca="1">IF(NOTA[ID_H]="","",INDEX(NOTA[TANGGAL],MATCH(,INDIRECT(ADDRESS(ROW(NOTA[TANGGAL]),COLUMN(NOTA[TANGGAL]))&amp;":"&amp;ADDRESS(ROW(),COLUMN(NOTA[TANGGAL]))),-1)))</f>
        <v>45185</v>
      </c>
      <c r="AI275" s="41" t="str">
        <f ca="1">IF(NOTA[[#This Row],[NAMA BARANG]]="","",INDEX(NOTA[SUPPLIER],MATCH(,INDIRECT(ADDRESS(ROW(NOTA[ID]),COLUMN(NOTA[ID]))&amp;":"&amp;ADDRESS(ROW(),COLUMN(NOTA[ID]))),-1)))</f>
        <v>ATALI MAKMUR</v>
      </c>
      <c r="AJ275" s="41" t="str">
        <f ca="1">IF(NOTA[[#This Row],[ID_H]]="","",IF(NOTA[[#This Row],[FAKTUR]]="",INDIRECT(ADDRESS(ROW()-1,COLUMN())),NOTA[[#This Row],[FAKTUR]]))</f>
        <v>ARTO MORO</v>
      </c>
      <c r="AK275" s="38" t="str">
        <f ca="1">IF(NOTA[[#This Row],[ID]]="","",COUNTIF(NOTA[ID_H],NOTA[[#This Row],[ID_H]]))</f>
        <v/>
      </c>
      <c r="AL275" s="38">
        <f ca="1">IF(NOTA[[#This Row],[TGL.NOTA]]="",IF(NOTA[[#This Row],[SUPPLIER_H]]="","",AL274),MONTH(NOTA[[#This Row],[TGL.NOTA]]))</f>
        <v>9</v>
      </c>
      <c r="AM27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38" t="str">
        <f>IF(NOTA[[#This Row],[CONCAT4]]="","",_xlfn.IFNA(MATCH(NOTA[[#This Row],[CONCAT4]],[2]!RAW[CONCAT_H],0),FALSE))</f>
        <v/>
      </c>
      <c r="AR275" s="38">
        <f>IF(NOTA[[#This Row],[CONCAT1]]="","",MATCH(NOTA[[#This Row],[CONCAT1]],[3]!db[NB NOTA_C],0))</f>
        <v>1895</v>
      </c>
      <c r="AS275" s="38" t="str">
        <f>IF(NOTA[[#This Row],[QTY/ CTN]]="","",TRUE)</f>
        <v/>
      </c>
      <c r="AT275" s="38" t="str">
        <f ca="1">IF(NOTA[[#This Row],[ID_H]]="","",IF(NOTA[[#This Row],[Column3]]=TRUE,NOTA[[#This Row],[QTY/ CTN]],INDEX([3]!db[QTY/ CTN],NOTA[[#This Row],[//DB]])))</f>
        <v>12 LSN</v>
      </c>
      <c r="AU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275" s="38" t="e">
        <f ca="1">IF(NOTA[[#This Row],[ID_H]]="","",MATCH(NOTA[[#This Row],[NB NOTA_C_QTY]],[4]!db[NB NOTA_C_QTY+F],0))</f>
        <v>#REF!</v>
      </c>
      <c r="AW275" s="53">
        <f ca="1">IF(NOTA[[#This Row],[NB NOTA_C_QTY]]="","",ROW()-2)</f>
        <v>273</v>
      </c>
    </row>
    <row r="276" spans="1:49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45</v>
      </c>
      <c r="E276" s="46"/>
      <c r="F276" s="37"/>
      <c r="G276" s="37"/>
      <c r="H276" s="47"/>
      <c r="I276" s="37"/>
      <c r="J276" s="39"/>
      <c r="K276" s="37"/>
      <c r="L276" s="37" t="s">
        <v>398</v>
      </c>
      <c r="M276" s="40">
        <v>2</v>
      </c>
      <c r="N276" s="38">
        <v>72</v>
      </c>
      <c r="O276" s="37" t="s">
        <v>132</v>
      </c>
      <c r="P276" s="41">
        <v>41500</v>
      </c>
      <c r="Q276" s="42"/>
      <c r="R276" s="48"/>
      <c r="S276" s="49">
        <v>0.125</v>
      </c>
      <c r="T276" s="44">
        <v>0.05</v>
      </c>
      <c r="U276" s="44"/>
      <c r="V276" s="50"/>
      <c r="W276" s="45"/>
      <c r="X276" s="50">
        <f>IF(NOTA[[#This Row],[HARGA/ CTN]]="",NOTA[[#This Row],[JUMLAH_H]],NOTA[[#This Row],[HARGA/ CTN]]*IF(NOTA[[#This Row],[C]]="",0,NOTA[[#This Row],[C]]))</f>
        <v>2988000</v>
      </c>
      <c r="Y276" s="50">
        <f>IF(NOTA[[#This Row],[JUMLAH]]="","",NOTA[[#This Row],[JUMLAH]]*NOTA[[#This Row],[DISC 1]])</f>
        <v>373500</v>
      </c>
      <c r="Z276" s="50">
        <f>IF(NOTA[[#This Row],[JUMLAH]]="","",(NOTA[[#This Row],[JUMLAH]]-NOTA[[#This Row],[DISC 1-]])*NOTA[[#This Row],[DISC 2]])</f>
        <v>130725</v>
      </c>
      <c r="AA276" s="50">
        <f>IF(NOTA[[#This Row],[JUMLAH]]="","",(NOTA[[#This Row],[JUMLAH]]-NOTA[[#This Row],[DISC 1-]]-NOTA[[#This Row],[DISC 2-]])*NOTA[[#This Row],[DISC 3]])</f>
        <v>0</v>
      </c>
      <c r="AB276" s="50">
        <f>IF(NOTA[[#This Row],[JUMLAH]]="","",NOTA[[#This Row],[DISC 1-]]+NOTA[[#This Row],[DISC 2-]]+NOTA[[#This Row],[DISC 3-]])</f>
        <v>504225</v>
      </c>
      <c r="AC276" s="50">
        <f>IF(NOTA[[#This Row],[JUMLAH]]="","",NOTA[[#This Row],[JUMLAH]]-NOTA[[#This Row],[DISC]])</f>
        <v>2483775</v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G276" s="50">
        <f>IF(OR(NOTA[[#This Row],[QTY]]="",NOTA[[#This Row],[HARGA SATUAN]]="",),"",NOTA[[#This Row],[QTY]]*NOTA[[#This Row],[HARGA SATUAN]])</f>
        <v>2988000</v>
      </c>
      <c r="AH276" s="39">
        <f ca="1">IF(NOTA[ID_H]="","",INDEX(NOTA[TANGGAL],MATCH(,INDIRECT(ADDRESS(ROW(NOTA[TANGGAL]),COLUMN(NOTA[TANGGAL]))&amp;":"&amp;ADDRESS(ROW(),COLUMN(NOTA[TANGGAL]))),-1)))</f>
        <v>45185</v>
      </c>
      <c r="AI276" s="41" t="str">
        <f ca="1">IF(NOTA[[#This Row],[NAMA BARANG]]="","",INDEX(NOTA[SUPPLIER],MATCH(,INDIRECT(ADDRESS(ROW(NOTA[ID]),COLUMN(NOTA[ID]))&amp;":"&amp;ADDRESS(ROW(),COLUMN(NOTA[ID]))),-1)))</f>
        <v>ATALI MAKMUR</v>
      </c>
      <c r="AJ276" s="41" t="str">
        <f ca="1">IF(NOTA[[#This Row],[ID_H]]="","",IF(NOTA[[#This Row],[FAKTUR]]="",INDIRECT(ADDRESS(ROW()-1,COLUMN())),NOTA[[#This Row],[FAKTUR]]))</f>
        <v>ARTO MORO</v>
      </c>
      <c r="AK276" s="38" t="str">
        <f ca="1">IF(NOTA[[#This Row],[ID]]="","",COUNTIF(NOTA[ID_H],NOTA[[#This Row],[ID_H]]))</f>
        <v/>
      </c>
      <c r="AL276" s="38">
        <f ca="1">IF(NOTA[[#This Row],[TGL.NOTA]]="",IF(NOTA[[#This Row],[SUPPLIER_H]]="","",AL275),MONTH(NOTA[[#This Row],[TGL.NOTA]]))</f>
        <v>9</v>
      </c>
      <c r="AM27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38" t="str">
        <f>IF(NOTA[[#This Row],[CONCAT4]]="","",_xlfn.IFNA(MATCH(NOTA[[#This Row],[CONCAT4]],[2]!RAW[CONCAT_H],0),FALSE))</f>
        <v/>
      </c>
      <c r="AR276" s="38">
        <f>IF(NOTA[[#This Row],[CONCAT1]]="","",MATCH(NOTA[[#This Row],[CONCAT1]],[3]!db[NB NOTA_C],0))</f>
        <v>1898</v>
      </c>
      <c r="AS276" s="38" t="str">
        <f>IF(NOTA[[#This Row],[QTY/ CTN]]="","",TRUE)</f>
        <v/>
      </c>
      <c r="AT276" s="38" t="str">
        <f ca="1">IF(NOTA[[#This Row],[ID_H]]="","",IF(NOTA[[#This Row],[Column3]]=TRUE,NOTA[[#This Row],[QTY/ CTN]],INDEX([3]!db[QTY/ CTN],NOTA[[#This Row],[//DB]])))</f>
        <v>6 BOX (6 SET)</v>
      </c>
      <c r="AU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V276" s="38" t="e">
        <f ca="1">IF(NOTA[[#This Row],[ID_H]]="","",MATCH(NOTA[[#This Row],[NB NOTA_C_QTY]],[4]!db[NB NOTA_C_QTY+F],0))</f>
        <v>#REF!</v>
      </c>
      <c r="AW276" s="53">
        <f ca="1">IF(NOTA[[#This Row],[NB NOTA_C_QTY]]="","",ROW()-2)</f>
        <v>274</v>
      </c>
    </row>
    <row r="277" spans="1:49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45</v>
      </c>
      <c r="E277" s="46"/>
      <c r="F277" s="37"/>
      <c r="G277" s="37"/>
      <c r="H277" s="47"/>
      <c r="I277" s="37"/>
      <c r="J277" s="39"/>
      <c r="K277" s="37"/>
      <c r="L277" s="37" t="s">
        <v>245</v>
      </c>
      <c r="M277" s="40">
        <v>2</v>
      </c>
      <c r="N277" s="38">
        <v>48</v>
      </c>
      <c r="O277" s="37" t="s">
        <v>132</v>
      </c>
      <c r="P277" s="41">
        <v>58900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2827200</v>
      </c>
      <c r="Y277" s="50">
        <f>IF(NOTA[[#This Row],[JUMLAH]]="","",NOTA[[#This Row],[JUMLAH]]*NOTA[[#This Row],[DISC 1]])</f>
        <v>353400</v>
      </c>
      <c r="Z277" s="50">
        <f>IF(NOTA[[#This Row],[JUMLAH]]="","",(NOTA[[#This Row],[JUMLAH]]-NOTA[[#This Row],[DISC 1-]])*NOTA[[#This Row],[DISC 2]])</f>
        <v>123690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477090</v>
      </c>
      <c r="AC277" s="50">
        <f>IF(NOTA[[#This Row],[JUMLAH]]="","",NOTA[[#This Row],[JUMLAH]]-NOTA[[#This Row],[DISC]])</f>
        <v>2350110</v>
      </c>
      <c r="AD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7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277" s="50">
        <f>IF(OR(NOTA[[#This Row],[QTY]]="",NOTA[[#This Row],[HARGA SATUAN]]="",),"",NOTA[[#This Row],[QTY]]*NOTA[[#This Row],[HARGA SATUAN]])</f>
        <v>2827200</v>
      </c>
      <c r="AH277" s="39">
        <f ca="1">IF(NOTA[ID_H]="","",INDEX(NOTA[TANGGAL],MATCH(,INDIRECT(ADDRESS(ROW(NOTA[TANGGAL]),COLUMN(NOTA[TANGGAL]))&amp;":"&amp;ADDRESS(ROW(),COLUMN(NOTA[TANGGAL]))),-1)))</f>
        <v>45185</v>
      </c>
      <c r="AI277" s="41" t="str">
        <f ca="1">IF(NOTA[[#This Row],[NAMA BARANG]]="","",INDEX(NOTA[SUPPLIER],MATCH(,INDIRECT(ADDRESS(ROW(NOTA[ID]),COLUMN(NOTA[ID]))&amp;":"&amp;ADDRESS(ROW(),COLUMN(NOTA[ID]))),-1)))</f>
        <v>ATALI MAKMUR</v>
      </c>
      <c r="AJ277" s="41" t="str">
        <f ca="1">IF(NOTA[[#This Row],[ID_H]]="","",IF(NOTA[[#This Row],[FAKTUR]]="",INDIRECT(ADDRESS(ROW()-1,COLUMN())),NOTA[[#This Row],[FAKTUR]]))</f>
        <v>ARTO MORO</v>
      </c>
      <c r="AK277" s="38" t="str">
        <f ca="1">IF(NOTA[[#This Row],[ID]]="","",COUNTIF(NOTA[ID_H],NOTA[[#This Row],[ID_H]]))</f>
        <v/>
      </c>
      <c r="AL277" s="38">
        <f ca="1">IF(NOTA[[#This Row],[TGL.NOTA]]="",IF(NOTA[[#This Row],[SUPPLIER_H]]="","",AL276),MONTH(NOTA[[#This Row],[TGL.NOTA]]))</f>
        <v>9</v>
      </c>
      <c r="AM277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38" t="str">
        <f>IF(NOTA[[#This Row],[CONCAT4]]="","",_xlfn.IFNA(MATCH(NOTA[[#This Row],[CONCAT4]],[2]!RAW[CONCAT_H],0),FALSE))</f>
        <v/>
      </c>
      <c r="AR277" s="38">
        <f>IF(NOTA[[#This Row],[CONCAT1]]="","",MATCH(NOTA[[#This Row],[CONCAT1]],[3]!db[NB NOTA_C],0))</f>
        <v>1899</v>
      </c>
      <c r="AS277" s="38" t="str">
        <f>IF(NOTA[[#This Row],[QTY/ CTN]]="","",TRUE)</f>
        <v/>
      </c>
      <c r="AT277" s="38" t="str">
        <f ca="1">IF(NOTA[[#This Row],[ID_H]]="","",IF(NOTA[[#This Row],[Column3]]=TRUE,NOTA[[#This Row],[QTY/ CTN]],INDEX([3]!db[QTY/ CTN],NOTA[[#This Row],[//DB]])))</f>
        <v>4 BOX (6 SET)</v>
      </c>
      <c r="AU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277" s="38" t="e">
        <f ca="1">IF(NOTA[[#This Row],[ID_H]]="","",MATCH(NOTA[[#This Row],[NB NOTA_C_QTY]],[4]!db[NB NOTA_C_QTY+F],0))</f>
        <v>#REF!</v>
      </c>
      <c r="AW277" s="53">
        <f ca="1">IF(NOTA[[#This Row],[NB NOTA_C_QTY]]="","",ROW()-2)</f>
        <v>275</v>
      </c>
    </row>
    <row r="278" spans="1:49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45</v>
      </c>
      <c r="E278" s="46"/>
      <c r="F278" s="37"/>
      <c r="G278" s="37"/>
      <c r="H278" s="47"/>
      <c r="I278" s="37"/>
      <c r="J278" s="39"/>
      <c r="K278" s="37"/>
      <c r="L278" s="37" t="s">
        <v>399</v>
      </c>
      <c r="M278" s="40">
        <v>2</v>
      </c>
      <c r="N278" s="38">
        <v>48</v>
      </c>
      <c r="O278" s="37" t="s">
        <v>132</v>
      </c>
      <c r="P278" s="41">
        <v>96000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4608000</v>
      </c>
      <c r="Y278" s="50">
        <f>IF(NOTA[[#This Row],[JUMLAH]]="","",NOTA[[#This Row],[JUMLAH]]*NOTA[[#This Row],[DISC 1]])</f>
        <v>576000</v>
      </c>
      <c r="Z278" s="50">
        <f>IF(NOTA[[#This Row],[JUMLAH]]="","",(NOTA[[#This Row],[JUMLAH]]-NOTA[[#This Row],[DISC 1-]])*NOTA[[#This Row],[DISC 2]])</f>
        <v>201600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777600</v>
      </c>
      <c r="AC278" s="50">
        <f>IF(NOTA[[#This Row],[JUMLAH]]="","",NOTA[[#This Row],[JUMLAH]]-NOTA[[#This Row],[DISC]])</f>
        <v>3830400</v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8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G278" s="50">
        <f>IF(OR(NOTA[[#This Row],[QTY]]="",NOTA[[#This Row],[HARGA SATUAN]]="",),"",NOTA[[#This Row],[QTY]]*NOTA[[#This Row],[HARGA SATUAN]])</f>
        <v>4608000</v>
      </c>
      <c r="AH278" s="39">
        <f ca="1">IF(NOTA[ID_H]="","",INDEX(NOTA[TANGGAL],MATCH(,INDIRECT(ADDRESS(ROW(NOTA[TANGGAL]),COLUMN(NOTA[TANGGAL]))&amp;":"&amp;ADDRESS(ROW(),COLUMN(NOTA[TANGGAL]))),-1)))</f>
        <v>45185</v>
      </c>
      <c r="AI278" s="41" t="str">
        <f ca="1">IF(NOTA[[#This Row],[NAMA BARANG]]="","",INDEX(NOTA[SUPPLIER],MATCH(,INDIRECT(ADDRESS(ROW(NOTA[ID]),COLUMN(NOTA[ID]))&amp;":"&amp;ADDRESS(ROW(),COLUMN(NOTA[ID]))),-1)))</f>
        <v>ATALI MAKMUR</v>
      </c>
      <c r="AJ278" s="41" t="str">
        <f ca="1">IF(NOTA[[#This Row],[ID_H]]="","",IF(NOTA[[#This Row],[FAKTUR]]="",INDIRECT(ADDRESS(ROW()-1,COLUMN())),NOTA[[#This Row],[FAKTUR]]))</f>
        <v>ARTO MORO</v>
      </c>
      <c r="AK278" s="38" t="str">
        <f ca="1">IF(NOTA[[#This Row],[ID]]="","",COUNTIF(NOTA[ID_H],NOTA[[#This Row],[ID_H]]))</f>
        <v/>
      </c>
      <c r="AL278" s="38">
        <f ca="1">IF(NOTA[[#This Row],[TGL.NOTA]]="",IF(NOTA[[#This Row],[SUPPLIER_H]]="","",AL277),MONTH(NOTA[[#This Row],[TGL.NOTA]]))</f>
        <v>9</v>
      </c>
      <c r="AM278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38" t="str">
        <f>IF(NOTA[[#This Row],[CONCAT4]]="","",_xlfn.IFNA(MATCH(NOTA[[#This Row],[CONCAT4]],[2]!RAW[CONCAT_H],0),FALSE))</f>
        <v/>
      </c>
      <c r="AR278" s="38">
        <f>IF(NOTA[[#This Row],[CONCAT1]]="","",MATCH(NOTA[[#This Row],[CONCAT1]],[3]!db[NB NOTA_C],0))</f>
        <v>1901</v>
      </c>
      <c r="AS278" s="38" t="str">
        <f>IF(NOTA[[#This Row],[QTY/ CTN]]="","",TRUE)</f>
        <v/>
      </c>
      <c r="AT278" s="38" t="str">
        <f ca="1">IF(NOTA[[#This Row],[ID_H]]="","",IF(NOTA[[#This Row],[Column3]]=TRUE,NOTA[[#This Row],[QTY/ CTN]],INDEX([3]!db[QTY/ CTN],NOTA[[#This Row],[//DB]])))</f>
        <v>4 BOX (6 SET)</v>
      </c>
      <c r="AU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V278" s="38" t="e">
        <f ca="1">IF(NOTA[[#This Row],[ID_H]]="","",MATCH(NOTA[[#This Row],[NB NOTA_C_QTY]],[4]!db[NB NOTA_C_QTY+F],0))</f>
        <v>#REF!</v>
      </c>
      <c r="AW278" s="53">
        <f ca="1">IF(NOTA[[#This Row],[NB NOTA_C_QTY]]="","",ROW()-2)</f>
        <v>276</v>
      </c>
    </row>
    <row r="279" spans="1:49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>
        <f ca="1">IF(NOTA[[#This Row],[NAMA BARANG]]="","",INDEX(NOTA[ID],MATCH(,INDIRECT(ADDRESS(ROW(NOTA[ID]),COLUMN(NOTA[ID]))&amp;":"&amp;ADDRESS(ROW(),COLUMN(NOTA[ID]))),-1)))</f>
        <v>45</v>
      </c>
      <c r="E279" s="46"/>
      <c r="F279" s="37"/>
      <c r="G279" s="37"/>
      <c r="H279" s="47"/>
      <c r="I279" s="37"/>
      <c r="J279" s="39"/>
      <c r="K279" s="37"/>
      <c r="L279" s="37" t="s">
        <v>400</v>
      </c>
      <c r="M279" s="40">
        <v>1</v>
      </c>
      <c r="N279" s="38">
        <v>500</v>
      </c>
      <c r="O279" s="37" t="s">
        <v>239</v>
      </c>
      <c r="P279" s="41">
        <v>4300</v>
      </c>
      <c r="Q279" s="42"/>
      <c r="R279" s="48"/>
      <c r="S279" s="49">
        <v>0.125</v>
      </c>
      <c r="T279" s="44">
        <v>0.05</v>
      </c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2150000</v>
      </c>
      <c r="Y279" s="50">
        <f>IF(NOTA[[#This Row],[JUMLAH]]="","",NOTA[[#This Row],[JUMLAH]]*NOTA[[#This Row],[DISC 1]])</f>
        <v>268750</v>
      </c>
      <c r="Z279" s="50">
        <f>IF(NOTA[[#This Row],[JUMLAH]]="","",(NOTA[[#This Row],[JUMLAH]]-NOTA[[#This Row],[DISC 1-]])*NOTA[[#This Row],[DISC 2]])</f>
        <v>94062.5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362812.5</v>
      </c>
      <c r="AC279" s="50">
        <f>IF(NOTA[[#This Row],[JUMLAH]]="","",NOTA[[#This Row],[JUMLAH]]-NOTA[[#This Row],[DISC]])</f>
        <v>1787187.5</v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79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G279" s="50">
        <f>IF(OR(NOTA[[#This Row],[QTY]]="",NOTA[[#This Row],[HARGA SATUAN]]="",),"",NOTA[[#This Row],[QTY]]*NOTA[[#This Row],[HARGA SATUAN]])</f>
        <v>2150000</v>
      </c>
      <c r="AH279" s="39">
        <f ca="1">IF(NOTA[ID_H]="","",INDEX(NOTA[TANGGAL],MATCH(,INDIRECT(ADDRESS(ROW(NOTA[TANGGAL]),COLUMN(NOTA[TANGGAL]))&amp;":"&amp;ADDRESS(ROW(),COLUMN(NOTA[TANGGAL]))),-1)))</f>
        <v>45185</v>
      </c>
      <c r="AI279" s="41" t="str">
        <f ca="1">IF(NOTA[[#This Row],[NAMA BARANG]]="","",INDEX(NOTA[SUPPLIER],MATCH(,INDIRECT(ADDRESS(ROW(NOTA[ID]),COLUMN(NOTA[ID]))&amp;":"&amp;ADDRESS(ROW(),COLUMN(NOTA[ID]))),-1)))</f>
        <v>ATALI MAKMUR</v>
      </c>
      <c r="AJ279" s="41" t="str">
        <f ca="1">IF(NOTA[[#This Row],[ID_H]]="","",IF(NOTA[[#This Row],[FAKTUR]]="",INDIRECT(ADDRESS(ROW()-1,COLUMN())),NOTA[[#This Row],[FAKTUR]]))</f>
        <v>ARTO MORO</v>
      </c>
      <c r="AK279" s="38" t="str">
        <f ca="1">IF(NOTA[[#This Row],[ID]]="","",COUNTIF(NOTA[ID_H],NOTA[[#This Row],[ID_H]]))</f>
        <v/>
      </c>
      <c r="AL279" s="38">
        <f ca="1">IF(NOTA[[#This Row],[TGL.NOTA]]="",IF(NOTA[[#This Row],[SUPPLIER_H]]="","",AL278),MONTH(NOTA[[#This Row],[TGL.NOTA]]))</f>
        <v>9</v>
      </c>
      <c r="AM279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N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38" t="str">
        <f>IF(NOTA[[#This Row],[CONCAT4]]="","",_xlfn.IFNA(MATCH(NOTA[[#This Row],[CONCAT4]],[2]!RAW[CONCAT_H],0),FALSE))</f>
        <v/>
      </c>
      <c r="AR279" s="38">
        <f>IF(NOTA[[#This Row],[CONCAT1]]="","",MATCH(NOTA[[#This Row],[CONCAT1]],[3]!db[NB NOTA_C],0))</f>
        <v>1625</v>
      </c>
      <c r="AS279" s="38" t="str">
        <f>IF(NOTA[[#This Row],[QTY/ CTN]]="","",TRUE)</f>
        <v/>
      </c>
      <c r="AT279" s="38" t="str">
        <f ca="1">IF(NOTA[[#This Row],[ID_H]]="","",IF(NOTA[[#This Row],[Column3]]=TRUE,NOTA[[#This Row],[QTY/ CTN]],INDEX([3]!db[QTY/ CTN],NOTA[[#This Row],[//DB]])))</f>
        <v>50 PAK (10 ROL)</v>
      </c>
      <c r="AU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V279" s="38" t="e">
        <f ca="1">IF(NOTA[[#This Row],[ID_H]]="","",MATCH(NOTA[[#This Row],[NB NOTA_C_QTY]],[4]!db[NB NOTA_C_QTY+F],0))</f>
        <v>#REF!</v>
      </c>
      <c r="AW279" s="53">
        <f ca="1">IF(NOTA[[#This Row],[NB NOTA_C_QTY]]="","",ROW()-2)</f>
        <v>277</v>
      </c>
    </row>
    <row r="280" spans="1:49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45</v>
      </c>
      <c r="E280" s="46"/>
      <c r="F280" s="37"/>
      <c r="G280" s="37"/>
      <c r="H280" s="47"/>
      <c r="I280" s="37"/>
      <c r="J280" s="39"/>
      <c r="K280" s="37"/>
      <c r="L280" s="37" t="s">
        <v>386</v>
      </c>
      <c r="M280" s="40">
        <v>2</v>
      </c>
      <c r="N280" s="38">
        <v>100</v>
      </c>
      <c r="O280" s="37" t="s">
        <v>183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280" s="50">
        <f>IF(OR(NOTA[[#This Row],[QTY]]="",NOTA[[#This Row],[HARGA SATUAN]]="",),"",NOTA[[#This Row],[QTY]]*NOTA[[#This Row],[HARGA SATUAN]])</f>
        <v>2830000</v>
      </c>
      <c r="AH280" s="39">
        <f ca="1">IF(NOTA[ID_H]="","",INDEX(NOTA[TANGGAL],MATCH(,INDIRECT(ADDRESS(ROW(NOTA[TANGGAL]),COLUMN(NOTA[TANGGAL]))&amp;":"&amp;ADDRESS(ROW(),COLUMN(NOTA[TANGGAL]))),-1)))</f>
        <v>45185</v>
      </c>
      <c r="AI280" s="41" t="str">
        <f ca="1">IF(NOTA[[#This Row],[NAMA BARANG]]="","",INDEX(NOTA[SUPPLIER],MATCH(,INDIRECT(ADDRESS(ROW(NOTA[ID]),COLUMN(NOTA[ID]))&amp;":"&amp;ADDRESS(ROW(),COLUMN(NOTA[ID]))),-1)))</f>
        <v>ATALI MAKMUR</v>
      </c>
      <c r="AJ280" s="41" t="str">
        <f ca="1">IF(NOTA[[#This Row],[ID_H]]="","",IF(NOTA[[#This Row],[FAKTUR]]="",INDIRECT(ADDRESS(ROW()-1,COLUMN())),NOTA[[#This Row],[FAKTUR]]))</f>
        <v>ARTO MORO</v>
      </c>
      <c r="AK280" s="38" t="str">
        <f ca="1">IF(NOTA[[#This Row],[ID]]="","",COUNTIF(NOTA[ID_H],NOTA[[#This Row],[ID_H]]))</f>
        <v/>
      </c>
      <c r="AL280" s="38">
        <f ca="1">IF(NOTA[[#This Row],[TGL.NOTA]]="",IF(NOTA[[#This Row],[SUPPLIER_H]]="","",AL279),MONTH(NOTA[[#This Row],[TGL.NOTA]]))</f>
        <v>9</v>
      </c>
      <c r="AM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38" t="str">
        <f>IF(NOTA[[#This Row],[CONCAT4]]="","",_xlfn.IFNA(MATCH(NOTA[[#This Row],[CONCAT4]],[2]!RAW[CONCAT_H],0),FALSE))</f>
        <v/>
      </c>
      <c r="AR280" s="38">
        <f>IF(NOTA[[#This Row],[CONCAT1]]="","",MATCH(NOTA[[#This Row],[CONCAT1]],[3]!db[NB NOTA_C],0))</f>
        <v>834</v>
      </c>
      <c r="AS280" s="38" t="str">
        <f>IF(NOTA[[#This Row],[QTY/ CTN]]="","",TRUE)</f>
        <v/>
      </c>
      <c r="AT280" s="38" t="str">
        <f ca="1">IF(NOTA[[#This Row],[ID_H]]="","",IF(NOTA[[#This Row],[Column3]]=TRUE,NOTA[[#This Row],[QTY/ CTN]],INDEX([3]!db[QTY/ CTN],NOTA[[#This Row],[//DB]])))</f>
        <v>50 BOX (40 PCS)</v>
      </c>
      <c r="AU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280" s="38" t="e">
        <f ca="1">IF(NOTA[[#This Row],[ID_H]]="","",MATCH(NOTA[[#This Row],[NB NOTA_C_QTY]],[4]!db[NB NOTA_C_QTY+F],0))</f>
        <v>#REF!</v>
      </c>
      <c r="AW280" s="53">
        <f ca="1">IF(NOTA[[#This Row],[NB NOTA_C_QTY]]="","",ROW()-2)</f>
        <v>278</v>
      </c>
    </row>
    <row r="281" spans="1:49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45</v>
      </c>
      <c r="E281" s="46"/>
      <c r="F281" s="37"/>
      <c r="G281" s="37"/>
      <c r="H281" s="47"/>
      <c r="I281" s="37"/>
      <c r="J281" s="39"/>
      <c r="K281" s="37"/>
      <c r="L281" s="37" t="s">
        <v>401</v>
      </c>
      <c r="M281" s="40">
        <v>1</v>
      </c>
      <c r="N281" s="38">
        <v>50</v>
      </c>
      <c r="O281" s="37" t="s">
        <v>183</v>
      </c>
      <c r="P281" s="41">
        <v>34100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1705000</v>
      </c>
      <c r="Y281" s="50">
        <f>IF(NOTA[[#This Row],[JUMLAH]]="","",NOTA[[#This Row],[JUMLAH]]*NOTA[[#This Row],[DISC 1]])</f>
        <v>213125</v>
      </c>
      <c r="Z281" s="50">
        <f>IF(NOTA[[#This Row],[JUMLAH]]="","",(NOTA[[#This Row],[JUMLAH]]-NOTA[[#This Row],[DISC 1-]])*NOTA[[#This Row],[DISC 2]])</f>
        <v>74593.75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287718.75</v>
      </c>
      <c r="AC281" s="50">
        <f>IF(NOTA[[#This Row],[JUMLAH]]="","",NOTA[[#This Row],[JUMLAH]]-NOTA[[#This Row],[DISC]])</f>
        <v>1417281.25</v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281" s="50">
        <f>IF(OR(NOTA[[#This Row],[QTY]]="",NOTA[[#This Row],[HARGA SATUAN]]="",),"",NOTA[[#This Row],[QTY]]*NOTA[[#This Row],[HARGA SATUAN]])</f>
        <v>1705000</v>
      </c>
      <c r="AH281" s="39">
        <f ca="1">IF(NOTA[ID_H]="","",INDEX(NOTA[TANGGAL],MATCH(,INDIRECT(ADDRESS(ROW(NOTA[TANGGAL]),COLUMN(NOTA[TANGGAL]))&amp;":"&amp;ADDRESS(ROW(),COLUMN(NOTA[TANGGAL]))),-1)))</f>
        <v>45185</v>
      </c>
      <c r="AI281" s="41" t="str">
        <f ca="1">IF(NOTA[[#This Row],[NAMA BARANG]]="","",INDEX(NOTA[SUPPLIER],MATCH(,INDIRECT(ADDRESS(ROW(NOTA[ID]),COLUMN(NOTA[ID]))&amp;":"&amp;ADDRESS(ROW(),COLUMN(NOTA[ID]))),-1)))</f>
        <v>ATALI MAKMUR</v>
      </c>
      <c r="AJ281" s="41" t="str">
        <f ca="1">IF(NOTA[[#This Row],[ID_H]]="","",IF(NOTA[[#This Row],[FAKTUR]]="",INDIRECT(ADDRESS(ROW()-1,COLUMN())),NOTA[[#This Row],[FAKTUR]]))</f>
        <v>ARTO MORO</v>
      </c>
      <c r="AK281" s="38" t="str">
        <f ca="1">IF(NOTA[[#This Row],[ID]]="","",COUNTIF(NOTA[ID_H],NOTA[[#This Row],[ID_H]]))</f>
        <v/>
      </c>
      <c r="AL281" s="38">
        <f ca="1">IF(NOTA[[#This Row],[TGL.NOTA]]="",IF(NOTA[[#This Row],[SUPPLIER_H]]="","",AL280),MONTH(NOTA[[#This Row],[TGL.NOTA]]))</f>
        <v>9</v>
      </c>
      <c r="AM281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N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38" t="str">
        <f>IF(NOTA[[#This Row],[CONCAT4]]="","",_xlfn.IFNA(MATCH(NOTA[[#This Row],[CONCAT4]],[2]!RAW[CONCAT_H],0),FALSE))</f>
        <v/>
      </c>
      <c r="AR281" s="38">
        <f>IF(NOTA[[#This Row],[CONCAT1]]="","",MATCH(NOTA[[#This Row],[CONCAT1]],[3]!db[NB NOTA_C],0))</f>
        <v>831</v>
      </c>
      <c r="AS281" s="38" t="str">
        <f>IF(NOTA[[#This Row],[QTY/ CTN]]="","",TRUE)</f>
        <v/>
      </c>
      <c r="AT281" s="38" t="str">
        <f ca="1">IF(NOTA[[#This Row],[ID_H]]="","",IF(NOTA[[#This Row],[Column3]]=TRUE,NOTA[[#This Row],[QTY/ CTN]],INDEX([3]!db[QTY/ CTN],NOTA[[#This Row],[//DB]])))</f>
        <v>50 BOX (20 PCS)</v>
      </c>
      <c r="AU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V281" s="38" t="e">
        <f ca="1">IF(NOTA[[#This Row],[ID_H]]="","",MATCH(NOTA[[#This Row],[NB NOTA_C_QTY]],[4]!db[NB NOTA_C_QTY+F],0))</f>
        <v>#REF!</v>
      </c>
      <c r="AW281" s="53">
        <f ca="1">IF(NOTA[[#This Row],[NB NOTA_C_QTY]]="","",ROW()-2)</f>
        <v>279</v>
      </c>
    </row>
    <row r="282" spans="1:49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45</v>
      </c>
      <c r="E282" s="46"/>
      <c r="F282" s="37"/>
      <c r="G282" s="37"/>
      <c r="H282" s="47"/>
      <c r="I282" s="37"/>
      <c r="J282" s="39"/>
      <c r="K282" s="37"/>
      <c r="L282" s="37" t="s">
        <v>402</v>
      </c>
      <c r="M282" s="40">
        <v>1</v>
      </c>
      <c r="N282" s="38">
        <v>50</v>
      </c>
      <c r="O282" s="37" t="s">
        <v>183</v>
      </c>
      <c r="P282" s="41">
        <v>34100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1705000</v>
      </c>
      <c r="Y282" s="50">
        <f>IF(NOTA[[#This Row],[JUMLAH]]="","",NOTA[[#This Row],[JUMLAH]]*NOTA[[#This Row],[DISC 1]])</f>
        <v>213125</v>
      </c>
      <c r="Z282" s="50">
        <f>IF(NOTA[[#This Row],[JUMLAH]]="","",(NOTA[[#This Row],[JUMLAH]]-NOTA[[#This Row],[DISC 1-]])*NOTA[[#This Row],[DISC 2]])</f>
        <v>74593.75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287718.75</v>
      </c>
      <c r="AC282" s="50">
        <f>IF(NOTA[[#This Row],[JUMLAH]]="","",NOTA[[#This Row],[JUMLAH]]-NOTA[[#This Row],[DISC]])</f>
        <v>1417281.25</v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2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282" s="50">
        <f>IF(OR(NOTA[[#This Row],[QTY]]="",NOTA[[#This Row],[HARGA SATUAN]]="",),"",NOTA[[#This Row],[QTY]]*NOTA[[#This Row],[HARGA SATUAN]])</f>
        <v>1705000</v>
      </c>
      <c r="AH282" s="39">
        <f ca="1">IF(NOTA[ID_H]="","",INDEX(NOTA[TANGGAL],MATCH(,INDIRECT(ADDRESS(ROW(NOTA[TANGGAL]),COLUMN(NOTA[TANGGAL]))&amp;":"&amp;ADDRESS(ROW(),COLUMN(NOTA[TANGGAL]))),-1)))</f>
        <v>45185</v>
      </c>
      <c r="AI282" s="41" t="str">
        <f ca="1">IF(NOTA[[#This Row],[NAMA BARANG]]="","",INDEX(NOTA[SUPPLIER],MATCH(,INDIRECT(ADDRESS(ROW(NOTA[ID]),COLUMN(NOTA[ID]))&amp;":"&amp;ADDRESS(ROW(),COLUMN(NOTA[ID]))),-1)))</f>
        <v>ATALI MAKMUR</v>
      </c>
      <c r="AJ282" s="41" t="str">
        <f ca="1">IF(NOTA[[#This Row],[ID_H]]="","",IF(NOTA[[#This Row],[FAKTUR]]="",INDIRECT(ADDRESS(ROW()-1,COLUMN())),NOTA[[#This Row],[FAKTUR]]))</f>
        <v>ARTO MORO</v>
      </c>
      <c r="AK282" s="38" t="str">
        <f ca="1">IF(NOTA[[#This Row],[ID]]="","",COUNTIF(NOTA[ID_H],NOTA[[#This Row],[ID_H]]))</f>
        <v/>
      </c>
      <c r="AL282" s="38">
        <f ca="1">IF(NOTA[[#This Row],[TGL.NOTA]]="",IF(NOTA[[#This Row],[SUPPLIER_H]]="","",AL281),MONTH(NOTA[[#This Row],[TGL.NOTA]]))</f>
        <v>9</v>
      </c>
      <c r="AM282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N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2" s="38" t="str">
        <f>IF(NOTA[[#This Row],[CONCAT4]]="","",_xlfn.IFNA(MATCH(NOTA[[#This Row],[CONCAT4]],[2]!RAW[CONCAT_H],0),FALSE))</f>
        <v/>
      </c>
      <c r="AR282" s="38">
        <f>IF(NOTA[[#This Row],[CONCAT1]]="","",MATCH(NOTA[[#This Row],[CONCAT1]],[3]!db[NB NOTA_C],0))</f>
        <v>842</v>
      </c>
      <c r="AS282" s="38" t="str">
        <f>IF(NOTA[[#This Row],[QTY/ CTN]]="","",TRUE)</f>
        <v/>
      </c>
      <c r="AT282" s="38" t="str">
        <f ca="1">IF(NOTA[[#This Row],[ID_H]]="","",IF(NOTA[[#This Row],[Column3]]=TRUE,NOTA[[#This Row],[QTY/ CTN]],INDEX([3]!db[QTY/ CTN],NOTA[[#This Row],[//DB]])))</f>
        <v>50 BOX (20 PCS)</v>
      </c>
      <c r="AU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V282" s="38" t="e">
        <f ca="1">IF(NOTA[[#This Row],[ID_H]]="","",MATCH(NOTA[[#This Row],[NB NOTA_C_QTY]],[4]!db[NB NOTA_C_QTY+F],0))</f>
        <v>#REF!</v>
      </c>
      <c r="AW282" s="53">
        <f ca="1">IF(NOTA[[#This Row],[NB NOTA_C_QTY]]="","",ROW()-2)</f>
        <v>280</v>
      </c>
    </row>
    <row r="283" spans="1:49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45</v>
      </c>
      <c r="E283" s="46"/>
      <c r="F283" s="37"/>
      <c r="G283" s="37"/>
      <c r="H283" s="47"/>
      <c r="I283" s="37"/>
      <c r="J283" s="39"/>
      <c r="K283" s="37"/>
      <c r="L283" s="37" t="s">
        <v>403</v>
      </c>
      <c r="M283" s="40">
        <v>5</v>
      </c>
      <c r="N283" s="38">
        <v>2880</v>
      </c>
      <c r="O283" s="37" t="s">
        <v>126</v>
      </c>
      <c r="P283" s="41">
        <v>1550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4464000</v>
      </c>
      <c r="Y283" s="50">
        <f>IF(NOTA[[#This Row],[JUMLAH]]="","",NOTA[[#This Row],[JUMLAH]]*NOTA[[#This Row],[DISC 1]])</f>
        <v>558000</v>
      </c>
      <c r="Z283" s="50">
        <f>IF(NOTA[[#This Row],[JUMLAH]]="","",(NOTA[[#This Row],[JUMLAH]]-NOTA[[#This Row],[DISC 1-]])*NOTA[[#This Row],[DISC 2]])</f>
        <v>195300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753300</v>
      </c>
      <c r="AC283" s="50">
        <f>IF(NOTA[[#This Row],[JUMLAH]]="","",NOTA[[#This Row],[JUMLAH]]-NOTA[[#This Row],[DISC]])</f>
        <v>3710700</v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G283" s="50">
        <f>IF(OR(NOTA[[#This Row],[QTY]]="",NOTA[[#This Row],[HARGA SATUAN]]="",),"",NOTA[[#This Row],[QTY]]*NOTA[[#This Row],[HARGA SATUAN]])</f>
        <v>4464000</v>
      </c>
      <c r="AH283" s="39">
        <f ca="1">IF(NOTA[ID_H]="","",INDEX(NOTA[TANGGAL],MATCH(,INDIRECT(ADDRESS(ROW(NOTA[TANGGAL]),COLUMN(NOTA[TANGGAL]))&amp;":"&amp;ADDRESS(ROW(),COLUMN(NOTA[TANGGAL]))),-1)))</f>
        <v>45185</v>
      </c>
      <c r="AI283" s="41" t="str">
        <f ca="1">IF(NOTA[[#This Row],[NAMA BARANG]]="","",INDEX(NOTA[SUPPLIER],MATCH(,INDIRECT(ADDRESS(ROW(NOTA[ID]),COLUMN(NOTA[ID]))&amp;":"&amp;ADDRESS(ROW(),COLUMN(NOTA[ID]))),-1)))</f>
        <v>ATALI MAKMUR</v>
      </c>
      <c r="AJ283" s="41" t="str">
        <f ca="1">IF(NOTA[[#This Row],[ID_H]]="","",IF(NOTA[[#This Row],[FAKTUR]]="",INDIRECT(ADDRESS(ROW()-1,COLUMN())),NOTA[[#This Row],[FAKTUR]]))</f>
        <v>ARTO MORO</v>
      </c>
      <c r="AK283" s="38" t="str">
        <f ca="1">IF(NOTA[[#This Row],[ID]]="","",COUNTIF(NOTA[ID_H],NOTA[[#This Row],[ID_H]]))</f>
        <v/>
      </c>
      <c r="AL283" s="38">
        <f ca="1">IF(NOTA[[#This Row],[TGL.NOTA]]="",IF(NOTA[[#This Row],[SUPPLIER_H]]="","",AL282),MONTH(NOTA[[#This Row],[TGL.NOTA]]))</f>
        <v>9</v>
      </c>
      <c r="AM283" s="38" t="str">
        <f>LOWER(SUBSTITUTE(SUBSTITUTE(SUBSTITUTE(SUBSTITUTE(SUBSTITUTE(SUBSTITUTE(SUBSTITUTE(SUBSTITUTE(SUBSTITUTE(NOTA[NAMA BARANG]," ",),".",""),"-",""),"(",""),")",""),",",""),"/",""),"""",""),"+",""))</f>
        <v>glueglr35jk</v>
      </c>
      <c r="AN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38" t="str">
        <f>IF(NOTA[[#This Row],[CONCAT4]]="","",_xlfn.IFNA(MATCH(NOTA[[#This Row],[CONCAT4]],[2]!RAW[CONCAT_H],0),FALSE))</f>
        <v/>
      </c>
      <c r="AR283" s="38">
        <f>IF(NOTA[[#This Row],[CONCAT1]]="","",MATCH(NOTA[[#This Row],[CONCAT1]],[3]!db[NB NOTA_C],0))</f>
        <v>1128</v>
      </c>
      <c r="AS283" s="38" t="str">
        <f>IF(NOTA[[#This Row],[QTY/ CTN]]="","",TRUE)</f>
        <v/>
      </c>
      <c r="AT283" s="38" t="str">
        <f ca="1">IF(NOTA[[#This Row],[ID_H]]="","",IF(NOTA[[#This Row],[Column3]]=TRUE,NOTA[[#This Row],[QTY/ CTN]],INDEX([3]!db[QTY/ CTN],NOTA[[#This Row],[//DB]])))</f>
        <v>48 LSN</v>
      </c>
      <c r="AU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V283" s="38" t="e">
        <f ca="1">IF(NOTA[[#This Row],[ID_H]]="","",MATCH(NOTA[[#This Row],[NB NOTA_C_QTY]],[4]!db[NB NOTA_C_QTY+F],0))</f>
        <v>#REF!</v>
      </c>
      <c r="AW283" s="53">
        <f ca="1">IF(NOTA[[#This Row],[NB NOTA_C_QTY]]="","",ROW()-2)</f>
        <v>281</v>
      </c>
    </row>
    <row r="284" spans="1:49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45</v>
      </c>
      <c r="E284" s="46"/>
      <c r="F284" s="37"/>
      <c r="G284" s="37"/>
      <c r="H284" s="47"/>
      <c r="I284" s="37"/>
      <c r="J284" s="39"/>
      <c r="K284" s="37"/>
      <c r="L284" s="37" t="s">
        <v>404</v>
      </c>
      <c r="M284" s="40">
        <v>3</v>
      </c>
      <c r="N284" s="38">
        <v>3000</v>
      </c>
      <c r="O284" s="37" t="s">
        <v>239</v>
      </c>
      <c r="P284" s="41">
        <v>2050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6150000</v>
      </c>
      <c r="Y284" s="50">
        <f>IF(NOTA[[#This Row],[JUMLAH]]="","",NOTA[[#This Row],[JUMLAH]]*NOTA[[#This Row],[DISC 1]])</f>
        <v>768750</v>
      </c>
      <c r="Z284" s="50">
        <f>IF(NOTA[[#This Row],[JUMLAH]]="","",(NOTA[[#This Row],[JUMLAH]]-NOTA[[#This Row],[DISC 1-]])*NOTA[[#This Row],[DISC 2]])</f>
        <v>269062.5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1037812.5</v>
      </c>
      <c r="AC284" s="50">
        <f>IF(NOTA[[#This Row],[JUMLAH]]="","",NOTA[[#This Row],[JUMLAH]]-NOTA[[#This Row],[DISC]])</f>
        <v>5112187.5</v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4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G284" s="50">
        <f>IF(OR(NOTA[[#This Row],[QTY]]="",NOTA[[#This Row],[HARGA SATUAN]]="",),"",NOTA[[#This Row],[QTY]]*NOTA[[#This Row],[HARGA SATUAN]])</f>
        <v>6150000</v>
      </c>
      <c r="AH284" s="39">
        <f ca="1">IF(NOTA[ID_H]="","",INDEX(NOTA[TANGGAL],MATCH(,INDIRECT(ADDRESS(ROW(NOTA[TANGGAL]),COLUMN(NOTA[TANGGAL]))&amp;":"&amp;ADDRESS(ROW(),COLUMN(NOTA[TANGGAL]))),-1)))</f>
        <v>45185</v>
      </c>
      <c r="AI284" s="41" t="str">
        <f ca="1">IF(NOTA[[#This Row],[NAMA BARANG]]="","",INDEX(NOTA[SUPPLIER],MATCH(,INDIRECT(ADDRESS(ROW(NOTA[ID]),COLUMN(NOTA[ID]))&amp;":"&amp;ADDRESS(ROW(),COLUMN(NOTA[ID]))),-1)))</f>
        <v>ATALI MAKMUR</v>
      </c>
      <c r="AJ284" s="41" t="str">
        <f ca="1">IF(NOTA[[#This Row],[ID_H]]="","",IF(NOTA[[#This Row],[FAKTUR]]="",INDIRECT(ADDRESS(ROW()-1,COLUMN())),NOTA[[#This Row],[FAKTUR]]))</f>
        <v>ARTO MORO</v>
      </c>
      <c r="AK284" s="38" t="str">
        <f ca="1">IF(NOTA[[#This Row],[ID]]="","",COUNTIF(NOTA[ID_H],NOTA[[#This Row],[ID_H]]))</f>
        <v/>
      </c>
      <c r="AL284" s="38">
        <f ca="1">IF(NOTA[[#This Row],[TGL.NOTA]]="",IF(NOTA[[#This Row],[SUPPLIER_H]]="","",AL283),MONTH(NOTA[[#This Row],[TGL.NOTA]]))</f>
        <v>9</v>
      </c>
      <c r="AM284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38" t="str">
        <f>IF(NOTA[[#This Row],[CONCAT4]]="","",_xlfn.IFNA(MATCH(NOTA[[#This Row],[CONCAT4]],[2]!RAW[CONCAT_H],0),FALSE))</f>
        <v/>
      </c>
      <c r="AR284" s="38">
        <f>IF(NOTA[[#This Row],[CONCAT1]]="","",MATCH(NOTA[[#This Row],[CONCAT1]],[3]!db[NB NOTA_C],0))</f>
        <v>1624</v>
      </c>
      <c r="AS284" s="38" t="str">
        <f>IF(NOTA[[#This Row],[QTY/ CTN]]="","",TRUE)</f>
        <v/>
      </c>
      <c r="AT284" s="38" t="str">
        <f ca="1">IF(NOTA[[#This Row],[ID_H]]="","",IF(NOTA[[#This Row],[Column3]]=TRUE,NOTA[[#This Row],[QTY/ CTN]],INDEX([3]!db[QTY/ CTN],NOTA[[#This Row],[//DB]])))</f>
        <v>100 PAK (10 ROL)</v>
      </c>
      <c r="AU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284" s="38" t="e">
        <f ca="1">IF(NOTA[[#This Row],[ID_H]]="","",MATCH(NOTA[[#This Row],[NB NOTA_C_QTY]],[4]!db[NB NOTA_C_QTY+F],0))</f>
        <v>#REF!</v>
      </c>
      <c r="AW284" s="53">
        <f ca="1">IF(NOTA[[#This Row],[NB NOTA_C_QTY]]="","",ROW()-2)</f>
        <v>282</v>
      </c>
    </row>
    <row r="285" spans="1:49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45</v>
      </c>
      <c r="E285" s="46"/>
      <c r="F285" s="37"/>
      <c r="G285" s="37"/>
      <c r="H285" s="47"/>
      <c r="I285" s="37"/>
      <c r="J285" s="39"/>
      <c r="K285" s="37"/>
      <c r="L285" s="37" t="s">
        <v>264</v>
      </c>
      <c r="M285" s="40">
        <v>1</v>
      </c>
      <c r="N285" s="38">
        <v>60</v>
      </c>
      <c r="O285" s="37" t="s">
        <v>126</v>
      </c>
      <c r="P285" s="41">
        <v>29500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1770000</v>
      </c>
      <c r="Y285" s="50">
        <f>IF(NOTA[[#This Row],[JUMLAH]]="","",NOTA[[#This Row],[JUMLAH]]*NOTA[[#This Row],[DISC 1]])</f>
        <v>221250</v>
      </c>
      <c r="Z285" s="50">
        <f>IF(NOTA[[#This Row],[JUMLAH]]="","",(NOTA[[#This Row],[JUMLAH]]-NOTA[[#This Row],[DISC 1-]])*NOTA[[#This Row],[DISC 2]])</f>
        <v>77437.5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298687.5</v>
      </c>
      <c r="AC285" s="50">
        <f>IF(NOTA[[#This Row],[JUMLAH]]="","",NOTA[[#This Row],[JUMLAH]]-NOTA[[#This Row],[DISC]])</f>
        <v>1471312.5</v>
      </c>
      <c r="AD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6357555</v>
      </c>
      <c r="AE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31316845</v>
      </c>
      <c r="AF285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G285" s="50">
        <f>IF(OR(NOTA[[#This Row],[QTY]]="",NOTA[[#This Row],[HARGA SATUAN]]="",),"",NOTA[[#This Row],[QTY]]*NOTA[[#This Row],[HARGA SATUAN]])</f>
        <v>1770000</v>
      </c>
      <c r="AH285" s="39">
        <f ca="1">IF(NOTA[ID_H]="","",INDEX(NOTA[TANGGAL],MATCH(,INDIRECT(ADDRESS(ROW(NOTA[TANGGAL]),COLUMN(NOTA[TANGGAL]))&amp;":"&amp;ADDRESS(ROW(),COLUMN(NOTA[TANGGAL]))),-1)))</f>
        <v>45185</v>
      </c>
      <c r="AI285" s="41" t="str">
        <f ca="1">IF(NOTA[[#This Row],[NAMA BARANG]]="","",INDEX(NOTA[SUPPLIER],MATCH(,INDIRECT(ADDRESS(ROW(NOTA[ID]),COLUMN(NOTA[ID]))&amp;":"&amp;ADDRESS(ROW(),COLUMN(NOTA[ID]))),-1)))</f>
        <v>ATALI MAKMUR</v>
      </c>
      <c r="AJ285" s="41" t="str">
        <f ca="1">IF(NOTA[[#This Row],[ID_H]]="","",IF(NOTA[[#This Row],[FAKTUR]]="",INDIRECT(ADDRESS(ROW()-1,COLUMN())),NOTA[[#This Row],[FAKTUR]]))</f>
        <v>ARTO MORO</v>
      </c>
      <c r="AK285" s="38" t="str">
        <f ca="1">IF(NOTA[[#This Row],[ID]]="","",COUNTIF(NOTA[ID_H],NOTA[[#This Row],[ID_H]]))</f>
        <v/>
      </c>
      <c r="AL285" s="38">
        <f ca="1">IF(NOTA[[#This Row],[TGL.NOTA]]="",IF(NOTA[[#This Row],[SUPPLIER_H]]="","",AL284),MONTH(NOTA[[#This Row],[TGL.NOTA]]))</f>
        <v>9</v>
      </c>
      <c r="AM285" s="38" t="str">
        <f>LOWER(SUBSTITUTE(SUBSTITUTE(SUBSTITUTE(SUBSTITUTE(SUBSTITUTE(SUBSTITUTE(SUBSTITUTE(SUBSTITUTE(SUBSTITUTE(NOTA[NAMA BARANG]," ",),".",""),"-",""),"(",""),")",""),",",""),"/",""),"""",""),"+",""))</f>
        <v>punch40xljk</v>
      </c>
      <c r="AN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38" t="str">
        <f>IF(NOTA[[#This Row],[CONCAT4]]="","",_xlfn.IFNA(MATCH(NOTA[[#This Row],[CONCAT4]],[2]!RAW[CONCAT_H],0),FALSE))</f>
        <v/>
      </c>
      <c r="AR285" s="38">
        <f>IF(NOTA[[#This Row],[CONCAT1]]="","",MATCH(NOTA[[#This Row],[CONCAT1]],[3]!db[NB NOTA_C],0))</f>
        <v>2339</v>
      </c>
      <c r="AS285" s="38" t="str">
        <f>IF(NOTA[[#This Row],[QTY/ CTN]]="","",TRUE)</f>
        <v/>
      </c>
      <c r="AT285" s="38" t="str">
        <f ca="1">IF(NOTA[[#This Row],[ID_H]]="","",IF(NOTA[[#This Row],[Column3]]=TRUE,NOTA[[#This Row],[QTY/ CTN]],INDEX([3]!db[QTY/ CTN],NOTA[[#This Row],[//DB]])))</f>
        <v>5 LSN</v>
      </c>
      <c r="AU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punch40xljk5lsnartomoro</v>
      </c>
      <c r="AV285" s="38" t="e">
        <f ca="1">IF(NOTA[[#This Row],[ID_H]]="","",MATCH(NOTA[[#This Row],[NB NOTA_C_QTY]],[4]!db[NB NOTA_C_QTY+F],0))</f>
        <v>#REF!</v>
      </c>
      <c r="AW285" s="53">
        <f ca="1">IF(NOTA[[#This Row],[NB NOTA_C_QTY]]="","",ROW()-2)</f>
        <v>283</v>
      </c>
    </row>
    <row r="286" spans="1:49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86" s="50" t="str">
        <f>IF(OR(NOTA[[#This Row],[QTY]]="",NOTA[[#This Row],[HARGA SATUAN]]="",),"",NOTA[[#This Row],[QTY]]*NOTA[[#This Row],[HARGA SATUAN]])</f>
        <v/>
      </c>
      <c r="AH286" s="39" t="str">
        <f ca="1">IF(NOTA[ID_H]="","",INDEX(NOTA[TANGGAL],MATCH(,INDIRECT(ADDRESS(ROW(NOTA[TANGGAL]),COLUMN(NOTA[TANGGAL]))&amp;":"&amp;ADDRESS(ROW(),COLUMN(NOTA[TANGGAL]))),-1)))</f>
        <v/>
      </c>
      <c r="AI286" s="41" t="str">
        <f ca="1">IF(NOTA[[#This Row],[NAMA BARANG]]="","",INDEX(NOTA[SUPPLIER],MATCH(,INDIRECT(ADDRESS(ROW(NOTA[ID]),COLUMN(NOTA[ID]))&amp;":"&amp;ADDRESS(ROW(),COLUMN(NOTA[ID]))),-1)))</f>
        <v/>
      </c>
      <c r="AJ286" s="41" t="str">
        <f ca="1">IF(NOTA[[#This Row],[ID_H]]="","",IF(NOTA[[#This Row],[FAKTUR]]="",INDIRECT(ADDRESS(ROW()-1,COLUMN())),NOTA[[#This Row],[FAKTUR]]))</f>
        <v/>
      </c>
      <c r="AK286" s="38" t="str">
        <f ca="1">IF(NOTA[[#This Row],[ID]]="","",COUNTIF(NOTA[ID_H],NOTA[[#This Row],[ID_H]]))</f>
        <v/>
      </c>
      <c r="AL286" s="38" t="str">
        <f ca="1">IF(NOTA[[#This Row],[TGL.NOTA]]="",IF(NOTA[[#This Row],[SUPPLIER_H]]="","",AL285),MONTH(NOTA[[#This Row],[TGL.NOTA]]))</f>
        <v/>
      </c>
      <c r="AM286" s="38" t="str">
        <f>LOWER(SUBSTITUTE(SUBSTITUTE(SUBSTITUTE(SUBSTITUTE(SUBSTITUTE(SUBSTITUTE(SUBSTITUTE(SUBSTITUTE(SUBSTITUTE(NOTA[NAMA BARANG]," ",),".",""),"-",""),"(",""),")",""),",",""),"/",""),"""",""),"+",""))</f>
        <v/>
      </c>
      <c r="AN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6" s="38" t="str">
        <f>IF(NOTA[[#This Row],[CONCAT4]]="","",_xlfn.IFNA(MATCH(NOTA[[#This Row],[CONCAT4]],[2]!RAW[CONCAT_H],0),FALSE))</f>
        <v/>
      </c>
      <c r="AR286" s="38" t="str">
        <f>IF(NOTA[[#This Row],[CONCAT1]]="","",MATCH(NOTA[[#This Row],[CONCAT1]],[3]!db[NB NOTA_C],0))</f>
        <v/>
      </c>
      <c r="AS286" s="38" t="str">
        <f>IF(NOTA[[#This Row],[QTY/ CTN]]="","",TRUE)</f>
        <v/>
      </c>
      <c r="AT286" s="38" t="str">
        <f ca="1">IF(NOTA[[#This Row],[ID_H]]="","",IF(NOTA[[#This Row],[Column3]]=TRUE,NOTA[[#This Row],[QTY/ CTN]],INDEX([3]!db[QTY/ CTN],NOTA[[#This Row],[//DB]])))</f>
        <v/>
      </c>
      <c r="AU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6" s="38" t="str">
        <f ca="1">IF(NOTA[[#This Row],[ID_H]]="","",MATCH(NOTA[[#This Row],[NB NOTA_C_QTY]],[4]!db[NB NOTA_C_QTY+F],0))</f>
        <v/>
      </c>
      <c r="AW286" s="53" t="str">
        <f ca="1">IF(NOTA[[#This Row],[NB NOTA_C_QTY]]="","",ROW()-2)</f>
        <v/>
      </c>
    </row>
    <row r="287" spans="1:49" s="38" customFormat="1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ATA_1609_290-1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46</v>
      </c>
      <c r="E287" s="46"/>
      <c r="F287" s="37" t="s">
        <v>24</v>
      </c>
      <c r="G287" s="37" t="s">
        <v>23</v>
      </c>
      <c r="H287" s="47" t="s">
        <v>405</v>
      </c>
      <c r="I287" s="37"/>
      <c r="J287" s="39">
        <v>45182</v>
      </c>
      <c r="K287" s="37"/>
      <c r="L287" s="37" t="s">
        <v>227</v>
      </c>
      <c r="M287" s="40">
        <v>5</v>
      </c>
      <c r="N287" s="38">
        <v>3840</v>
      </c>
      <c r="O287" s="37" t="s">
        <v>126</v>
      </c>
      <c r="P287" s="41">
        <v>2100</v>
      </c>
      <c r="Q287" s="42"/>
      <c r="R287" s="48"/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8064000</v>
      </c>
      <c r="Y287" s="50">
        <f>IF(NOTA[[#This Row],[JUMLAH]]="","",NOTA[[#This Row],[JUMLAH]]*NOTA[[#This Row],[DISC 1]])</f>
        <v>1008000</v>
      </c>
      <c r="Z287" s="50">
        <f>IF(NOTA[[#This Row],[JUMLAH]]="","",(NOTA[[#This Row],[JUMLAH]]-NOTA[[#This Row],[DISC 1-]])*NOTA[[#This Row],[DISC 2]])</f>
        <v>352800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1360800</v>
      </c>
      <c r="AC287" s="50">
        <f>IF(NOTA[[#This Row],[JUMLAH]]="","",NOTA[[#This Row],[JUMLAH]]-NOTA[[#This Row],[DISC]])</f>
        <v>6703200</v>
      </c>
      <c r="AD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1360800</v>
      </c>
      <c r="AE2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6703200</v>
      </c>
      <c r="AF2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G287" s="50">
        <f>IF(OR(NOTA[[#This Row],[QTY]]="",NOTA[[#This Row],[HARGA SATUAN]]="",),"",NOTA[[#This Row],[QTY]]*NOTA[[#This Row],[HARGA SATUAN]])</f>
        <v>8064000</v>
      </c>
      <c r="AH287" s="39">
        <f ca="1">IF(NOTA[ID_H]="","",INDEX(NOTA[TANGGAL],MATCH(,INDIRECT(ADDRESS(ROW(NOTA[TANGGAL]),COLUMN(NOTA[TANGGAL]))&amp;":"&amp;ADDRESS(ROW(),COLUMN(NOTA[TANGGAL]))),-1)))</f>
        <v>45185</v>
      </c>
      <c r="AI287" s="41" t="str">
        <f ca="1">IF(NOTA[[#This Row],[NAMA BARANG]]="","",INDEX(NOTA[SUPPLIER],MATCH(,INDIRECT(ADDRESS(ROW(NOTA[ID]),COLUMN(NOTA[ID]))&amp;":"&amp;ADDRESS(ROW(),COLUMN(NOTA[ID]))),-1)))</f>
        <v>ATALI MAKMUR</v>
      </c>
      <c r="AJ287" s="41" t="str">
        <f ca="1">IF(NOTA[[#This Row],[ID_H]]="","",IF(NOTA[[#This Row],[FAKTUR]]="",INDIRECT(ADDRESS(ROW()-1,COLUMN())),NOTA[[#This Row],[FAKTUR]]))</f>
        <v>ARTO MORO</v>
      </c>
      <c r="AK287" s="38">
        <f ca="1">IF(NOTA[[#This Row],[ID]]="","",COUNTIF(NOTA[ID_H],NOTA[[#This Row],[ID_H]]))</f>
        <v>1</v>
      </c>
      <c r="AL287" s="38">
        <f>IF(NOTA[[#This Row],[TGL.NOTA]]="",IF(NOTA[[#This Row],[SUPPLIER_H]]="","",AL286),MONTH(NOTA[[#This Row],[TGL.NOTA]]))</f>
        <v>9</v>
      </c>
      <c r="AM2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28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MOROSA23091629045182gluestickgs098gramjk</v>
      </c>
      <c r="AQ287" s="38" t="e">
        <f>IF(NOTA[[#This Row],[CONCAT4]]="","",_xlfn.IFNA(MATCH(NOTA[[#This Row],[CONCAT4]],[2]!RAW[CONCAT_H],0),FALSE))</f>
        <v>#REF!</v>
      </c>
      <c r="AR287" s="38">
        <f>IF(NOTA[[#This Row],[CONCAT1]]="","",MATCH(NOTA[[#This Row],[CONCAT1]],[3]!db[NB NOTA_C],0))</f>
        <v>1135</v>
      </c>
      <c r="AS287" s="38" t="str">
        <f>IF(NOTA[[#This Row],[QTY/ CTN]]="","",TRUE)</f>
        <v/>
      </c>
      <c r="AT287" s="38" t="str">
        <f ca="1">IF(NOTA[[#This Row],[ID_H]]="","",IF(NOTA[[#This Row],[Column3]]=TRUE,NOTA[[#This Row],[QTY/ CTN]],INDEX([3]!db[QTY/ CTN],NOTA[[#This Row],[//DB]])))</f>
        <v>64 LSN</v>
      </c>
      <c r="AU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287" s="38" t="e">
        <f ca="1">IF(NOTA[[#This Row],[ID_H]]="","",MATCH(NOTA[[#This Row],[NB NOTA_C_QTY]],[4]!db[NB NOTA_C_QTY+F],0))</f>
        <v>#REF!</v>
      </c>
      <c r="AW287" s="53">
        <f ca="1">IF(NOTA[[#This Row],[NB NOTA_C_QTY]]="","",ROW()-2)</f>
        <v>285</v>
      </c>
    </row>
    <row r="288" spans="1:49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88" s="50" t="str">
        <f>IF(OR(NOTA[[#This Row],[QTY]]="",NOTA[[#This Row],[HARGA SATUAN]]="",),"",NOTA[[#This Row],[QTY]]*NOTA[[#This Row],[HARGA SATUAN]])</f>
        <v/>
      </c>
      <c r="AH288" s="39" t="str">
        <f ca="1">IF(NOTA[ID_H]="","",INDEX(NOTA[TANGGAL],MATCH(,INDIRECT(ADDRESS(ROW(NOTA[TANGGAL]),COLUMN(NOTA[TANGGAL]))&amp;":"&amp;ADDRESS(ROW(),COLUMN(NOTA[TANGGAL]))),-1)))</f>
        <v/>
      </c>
      <c r="AI288" s="41" t="str">
        <f ca="1">IF(NOTA[[#This Row],[NAMA BARANG]]="","",INDEX(NOTA[SUPPLIER],MATCH(,INDIRECT(ADDRESS(ROW(NOTA[ID]),COLUMN(NOTA[ID]))&amp;":"&amp;ADDRESS(ROW(),COLUMN(NOTA[ID]))),-1)))</f>
        <v/>
      </c>
      <c r="AJ288" s="41" t="str">
        <f ca="1">IF(NOTA[[#This Row],[ID_H]]="","",IF(NOTA[[#This Row],[FAKTUR]]="",INDIRECT(ADDRESS(ROW()-1,COLUMN())),NOTA[[#This Row],[FAKTUR]]))</f>
        <v/>
      </c>
      <c r="AK288" s="38" t="str">
        <f ca="1">IF(NOTA[[#This Row],[ID]]="","",COUNTIF(NOTA[ID_H],NOTA[[#This Row],[ID_H]]))</f>
        <v/>
      </c>
      <c r="AL288" s="38" t="str">
        <f ca="1">IF(NOTA[[#This Row],[TGL.NOTA]]="",IF(NOTA[[#This Row],[SUPPLIER_H]]="","",AL287),MONTH(NOTA[[#This Row],[TGL.NOTA]]))</f>
        <v/>
      </c>
      <c r="AM288" s="38" t="str">
        <f>LOWER(SUBSTITUTE(SUBSTITUTE(SUBSTITUTE(SUBSTITUTE(SUBSTITUTE(SUBSTITUTE(SUBSTITUTE(SUBSTITUTE(SUBSTITUTE(NOTA[NAMA BARANG]," ",),".",""),"-",""),"(",""),")",""),",",""),"/",""),"""",""),"+",""))</f>
        <v/>
      </c>
      <c r="AN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8" s="38" t="str">
        <f>IF(NOTA[[#This Row],[CONCAT4]]="","",_xlfn.IFNA(MATCH(NOTA[[#This Row],[CONCAT4]],[2]!RAW[CONCAT_H],0),FALSE))</f>
        <v/>
      </c>
      <c r="AR288" s="38" t="str">
        <f>IF(NOTA[[#This Row],[CONCAT1]]="","",MATCH(NOTA[[#This Row],[CONCAT1]],[3]!db[NB NOTA_C],0))</f>
        <v/>
      </c>
      <c r="AS288" s="38" t="str">
        <f>IF(NOTA[[#This Row],[QTY/ CTN]]="","",TRUE)</f>
        <v/>
      </c>
      <c r="AT288" s="38" t="str">
        <f ca="1">IF(NOTA[[#This Row],[ID_H]]="","",IF(NOTA[[#This Row],[Column3]]=TRUE,NOTA[[#This Row],[QTY/ CTN]],INDEX([3]!db[QTY/ CTN],NOTA[[#This Row],[//DB]])))</f>
        <v/>
      </c>
      <c r="AU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8" s="38" t="str">
        <f ca="1">IF(NOTA[[#This Row],[ID_H]]="","",MATCH(NOTA[[#This Row],[NB NOTA_C_QTY]],[4]!db[NB NOTA_C_QTY+F],0))</f>
        <v/>
      </c>
      <c r="AW288" s="53" t="str">
        <f ca="1">IF(NOTA[[#This Row],[NB NOTA_C_QTY]]="","",ROW()-2)</f>
        <v/>
      </c>
    </row>
    <row r="289" spans="1:49" s="38" customFormat="1" ht="20.100000000000001" customHeight="1" x14ac:dyDescent="0.25">
      <c r="A289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DUT_1609_23H-8</v>
      </c>
      <c r="C289" s="38" t="e">
        <f ca="1">IF(NOTA[[#This Row],[ID_P]]="","",MATCH(NOTA[[#This Row],[ID_P]],[1]!B_MSK[N_ID],0))</f>
        <v>#REF!</v>
      </c>
      <c r="D289" s="38">
        <f ca="1">IF(NOTA[[#This Row],[NAMA BARANG]]="","",INDEX(NOTA[ID],MATCH(,INDIRECT(ADDRESS(ROW(NOTA[ID]),COLUMN(NOTA[ID]))&amp;":"&amp;ADDRESS(ROW(),COLUMN(NOTA[ID]))),-1)))</f>
        <v>47</v>
      </c>
      <c r="E289" s="46"/>
      <c r="F289" s="37" t="s">
        <v>418</v>
      </c>
      <c r="G289" s="37" t="s">
        <v>123</v>
      </c>
      <c r="H289" s="47" t="s">
        <v>406</v>
      </c>
      <c r="I289" s="37"/>
      <c r="J289" s="39">
        <v>45180</v>
      </c>
      <c r="K289" s="37"/>
      <c r="L289" s="37" t="s">
        <v>409</v>
      </c>
      <c r="M289" s="40">
        <v>8</v>
      </c>
      <c r="N289" s="38">
        <v>576</v>
      </c>
      <c r="O289" s="37" t="s">
        <v>132</v>
      </c>
      <c r="P289" s="41">
        <v>16000</v>
      </c>
      <c r="Q289" s="42"/>
      <c r="R289" s="48" t="s">
        <v>407</v>
      </c>
      <c r="S289" s="49">
        <v>0.03</v>
      </c>
      <c r="T289" s="44"/>
      <c r="U289" s="44"/>
      <c r="V289" s="50"/>
      <c r="W289" s="45"/>
      <c r="X289" s="50">
        <f>IF(NOTA[[#This Row],[HARGA/ CTN]]="",NOTA[[#This Row],[JUMLAH_H]],NOTA[[#This Row],[HARGA/ CTN]]*IF(NOTA[[#This Row],[C]]="",0,NOTA[[#This Row],[C]]))</f>
        <v>9216000</v>
      </c>
      <c r="Y289" s="50">
        <f>IF(NOTA[[#This Row],[JUMLAH]]="","",NOTA[[#This Row],[JUMLAH]]*NOTA[[#This Row],[DISC 1]])</f>
        <v>276480</v>
      </c>
      <c r="Z289" s="50">
        <f>IF(NOTA[[#This Row],[JUMLAH]]="","",(NOTA[[#This Row],[JUMLAH]]-NOTA[[#This Row],[DISC 1-]])*NOTA[[#This Row],[DISC 2]])</f>
        <v>0</v>
      </c>
      <c r="AA289" s="50">
        <f>IF(NOTA[[#This Row],[JUMLAH]]="","",(NOTA[[#This Row],[JUMLAH]]-NOTA[[#This Row],[DISC 1-]]-NOTA[[#This Row],[DISC 2-]])*NOTA[[#This Row],[DISC 3]])</f>
        <v>0</v>
      </c>
      <c r="AB289" s="50">
        <f>IF(NOTA[[#This Row],[JUMLAH]]="","",NOTA[[#This Row],[DISC 1-]]+NOTA[[#This Row],[DISC 2-]]+NOTA[[#This Row],[DISC 3-]])</f>
        <v>276480</v>
      </c>
      <c r="AC289" s="50">
        <f>IF(NOTA[[#This Row],[JUMLAH]]="","",NOTA[[#This Row],[JUMLAH]]-NOTA[[#This Row],[DISC]])</f>
        <v>8939520</v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89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G289" s="50">
        <f>IF(OR(NOTA[[#This Row],[QTY]]="",NOTA[[#This Row],[HARGA SATUAN]]="",),"",NOTA[[#This Row],[QTY]]*NOTA[[#This Row],[HARGA SATUAN]])</f>
        <v>9216000</v>
      </c>
      <c r="AH289" s="39">
        <f ca="1">IF(NOTA[ID_H]="","",INDEX(NOTA[TANGGAL],MATCH(,INDIRECT(ADDRESS(ROW(NOTA[TANGGAL]),COLUMN(NOTA[TANGGAL]))&amp;":"&amp;ADDRESS(ROW(),COLUMN(NOTA[TANGGAL]))),-1)))</f>
        <v>45185</v>
      </c>
      <c r="AI289" s="41" t="str">
        <f ca="1">IF(NOTA[[#This Row],[NAMA BARANG]]="","",INDEX(NOTA[SUPPLIER],MATCH(,INDIRECT(ADDRESS(ROW(NOTA[ID]),COLUMN(NOTA[ID]))&amp;":"&amp;ADDRESS(ROW(),COLUMN(NOTA[ID]))),-1)))</f>
        <v>DUTA BUANA</v>
      </c>
      <c r="AJ289" s="41" t="str">
        <f ca="1">IF(NOTA[[#This Row],[ID_H]]="","",IF(NOTA[[#This Row],[FAKTUR]]="",INDIRECT(ADDRESS(ROW()-1,COLUMN())),NOTA[[#This Row],[FAKTUR]]))</f>
        <v>UNTANA</v>
      </c>
      <c r="AK289" s="38">
        <f ca="1">IF(NOTA[[#This Row],[ID]]="","",COUNTIF(NOTA[ID_H],NOTA[[#This Row],[ID_H]]))</f>
        <v>8</v>
      </c>
      <c r="AL289" s="38">
        <f>IF(NOTA[[#This Row],[TGL.NOTA]]="",IF(NOTA[[#This Row],[SUPPLIER_H]]="","",AL288),MONTH(NOTA[[#This Row],[TGL.NOTA]]))</f>
        <v>9</v>
      </c>
      <c r="AM289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N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O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28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BUANAUNTANAHM/256/09-23H45180acryliccolourtfac004n12x6mlneon</v>
      </c>
      <c r="AQ289" s="38" t="e">
        <f>IF(NOTA[[#This Row],[CONCAT4]]="","",_xlfn.IFNA(MATCH(NOTA[[#This Row],[CONCAT4]],[2]!RAW[CONCAT_H],0),FALSE))</f>
        <v>#REF!</v>
      </c>
      <c r="AR289" s="38" t="e">
        <f>IF(NOTA[[#This Row],[CONCAT1]]="","",MATCH(NOTA[[#This Row],[CONCAT1]],[3]!db[NB NOTA_C],0))</f>
        <v>#N/A</v>
      </c>
      <c r="AS289" s="38" t="b">
        <f>IF(NOTA[[#This Row],[QTY/ CTN]]="","",TRUE)</f>
        <v>1</v>
      </c>
      <c r="AT289" s="38" t="str">
        <f ca="1">IF(NOTA[[#This Row],[ID_H]]="","",IF(NOTA[[#This Row],[Column3]]=TRUE,NOTA[[#This Row],[QTY/ CTN]],INDEX([3]!db[QTY/ CTN],NOTA[[#This Row],[//DB]])))</f>
        <v>72 SET</v>
      </c>
      <c r="AU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V289" s="38" t="e">
        <f ca="1">IF(NOTA[[#This Row],[ID_H]]="","",MATCH(NOTA[[#This Row],[NB NOTA_C_QTY]],[4]!db[NB NOTA_C_QTY+F],0))</f>
        <v>#REF!</v>
      </c>
      <c r="AW289" s="53">
        <f ca="1">IF(NOTA[[#This Row],[NB NOTA_C_QTY]]="","",ROW()-2)</f>
        <v>287</v>
      </c>
    </row>
    <row r="290" spans="1:49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47</v>
      </c>
      <c r="E290" s="46"/>
      <c r="F290" s="37"/>
      <c r="G290" s="37"/>
      <c r="H290" s="47"/>
      <c r="I290" s="37"/>
      <c r="J290" s="39"/>
      <c r="K290" s="37"/>
      <c r="L290" s="37" t="s">
        <v>408</v>
      </c>
      <c r="M290" s="40">
        <v>8</v>
      </c>
      <c r="N290" s="38">
        <v>576</v>
      </c>
      <c r="O290" s="37" t="s">
        <v>132</v>
      </c>
      <c r="P290" s="41">
        <v>16000</v>
      </c>
      <c r="Q290" s="42"/>
      <c r="R290" s="48" t="s">
        <v>407</v>
      </c>
      <c r="S290" s="49">
        <v>0.03</v>
      </c>
      <c r="T290" s="44"/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9216000</v>
      </c>
      <c r="Y290" s="50">
        <f>IF(NOTA[[#This Row],[JUMLAH]]="","",NOTA[[#This Row],[JUMLAH]]*NOTA[[#This Row],[DISC 1]])</f>
        <v>276480</v>
      </c>
      <c r="Z290" s="50">
        <f>IF(NOTA[[#This Row],[JUMLAH]]="","",(NOTA[[#This Row],[JUMLAH]]-NOTA[[#This Row],[DISC 1-]])*NOTA[[#This Row],[DISC 2]])</f>
        <v>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276480</v>
      </c>
      <c r="AC290" s="50">
        <f>IF(NOTA[[#This Row],[JUMLAH]]="","",NOTA[[#This Row],[JUMLAH]]-NOTA[[#This Row],[DISC]])</f>
        <v>8939520</v>
      </c>
      <c r="AD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0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G290" s="50">
        <f>IF(OR(NOTA[[#This Row],[QTY]]="",NOTA[[#This Row],[HARGA SATUAN]]="",),"",NOTA[[#This Row],[QTY]]*NOTA[[#This Row],[HARGA SATUAN]])</f>
        <v>9216000</v>
      </c>
      <c r="AH290" s="39">
        <f ca="1">IF(NOTA[ID_H]="","",INDEX(NOTA[TANGGAL],MATCH(,INDIRECT(ADDRESS(ROW(NOTA[TANGGAL]),COLUMN(NOTA[TANGGAL]))&amp;":"&amp;ADDRESS(ROW(),COLUMN(NOTA[TANGGAL]))),-1)))</f>
        <v>45185</v>
      </c>
      <c r="AI290" s="41" t="str">
        <f ca="1">IF(NOTA[[#This Row],[NAMA BARANG]]="","",INDEX(NOTA[SUPPLIER],MATCH(,INDIRECT(ADDRESS(ROW(NOTA[ID]),COLUMN(NOTA[ID]))&amp;":"&amp;ADDRESS(ROW(),COLUMN(NOTA[ID]))),-1)))</f>
        <v>DUTA BUANA</v>
      </c>
      <c r="AJ290" s="41" t="str">
        <f ca="1">IF(NOTA[[#This Row],[ID_H]]="","",IF(NOTA[[#This Row],[FAKTUR]]="",INDIRECT(ADDRESS(ROW()-1,COLUMN())),NOTA[[#This Row],[FAKTUR]]))</f>
        <v>UNTANA</v>
      </c>
      <c r="AK290" s="38" t="str">
        <f ca="1">IF(NOTA[[#This Row],[ID]]="","",COUNTIF(NOTA[ID_H],NOTA[[#This Row],[ID_H]]))</f>
        <v/>
      </c>
      <c r="AL290" s="38">
        <f ca="1">IF(NOTA[[#This Row],[TGL.NOTA]]="",IF(NOTA[[#This Row],[SUPPLIER_H]]="","",AL289),MONTH(NOTA[[#This Row],[TGL.NOTA]]))</f>
        <v>9</v>
      </c>
      <c r="AM290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N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O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0" s="38" t="str">
        <f>IF(NOTA[[#This Row],[CONCAT4]]="","",_xlfn.IFNA(MATCH(NOTA[[#This Row],[CONCAT4]],[2]!RAW[CONCAT_H],0),FALSE))</f>
        <v/>
      </c>
      <c r="AR290" s="38" t="e">
        <f>IF(NOTA[[#This Row],[CONCAT1]]="","",MATCH(NOTA[[#This Row],[CONCAT1]],[3]!db[NB NOTA_C],0))</f>
        <v>#N/A</v>
      </c>
      <c r="AS290" s="38" t="b">
        <f>IF(NOTA[[#This Row],[QTY/ CTN]]="","",TRUE)</f>
        <v>1</v>
      </c>
      <c r="AT290" s="38" t="str">
        <f ca="1">IF(NOTA[[#This Row],[ID_H]]="","",IF(NOTA[[#This Row],[Column3]]=TRUE,NOTA[[#This Row],[QTY/ CTN]],INDEX([3]!db[QTY/ CTN],NOTA[[#This Row],[//DB]])))</f>
        <v>72 SET</v>
      </c>
      <c r="AU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V290" s="38" t="e">
        <f ca="1">IF(NOTA[[#This Row],[ID_H]]="","",MATCH(NOTA[[#This Row],[NB NOTA_C_QTY]],[4]!db[NB NOTA_C_QTY+F],0))</f>
        <v>#REF!</v>
      </c>
      <c r="AW290" s="53">
        <f ca="1">IF(NOTA[[#This Row],[NB NOTA_C_QTY]]="","",ROW()-2)</f>
        <v>288</v>
      </c>
    </row>
    <row r="291" spans="1:49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47</v>
      </c>
      <c r="E291" s="46"/>
      <c r="F291" s="37"/>
      <c r="G291" s="37"/>
      <c r="H291" s="47"/>
      <c r="I291" s="37"/>
      <c r="J291" s="39"/>
      <c r="K291" s="37"/>
      <c r="L291" s="37" t="s">
        <v>410</v>
      </c>
      <c r="M291" s="40">
        <v>4</v>
      </c>
      <c r="N291" s="38">
        <v>288</v>
      </c>
      <c r="O291" s="37" t="s">
        <v>132</v>
      </c>
      <c r="P291" s="41">
        <v>16000</v>
      </c>
      <c r="Q291" s="42"/>
      <c r="R291" s="48" t="s">
        <v>407</v>
      </c>
      <c r="S291" s="49">
        <v>0.03</v>
      </c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4608000</v>
      </c>
      <c r="Y291" s="50">
        <f>IF(NOTA[[#This Row],[JUMLAH]]="","",NOTA[[#This Row],[JUMLAH]]*NOTA[[#This Row],[DISC 1]])</f>
        <v>138240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138240</v>
      </c>
      <c r="AC291" s="50">
        <f>IF(NOTA[[#This Row],[JUMLAH]]="","",NOTA[[#This Row],[JUMLAH]]-NOTA[[#This Row],[DISC]])</f>
        <v>4469760</v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1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G291" s="50">
        <f>IF(OR(NOTA[[#This Row],[QTY]]="",NOTA[[#This Row],[HARGA SATUAN]]="",),"",NOTA[[#This Row],[QTY]]*NOTA[[#This Row],[HARGA SATUAN]])</f>
        <v>4608000</v>
      </c>
      <c r="AH291" s="39">
        <f ca="1">IF(NOTA[ID_H]="","",INDEX(NOTA[TANGGAL],MATCH(,INDIRECT(ADDRESS(ROW(NOTA[TANGGAL]),COLUMN(NOTA[TANGGAL]))&amp;":"&amp;ADDRESS(ROW(),COLUMN(NOTA[TANGGAL]))),-1)))</f>
        <v>45185</v>
      </c>
      <c r="AI291" s="41" t="str">
        <f ca="1">IF(NOTA[[#This Row],[NAMA BARANG]]="","",INDEX(NOTA[SUPPLIER],MATCH(,INDIRECT(ADDRESS(ROW(NOTA[ID]),COLUMN(NOTA[ID]))&amp;":"&amp;ADDRESS(ROW(),COLUMN(NOTA[ID]))),-1)))</f>
        <v>DUTA BUANA</v>
      </c>
      <c r="AJ291" s="41" t="str">
        <f ca="1">IF(NOTA[[#This Row],[ID_H]]="","",IF(NOTA[[#This Row],[FAKTUR]]="",INDIRECT(ADDRESS(ROW()-1,COLUMN())),NOTA[[#This Row],[FAKTUR]]))</f>
        <v>UNTANA</v>
      </c>
      <c r="AK291" s="38" t="str">
        <f ca="1">IF(NOTA[[#This Row],[ID]]="","",COUNTIF(NOTA[ID_H],NOTA[[#This Row],[ID_H]]))</f>
        <v/>
      </c>
      <c r="AL291" s="38">
        <f ca="1">IF(NOTA[[#This Row],[TGL.NOTA]]="",IF(NOTA[[#This Row],[SUPPLIER_H]]="","",AL290),MONTH(NOTA[[#This Row],[TGL.NOTA]]))</f>
        <v>9</v>
      </c>
      <c r="AM291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N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O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38" t="str">
        <f>IF(NOTA[[#This Row],[CONCAT4]]="","",_xlfn.IFNA(MATCH(NOTA[[#This Row],[CONCAT4]],[2]!RAW[CONCAT_H],0),FALSE))</f>
        <v/>
      </c>
      <c r="AR291" s="38">
        <f>IF(NOTA[[#This Row],[CONCAT1]]="","",MATCH(NOTA[[#This Row],[CONCAT1]],[3]!db[NB NOTA_C],0))</f>
        <v>27</v>
      </c>
      <c r="AS291" s="38" t="b">
        <f>IF(NOTA[[#This Row],[QTY/ CTN]]="","",TRUE)</f>
        <v>1</v>
      </c>
      <c r="AT291" s="38" t="str">
        <f ca="1">IF(NOTA[[#This Row],[ID_H]]="","",IF(NOTA[[#This Row],[Column3]]=TRUE,NOTA[[#This Row],[QTY/ CTN]],INDEX([3]!db[QTY/ CTN],NOTA[[#This Row],[//DB]])))</f>
        <v>72 SET</v>
      </c>
      <c r="AU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V291" s="38" t="e">
        <f ca="1">IF(NOTA[[#This Row],[ID_H]]="","",MATCH(NOTA[[#This Row],[NB NOTA_C_QTY]],[4]!db[NB NOTA_C_QTY+F],0))</f>
        <v>#REF!</v>
      </c>
      <c r="AW291" s="53">
        <f ca="1">IF(NOTA[[#This Row],[NB NOTA_C_QTY]]="","",ROW()-2)</f>
        <v>289</v>
      </c>
    </row>
    <row r="292" spans="1:49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47</v>
      </c>
      <c r="E292" s="46"/>
      <c r="F292" s="37"/>
      <c r="G292" s="37"/>
      <c r="H292" s="47"/>
      <c r="I292" s="37"/>
      <c r="J292" s="39"/>
      <c r="K292" s="37"/>
      <c r="L292" s="37" t="s">
        <v>411</v>
      </c>
      <c r="M292" s="40">
        <v>1</v>
      </c>
      <c r="N292" s="38">
        <v>144</v>
      </c>
      <c r="O292" s="37" t="s">
        <v>138</v>
      </c>
      <c r="P292" s="41"/>
      <c r="Q292" s="42"/>
      <c r="R292" s="48" t="s">
        <v>216</v>
      </c>
      <c r="S292" s="49">
        <v>0.03</v>
      </c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G292" s="50" t="str">
        <f>IF(OR(NOTA[[#This Row],[QTY]]="",NOTA[[#This Row],[HARGA SATUAN]]="",),"",NOTA[[#This Row],[QTY]]*NOTA[[#This Row],[HARGA SATUAN]])</f>
        <v/>
      </c>
      <c r="AH292" s="39">
        <f ca="1">IF(NOTA[ID_H]="","",INDEX(NOTA[TANGGAL],MATCH(,INDIRECT(ADDRESS(ROW(NOTA[TANGGAL]),COLUMN(NOTA[TANGGAL]))&amp;":"&amp;ADDRESS(ROW(),COLUMN(NOTA[TANGGAL]))),-1)))</f>
        <v>45185</v>
      </c>
      <c r="AI292" s="41" t="str">
        <f ca="1">IF(NOTA[[#This Row],[NAMA BARANG]]="","",INDEX(NOTA[SUPPLIER],MATCH(,INDIRECT(ADDRESS(ROW(NOTA[ID]),COLUMN(NOTA[ID]))&amp;":"&amp;ADDRESS(ROW(),COLUMN(NOTA[ID]))),-1)))</f>
        <v>DUTA BUANA</v>
      </c>
      <c r="AJ292" s="41" t="str">
        <f ca="1">IF(NOTA[[#This Row],[ID_H]]="","",IF(NOTA[[#This Row],[FAKTUR]]="",INDIRECT(ADDRESS(ROW()-1,COLUMN())),NOTA[[#This Row],[FAKTUR]]))</f>
        <v>UNTANA</v>
      </c>
      <c r="AK292" s="38" t="str">
        <f ca="1">IF(NOTA[[#This Row],[ID]]="","",COUNTIF(NOTA[ID_H],NOTA[[#This Row],[ID_H]]))</f>
        <v/>
      </c>
      <c r="AL292" s="38">
        <f ca="1">IF(NOTA[[#This Row],[TGL.NOTA]]="",IF(NOTA[[#This Row],[SUPPLIER_H]]="","",AL291),MONTH(NOTA[[#This Row],[TGL.NOTA]]))</f>
        <v>9</v>
      </c>
      <c r="AM292" s="3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N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ballpenpromosihm2220ubonus00.03</v>
      </c>
      <c r="AO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ballpenpromosihm2220ubonus00.03</v>
      </c>
      <c r="AP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2" s="38" t="str">
        <f>IF(NOTA[[#This Row],[CONCAT4]]="","",_xlfn.IFNA(MATCH(NOTA[[#This Row],[CONCAT4]],[2]!RAW[CONCAT_H],0),FALSE))</f>
        <v/>
      </c>
      <c r="AR292" s="38" t="e">
        <f>IF(NOTA[[#This Row],[CONCAT1]]="","",MATCH(NOTA[[#This Row],[CONCAT1]],[3]!db[NB NOTA_C],0))</f>
        <v>#N/A</v>
      </c>
      <c r="AS292" s="38" t="b">
        <f>IF(NOTA[[#This Row],[QTY/ CTN]]="","",TRUE)</f>
        <v>1</v>
      </c>
      <c r="AT292" s="38" t="str">
        <f ca="1">IF(NOTA[[#This Row],[ID_H]]="","",IF(NOTA[[#This Row],[Column3]]=TRUE,NOTA[[#This Row],[QTY/ CTN]],INDEX([3]!db[QTY/ CTN],NOTA[[#This Row],[//DB]])))</f>
        <v>144 LSN</v>
      </c>
      <c r="AU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ballpenpromosihm2220ubonus144lsnuntana</v>
      </c>
      <c r="AV292" s="38" t="e">
        <f ca="1">IF(NOTA[[#This Row],[ID_H]]="","",MATCH(NOTA[[#This Row],[NB NOTA_C_QTY]],[4]!db[NB NOTA_C_QTY+F],0))</f>
        <v>#REF!</v>
      </c>
      <c r="AW292" s="53">
        <f ca="1">IF(NOTA[[#This Row],[NB NOTA_C_QTY]]="","",ROW()-2)</f>
        <v>290</v>
      </c>
    </row>
    <row r="293" spans="1:49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/>
      <c r="G293" s="37"/>
      <c r="H293" s="47"/>
      <c r="I293" s="37"/>
      <c r="J293" s="39"/>
      <c r="K293" s="37"/>
      <c r="L293" s="37" t="s">
        <v>412</v>
      </c>
      <c r="M293" s="40">
        <v>2</v>
      </c>
      <c r="N293" s="38">
        <v>288</v>
      </c>
      <c r="O293" s="37" t="s">
        <v>132</v>
      </c>
      <c r="P293" s="41">
        <v>13500</v>
      </c>
      <c r="Q293" s="42"/>
      <c r="R293" s="48" t="s">
        <v>139</v>
      </c>
      <c r="S293" s="49">
        <v>0.03</v>
      </c>
      <c r="T293" s="44"/>
      <c r="U293" s="44"/>
      <c r="V293" s="50"/>
      <c r="W293" s="45" t="s">
        <v>417</v>
      </c>
      <c r="X293" s="50">
        <f>IF(NOTA[[#This Row],[HARGA/ CTN]]="",NOTA[[#This Row],[JUMLAH_H]],NOTA[[#This Row],[HARGA/ CTN]]*IF(NOTA[[#This Row],[C]]="",0,NOTA[[#This Row],[C]]))</f>
        <v>3888000</v>
      </c>
      <c r="Y293" s="50">
        <f>IF(NOTA[[#This Row],[JUMLAH]]="","",NOTA[[#This Row],[JUMLAH]]*NOTA[[#This Row],[DISC 1]])</f>
        <v>116640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116640</v>
      </c>
      <c r="AC293" s="50">
        <f>IF(NOTA[[#This Row],[JUMLAH]]="","",NOTA[[#This Row],[JUMLAH]]-NOTA[[#This Row],[DISC]])</f>
        <v>3771360</v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293" s="50">
        <f>IF(OR(NOTA[[#This Row],[QTY]]="",NOTA[[#This Row],[HARGA SATUAN]]="",),"",NOTA[[#This Row],[QTY]]*NOTA[[#This Row],[HARGA SATUAN]])</f>
        <v>3888000</v>
      </c>
      <c r="AH293" s="39">
        <f ca="1">IF(NOTA[ID_H]="","",INDEX(NOTA[TANGGAL],MATCH(,INDIRECT(ADDRESS(ROW(NOTA[TANGGAL]),COLUMN(NOTA[TANGGAL]))&amp;":"&amp;ADDRESS(ROW(),COLUMN(NOTA[TANGGAL]))),-1)))</f>
        <v>45185</v>
      </c>
      <c r="AI293" s="41" t="str">
        <f ca="1">IF(NOTA[[#This Row],[NAMA BARANG]]="","",INDEX(NOTA[SUPPLIER],MATCH(,INDIRECT(ADDRESS(ROW(NOTA[ID]),COLUMN(NOTA[ID]))&amp;":"&amp;ADDRESS(ROW(),COLUMN(NOTA[ID]))),-1)))</f>
        <v>DUTA BUANA</v>
      </c>
      <c r="AJ293" s="41" t="str">
        <f ca="1">IF(NOTA[[#This Row],[ID_H]]="","",IF(NOTA[[#This Row],[FAKTUR]]="",INDIRECT(ADDRESS(ROW()-1,COLUMN())),NOTA[[#This Row],[FAKTUR]]))</f>
        <v>UNTANA</v>
      </c>
      <c r="AK293" s="38" t="str">
        <f ca="1">IF(NOTA[[#This Row],[ID]]="","",COUNTIF(NOTA[ID_H],NOTA[[#This Row],[ID_H]]))</f>
        <v/>
      </c>
      <c r="AL293" s="38">
        <f ca="1">IF(NOTA[[#This Row],[TGL.NOTA]]="",IF(NOTA[[#This Row],[SUPPLIER_H]]="","",AL292),MONTH(NOTA[[#This Row],[TGL.NOTA]]))</f>
        <v>9</v>
      </c>
      <c r="AM293" s="38" t="str">
        <f>LOWER(SUBSTITUTE(SUBSTITUTE(SUBSTITUTE(SUBSTITUTE(SUBSTITUTE(SUBSTITUTE(SUBSTITUTE(SUBSTITUTE(SUBSTITUTE(NOTA[NAMA BARANG]," ",),".",""),"-",""),"(",""),")",""),",",""),"/",""),"""",""),"+",""))</f>
        <v>brushmarkerpenwbtf105012wr</v>
      </c>
      <c r="AN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brushmarkerpenwbtf105012wr19440000.03</v>
      </c>
      <c r="AO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brushmarkerpenwbtf105012wr19440000.03</v>
      </c>
      <c r="AP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38" t="str">
        <f>IF(NOTA[[#This Row],[CONCAT4]]="","",_xlfn.IFNA(MATCH(NOTA[[#This Row],[CONCAT4]],[2]!RAW[CONCAT_H],0),FALSE))</f>
        <v/>
      </c>
      <c r="AR293" s="38" t="e">
        <f>IF(NOTA[[#This Row],[CONCAT1]]="","",MATCH(NOTA[[#This Row],[CONCAT1]],[3]!db[NB NOTA_C],0))</f>
        <v>#N/A</v>
      </c>
      <c r="AS293" s="38" t="b">
        <f>IF(NOTA[[#This Row],[QTY/ CTN]]="","",TRUE)</f>
        <v>1</v>
      </c>
      <c r="AT293" s="38" t="str">
        <f ca="1">IF(NOTA[[#This Row],[ID_H]]="","",IF(NOTA[[#This Row],[Column3]]=TRUE,NOTA[[#This Row],[QTY/ CTN]],INDEX([3]!db[QTY/ CTN],NOTA[[#This Row],[//DB]])))</f>
        <v>144 SET</v>
      </c>
      <c r="AU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brushmarkerpenwbtf105012wr144setuntana</v>
      </c>
      <c r="AV293" s="38" t="e">
        <f ca="1">IF(NOTA[[#This Row],[ID_H]]="","",MATCH(NOTA[[#This Row],[NB NOTA_C_QTY]],[4]!db[NB NOTA_C_QTY+F],0))</f>
        <v>#REF!</v>
      </c>
      <c r="AW293" s="53">
        <f ca="1">IF(NOTA[[#This Row],[NB NOTA_C_QTY]]="","",ROW()-2)</f>
        <v>291</v>
      </c>
    </row>
    <row r="294" spans="1:49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413</v>
      </c>
      <c r="M294" s="40">
        <v>1</v>
      </c>
      <c r="N294" s="38">
        <v>108</v>
      </c>
      <c r="O294" s="37" t="s">
        <v>126</v>
      </c>
      <c r="P294" s="41">
        <v>12500</v>
      </c>
      <c r="Q294" s="42"/>
      <c r="R294" s="48" t="s">
        <v>414</v>
      </c>
      <c r="S294" s="49">
        <v>0.03</v>
      </c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1350000</v>
      </c>
      <c r="Y294" s="50">
        <f>IF(NOTA[[#This Row],[JUMLAH]]="","",NOTA[[#This Row],[JUMLAH]]*NOTA[[#This Row],[DISC 1]])</f>
        <v>40500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40500</v>
      </c>
      <c r="AC294" s="50">
        <f>IF(NOTA[[#This Row],[JUMLAH]]="","",NOTA[[#This Row],[JUMLAH]]-NOTA[[#This Row],[DISC]])</f>
        <v>1309500</v>
      </c>
      <c r="AD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4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G294" s="50">
        <f>IF(OR(NOTA[[#This Row],[QTY]]="",NOTA[[#This Row],[HARGA SATUAN]]="",),"",NOTA[[#This Row],[QTY]]*NOTA[[#This Row],[HARGA SATUAN]])</f>
        <v>1350000</v>
      </c>
      <c r="AH294" s="39">
        <f ca="1">IF(NOTA[ID_H]="","",INDEX(NOTA[TANGGAL],MATCH(,INDIRECT(ADDRESS(ROW(NOTA[TANGGAL]),COLUMN(NOTA[TANGGAL]))&amp;":"&amp;ADDRESS(ROW(),COLUMN(NOTA[TANGGAL]))),-1)))</f>
        <v>45185</v>
      </c>
      <c r="AI294" s="41" t="str">
        <f ca="1">IF(NOTA[[#This Row],[NAMA BARANG]]="","",INDEX(NOTA[SUPPLIER],MATCH(,INDIRECT(ADDRESS(ROW(NOTA[ID]),COLUMN(NOTA[ID]))&amp;":"&amp;ADDRESS(ROW(),COLUMN(NOTA[ID]))),-1)))</f>
        <v>DUTA BUANA</v>
      </c>
      <c r="AJ294" s="41" t="str">
        <f ca="1">IF(NOTA[[#This Row],[ID_H]]="","",IF(NOTA[[#This Row],[FAKTUR]]="",INDIRECT(ADDRESS(ROW()-1,COLUMN())),NOTA[[#This Row],[FAKTUR]]))</f>
        <v>UNTANA</v>
      </c>
      <c r="AK294" s="38" t="str">
        <f ca="1">IF(NOTA[[#This Row],[ID]]="","",COUNTIF(NOTA[ID_H],NOTA[[#This Row],[ID_H]]))</f>
        <v/>
      </c>
      <c r="AL294" s="38">
        <f ca="1">IF(NOTA[[#This Row],[TGL.NOTA]]="",IF(NOTA[[#This Row],[SUPPLIER_H]]="","",AL293),MONTH(NOTA[[#This Row],[TGL.NOTA]]))</f>
        <v>9</v>
      </c>
      <c r="AM294" s="38" t="str">
        <f>LOWER(SUBSTITUTE(SUBSTITUTE(SUBSTITUTE(SUBSTITUTE(SUBSTITUTE(SUBSTITUTE(SUBSTITUTE(SUBSTITUTE(SUBSTITUTE(NOTA[NAMA BARANG]," ",),".",""),"-",""),"(",""),")",""),",",""),"/",""),"""",""),"+",""))</f>
        <v>sticknotetf0246400</v>
      </c>
      <c r="AN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O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P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4" s="38" t="str">
        <f>IF(NOTA[[#This Row],[CONCAT4]]="","",_xlfn.IFNA(MATCH(NOTA[[#This Row],[CONCAT4]],[2]!RAW[CONCAT_H],0),FALSE))</f>
        <v/>
      </c>
      <c r="AR294" s="38" t="e">
        <f>IF(NOTA[[#This Row],[CONCAT1]]="","",MATCH(NOTA[[#This Row],[CONCAT1]],[3]!db[NB NOTA_C],0))</f>
        <v>#N/A</v>
      </c>
      <c r="AS294" s="38" t="b">
        <f>IF(NOTA[[#This Row],[QTY/ CTN]]="","",TRUE)</f>
        <v>1</v>
      </c>
      <c r="AT294" s="38" t="str">
        <f ca="1">IF(NOTA[[#This Row],[ID_H]]="","",IF(NOTA[[#This Row],[Column3]]=TRUE,NOTA[[#This Row],[QTY/ CTN]],INDEX([3]!db[QTY/ CTN],NOTA[[#This Row],[//DB]])))</f>
        <v>108 PCS</v>
      </c>
      <c r="AU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V294" s="38" t="e">
        <f ca="1">IF(NOTA[[#This Row],[ID_H]]="","",MATCH(NOTA[[#This Row],[NB NOTA_C_QTY]],[4]!db[NB NOTA_C_QTY+F],0))</f>
        <v>#REF!</v>
      </c>
      <c r="AW294" s="53">
        <f ca="1">IF(NOTA[[#This Row],[NB NOTA_C_QTY]]="","",ROW()-2)</f>
        <v>292</v>
      </c>
    </row>
    <row r="295" spans="1:49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47</v>
      </c>
      <c r="E295" s="46"/>
      <c r="F295" s="37"/>
      <c r="G295" s="37"/>
      <c r="H295" s="47"/>
      <c r="I295" s="37"/>
      <c r="J295" s="39"/>
      <c r="K295" s="37"/>
      <c r="L295" s="37" t="s">
        <v>415</v>
      </c>
      <c r="M295" s="40">
        <v>1</v>
      </c>
      <c r="N295" s="38">
        <v>600</v>
      </c>
      <c r="O295" s="37" t="s">
        <v>126</v>
      </c>
      <c r="P295" s="41">
        <v>3250</v>
      </c>
      <c r="Q295" s="42"/>
      <c r="R295" s="48" t="s">
        <v>340</v>
      </c>
      <c r="S295" s="49">
        <v>0.03</v>
      </c>
      <c r="T295" s="44"/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1950000</v>
      </c>
      <c r="Y295" s="50">
        <f>IF(NOTA[[#This Row],[JUMLAH]]="","",NOTA[[#This Row],[JUMLAH]]*NOTA[[#This Row],[DISC 1]])</f>
        <v>58500</v>
      </c>
      <c r="Z295" s="50">
        <f>IF(NOTA[[#This Row],[JUMLAH]]="","",(NOTA[[#This Row],[JUMLAH]]-NOTA[[#This Row],[DISC 1-]])*NOTA[[#This Row],[DISC 2]])</f>
        <v>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58500</v>
      </c>
      <c r="AC295" s="50">
        <f>IF(NOTA[[#This Row],[JUMLAH]]="","",NOTA[[#This Row],[JUMLAH]]-NOTA[[#This Row],[DISC]])</f>
        <v>1891500</v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5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G295" s="50">
        <f>IF(OR(NOTA[[#This Row],[QTY]]="",NOTA[[#This Row],[HARGA SATUAN]]="",),"",NOTA[[#This Row],[QTY]]*NOTA[[#This Row],[HARGA SATUAN]])</f>
        <v>1950000</v>
      </c>
      <c r="AH295" s="39">
        <f ca="1">IF(NOTA[ID_H]="","",INDEX(NOTA[TANGGAL],MATCH(,INDIRECT(ADDRESS(ROW(NOTA[TANGGAL]),COLUMN(NOTA[TANGGAL]))&amp;":"&amp;ADDRESS(ROW(),COLUMN(NOTA[TANGGAL]))),-1)))</f>
        <v>45185</v>
      </c>
      <c r="AI295" s="41" t="str">
        <f ca="1">IF(NOTA[[#This Row],[NAMA BARANG]]="","",INDEX(NOTA[SUPPLIER],MATCH(,INDIRECT(ADDRESS(ROW(NOTA[ID]),COLUMN(NOTA[ID]))&amp;":"&amp;ADDRESS(ROW(),COLUMN(NOTA[ID]))),-1)))</f>
        <v>DUTA BUANA</v>
      </c>
      <c r="AJ295" s="41" t="str">
        <f ca="1">IF(NOTA[[#This Row],[ID_H]]="","",IF(NOTA[[#This Row],[FAKTUR]]="",INDIRECT(ADDRESS(ROW()-1,COLUMN())),NOTA[[#This Row],[FAKTUR]]))</f>
        <v>UNTANA</v>
      </c>
      <c r="AK295" s="38" t="str">
        <f ca="1">IF(NOTA[[#This Row],[ID]]="","",COUNTIF(NOTA[ID_H],NOTA[[#This Row],[ID_H]]))</f>
        <v/>
      </c>
      <c r="AL295" s="38">
        <f ca="1">IF(NOTA[[#This Row],[TGL.NOTA]]="",IF(NOTA[[#This Row],[SUPPLIER_H]]="","",AL294),MONTH(NOTA[[#This Row],[TGL.NOTA]]))</f>
        <v>9</v>
      </c>
      <c r="AM295" s="38" t="str">
        <f>LOWER(SUBSTITUTE(SUBSTITUTE(SUBSTITUTE(SUBSTITUTE(SUBSTITUTE(SUBSTITUTE(SUBSTITUTE(SUBSTITUTE(SUBSTITUTE(NOTA[NAMA BARANG]," ",),".",""),"-",""),"(",""),")",""),",",""),"/",""),"""",""),"+",""))</f>
        <v>sticknotetf6545cmix</v>
      </c>
      <c r="AN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sticknotetf6545cmix19500000.03</v>
      </c>
      <c r="AO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sticknotetf6545cmix19500000.03</v>
      </c>
      <c r="AP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38" t="str">
        <f>IF(NOTA[[#This Row],[CONCAT4]]="","",_xlfn.IFNA(MATCH(NOTA[[#This Row],[CONCAT4]],[2]!RAW[CONCAT_H],0),FALSE))</f>
        <v/>
      </c>
      <c r="AR295" s="38" t="e">
        <f>IF(NOTA[[#This Row],[CONCAT1]]="","",MATCH(NOTA[[#This Row],[CONCAT1]],[3]!db[NB NOTA_C],0))</f>
        <v>#N/A</v>
      </c>
      <c r="AS295" s="38" t="b">
        <f>IF(NOTA[[#This Row],[QTY/ CTN]]="","",TRUE)</f>
        <v>1</v>
      </c>
      <c r="AT295" s="38" t="str">
        <f ca="1">IF(NOTA[[#This Row],[ID_H]]="","",IF(NOTA[[#This Row],[Column3]]=TRUE,NOTA[[#This Row],[QTY/ CTN]],INDEX([3]!db[QTY/ CTN],NOTA[[#This Row],[//DB]])))</f>
        <v>600 PCS</v>
      </c>
      <c r="AU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sticknotetf6545cmix600pcsuntana</v>
      </c>
      <c r="AV295" s="38" t="e">
        <f ca="1">IF(NOTA[[#This Row],[ID_H]]="","",MATCH(NOTA[[#This Row],[NB NOTA_C_QTY]],[4]!db[NB NOTA_C_QTY+F],0))</f>
        <v>#REF!</v>
      </c>
      <c r="AW295" s="53">
        <f ca="1">IF(NOTA[[#This Row],[NB NOTA_C_QTY]]="","",ROW()-2)</f>
        <v>293</v>
      </c>
    </row>
    <row r="296" spans="1:49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47</v>
      </c>
      <c r="E296" s="46"/>
      <c r="F296" s="37"/>
      <c r="G296" s="37"/>
      <c r="H296" s="47"/>
      <c r="I296" s="37"/>
      <c r="J296" s="39"/>
      <c r="K296" s="37"/>
      <c r="L296" s="37" t="s">
        <v>416</v>
      </c>
      <c r="M296" s="40">
        <v>1</v>
      </c>
      <c r="N296" s="38">
        <v>600</v>
      </c>
      <c r="O296" s="37" t="s">
        <v>126</v>
      </c>
      <c r="P296" s="41">
        <v>3250</v>
      </c>
      <c r="Q296" s="42"/>
      <c r="R296" s="48" t="s">
        <v>340</v>
      </c>
      <c r="S296" s="49">
        <v>0.03</v>
      </c>
      <c r="T296" s="44"/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1950000</v>
      </c>
      <c r="Y296" s="50">
        <f>IF(NOTA[[#This Row],[JUMLAH]]="","",NOTA[[#This Row],[JUMLAH]]*NOTA[[#This Row],[DISC 1]])</f>
        <v>58500</v>
      </c>
      <c r="Z296" s="50">
        <f>IF(NOTA[[#This Row],[JUMLAH]]="","",(NOTA[[#This Row],[JUMLAH]]-NOTA[[#This Row],[DISC 1-]])*NOTA[[#This Row],[DISC 2]])</f>
        <v>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58500</v>
      </c>
      <c r="AC296" s="50">
        <f>IF(NOTA[[#This Row],[JUMLAH]]="","",NOTA[[#This Row],[JUMLAH]]-NOTA[[#This Row],[DISC]])</f>
        <v>1891500</v>
      </c>
      <c r="AD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965340</v>
      </c>
      <c r="AE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31212660</v>
      </c>
      <c r="AF296" s="41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G296" s="50">
        <f>IF(OR(NOTA[[#This Row],[QTY]]="",NOTA[[#This Row],[HARGA SATUAN]]="",),"",NOTA[[#This Row],[QTY]]*NOTA[[#This Row],[HARGA SATUAN]])</f>
        <v>1950000</v>
      </c>
      <c r="AH296" s="39">
        <f ca="1">IF(NOTA[ID_H]="","",INDEX(NOTA[TANGGAL],MATCH(,INDIRECT(ADDRESS(ROW(NOTA[TANGGAL]),COLUMN(NOTA[TANGGAL]))&amp;":"&amp;ADDRESS(ROW(),COLUMN(NOTA[TANGGAL]))),-1)))</f>
        <v>45185</v>
      </c>
      <c r="AI296" s="41" t="str">
        <f ca="1">IF(NOTA[[#This Row],[NAMA BARANG]]="","",INDEX(NOTA[SUPPLIER],MATCH(,INDIRECT(ADDRESS(ROW(NOTA[ID]),COLUMN(NOTA[ID]))&amp;":"&amp;ADDRESS(ROW(),COLUMN(NOTA[ID]))),-1)))</f>
        <v>DUTA BUANA</v>
      </c>
      <c r="AJ296" s="41" t="str">
        <f ca="1">IF(NOTA[[#This Row],[ID_H]]="","",IF(NOTA[[#This Row],[FAKTUR]]="",INDIRECT(ADDRESS(ROW()-1,COLUMN())),NOTA[[#This Row],[FAKTUR]]))</f>
        <v>UNTANA</v>
      </c>
      <c r="AK296" s="38" t="str">
        <f ca="1">IF(NOTA[[#This Row],[ID]]="","",COUNTIF(NOTA[ID_H],NOTA[[#This Row],[ID_H]]))</f>
        <v/>
      </c>
      <c r="AL296" s="38">
        <f ca="1">IF(NOTA[[#This Row],[TGL.NOTA]]="",IF(NOTA[[#This Row],[SUPPLIER_H]]="","",AL295),MONTH(NOTA[[#This Row],[TGL.NOTA]]))</f>
        <v>9</v>
      </c>
      <c r="AM296" s="38" t="str">
        <f>LOWER(SUBSTITUTE(SUBSTITUTE(SUBSTITUTE(SUBSTITUTE(SUBSTITUTE(SUBSTITUTE(SUBSTITUTE(SUBSTITUTE(SUBSTITUTE(NOTA[NAMA BARANG]," ",),".",""),"-",""),"(",""),")",""),",",""),"/",""),"""",""),"+",""))</f>
        <v>sticknotetf654scm100</v>
      </c>
      <c r="AN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sticknotetf654scm10019500000.03</v>
      </c>
      <c r="AO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sticknotetf654scm10019500000.03</v>
      </c>
      <c r="AP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38" t="str">
        <f>IF(NOTA[[#This Row],[CONCAT4]]="","",_xlfn.IFNA(MATCH(NOTA[[#This Row],[CONCAT4]],[2]!RAW[CONCAT_H],0),FALSE))</f>
        <v/>
      </c>
      <c r="AR296" s="38" t="e">
        <f>IF(NOTA[[#This Row],[CONCAT1]]="","",MATCH(NOTA[[#This Row],[CONCAT1]],[3]!db[NB NOTA_C],0))</f>
        <v>#N/A</v>
      </c>
      <c r="AS296" s="38" t="b">
        <f>IF(NOTA[[#This Row],[QTY/ CTN]]="","",TRUE)</f>
        <v>1</v>
      </c>
      <c r="AT296" s="38" t="str">
        <f ca="1">IF(NOTA[[#This Row],[ID_H]]="","",IF(NOTA[[#This Row],[Column3]]=TRUE,NOTA[[#This Row],[QTY/ CTN]],INDEX([3]!db[QTY/ CTN],NOTA[[#This Row],[//DB]])))</f>
        <v>600 PCS</v>
      </c>
      <c r="AU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sticknotetf654scm100600pcsuntana</v>
      </c>
      <c r="AV296" s="38" t="e">
        <f ca="1">IF(NOTA[[#This Row],[ID_H]]="","",MATCH(NOTA[[#This Row],[NB NOTA_C_QTY]],[4]!db[NB NOTA_C_QTY+F],0))</f>
        <v>#REF!</v>
      </c>
      <c r="AW296" s="53">
        <f ca="1">IF(NOTA[[#This Row],[NB NOTA_C_QTY]]="","",ROW()-2)</f>
        <v>294</v>
      </c>
    </row>
    <row r="297" spans="1:49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97" s="50" t="str">
        <f>IF(OR(NOTA[[#This Row],[QTY]]="",NOTA[[#This Row],[HARGA SATUAN]]="",),"",NOTA[[#This Row],[QTY]]*NOTA[[#This Row],[HARGA SATUAN]])</f>
        <v/>
      </c>
      <c r="AH297" s="39" t="str">
        <f ca="1">IF(NOTA[ID_H]="","",INDEX(NOTA[TANGGAL],MATCH(,INDIRECT(ADDRESS(ROW(NOTA[TANGGAL]),COLUMN(NOTA[TANGGAL]))&amp;":"&amp;ADDRESS(ROW(),COLUMN(NOTA[TANGGAL]))),-1)))</f>
        <v/>
      </c>
      <c r="AI297" s="41" t="str">
        <f ca="1">IF(NOTA[[#This Row],[NAMA BARANG]]="","",INDEX(NOTA[SUPPLIER],MATCH(,INDIRECT(ADDRESS(ROW(NOTA[ID]),COLUMN(NOTA[ID]))&amp;":"&amp;ADDRESS(ROW(),COLUMN(NOTA[ID]))),-1)))</f>
        <v/>
      </c>
      <c r="AJ297" s="41" t="str">
        <f ca="1">IF(NOTA[[#This Row],[ID_H]]="","",IF(NOTA[[#This Row],[FAKTUR]]="",INDIRECT(ADDRESS(ROW()-1,COLUMN())),NOTA[[#This Row],[FAKTUR]]))</f>
        <v/>
      </c>
      <c r="AK297" s="38" t="str">
        <f ca="1">IF(NOTA[[#This Row],[ID]]="","",COUNTIF(NOTA[ID_H],NOTA[[#This Row],[ID_H]]))</f>
        <v/>
      </c>
      <c r="AL297" s="38" t="str">
        <f ca="1">IF(NOTA[[#This Row],[TGL.NOTA]]="",IF(NOTA[[#This Row],[SUPPLIER_H]]="","",AL296),MONTH(NOTA[[#This Row],[TGL.NOTA]]))</f>
        <v/>
      </c>
      <c r="AM297" s="38" t="str">
        <f>LOWER(SUBSTITUTE(SUBSTITUTE(SUBSTITUTE(SUBSTITUTE(SUBSTITUTE(SUBSTITUTE(SUBSTITUTE(SUBSTITUTE(SUBSTITUTE(NOTA[NAMA BARANG]," ",),".",""),"-",""),"(",""),")",""),",",""),"/",""),"""",""),"+",""))</f>
        <v/>
      </c>
      <c r="AN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38" t="str">
        <f>IF(NOTA[[#This Row],[CONCAT4]]="","",_xlfn.IFNA(MATCH(NOTA[[#This Row],[CONCAT4]],[2]!RAW[CONCAT_H],0),FALSE))</f>
        <v/>
      </c>
      <c r="AR297" s="38" t="str">
        <f>IF(NOTA[[#This Row],[CONCAT1]]="","",MATCH(NOTA[[#This Row],[CONCAT1]],[3]!db[NB NOTA_C],0))</f>
        <v/>
      </c>
      <c r="AS297" s="38" t="str">
        <f>IF(NOTA[[#This Row],[QTY/ CTN]]="","",TRUE)</f>
        <v/>
      </c>
      <c r="AT297" s="38" t="str">
        <f ca="1">IF(NOTA[[#This Row],[ID_H]]="","",IF(NOTA[[#This Row],[Column3]]=TRUE,NOTA[[#This Row],[QTY/ CTN]],INDEX([3]!db[QTY/ CTN],NOTA[[#This Row],[//DB]])))</f>
        <v/>
      </c>
      <c r="AU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7" s="38" t="str">
        <f ca="1">IF(NOTA[[#This Row],[ID_H]]="","",MATCH(NOTA[[#This Row],[NB NOTA_C_QTY]],[4]!db[NB NOTA_C_QTY+F],0))</f>
        <v/>
      </c>
      <c r="AW297" s="53" t="str">
        <f ca="1">IF(NOTA[[#This Row],[NB NOTA_C_QTY]]="","",ROW()-2)</f>
        <v/>
      </c>
    </row>
    <row r="298" spans="1:49" s="38" customFormat="1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BIN_1609_236-1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 t="s">
        <v>419</v>
      </c>
      <c r="G298" s="37" t="s">
        <v>123</v>
      </c>
      <c r="H298" s="47" t="s">
        <v>420</v>
      </c>
      <c r="I298" s="37"/>
      <c r="J298" s="39">
        <v>45181</v>
      </c>
      <c r="K298" s="37"/>
      <c r="L298" s="37" t="s">
        <v>421</v>
      </c>
      <c r="M298" s="40">
        <v>5</v>
      </c>
      <c r="N298" s="38">
        <v>1350</v>
      </c>
      <c r="O298" s="37" t="s">
        <v>286</v>
      </c>
      <c r="P298" s="41">
        <v>6500</v>
      </c>
      <c r="Q298" s="42"/>
      <c r="R298" s="48" t="s">
        <v>422</v>
      </c>
      <c r="S298" s="49"/>
      <c r="T298" s="44"/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8775000</v>
      </c>
      <c r="Y298" s="50">
        <f>IF(NOTA[[#This Row],[JUMLAH]]="","",NOTA[[#This Row],[JUMLAH]]*NOTA[[#This Row],[DISC 1]])</f>
        <v>0</v>
      </c>
      <c r="Z298" s="50">
        <f>IF(NOTA[[#This Row],[JUMLAH]]="","",(NOTA[[#This Row],[JUMLAH]]-NOTA[[#This Row],[DISC 1-]])*NOTA[[#This Row],[DISC 2]])</f>
        <v>0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0</v>
      </c>
      <c r="AC298" s="50">
        <f>IF(NOTA[[#This Row],[JUMLAH]]="","",NOTA[[#This Row],[JUMLAH]]-NOTA[[#This Row],[DISC]])</f>
        <v>8775000</v>
      </c>
      <c r="AD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2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8775000</v>
      </c>
      <c r="AF298" s="4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G298" s="50">
        <f>IF(OR(NOTA[[#This Row],[QTY]]="",NOTA[[#This Row],[HARGA SATUAN]]="",),"",NOTA[[#This Row],[QTY]]*NOTA[[#This Row],[HARGA SATUAN]])</f>
        <v>8775000</v>
      </c>
      <c r="AH298" s="39">
        <f ca="1">IF(NOTA[ID_H]="","",INDEX(NOTA[TANGGAL],MATCH(,INDIRECT(ADDRESS(ROW(NOTA[TANGGAL]),COLUMN(NOTA[TANGGAL]))&amp;":"&amp;ADDRESS(ROW(),COLUMN(NOTA[TANGGAL]))),-1)))</f>
        <v>45185</v>
      </c>
      <c r="AI298" s="41" t="str">
        <f ca="1">IF(NOTA[[#This Row],[NAMA BARANG]]="","",INDEX(NOTA[SUPPLIER],MATCH(,INDIRECT(ADDRESS(ROW(NOTA[ID]),COLUMN(NOTA[ID]))&amp;":"&amp;ADDRESS(ROW(),COLUMN(NOTA[ID]))),-1)))</f>
        <v>BINTANG SAUDARA</v>
      </c>
      <c r="AJ298" s="41" t="str">
        <f ca="1">IF(NOTA[[#This Row],[ID_H]]="","",IF(NOTA[[#This Row],[FAKTUR]]="",INDIRECT(ADDRESS(ROW()-1,COLUMN())),NOTA[[#This Row],[FAKTUR]]))</f>
        <v>UNTANA</v>
      </c>
      <c r="AK298" s="38">
        <f ca="1">IF(NOTA[[#This Row],[ID]]="","",COUNTIF(NOTA[ID_H],NOTA[[#This Row],[ID_H]]))</f>
        <v>1</v>
      </c>
      <c r="AL298" s="38">
        <f>IF(NOTA[[#This Row],[TGL.NOTA]]="",IF(NOTA[[#This Row],[SUPPLIER_H]]="","",AL297),MONTH(NOTA[[#This Row],[TGL.NOTA]]))</f>
        <v>9</v>
      </c>
      <c r="AM298" s="38" t="str">
        <f>LOWER(SUBSTITUTE(SUBSTITUTE(SUBSTITUTE(SUBSTITUTE(SUBSTITUTE(SUBSTITUTE(SUBSTITUTE(SUBSTITUTE(SUBSTITUTE(NOTA[NAMA BARANG]," ",),".",""),"-",""),"(",""),")",""),",",""),"/",""),"""",""),"+",""))</f>
        <v>kertascrapepotkreasikoalamix</v>
      </c>
      <c r="AN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kertascrapepotkreasikoalamix1755000</v>
      </c>
      <c r="AO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kertascrapepotkreasikoalamix1755000</v>
      </c>
      <c r="AP29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SAUDARAUNTANASO202309008223645181kertascrapepotkreasikoalamix</v>
      </c>
      <c r="AQ298" s="38" t="e">
        <f>IF(NOTA[[#This Row],[CONCAT4]]="","",_xlfn.IFNA(MATCH(NOTA[[#This Row],[CONCAT4]],[2]!RAW[CONCAT_H],0),FALSE))</f>
        <v>#REF!</v>
      </c>
      <c r="AR298" s="38" t="e">
        <f>IF(NOTA[[#This Row],[CONCAT1]]="","",MATCH(NOTA[[#This Row],[CONCAT1]],[3]!db[NB NOTA_C],0))</f>
        <v>#N/A</v>
      </c>
      <c r="AS298" s="38" t="b">
        <f>IF(NOTA[[#This Row],[QTY/ CTN]]="","",TRUE)</f>
        <v>1</v>
      </c>
      <c r="AT298" s="38" t="str">
        <f ca="1">IF(NOTA[[#This Row],[ID_H]]="","",IF(NOTA[[#This Row],[Column3]]=TRUE,NOTA[[#This Row],[QTY/ CTN]],INDEX([3]!db[QTY/ CTN],NOTA[[#This Row],[//DB]])))</f>
        <v>270 PAK</v>
      </c>
      <c r="AU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kertascrapepotkreasikoalamix270pakuntana</v>
      </c>
      <c r="AV298" s="38" t="e">
        <f ca="1">IF(NOTA[[#This Row],[ID_H]]="","",MATCH(NOTA[[#This Row],[NB NOTA_C_QTY]],[4]!db[NB NOTA_C_QTY+F],0))</f>
        <v>#REF!</v>
      </c>
      <c r="AW298" s="53">
        <f ca="1">IF(NOTA[[#This Row],[NB NOTA_C_QTY]]="","",ROW()-2)</f>
        <v>296</v>
      </c>
    </row>
    <row r="299" spans="1:49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299" s="50" t="str">
        <f>IF(OR(NOTA[[#This Row],[QTY]]="",NOTA[[#This Row],[HARGA SATUAN]]="",),"",NOTA[[#This Row],[QTY]]*NOTA[[#This Row],[HARGA SATUAN]])</f>
        <v/>
      </c>
      <c r="AH299" s="39" t="str">
        <f ca="1">IF(NOTA[ID_H]="","",INDEX(NOTA[TANGGAL],MATCH(,INDIRECT(ADDRESS(ROW(NOTA[TANGGAL]),COLUMN(NOTA[TANGGAL]))&amp;":"&amp;ADDRESS(ROW(),COLUMN(NOTA[TANGGAL]))),-1)))</f>
        <v/>
      </c>
      <c r="AI299" s="41" t="str">
        <f ca="1">IF(NOTA[[#This Row],[NAMA BARANG]]="","",INDEX(NOTA[SUPPLIER],MATCH(,INDIRECT(ADDRESS(ROW(NOTA[ID]),COLUMN(NOTA[ID]))&amp;":"&amp;ADDRESS(ROW(),COLUMN(NOTA[ID]))),-1)))</f>
        <v/>
      </c>
      <c r="AJ299" s="41" t="str">
        <f ca="1">IF(NOTA[[#This Row],[ID_H]]="","",IF(NOTA[[#This Row],[FAKTUR]]="",INDIRECT(ADDRESS(ROW()-1,COLUMN())),NOTA[[#This Row],[FAKTUR]]))</f>
        <v/>
      </c>
      <c r="AK299" s="38" t="str">
        <f ca="1">IF(NOTA[[#This Row],[ID]]="","",COUNTIF(NOTA[ID_H],NOTA[[#This Row],[ID_H]]))</f>
        <v/>
      </c>
      <c r="AL299" s="38" t="str">
        <f ca="1">IF(NOTA[[#This Row],[TGL.NOTA]]="",IF(NOTA[[#This Row],[SUPPLIER_H]]="","",AL298),MONTH(NOTA[[#This Row],[TGL.NOTA]]))</f>
        <v/>
      </c>
      <c r="AM299" s="38" t="str">
        <f>LOWER(SUBSTITUTE(SUBSTITUTE(SUBSTITUTE(SUBSTITUTE(SUBSTITUTE(SUBSTITUTE(SUBSTITUTE(SUBSTITUTE(SUBSTITUTE(NOTA[NAMA BARANG]," ",),".",""),"-",""),"(",""),")",""),",",""),"/",""),"""",""),"+",""))</f>
        <v/>
      </c>
      <c r="AN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38" t="str">
        <f>IF(NOTA[[#This Row],[CONCAT4]]="","",_xlfn.IFNA(MATCH(NOTA[[#This Row],[CONCAT4]],[2]!RAW[CONCAT_H],0),FALSE))</f>
        <v/>
      </c>
      <c r="AR299" s="38" t="str">
        <f>IF(NOTA[[#This Row],[CONCAT1]]="","",MATCH(NOTA[[#This Row],[CONCAT1]],[3]!db[NB NOTA_C],0))</f>
        <v/>
      </c>
      <c r="AS299" s="38" t="str">
        <f>IF(NOTA[[#This Row],[QTY/ CTN]]="","",TRUE)</f>
        <v/>
      </c>
      <c r="AT299" s="38" t="str">
        <f ca="1">IF(NOTA[[#This Row],[ID_H]]="","",IF(NOTA[[#This Row],[Column3]]=TRUE,NOTA[[#This Row],[QTY/ CTN]],INDEX([3]!db[QTY/ CTN],NOTA[[#This Row],[//DB]])))</f>
        <v/>
      </c>
      <c r="AU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9" s="38" t="str">
        <f ca="1">IF(NOTA[[#This Row],[ID_H]]="","",MATCH(NOTA[[#This Row],[NB NOTA_C_QTY]],[4]!db[NB NOTA_C_QTY+F],0))</f>
        <v/>
      </c>
      <c r="AW299" s="53" t="str">
        <f ca="1">IF(NOTA[[#This Row],[NB NOTA_C_QTY]]="","",ROW()-2)</f>
        <v/>
      </c>
    </row>
    <row r="300" spans="1:49" s="38" customFormat="1" ht="20.100000000000001" customHeight="1" x14ac:dyDescent="0.25">
      <c r="A300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BIN_1609_168-2</v>
      </c>
      <c r="C300" s="38" t="e">
        <f ca="1">IF(NOTA[[#This Row],[ID_P]]="","",MATCH(NOTA[[#This Row],[ID_P]],[1]!B_MSK[N_ID],0))</f>
        <v>#REF!</v>
      </c>
      <c r="D300" s="38">
        <f ca="1">IF(NOTA[[#This Row],[NAMA BARANG]]="","",INDEX(NOTA[ID],MATCH(,INDIRECT(ADDRESS(ROW(NOTA[ID]),COLUMN(NOTA[ID]))&amp;":"&amp;ADDRESS(ROW(),COLUMN(NOTA[ID]))),-1)))</f>
        <v>49</v>
      </c>
      <c r="E300" s="46"/>
      <c r="F300" s="37" t="s">
        <v>419</v>
      </c>
      <c r="G300" s="37" t="s">
        <v>123</v>
      </c>
      <c r="H300" s="47" t="s">
        <v>423</v>
      </c>
      <c r="I300" s="37"/>
      <c r="J300" s="39">
        <v>45177</v>
      </c>
      <c r="K300" s="37"/>
      <c r="L300" s="37" t="s">
        <v>424</v>
      </c>
      <c r="M300" s="40"/>
      <c r="N300" s="38">
        <v>720</v>
      </c>
      <c r="O300" s="37" t="s">
        <v>126</v>
      </c>
      <c r="P300" s="41">
        <v>6500</v>
      </c>
      <c r="Q300" s="42"/>
      <c r="R300" s="48"/>
      <c r="S300" s="49"/>
      <c r="T300" s="44"/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4680000</v>
      </c>
      <c r="Y300" s="50">
        <f>IF(NOTA[[#This Row],[JUMLAH]]="","",NOTA[[#This Row],[JUMLAH]]*NOTA[[#This Row],[DISC 1]])</f>
        <v>0</v>
      </c>
      <c r="Z300" s="50">
        <f>IF(NOTA[[#This Row],[JUMLAH]]="","",(NOTA[[#This Row],[JUMLAH]]-NOTA[[#This Row],[DISC 1-]])*NOTA[[#This Row],[DISC 2]])</f>
        <v>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0</v>
      </c>
      <c r="AC300" s="50">
        <f>IF(NOTA[[#This Row],[JUMLAH]]="","",NOTA[[#This Row],[JUMLAH]]-NOTA[[#This Row],[DISC]])</f>
        <v>4680000</v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0" s="4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G300" s="50">
        <f>IF(OR(NOTA[[#This Row],[QTY]]="",NOTA[[#This Row],[HARGA SATUAN]]="",),"",NOTA[[#This Row],[QTY]]*NOTA[[#This Row],[HARGA SATUAN]])</f>
        <v>4680000</v>
      </c>
      <c r="AH300" s="39">
        <f ca="1">IF(NOTA[ID_H]="","",INDEX(NOTA[TANGGAL],MATCH(,INDIRECT(ADDRESS(ROW(NOTA[TANGGAL]),COLUMN(NOTA[TANGGAL]))&amp;":"&amp;ADDRESS(ROW(),COLUMN(NOTA[TANGGAL]))),-1)))</f>
        <v>45185</v>
      </c>
      <c r="AI300" s="41" t="str">
        <f ca="1">IF(NOTA[[#This Row],[NAMA BARANG]]="","",INDEX(NOTA[SUPPLIER],MATCH(,INDIRECT(ADDRESS(ROW(NOTA[ID]),COLUMN(NOTA[ID]))&amp;":"&amp;ADDRESS(ROW(),COLUMN(NOTA[ID]))),-1)))</f>
        <v>BINTANG SAUDARA</v>
      </c>
      <c r="AJ300" s="41" t="str">
        <f ca="1">IF(NOTA[[#This Row],[ID_H]]="","",IF(NOTA[[#This Row],[FAKTUR]]="",INDIRECT(ADDRESS(ROW()-1,COLUMN())),NOTA[[#This Row],[FAKTUR]]))</f>
        <v>UNTANA</v>
      </c>
      <c r="AK300" s="38">
        <f ca="1">IF(NOTA[[#This Row],[ID]]="","",COUNTIF(NOTA[ID_H],NOTA[[#This Row],[ID_H]]))</f>
        <v>2</v>
      </c>
      <c r="AL300" s="38">
        <f>IF(NOTA[[#This Row],[TGL.NOTA]]="",IF(NOTA[[#This Row],[SUPPLIER_H]]="","",AL299),MONTH(NOTA[[#This Row],[TGL.NOTA]]))</f>
        <v>9</v>
      </c>
      <c r="AM300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N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acrylicnt7x10cm4680000</v>
      </c>
      <c r="AO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P300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SAUDARAUNTANASO202309008216845177acrylicnt7x10cm</v>
      </c>
      <c r="AQ300" s="38" t="e">
        <f>IF(NOTA[[#This Row],[CONCAT4]]="","",_xlfn.IFNA(MATCH(NOTA[[#This Row],[CONCAT4]],[2]!RAW[CONCAT_H],0),FALSE))</f>
        <v>#REF!</v>
      </c>
      <c r="AR300" s="38">
        <f>IF(NOTA[[#This Row],[CONCAT1]]="","",MATCH(NOTA[[#This Row],[CONCAT1]],[3]!db[NB NOTA_C],0))</f>
        <v>28</v>
      </c>
      <c r="AS300" s="38" t="str">
        <f>IF(NOTA[[#This Row],[QTY/ CTN]]="","",TRUE)</f>
        <v/>
      </c>
      <c r="AT300" s="38" t="str">
        <f ca="1">IF(NOTA[[#This Row],[ID_H]]="","",IF(NOTA[[#This Row],[Column3]]=TRUE,NOTA[[#This Row],[QTY/ CTN]],INDEX([3]!db[QTY/ CTN],NOTA[[#This Row],[//DB]])))</f>
        <v>288 PCS</v>
      </c>
      <c r="AU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V300" s="38" t="e">
        <f ca="1">IF(NOTA[[#This Row],[ID_H]]="","",MATCH(NOTA[[#This Row],[NB NOTA_C_QTY]],[4]!db[NB NOTA_C_QTY+F],0))</f>
        <v>#REF!</v>
      </c>
      <c r="AW300" s="53">
        <f ca="1">IF(NOTA[[#This Row],[NB NOTA_C_QTY]]="","",ROW()-2)</f>
        <v>298</v>
      </c>
    </row>
    <row r="301" spans="1:49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49</v>
      </c>
      <c r="E301" s="46"/>
      <c r="F301" s="37"/>
      <c r="G301" s="37"/>
      <c r="H301" s="47"/>
      <c r="I301" s="37"/>
      <c r="J301" s="39"/>
      <c r="K301" s="37"/>
      <c r="L301" s="37" t="s">
        <v>425</v>
      </c>
      <c r="M301" s="40">
        <v>2</v>
      </c>
      <c r="N301" s="38">
        <v>80</v>
      </c>
      <c r="O301" s="37" t="s">
        <v>126</v>
      </c>
      <c r="P301" s="41">
        <v>44500</v>
      </c>
      <c r="Q301" s="42"/>
      <c r="R301" s="48" t="s">
        <v>426</v>
      </c>
      <c r="S301" s="49"/>
      <c r="T301" s="44"/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3560000</v>
      </c>
      <c r="Y301" s="50">
        <f>IF(NOTA[[#This Row],[JUMLAH]]="","",NOTA[[#This Row],[JUMLAH]]*NOTA[[#This Row],[DISC 1]])</f>
        <v>0</v>
      </c>
      <c r="Z301" s="50">
        <f>IF(NOTA[[#This Row],[JUMLAH]]="","",(NOTA[[#This Row],[JUMLAH]]-NOTA[[#This Row],[DISC 1-]])*NOTA[[#This Row],[DISC 2]])</f>
        <v>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0</v>
      </c>
      <c r="AC301" s="50">
        <f>IF(NOTA[[#This Row],[JUMLAH]]="","",NOTA[[#This Row],[JUMLAH]]-NOTA[[#This Row],[DISC]])</f>
        <v>3560000</v>
      </c>
      <c r="AD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8240000</v>
      </c>
      <c r="AF301" s="41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G301" s="50">
        <f>IF(OR(NOTA[[#This Row],[QTY]]="",NOTA[[#This Row],[HARGA SATUAN]]="",),"",NOTA[[#This Row],[QTY]]*NOTA[[#This Row],[HARGA SATUAN]])</f>
        <v>3560000</v>
      </c>
      <c r="AH301" s="39">
        <f ca="1">IF(NOTA[ID_H]="","",INDEX(NOTA[TANGGAL],MATCH(,INDIRECT(ADDRESS(ROW(NOTA[TANGGAL]),COLUMN(NOTA[TANGGAL]))&amp;":"&amp;ADDRESS(ROW(),COLUMN(NOTA[TANGGAL]))),-1)))</f>
        <v>45185</v>
      </c>
      <c r="AI301" s="41" t="str">
        <f ca="1">IF(NOTA[[#This Row],[NAMA BARANG]]="","",INDEX(NOTA[SUPPLIER],MATCH(,INDIRECT(ADDRESS(ROW(NOTA[ID]),COLUMN(NOTA[ID]))&amp;":"&amp;ADDRESS(ROW(),COLUMN(NOTA[ID]))),-1)))</f>
        <v>BINTANG SAUDARA</v>
      </c>
      <c r="AJ301" s="41" t="str">
        <f ca="1">IF(NOTA[[#This Row],[ID_H]]="","",IF(NOTA[[#This Row],[FAKTUR]]="",INDIRECT(ADDRESS(ROW()-1,COLUMN())),NOTA[[#This Row],[FAKTUR]]))</f>
        <v>UNTANA</v>
      </c>
      <c r="AK301" s="38" t="str">
        <f ca="1">IF(NOTA[[#This Row],[ID]]="","",COUNTIF(NOTA[ID_H],NOTA[[#This Row],[ID_H]]))</f>
        <v/>
      </c>
      <c r="AL301" s="38">
        <f ca="1">IF(NOTA[[#This Row],[TGL.NOTA]]="",IF(NOTA[[#This Row],[SUPPLIER_H]]="","",AL300),MONTH(NOTA[[#This Row],[TGL.NOTA]]))</f>
        <v>9</v>
      </c>
      <c r="AM301" s="38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N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acrylicsisipankertasa4t30x21cm1780000</v>
      </c>
      <c r="AO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acrylicsisipankertasa4t30x21cm1780000</v>
      </c>
      <c r="AP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38" t="str">
        <f>IF(NOTA[[#This Row],[CONCAT4]]="","",_xlfn.IFNA(MATCH(NOTA[[#This Row],[CONCAT4]],[2]!RAW[CONCAT_H],0),FALSE))</f>
        <v/>
      </c>
      <c r="AR301" s="38">
        <f>IF(NOTA[[#This Row],[CONCAT1]]="","",MATCH(NOTA[[#This Row],[CONCAT1]],[3]!db[NB NOTA_C],0))</f>
        <v>36</v>
      </c>
      <c r="AS301" s="38" t="b">
        <f>IF(NOTA[[#This Row],[QTY/ CTN]]="","",TRUE)</f>
        <v>1</v>
      </c>
      <c r="AT301" s="38" t="str">
        <f ca="1">IF(NOTA[[#This Row],[ID_H]]="","",IF(NOTA[[#This Row],[Column3]]=TRUE,NOTA[[#This Row],[QTY/ CTN]],INDEX([3]!db[QTY/ CTN],NOTA[[#This Row],[//DB]])))</f>
        <v>40 PCS</v>
      </c>
      <c r="AU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acrylicsisipankertasa4t30x21cm40pcsuntana</v>
      </c>
      <c r="AV301" s="38" t="e">
        <f ca="1">IF(NOTA[[#This Row],[ID_H]]="","",MATCH(NOTA[[#This Row],[NB NOTA_C_QTY]],[4]!db[NB NOTA_C_QTY+F],0))</f>
        <v>#REF!</v>
      </c>
      <c r="AW301" s="53">
        <f ca="1">IF(NOTA[[#This Row],[NB NOTA_C_QTY]]="","",ROW()-2)</f>
        <v>299</v>
      </c>
    </row>
    <row r="302" spans="1:49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02" s="50" t="str">
        <f>IF(OR(NOTA[[#This Row],[QTY]]="",NOTA[[#This Row],[HARGA SATUAN]]="",),"",NOTA[[#This Row],[QTY]]*NOTA[[#This Row],[HARGA SATUAN]])</f>
        <v/>
      </c>
      <c r="AH302" s="39" t="str">
        <f ca="1">IF(NOTA[ID_H]="","",INDEX(NOTA[TANGGAL],MATCH(,INDIRECT(ADDRESS(ROW(NOTA[TANGGAL]),COLUMN(NOTA[TANGGAL]))&amp;":"&amp;ADDRESS(ROW(),COLUMN(NOTA[TANGGAL]))),-1)))</f>
        <v/>
      </c>
      <c r="AI302" s="41" t="str">
        <f ca="1">IF(NOTA[[#This Row],[NAMA BARANG]]="","",INDEX(NOTA[SUPPLIER],MATCH(,INDIRECT(ADDRESS(ROW(NOTA[ID]),COLUMN(NOTA[ID]))&amp;":"&amp;ADDRESS(ROW(),COLUMN(NOTA[ID]))),-1)))</f>
        <v/>
      </c>
      <c r="AJ302" s="41" t="str">
        <f ca="1">IF(NOTA[[#This Row],[ID_H]]="","",IF(NOTA[[#This Row],[FAKTUR]]="",INDIRECT(ADDRESS(ROW()-1,COLUMN())),NOTA[[#This Row],[FAKTUR]]))</f>
        <v/>
      </c>
      <c r="AK302" s="38" t="str">
        <f ca="1">IF(NOTA[[#This Row],[ID]]="","",COUNTIF(NOTA[ID_H],NOTA[[#This Row],[ID_H]]))</f>
        <v/>
      </c>
      <c r="AL302" s="38" t="str">
        <f ca="1">IF(NOTA[[#This Row],[TGL.NOTA]]="",IF(NOTA[[#This Row],[SUPPLIER_H]]="","",AL301),MONTH(NOTA[[#This Row],[TGL.NOTA]]))</f>
        <v/>
      </c>
      <c r="AM302" s="38" t="str">
        <f>LOWER(SUBSTITUTE(SUBSTITUTE(SUBSTITUTE(SUBSTITUTE(SUBSTITUTE(SUBSTITUTE(SUBSTITUTE(SUBSTITUTE(SUBSTITUTE(NOTA[NAMA BARANG]," ",),".",""),"-",""),"(",""),")",""),",",""),"/",""),"""",""),"+",""))</f>
        <v/>
      </c>
      <c r="AN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38" t="str">
        <f>IF(NOTA[[#This Row],[CONCAT4]]="","",_xlfn.IFNA(MATCH(NOTA[[#This Row],[CONCAT4]],[2]!RAW[CONCAT_H],0),FALSE))</f>
        <v/>
      </c>
      <c r="AR302" s="38" t="str">
        <f>IF(NOTA[[#This Row],[CONCAT1]]="","",MATCH(NOTA[[#This Row],[CONCAT1]],[3]!db[NB NOTA_C],0))</f>
        <v/>
      </c>
      <c r="AS302" s="38" t="str">
        <f>IF(NOTA[[#This Row],[QTY/ CTN]]="","",TRUE)</f>
        <v/>
      </c>
      <c r="AT302" s="38" t="str">
        <f ca="1">IF(NOTA[[#This Row],[ID_H]]="","",IF(NOTA[[#This Row],[Column3]]=TRUE,NOTA[[#This Row],[QTY/ CTN]],INDEX([3]!db[QTY/ CTN],NOTA[[#This Row],[//DB]])))</f>
        <v/>
      </c>
      <c r="AU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2" s="38" t="str">
        <f ca="1">IF(NOTA[[#This Row],[ID_H]]="","",MATCH(NOTA[[#This Row],[NB NOTA_C_QTY]],[4]!db[NB NOTA_C_QTY+F],0))</f>
        <v/>
      </c>
      <c r="AW302" s="53" t="str">
        <f ca="1">IF(NOTA[[#This Row],[NB NOTA_C_QTY]]="","",ROW()-2)</f>
        <v/>
      </c>
    </row>
    <row r="303" spans="1:49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BIN_1609_179-1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50</v>
      </c>
      <c r="E303" s="46"/>
      <c r="F303" s="37" t="s">
        <v>419</v>
      </c>
      <c r="G303" s="37" t="s">
        <v>123</v>
      </c>
      <c r="H303" s="47" t="s">
        <v>427</v>
      </c>
      <c r="I303" s="37"/>
      <c r="J303" s="39">
        <v>45178</v>
      </c>
      <c r="K303" s="37"/>
      <c r="L303" s="37" t="s">
        <v>428</v>
      </c>
      <c r="M303" s="40"/>
      <c r="N303" s="38">
        <v>288</v>
      </c>
      <c r="O303" s="37" t="s">
        <v>126</v>
      </c>
      <c r="P303" s="41">
        <v>6500</v>
      </c>
      <c r="Q303" s="42"/>
      <c r="R303" s="48"/>
      <c r="S303" s="49"/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1872000</v>
      </c>
      <c r="Y303" s="50">
        <f>IF(NOTA[[#This Row],[JUMLAH]]="","",NOTA[[#This Row],[JUMLAH]]*NOTA[[#This Row],[DISC 1]])</f>
        <v>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0</v>
      </c>
      <c r="AC303" s="50">
        <f>IF(NOTA[[#This Row],[JUMLAH]]="","",NOTA[[#This Row],[JUMLAH]]-NOTA[[#This Row],[DISC]])</f>
        <v>1872000</v>
      </c>
      <c r="AD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</v>
      </c>
      <c r="AF303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G303" s="50">
        <f>IF(OR(NOTA[[#This Row],[QTY]]="",NOTA[[#This Row],[HARGA SATUAN]]="",),"",NOTA[[#This Row],[QTY]]*NOTA[[#This Row],[HARGA SATUAN]])</f>
        <v>1872000</v>
      </c>
      <c r="AH303" s="39">
        <f ca="1">IF(NOTA[ID_H]="","",INDEX(NOTA[TANGGAL],MATCH(,INDIRECT(ADDRESS(ROW(NOTA[TANGGAL]),COLUMN(NOTA[TANGGAL]))&amp;":"&amp;ADDRESS(ROW(),COLUMN(NOTA[TANGGAL]))),-1)))</f>
        <v>45185</v>
      </c>
      <c r="AI303" s="41" t="str">
        <f ca="1">IF(NOTA[[#This Row],[NAMA BARANG]]="","",INDEX(NOTA[SUPPLIER],MATCH(,INDIRECT(ADDRESS(ROW(NOTA[ID]),COLUMN(NOTA[ID]))&amp;":"&amp;ADDRESS(ROW(),COLUMN(NOTA[ID]))),-1)))</f>
        <v>BINTANG SAUDARA</v>
      </c>
      <c r="AJ303" s="41" t="str">
        <f ca="1">IF(NOTA[[#This Row],[ID_H]]="","",IF(NOTA[[#This Row],[FAKTUR]]="",INDIRECT(ADDRESS(ROW()-1,COLUMN())),NOTA[[#This Row],[FAKTUR]]))</f>
        <v>UNTANA</v>
      </c>
      <c r="AK303" s="38">
        <f ca="1">IF(NOTA[[#This Row],[ID]]="","",COUNTIF(NOTA[ID_H],NOTA[[#This Row],[ID_H]]))</f>
        <v>1</v>
      </c>
      <c r="AL303" s="38">
        <f>IF(NOTA[[#This Row],[TGL.NOTA]]="",IF(NOTA[[#This Row],[SUPPLIER_H]]="","",AL302),MONTH(NOTA[[#This Row],[TGL.NOTA]]))</f>
        <v>9</v>
      </c>
      <c r="AM303" s="38" t="str">
        <f>LOWER(SUBSTITUTE(SUBSTITUTE(SUBSTITUTE(SUBSTITUTE(SUBSTITUTE(SUBSTITUTE(SUBSTITUTE(SUBSTITUTE(SUBSTITUTE(NOTA[NAMA BARANG]," ",),".",""),"-",""),"(",""),")",""),",",""),"/",""),"""",""),"+",""))</f>
        <v>acrylicnt7x10cm</v>
      </c>
      <c r="AN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acrylicnt7x10cm1872000</v>
      </c>
      <c r="AO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acrylicnt7x10cm6500</v>
      </c>
      <c r="AP30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SAUDARAUNTANASO202309008217945178acrylicnt7x10cm</v>
      </c>
      <c r="AQ303" s="38" t="e">
        <f>IF(NOTA[[#This Row],[CONCAT4]]="","",_xlfn.IFNA(MATCH(NOTA[[#This Row],[CONCAT4]],[2]!RAW[CONCAT_H],0),FALSE))</f>
        <v>#REF!</v>
      </c>
      <c r="AR303" s="38">
        <f>IF(NOTA[[#This Row],[CONCAT1]]="","",MATCH(NOTA[[#This Row],[CONCAT1]],[3]!db[NB NOTA_C],0))</f>
        <v>28</v>
      </c>
      <c r="AS303" s="38" t="str">
        <f>IF(NOTA[[#This Row],[QTY/ CTN]]="","",TRUE)</f>
        <v/>
      </c>
      <c r="AT303" s="38" t="str">
        <f ca="1">IF(NOTA[[#This Row],[ID_H]]="","",IF(NOTA[[#This Row],[Column3]]=TRUE,NOTA[[#This Row],[QTY/ CTN]],INDEX([3]!db[QTY/ CTN],NOTA[[#This Row],[//DB]])))</f>
        <v>288 PCS</v>
      </c>
      <c r="AU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acrylicnt7x10cm288pcsuntana</v>
      </c>
      <c r="AV303" s="38" t="e">
        <f ca="1">IF(NOTA[[#This Row],[ID_H]]="","",MATCH(NOTA[[#This Row],[NB NOTA_C_QTY]],[4]!db[NB NOTA_C_QTY+F],0))</f>
        <v>#REF!</v>
      </c>
      <c r="AW303" s="53">
        <f ca="1">IF(NOTA[[#This Row],[NB NOTA_C_QTY]]="","",ROW()-2)</f>
        <v>301</v>
      </c>
    </row>
    <row r="304" spans="1:49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04" s="50" t="str">
        <f>IF(OR(NOTA[[#This Row],[QTY]]="",NOTA[[#This Row],[HARGA SATUAN]]="",),"",NOTA[[#This Row],[QTY]]*NOTA[[#This Row],[HARGA SATUAN]])</f>
        <v/>
      </c>
      <c r="AH304" s="39" t="str">
        <f ca="1">IF(NOTA[ID_H]="","",INDEX(NOTA[TANGGAL],MATCH(,INDIRECT(ADDRESS(ROW(NOTA[TANGGAL]),COLUMN(NOTA[TANGGAL]))&amp;":"&amp;ADDRESS(ROW(),COLUMN(NOTA[TANGGAL]))),-1)))</f>
        <v/>
      </c>
      <c r="AI304" s="41" t="str">
        <f ca="1">IF(NOTA[[#This Row],[NAMA BARANG]]="","",INDEX(NOTA[SUPPLIER],MATCH(,INDIRECT(ADDRESS(ROW(NOTA[ID]),COLUMN(NOTA[ID]))&amp;":"&amp;ADDRESS(ROW(),COLUMN(NOTA[ID]))),-1)))</f>
        <v/>
      </c>
      <c r="AJ304" s="41" t="str">
        <f ca="1">IF(NOTA[[#This Row],[ID_H]]="","",IF(NOTA[[#This Row],[FAKTUR]]="",INDIRECT(ADDRESS(ROW()-1,COLUMN())),NOTA[[#This Row],[FAKTUR]]))</f>
        <v/>
      </c>
      <c r="AK304" s="38" t="str">
        <f ca="1">IF(NOTA[[#This Row],[ID]]="","",COUNTIF(NOTA[ID_H],NOTA[[#This Row],[ID_H]]))</f>
        <v/>
      </c>
      <c r="AL304" s="38" t="str">
        <f ca="1">IF(NOTA[[#This Row],[TGL.NOTA]]="",IF(NOTA[[#This Row],[SUPPLIER_H]]="","",AL303),MONTH(NOTA[[#This Row],[TGL.NOTA]]))</f>
        <v/>
      </c>
      <c r="AM304" s="38" t="str">
        <f>LOWER(SUBSTITUTE(SUBSTITUTE(SUBSTITUTE(SUBSTITUTE(SUBSTITUTE(SUBSTITUTE(SUBSTITUTE(SUBSTITUTE(SUBSTITUTE(NOTA[NAMA BARANG]," ",),".",""),"-",""),"(",""),")",""),",",""),"/",""),"""",""),"+",""))</f>
        <v/>
      </c>
      <c r="AN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38" t="str">
        <f>IF(NOTA[[#This Row],[CONCAT4]]="","",_xlfn.IFNA(MATCH(NOTA[[#This Row],[CONCAT4]],[2]!RAW[CONCAT_H],0),FALSE))</f>
        <v/>
      </c>
      <c r="AR304" s="38" t="str">
        <f>IF(NOTA[[#This Row],[CONCAT1]]="","",MATCH(NOTA[[#This Row],[CONCAT1]],[3]!db[NB NOTA_C],0))</f>
        <v/>
      </c>
      <c r="AS304" s="38" t="str">
        <f>IF(NOTA[[#This Row],[QTY/ CTN]]="","",TRUE)</f>
        <v/>
      </c>
      <c r="AT304" s="38" t="str">
        <f ca="1">IF(NOTA[[#This Row],[ID_H]]="","",IF(NOTA[[#This Row],[Column3]]=TRUE,NOTA[[#This Row],[QTY/ CTN]],INDEX([3]!db[QTY/ CTN],NOTA[[#This Row],[//DB]])))</f>
        <v/>
      </c>
      <c r="AU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4" s="38" t="str">
        <f ca="1">IF(NOTA[[#This Row],[ID_H]]="","",MATCH(NOTA[[#This Row],[NB NOTA_C_QTY]],[4]!db[NB NOTA_C_QTY+F],0))</f>
        <v/>
      </c>
      <c r="AW304" s="53" t="str">
        <f ca="1">IF(NOTA[[#This Row],[NB NOTA_C_QTY]]="","",ROW()-2)</f>
        <v/>
      </c>
    </row>
    <row r="305" spans="1:49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SAM_1809_553-7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51</v>
      </c>
      <c r="E305" s="46">
        <v>45187</v>
      </c>
      <c r="F305" s="37" t="s">
        <v>56</v>
      </c>
      <c r="G305" s="37" t="s">
        <v>23</v>
      </c>
      <c r="H305" s="47" t="s">
        <v>429</v>
      </c>
      <c r="I305" s="37"/>
      <c r="J305" s="39">
        <v>45185</v>
      </c>
      <c r="K305" s="37"/>
      <c r="L305" s="37" t="s">
        <v>430</v>
      </c>
      <c r="M305" s="40">
        <v>2</v>
      </c>
      <c r="N305" s="38">
        <v>1280</v>
      </c>
      <c r="O305" s="37" t="s">
        <v>132</v>
      </c>
      <c r="P305" s="41">
        <v>2400</v>
      </c>
      <c r="Q305" s="42"/>
      <c r="R305" s="48" t="s">
        <v>437</v>
      </c>
      <c r="S305" s="49">
        <v>7.0000000000000007E-2</v>
      </c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3072000</v>
      </c>
      <c r="Y305" s="50">
        <f>IF(NOTA[[#This Row],[JUMLAH]]="","",NOTA[[#This Row],[JUMLAH]]*NOTA[[#This Row],[DISC 1]])</f>
        <v>215040.00000000003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215040.00000000003</v>
      </c>
      <c r="AC305" s="50">
        <f>IF(NOTA[[#This Row],[JUMLAH]]="","",NOTA[[#This Row],[JUMLAH]]-NOTA[[#This Row],[DISC]])</f>
        <v>2856960</v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5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5" s="50">
        <f>IF(OR(NOTA[[#This Row],[QTY]]="",NOTA[[#This Row],[HARGA SATUAN]]="",),"",NOTA[[#This Row],[QTY]]*NOTA[[#This Row],[HARGA SATUAN]])</f>
        <v>3072000</v>
      </c>
      <c r="AH305" s="39">
        <f ca="1">IF(NOTA[ID_H]="","",INDEX(NOTA[TANGGAL],MATCH(,INDIRECT(ADDRESS(ROW(NOTA[TANGGAL]),COLUMN(NOTA[TANGGAL]))&amp;":"&amp;ADDRESS(ROW(),COLUMN(NOTA[TANGGAL]))),-1)))</f>
        <v>45187</v>
      </c>
      <c r="AI305" s="41" t="str">
        <f ca="1">IF(NOTA[[#This Row],[NAMA BARANG]]="","",INDEX(NOTA[SUPPLIER],MATCH(,INDIRECT(ADDRESS(ROW(NOTA[ID]),COLUMN(NOTA[ID]))&amp;":"&amp;ADDRESS(ROW(),COLUMN(NOTA[ID]))),-1)))</f>
        <v>SAMUDERA ANGKASA JAYA</v>
      </c>
      <c r="AJ305" s="41" t="str">
        <f ca="1">IF(NOTA[[#This Row],[ID_H]]="","",IF(NOTA[[#This Row],[FAKTUR]]="",INDIRECT(ADDRESS(ROW()-1,COLUMN())),NOTA[[#This Row],[FAKTUR]]))</f>
        <v>ARTO MORO</v>
      </c>
      <c r="AK305" s="38">
        <f ca="1">IF(NOTA[[#This Row],[ID]]="","",COUNTIF(NOTA[ID_H],NOTA[[#This Row],[ID_H]]))</f>
        <v>7</v>
      </c>
      <c r="AL305" s="38">
        <f>IF(NOTA[[#This Row],[TGL.NOTA]]="",IF(NOTA[[#This Row],[SUPPLIER_H]]="","",AL304),MONTH(NOTA[[#This Row],[TGL.NOTA]]))</f>
        <v>9</v>
      </c>
      <c r="AM305" s="38" t="str">
        <f>LOWER(SUBSTITUTE(SUBSTITUTE(SUBSTITUTE(SUBSTITUTE(SUBSTITUTE(SUBSTITUTE(SUBSTITUTE(SUBSTITUTE(SUBSTITUTE(NOTA[NAMA BARANG]," ",),".",""),"-",""),"(",""),")",""),",",""),"/",""),"""",""),"+",""))</f>
        <v>penggarissetzx6116pvc</v>
      </c>
      <c r="AN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penggarissetzx6116pvc15360000.07</v>
      </c>
      <c r="AO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penggarissetzx6116pvc15360000.07</v>
      </c>
      <c r="AP305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MOROJL-1655345185penggarissetzx6116pvc</v>
      </c>
      <c r="AQ305" s="38" t="e">
        <f>IF(NOTA[[#This Row],[CONCAT4]]="","",_xlfn.IFNA(MATCH(NOTA[[#This Row],[CONCAT4]],[2]!RAW[CONCAT_H],0),FALSE))</f>
        <v>#REF!</v>
      </c>
      <c r="AR305" s="38">
        <f>IF(NOTA[[#This Row],[CONCAT1]]="","",MATCH(NOTA[[#This Row],[CONCAT1]],[3]!db[NB NOTA_C],0))</f>
        <v>2219</v>
      </c>
      <c r="AS305" s="38" t="b">
        <f>IF(NOTA[[#This Row],[QTY/ CTN]]="","",TRUE)</f>
        <v>1</v>
      </c>
      <c r="AT305" s="38" t="str">
        <f ca="1">IF(NOTA[[#This Row],[ID_H]]="","",IF(NOTA[[#This Row],[Column3]]=TRUE,NOTA[[#This Row],[QTY/ CTN]],INDEX([3]!db[QTY/ CTN],NOTA[[#This Row],[//DB]])))</f>
        <v>640 SET</v>
      </c>
      <c r="AU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penggarissetzx6116pvc640setartomoro</v>
      </c>
      <c r="AV305" s="38" t="e">
        <f ca="1">IF(NOTA[[#This Row],[ID_H]]="","",MATCH(NOTA[[#This Row],[NB NOTA_C_QTY]],[4]!db[NB NOTA_C_QTY+F],0))</f>
        <v>#REF!</v>
      </c>
      <c r="AW305" s="53">
        <f ca="1">IF(NOTA[[#This Row],[NB NOTA_C_QTY]]="","",ROW()-2)</f>
        <v>303</v>
      </c>
    </row>
    <row r="306" spans="1:49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51</v>
      </c>
      <c r="E306" s="46"/>
      <c r="F306" s="37"/>
      <c r="G306" s="37"/>
      <c r="H306" s="47"/>
      <c r="I306" s="37"/>
      <c r="J306" s="39"/>
      <c r="K306" s="37"/>
      <c r="L306" s="37" t="s">
        <v>431</v>
      </c>
      <c r="M306" s="40">
        <v>3</v>
      </c>
      <c r="N306" s="38">
        <v>1920</v>
      </c>
      <c r="O306" s="37" t="s">
        <v>132</v>
      </c>
      <c r="P306" s="41">
        <v>2400</v>
      </c>
      <c r="Q306" s="42"/>
      <c r="R306" s="48" t="s">
        <v>437</v>
      </c>
      <c r="S306" s="49">
        <v>7.0000000000000007E-2</v>
      </c>
      <c r="T306" s="44"/>
      <c r="U306" s="44"/>
      <c r="V306" s="50"/>
      <c r="W306" s="45"/>
      <c r="X306" s="50">
        <f>IF(NOTA[[#This Row],[HARGA/ CTN]]="",NOTA[[#This Row],[JUMLAH_H]],NOTA[[#This Row],[HARGA/ CTN]]*IF(NOTA[[#This Row],[C]]="",0,NOTA[[#This Row],[C]]))</f>
        <v>4608000</v>
      </c>
      <c r="Y306" s="50">
        <f>IF(NOTA[[#This Row],[JUMLAH]]="","",NOTA[[#This Row],[JUMLAH]]*NOTA[[#This Row],[DISC 1]])</f>
        <v>322560.00000000006</v>
      </c>
      <c r="Z306" s="50">
        <f>IF(NOTA[[#This Row],[JUMLAH]]="","",(NOTA[[#This Row],[JUMLAH]]-NOTA[[#This Row],[DISC 1-]])*NOTA[[#This Row],[DISC 2]])</f>
        <v>0</v>
      </c>
      <c r="AA306" s="50">
        <f>IF(NOTA[[#This Row],[JUMLAH]]="","",(NOTA[[#This Row],[JUMLAH]]-NOTA[[#This Row],[DISC 1-]]-NOTA[[#This Row],[DISC 2-]])*NOTA[[#This Row],[DISC 3]])</f>
        <v>0</v>
      </c>
      <c r="AB306" s="50">
        <f>IF(NOTA[[#This Row],[JUMLAH]]="","",NOTA[[#This Row],[DISC 1-]]+NOTA[[#This Row],[DISC 2-]]+NOTA[[#This Row],[DISC 3-]])</f>
        <v>322560.00000000006</v>
      </c>
      <c r="AC306" s="50">
        <f>IF(NOTA[[#This Row],[JUMLAH]]="","",NOTA[[#This Row],[JUMLAH]]-NOTA[[#This Row],[DISC]])</f>
        <v>4285440</v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6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6" s="50">
        <f>IF(OR(NOTA[[#This Row],[QTY]]="",NOTA[[#This Row],[HARGA SATUAN]]="",),"",NOTA[[#This Row],[QTY]]*NOTA[[#This Row],[HARGA SATUAN]])</f>
        <v>4608000</v>
      </c>
      <c r="AH306" s="39">
        <f ca="1">IF(NOTA[ID_H]="","",INDEX(NOTA[TANGGAL],MATCH(,INDIRECT(ADDRESS(ROW(NOTA[TANGGAL]),COLUMN(NOTA[TANGGAL]))&amp;":"&amp;ADDRESS(ROW(),COLUMN(NOTA[TANGGAL]))),-1)))</f>
        <v>45187</v>
      </c>
      <c r="AI306" s="41" t="str">
        <f ca="1">IF(NOTA[[#This Row],[NAMA BARANG]]="","",INDEX(NOTA[SUPPLIER],MATCH(,INDIRECT(ADDRESS(ROW(NOTA[ID]),COLUMN(NOTA[ID]))&amp;":"&amp;ADDRESS(ROW(),COLUMN(NOTA[ID]))),-1)))</f>
        <v>SAMUDERA ANGKASA JAYA</v>
      </c>
      <c r="AJ306" s="41" t="str">
        <f ca="1">IF(NOTA[[#This Row],[ID_H]]="","",IF(NOTA[[#This Row],[FAKTUR]]="",INDIRECT(ADDRESS(ROW()-1,COLUMN())),NOTA[[#This Row],[FAKTUR]]))</f>
        <v>ARTO MORO</v>
      </c>
      <c r="AK306" s="38" t="str">
        <f ca="1">IF(NOTA[[#This Row],[ID]]="","",COUNTIF(NOTA[ID_H],NOTA[[#This Row],[ID_H]]))</f>
        <v/>
      </c>
      <c r="AL306" s="38">
        <f ca="1">IF(NOTA[[#This Row],[TGL.NOTA]]="",IF(NOTA[[#This Row],[SUPPLIER_H]]="","",AL305),MONTH(NOTA[[#This Row],[TGL.NOTA]]))</f>
        <v>9</v>
      </c>
      <c r="AM306" s="38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penggarissetps9810pvc15360000.07</v>
      </c>
      <c r="AO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penggarissetps9810pvc15360000.07</v>
      </c>
      <c r="AP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38" t="str">
        <f>IF(NOTA[[#This Row],[CONCAT4]]="","",_xlfn.IFNA(MATCH(NOTA[[#This Row],[CONCAT4]],[2]!RAW[CONCAT_H],0),FALSE))</f>
        <v/>
      </c>
      <c r="AR306" s="38">
        <f>IF(NOTA[[#This Row],[CONCAT1]]="","",MATCH(NOTA[[#This Row],[CONCAT1]],[3]!db[NB NOTA_C],0))</f>
        <v>2213</v>
      </c>
      <c r="AS306" s="38" t="b">
        <f>IF(NOTA[[#This Row],[QTY/ CTN]]="","",TRUE)</f>
        <v>1</v>
      </c>
      <c r="AT306" s="38" t="str">
        <f ca="1">IF(NOTA[[#This Row],[ID_H]]="","",IF(NOTA[[#This Row],[Column3]]=TRUE,NOTA[[#This Row],[QTY/ CTN]],INDEX([3]!db[QTY/ CTN],NOTA[[#This Row],[//DB]])))</f>
        <v>640 SET</v>
      </c>
      <c r="AU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penggarissetps9810pvc640setartomoro</v>
      </c>
      <c r="AV306" s="38" t="e">
        <f ca="1">IF(NOTA[[#This Row],[ID_H]]="","",MATCH(NOTA[[#This Row],[NB NOTA_C_QTY]],[4]!db[NB NOTA_C_QTY+F],0))</f>
        <v>#REF!</v>
      </c>
      <c r="AW306" s="53">
        <f ca="1">IF(NOTA[[#This Row],[NB NOTA_C_QTY]]="","",ROW()-2)</f>
        <v>304</v>
      </c>
    </row>
    <row r="307" spans="1:49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51</v>
      </c>
      <c r="E307" s="46"/>
      <c r="F307" s="37"/>
      <c r="G307" s="37"/>
      <c r="H307" s="47"/>
      <c r="I307" s="37"/>
      <c r="J307" s="39"/>
      <c r="K307" s="37"/>
      <c r="L307" s="37" t="s">
        <v>432</v>
      </c>
      <c r="M307" s="40">
        <v>3</v>
      </c>
      <c r="N307" s="38">
        <v>1920</v>
      </c>
      <c r="O307" s="37" t="s">
        <v>132</v>
      </c>
      <c r="P307" s="41">
        <v>2400</v>
      </c>
      <c r="Q307" s="42"/>
      <c r="R307" s="48" t="s">
        <v>437</v>
      </c>
      <c r="S307" s="49">
        <v>7.0000000000000007E-2</v>
      </c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4608000</v>
      </c>
      <c r="Y307" s="50">
        <f>IF(NOTA[[#This Row],[JUMLAH]]="","",NOTA[[#This Row],[JUMLAH]]*NOTA[[#This Row],[DISC 1]])</f>
        <v>322560.00000000006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322560.00000000006</v>
      </c>
      <c r="AC307" s="50">
        <f>IF(NOTA[[#This Row],[JUMLAH]]="","",NOTA[[#This Row],[JUMLAH]]-NOTA[[#This Row],[DISC]])</f>
        <v>4285440</v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7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7" s="50">
        <f>IF(OR(NOTA[[#This Row],[QTY]]="",NOTA[[#This Row],[HARGA SATUAN]]="",),"",NOTA[[#This Row],[QTY]]*NOTA[[#This Row],[HARGA SATUAN]])</f>
        <v>4608000</v>
      </c>
      <c r="AH307" s="39">
        <f ca="1">IF(NOTA[ID_H]="","",INDEX(NOTA[TANGGAL],MATCH(,INDIRECT(ADDRESS(ROW(NOTA[TANGGAL]),COLUMN(NOTA[TANGGAL]))&amp;":"&amp;ADDRESS(ROW(),COLUMN(NOTA[TANGGAL]))),-1)))</f>
        <v>45187</v>
      </c>
      <c r="AI307" s="41" t="str">
        <f ca="1">IF(NOTA[[#This Row],[NAMA BARANG]]="","",INDEX(NOTA[SUPPLIER],MATCH(,INDIRECT(ADDRESS(ROW(NOTA[ID]),COLUMN(NOTA[ID]))&amp;":"&amp;ADDRESS(ROW(),COLUMN(NOTA[ID]))),-1)))</f>
        <v>SAMUDERA ANGKASA JAYA</v>
      </c>
      <c r="AJ307" s="41" t="str">
        <f ca="1">IF(NOTA[[#This Row],[ID_H]]="","",IF(NOTA[[#This Row],[FAKTUR]]="",INDIRECT(ADDRESS(ROW()-1,COLUMN())),NOTA[[#This Row],[FAKTUR]]))</f>
        <v>ARTO MORO</v>
      </c>
      <c r="AK307" s="38" t="str">
        <f ca="1">IF(NOTA[[#This Row],[ID]]="","",COUNTIF(NOTA[ID_H],NOTA[[#This Row],[ID_H]]))</f>
        <v/>
      </c>
      <c r="AL307" s="38">
        <f ca="1">IF(NOTA[[#This Row],[TGL.NOTA]]="",IF(NOTA[[#This Row],[SUPPLIER_H]]="","",AL306),MONTH(NOTA[[#This Row],[TGL.NOTA]]))</f>
        <v>9</v>
      </c>
      <c r="AM307" s="38" t="str">
        <f>LOWER(SUBSTITUTE(SUBSTITUTE(SUBSTITUTE(SUBSTITUTE(SUBSTITUTE(SUBSTITUTE(SUBSTITUTE(SUBSTITUTE(SUBSTITUTE(NOTA[NAMA BARANG]," ",),".",""),"-",""),"(",""),")",""),",",""),"/",""),"""",""),"+",""))</f>
        <v>penggarissetzo239pvc</v>
      </c>
      <c r="AN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penggarissetzo239pvc15360000.07</v>
      </c>
      <c r="AO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penggarissetzo239pvc15360000.07</v>
      </c>
      <c r="AP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7" s="38" t="str">
        <f>IF(NOTA[[#This Row],[CONCAT4]]="","",_xlfn.IFNA(MATCH(NOTA[[#This Row],[CONCAT4]],[2]!RAW[CONCAT_H],0),FALSE))</f>
        <v/>
      </c>
      <c r="AR307" s="38">
        <f>IF(NOTA[[#This Row],[CONCAT1]]="","",MATCH(NOTA[[#This Row],[CONCAT1]],[3]!db[NB NOTA_C],0))</f>
        <v>2218</v>
      </c>
      <c r="AS307" s="38" t="b">
        <f>IF(NOTA[[#This Row],[QTY/ CTN]]="","",TRUE)</f>
        <v>1</v>
      </c>
      <c r="AT307" s="38" t="str">
        <f ca="1">IF(NOTA[[#This Row],[ID_H]]="","",IF(NOTA[[#This Row],[Column3]]=TRUE,NOTA[[#This Row],[QTY/ CTN]],INDEX([3]!db[QTY/ CTN],NOTA[[#This Row],[//DB]])))</f>
        <v>640 SET</v>
      </c>
      <c r="AU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penggarissetzo239pvc640setartomoro</v>
      </c>
      <c r="AV307" s="38" t="e">
        <f ca="1">IF(NOTA[[#This Row],[ID_H]]="","",MATCH(NOTA[[#This Row],[NB NOTA_C_QTY]],[4]!db[NB NOTA_C_QTY+F],0))</f>
        <v>#REF!</v>
      </c>
      <c r="AW307" s="53">
        <f ca="1">IF(NOTA[[#This Row],[NB NOTA_C_QTY]]="","",ROW()-2)</f>
        <v>305</v>
      </c>
    </row>
    <row r="308" spans="1:49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51</v>
      </c>
      <c r="E308" s="46"/>
      <c r="F308" s="37"/>
      <c r="G308" s="37"/>
      <c r="H308" s="47"/>
      <c r="I308" s="37"/>
      <c r="J308" s="39"/>
      <c r="K308" s="37"/>
      <c r="L308" s="37" t="s">
        <v>433</v>
      </c>
      <c r="M308" s="40">
        <v>3</v>
      </c>
      <c r="N308" s="38">
        <v>1920</v>
      </c>
      <c r="O308" s="37" t="s">
        <v>132</v>
      </c>
      <c r="P308" s="41">
        <v>2400</v>
      </c>
      <c r="Q308" s="42"/>
      <c r="R308" s="48" t="s">
        <v>437</v>
      </c>
      <c r="S308" s="49">
        <v>7.0000000000000007E-2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4608000</v>
      </c>
      <c r="Y308" s="50">
        <f>IF(NOTA[[#This Row],[JUMLAH]]="","",NOTA[[#This Row],[JUMLAH]]*NOTA[[#This Row],[DISC 1]])</f>
        <v>322560.00000000006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322560.00000000006</v>
      </c>
      <c r="AC308" s="50">
        <f>IF(NOTA[[#This Row],[JUMLAH]]="","",NOTA[[#This Row],[JUMLAH]]-NOTA[[#This Row],[DISC]])</f>
        <v>4285440</v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8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8" s="50">
        <f>IF(OR(NOTA[[#This Row],[QTY]]="",NOTA[[#This Row],[HARGA SATUAN]]="",),"",NOTA[[#This Row],[QTY]]*NOTA[[#This Row],[HARGA SATUAN]])</f>
        <v>4608000</v>
      </c>
      <c r="AH308" s="39">
        <f ca="1">IF(NOTA[ID_H]="","",INDEX(NOTA[TANGGAL],MATCH(,INDIRECT(ADDRESS(ROW(NOTA[TANGGAL]),COLUMN(NOTA[TANGGAL]))&amp;":"&amp;ADDRESS(ROW(),COLUMN(NOTA[TANGGAL]))),-1)))</f>
        <v>45187</v>
      </c>
      <c r="AI308" s="41" t="str">
        <f ca="1">IF(NOTA[[#This Row],[NAMA BARANG]]="","",INDEX(NOTA[SUPPLIER],MATCH(,INDIRECT(ADDRESS(ROW(NOTA[ID]),COLUMN(NOTA[ID]))&amp;":"&amp;ADDRESS(ROW(),COLUMN(NOTA[ID]))),-1)))</f>
        <v>SAMUDERA ANGKASA JAYA</v>
      </c>
      <c r="AJ308" s="41" t="str">
        <f ca="1">IF(NOTA[[#This Row],[ID_H]]="","",IF(NOTA[[#This Row],[FAKTUR]]="",INDIRECT(ADDRESS(ROW()-1,COLUMN())),NOTA[[#This Row],[FAKTUR]]))</f>
        <v>ARTO MORO</v>
      </c>
      <c r="AK308" s="38" t="str">
        <f ca="1">IF(NOTA[[#This Row],[ID]]="","",COUNTIF(NOTA[ID_H],NOTA[[#This Row],[ID_H]]))</f>
        <v/>
      </c>
      <c r="AL308" s="38">
        <f ca="1">IF(NOTA[[#This Row],[TGL.NOTA]]="",IF(NOTA[[#This Row],[SUPPLIER_H]]="","",AL307),MONTH(NOTA[[#This Row],[TGL.NOTA]]))</f>
        <v>9</v>
      </c>
      <c r="AM308" s="38" t="str">
        <f>LOWER(SUBSTITUTE(SUBSTITUTE(SUBSTITUTE(SUBSTITUTE(SUBSTITUTE(SUBSTITUTE(SUBSTITUTE(SUBSTITUTE(SUBSTITUTE(NOTA[NAMA BARANG]," ",),".",""),"-",""),"(",""),")",""),",",""),"/",""),"""",""),"+",""))</f>
        <v>penggarissethz5013pvc</v>
      </c>
      <c r="AN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penggarissethz5013pvc15360000.07</v>
      </c>
      <c r="AO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penggarissethz5013pvc15360000.07</v>
      </c>
      <c r="AP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38" t="str">
        <f>IF(NOTA[[#This Row],[CONCAT4]]="","",_xlfn.IFNA(MATCH(NOTA[[#This Row],[CONCAT4]],[2]!RAW[CONCAT_H],0),FALSE))</f>
        <v/>
      </c>
      <c r="AR308" s="38">
        <f>IF(NOTA[[#This Row],[CONCAT1]]="","",MATCH(NOTA[[#This Row],[CONCAT1]],[3]!db[NB NOTA_C],0))</f>
        <v>2207</v>
      </c>
      <c r="AS308" s="38" t="b">
        <f>IF(NOTA[[#This Row],[QTY/ CTN]]="","",TRUE)</f>
        <v>1</v>
      </c>
      <c r="AT308" s="38" t="str">
        <f ca="1">IF(NOTA[[#This Row],[ID_H]]="","",IF(NOTA[[#This Row],[Column3]]=TRUE,NOTA[[#This Row],[QTY/ CTN]],INDEX([3]!db[QTY/ CTN],NOTA[[#This Row],[//DB]])))</f>
        <v>640 SET</v>
      </c>
      <c r="AU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penggarissethz5013pvc640setartomoro</v>
      </c>
      <c r="AV308" s="38" t="e">
        <f ca="1">IF(NOTA[[#This Row],[ID_H]]="","",MATCH(NOTA[[#This Row],[NB NOTA_C_QTY]],[4]!db[NB NOTA_C_QTY+F],0))</f>
        <v>#REF!</v>
      </c>
      <c r="AW308" s="53">
        <f ca="1">IF(NOTA[[#This Row],[NB NOTA_C_QTY]]="","",ROW()-2)</f>
        <v>306</v>
      </c>
    </row>
    <row r="309" spans="1:49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51</v>
      </c>
      <c r="E309" s="46"/>
      <c r="F309" s="37"/>
      <c r="G309" s="37"/>
      <c r="H309" s="47"/>
      <c r="I309" s="37"/>
      <c r="J309" s="39"/>
      <c r="K309" s="37"/>
      <c r="L309" s="37" t="s">
        <v>434</v>
      </c>
      <c r="M309" s="40">
        <v>3</v>
      </c>
      <c r="N309" s="38">
        <v>1920</v>
      </c>
      <c r="O309" s="37" t="s">
        <v>132</v>
      </c>
      <c r="P309" s="41">
        <v>2400</v>
      </c>
      <c r="Q309" s="42"/>
      <c r="R309" s="48" t="s">
        <v>437</v>
      </c>
      <c r="S309" s="49">
        <v>7.0000000000000007E-2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4608000</v>
      </c>
      <c r="Y309" s="50">
        <f>IF(NOTA[[#This Row],[JUMLAH]]="","",NOTA[[#This Row],[JUMLAH]]*NOTA[[#This Row],[DISC 1]])</f>
        <v>322560.00000000006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322560.00000000006</v>
      </c>
      <c r="AC309" s="50">
        <f>IF(NOTA[[#This Row],[JUMLAH]]="","",NOTA[[#This Row],[JUMLAH]]-NOTA[[#This Row],[DISC]])</f>
        <v>4285440</v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0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G309" s="50">
        <f>IF(OR(NOTA[[#This Row],[QTY]]="",NOTA[[#This Row],[HARGA SATUAN]]="",),"",NOTA[[#This Row],[QTY]]*NOTA[[#This Row],[HARGA SATUAN]])</f>
        <v>4608000</v>
      </c>
      <c r="AH309" s="39">
        <f ca="1">IF(NOTA[ID_H]="","",INDEX(NOTA[TANGGAL],MATCH(,INDIRECT(ADDRESS(ROW(NOTA[TANGGAL]),COLUMN(NOTA[TANGGAL]))&amp;":"&amp;ADDRESS(ROW(),COLUMN(NOTA[TANGGAL]))),-1)))</f>
        <v>45187</v>
      </c>
      <c r="AI309" s="41" t="str">
        <f ca="1">IF(NOTA[[#This Row],[NAMA BARANG]]="","",INDEX(NOTA[SUPPLIER],MATCH(,INDIRECT(ADDRESS(ROW(NOTA[ID]),COLUMN(NOTA[ID]))&amp;":"&amp;ADDRESS(ROW(),COLUMN(NOTA[ID]))),-1)))</f>
        <v>SAMUDERA ANGKASA JAYA</v>
      </c>
      <c r="AJ309" s="41" t="str">
        <f ca="1">IF(NOTA[[#This Row],[ID_H]]="","",IF(NOTA[[#This Row],[FAKTUR]]="",INDIRECT(ADDRESS(ROW()-1,COLUMN())),NOTA[[#This Row],[FAKTUR]]))</f>
        <v>ARTO MORO</v>
      </c>
      <c r="AK309" s="38" t="str">
        <f ca="1">IF(NOTA[[#This Row],[ID]]="","",COUNTIF(NOTA[ID_H],NOTA[[#This Row],[ID_H]]))</f>
        <v/>
      </c>
      <c r="AL309" s="38">
        <f ca="1">IF(NOTA[[#This Row],[TGL.NOTA]]="",IF(NOTA[[#This Row],[SUPPLIER_H]]="","",AL308),MONTH(NOTA[[#This Row],[TGL.NOTA]]))</f>
        <v>9</v>
      </c>
      <c r="AM309" s="38" t="str">
        <f>LOWER(SUBSTITUTE(SUBSTITUTE(SUBSTITUTE(SUBSTITUTE(SUBSTITUTE(SUBSTITUTE(SUBSTITUTE(SUBSTITUTE(SUBSTITUTE(NOTA[NAMA BARANG]," ",),".",""),"-",""),"(",""),")",""),",",""),"/",""),"""",""),"+",""))</f>
        <v>penggarissethz5012pvc</v>
      </c>
      <c r="AN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penggarissethz5012pvc15360000.07</v>
      </c>
      <c r="AO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penggarissethz5012pvc15360000.07</v>
      </c>
      <c r="AP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38" t="str">
        <f>IF(NOTA[[#This Row],[CONCAT4]]="","",_xlfn.IFNA(MATCH(NOTA[[#This Row],[CONCAT4]],[2]!RAW[CONCAT_H],0),FALSE))</f>
        <v/>
      </c>
      <c r="AR309" s="38">
        <f>IF(NOTA[[#This Row],[CONCAT1]]="","",MATCH(NOTA[[#This Row],[CONCAT1]],[3]!db[NB NOTA_C],0))</f>
        <v>2206</v>
      </c>
      <c r="AS309" s="38" t="b">
        <f>IF(NOTA[[#This Row],[QTY/ CTN]]="","",TRUE)</f>
        <v>1</v>
      </c>
      <c r="AT309" s="38" t="str">
        <f ca="1">IF(NOTA[[#This Row],[ID_H]]="","",IF(NOTA[[#This Row],[Column3]]=TRUE,NOTA[[#This Row],[QTY/ CTN]],INDEX([3]!db[QTY/ CTN],NOTA[[#This Row],[//DB]])))</f>
        <v>640 SET</v>
      </c>
      <c r="AU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penggarissethz5012pvc640setartomoro</v>
      </c>
      <c r="AV309" s="38" t="e">
        <f ca="1">IF(NOTA[[#This Row],[ID_H]]="","",MATCH(NOTA[[#This Row],[NB NOTA_C_QTY]],[4]!db[NB NOTA_C_QTY+F],0))</f>
        <v>#REF!</v>
      </c>
      <c r="AW309" s="53">
        <f ca="1">IF(NOTA[[#This Row],[NB NOTA_C_QTY]]="","",ROW()-2)</f>
        <v>307</v>
      </c>
    </row>
    <row r="310" spans="1:49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51</v>
      </c>
      <c r="E310" s="46"/>
      <c r="F310" s="37"/>
      <c r="G310" s="37"/>
      <c r="H310" s="47"/>
      <c r="I310" s="37"/>
      <c r="J310" s="39"/>
      <c r="K310" s="37"/>
      <c r="L310" s="37" t="s">
        <v>438</v>
      </c>
      <c r="M310" s="40">
        <v>10</v>
      </c>
      <c r="N310" s="38">
        <v>1920</v>
      </c>
      <c r="O310" s="37" t="s">
        <v>138</v>
      </c>
      <c r="P310" s="41">
        <v>10525</v>
      </c>
      <c r="Q310" s="42"/>
      <c r="R310" s="48" t="s">
        <v>436</v>
      </c>
      <c r="S310" s="49">
        <v>7.0000000000000007E-2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20208000</v>
      </c>
      <c r="Y310" s="50">
        <f>IF(NOTA[[#This Row],[JUMLAH]]="","",NOTA[[#This Row],[JUMLAH]]*NOTA[[#This Row],[DISC 1]])</f>
        <v>1414560.0000000002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1414560.0000000002</v>
      </c>
      <c r="AC310" s="50">
        <f>IF(NOTA[[#This Row],[JUMLAH]]="","",NOTA[[#This Row],[JUMLAH]]-NOTA[[#This Row],[DISC]])</f>
        <v>18793440</v>
      </c>
      <c r="AD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0" s="41">
        <f>IF(NOTA[[#This Row],[NAMA BARANG]]="","",IF(NOTA[[#This Row],[JUMLAH_H]]="",NOTA[[#This Row],[HARGA/ CTN]],NOTA[[#This Row],[QTY]]*NOTA[[#This Row],[HARGA SATUAN]]/IF(ISNUMBER(NOTA[[#This Row],[C]]),NOTA[[#This Row],[C]],1)))</f>
        <v>2020800</v>
      </c>
      <c r="AG310" s="50">
        <f>IF(OR(NOTA[[#This Row],[QTY]]="",NOTA[[#This Row],[HARGA SATUAN]]="",),"",NOTA[[#This Row],[QTY]]*NOTA[[#This Row],[HARGA SATUAN]])</f>
        <v>20208000</v>
      </c>
      <c r="AH310" s="39">
        <f ca="1">IF(NOTA[ID_H]="","",INDEX(NOTA[TANGGAL],MATCH(,INDIRECT(ADDRESS(ROW(NOTA[TANGGAL]),COLUMN(NOTA[TANGGAL]))&amp;":"&amp;ADDRESS(ROW(),COLUMN(NOTA[TANGGAL]))),-1)))</f>
        <v>45187</v>
      </c>
      <c r="AI310" s="41" t="str">
        <f ca="1">IF(NOTA[[#This Row],[NAMA BARANG]]="","",INDEX(NOTA[SUPPLIER],MATCH(,INDIRECT(ADDRESS(ROW(NOTA[ID]),COLUMN(NOTA[ID]))&amp;":"&amp;ADDRESS(ROW(),COLUMN(NOTA[ID]))),-1)))</f>
        <v>SAMUDERA ANGKASA JAYA</v>
      </c>
      <c r="AJ310" s="41" t="str">
        <f ca="1">IF(NOTA[[#This Row],[ID_H]]="","",IF(NOTA[[#This Row],[FAKTUR]]="",INDIRECT(ADDRESS(ROW()-1,COLUMN())),NOTA[[#This Row],[FAKTUR]]))</f>
        <v>ARTO MORO</v>
      </c>
      <c r="AK310" s="38" t="str">
        <f ca="1">IF(NOTA[[#This Row],[ID]]="","",COUNTIF(NOTA[ID_H],NOTA[[#This Row],[ID_H]]))</f>
        <v/>
      </c>
      <c r="AL310" s="38">
        <f ca="1">IF(NOTA[[#This Row],[TGL.NOTA]]="",IF(NOTA[[#This Row],[SUPPLIER_H]]="","",AL309),MONTH(NOTA[[#This Row],[TGL.NOTA]]))</f>
        <v>9</v>
      </c>
      <c r="AM310" s="38" t="str">
        <f>LOWER(SUBSTITUTE(SUBSTITUTE(SUBSTITUTE(SUBSTITUTE(SUBSTITUTE(SUBSTITUTE(SUBSTITUTE(SUBSTITUTE(SUBSTITUTE(NOTA[NAMA BARANG]," ",),".",""),"-",""),"(",""),")",""),",",""),"/",""),"""",""),"+",""))</f>
        <v>gelpenegvmikaeg225</v>
      </c>
      <c r="AN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gelpenegvmikaeg22520208000.07</v>
      </c>
      <c r="AO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gelpenegvmikaeg22520208000.07</v>
      </c>
      <c r="AP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38" t="str">
        <f>IF(NOTA[[#This Row],[CONCAT4]]="","",_xlfn.IFNA(MATCH(NOTA[[#This Row],[CONCAT4]],[2]!RAW[CONCAT_H],0),FALSE))</f>
        <v/>
      </c>
      <c r="AR310" s="38">
        <f>IF(NOTA[[#This Row],[CONCAT1]]="","",MATCH(NOTA[[#This Row],[CONCAT1]],[3]!db[NB NOTA_C],0))</f>
        <v>894</v>
      </c>
      <c r="AS310" s="38" t="b">
        <f>IF(NOTA[[#This Row],[QTY/ CTN]]="","",TRUE)</f>
        <v>1</v>
      </c>
      <c r="AT310" s="38" t="str">
        <f ca="1">IF(NOTA[[#This Row],[ID_H]]="","",IF(NOTA[[#This Row],[Column3]]=TRUE,NOTA[[#This Row],[QTY/ CTN]],INDEX([3]!db[QTY/ CTN],NOTA[[#This Row],[//DB]])))</f>
        <v>192 LSN</v>
      </c>
      <c r="AU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gelpenegvmikaeg225192lsnartomoro</v>
      </c>
      <c r="AV310" s="38" t="e">
        <f ca="1">IF(NOTA[[#This Row],[ID_H]]="","",MATCH(NOTA[[#This Row],[NB NOTA_C_QTY]],[4]!db[NB NOTA_C_QTY+F],0))</f>
        <v>#REF!</v>
      </c>
      <c r="AW310" s="53">
        <f ca="1">IF(NOTA[[#This Row],[NB NOTA_C_QTY]]="","",ROW()-2)</f>
        <v>308</v>
      </c>
    </row>
    <row r="311" spans="1:49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51</v>
      </c>
      <c r="E311" s="46"/>
      <c r="F311" s="37"/>
      <c r="G311" s="37"/>
      <c r="H311" s="47"/>
      <c r="I311" s="37"/>
      <c r="J311" s="39"/>
      <c r="K311" s="37"/>
      <c r="L311" s="37" t="s">
        <v>435</v>
      </c>
      <c r="M311" s="40">
        <v>5</v>
      </c>
      <c r="N311" s="38">
        <v>500</v>
      </c>
      <c r="O311" s="37" t="s">
        <v>138</v>
      </c>
      <c r="P311" s="41">
        <v>18500</v>
      </c>
      <c r="Q311" s="42"/>
      <c r="R311" s="48" t="s">
        <v>293</v>
      </c>
      <c r="S311" s="49">
        <v>7.0000000000000007E-2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9250000</v>
      </c>
      <c r="Y311" s="50">
        <f>IF(NOTA[[#This Row],[JUMLAH]]="","",NOTA[[#This Row],[JUMLAH]]*NOTA[[#This Row],[DISC 1]])</f>
        <v>647500.00000000012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647500.00000000012</v>
      </c>
      <c r="AC311" s="50">
        <f>IF(NOTA[[#This Row],[JUMLAH]]="","",NOTA[[#This Row],[JUMLAH]]-NOTA[[#This Row],[DISC]])</f>
        <v>8602500</v>
      </c>
      <c r="AD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3567340.0000000005</v>
      </c>
      <c r="AE3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47394660</v>
      </c>
      <c r="AF311" s="41">
        <f>IF(NOTA[[#This Row],[NAMA BARANG]]="","",IF(NOTA[[#This Row],[JUMLAH_H]]="",NOTA[[#This Row],[HARGA/ CTN]],NOTA[[#This Row],[QTY]]*NOTA[[#This Row],[HARGA SATUAN]]/IF(ISNUMBER(NOTA[[#This Row],[C]]),NOTA[[#This Row],[C]],1)))</f>
        <v>1850000</v>
      </c>
      <c r="AG311" s="50">
        <f>IF(OR(NOTA[[#This Row],[QTY]]="",NOTA[[#This Row],[HARGA SATUAN]]="",),"",NOTA[[#This Row],[QTY]]*NOTA[[#This Row],[HARGA SATUAN]])</f>
        <v>9250000</v>
      </c>
      <c r="AH311" s="39">
        <f ca="1">IF(NOTA[ID_H]="","",INDEX(NOTA[TANGGAL],MATCH(,INDIRECT(ADDRESS(ROW(NOTA[TANGGAL]),COLUMN(NOTA[TANGGAL]))&amp;":"&amp;ADDRESS(ROW(),COLUMN(NOTA[TANGGAL]))),-1)))</f>
        <v>45187</v>
      </c>
      <c r="AI311" s="41" t="str">
        <f ca="1">IF(NOTA[[#This Row],[NAMA BARANG]]="","",INDEX(NOTA[SUPPLIER],MATCH(,INDIRECT(ADDRESS(ROW(NOTA[ID]),COLUMN(NOTA[ID]))&amp;":"&amp;ADDRESS(ROW(),COLUMN(NOTA[ID]))),-1)))</f>
        <v>SAMUDERA ANGKASA JAYA</v>
      </c>
      <c r="AJ311" s="41" t="str">
        <f ca="1">IF(NOTA[[#This Row],[ID_H]]="","",IF(NOTA[[#This Row],[FAKTUR]]="",INDIRECT(ADDRESS(ROW()-1,COLUMN())),NOTA[[#This Row],[FAKTUR]]))</f>
        <v>ARTO MORO</v>
      </c>
      <c r="AK311" s="38" t="str">
        <f ca="1">IF(NOTA[[#This Row],[ID]]="","",COUNTIF(NOTA[ID_H],NOTA[[#This Row],[ID_H]]))</f>
        <v/>
      </c>
      <c r="AL311" s="38">
        <f ca="1">IF(NOTA[[#This Row],[TGL.NOTA]]="",IF(NOTA[[#This Row],[SUPPLIER_H]]="","",AL310),MONTH(NOTA[[#This Row],[TGL.NOTA]]))</f>
        <v>9</v>
      </c>
      <c r="AM311" s="38" t="str">
        <f>LOWER(SUBSTITUTE(SUBSTITUTE(SUBSTITUTE(SUBSTITUTE(SUBSTITUTE(SUBSTITUTE(SUBSTITUTE(SUBSTITUTE(SUBSTITUTE(NOTA[NAMA BARANG]," ",),".",""),"-",""),"(",""),")",""),",",""),"/",""),"""",""),"+",""))</f>
        <v>highlighterhl52112vanco</v>
      </c>
      <c r="AN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highlighterhl52112vanco18500000.07</v>
      </c>
      <c r="AO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highlighterhl52112vanco18500000.07</v>
      </c>
      <c r="AP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38" t="str">
        <f>IF(NOTA[[#This Row],[CONCAT4]]="","",_xlfn.IFNA(MATCH(NOTA[[#This Row],[CONCAT4]],[2]!RAW[CONCAT_H],0),FALSE))</f>
        <v/>
      </c>
      <c r="AR311" s="38">
        <f>IF(NOTA[[#This Row],[CONCAT1]]="","",MATCH(NOTA[[#This Row],[CONCAT1]],[3]!db[NB NOTA_C],0))</f>
        <v>1196</v>
      </c>
      <c r="AS311" s="38" t="b">
        <f>IF(NOTA[[#This Row],[QTY/ CTN]]="","",TRUE)</f>
        <v>1</v>
      </c>
      <c r="AT311" s="38" t="str">
        <f ca="1">IF(NOTA[[#This Row],[ID_H]]="","",IF(NOTA[[#This Row],[Column3]]=TRUE,NOTA[[#This Row],[QTY/ CTN]],INDEX([3]!db[QTY/ CTN],NOTA[[#This Row],[//DB]])))</f>
        <v>100 LSN</v>
      </c>
      <c r="AU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highlighterhl52112vanco100lsnartomoro</v>
      </c>
      <c r="AV311" s="38" t="e">
        <f ca="1">IF(NOTA[[#This Row],[ID_H]]="","",MATCH(NOTA[[#This Row],[NB NOTA_C_QTY]],[4]!db[NB NOTA_C_QTY+F],0))</f>
        <v>#REF!</v>
      </c>
      <c r="AW311" s="53">
        <f ca="1">IF(NOTA[[#This Row],[NB NOTA_C_QTY]]="","",ROW()-2)</f>
        <v>309</v>
      </c>
    </row>
    <row r="312" spans="1:49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12" s="50" t="str">
        <f>IF(OR(NOTA[[#This Row],[QTY]]="",NOTA[[#This Row],[HARGA SATUAN]]="",),"",NOTA[[#This Row],[QTY]]*NOTA[[#This Row],[HARGA SATUAN]])</f>
        <v/>
      </c>
      <c r="AH312" s="39" t="str">
        <f ca="1">IF(NOTA[ID_H]="","",INDEX(NOTA[TANGGAL],MATCH(,INDIRECT(ADDRESS(ROW(NOTA[TANGGAL]),COLUMN(NOTA[TANGGAL]))&amp;":"&amp;ADDRESS(ROW(),COLUMN(NOTA[TANGGAL]))),-1)))</f>
        <v/>
      </c>
      <c r="AI312" s="41" t="str">
        <f ca="1">IF(NOTA[[#This Row],[NAMA BARANG]]="","",INDEX(NOTA[SUPPLIER],MATCH(,INDIRECT(ADDRESS(ROW(NOTA[ID]),COLUMN(NOTA[ID]))&amp;":"&amp;ADDRESS(ROW(),COLUMN(NOTA[ID]))),-1)))</f>
        <v/>
      </c>
      <c r="AJ312" s="41" t="str">
        <f ca="1">IF(NOTA[[#This Row],[ID_H]]="","",IF(NOTA[[#This Row],[FAKTUR]]="",INDIRECT(ADDRESS(ROW()-1,COLUMN())),NOTA[[#This Row],[FAKTUR]]))</f>
        <v/>
      </c>
      <c r="AK312" s="38" t="str">
        <f ca="1">IF(NOTA[[#This Row],[ID]]="","",COUNTIF(NOTA[ID_H],NOTA[[#This Row],[ID_H]]))</f>
        <v/>
      </c>
      <c r="AL312" s="38" t="str">
        <f ca="1">IF(NOTA[[#This Row],[TGL.NOTA]]="",IF(NOTA[[#This Row],[SUPPLIER_H]]="","",AL311),MONTH(NOTA[[#This Row],[TGL.NOTA]]))</f>
        <v/>
      </c>
      <c r="AM312" s="38" t="str">
        <f>LOWER(SUBSTITUTE(SUBSTITUTE(SUBSTITUTE(SUBSTITUTE(SUBSTITUTE(SUBSTITUTE(SUBSTITUTE(SUBSTITUTE(SUBSTITUTE(NOTA[NAMA BARANG]," ",),".",""),"-",""),"(",""),")",""),",",""),"/",""),"""",""),"+",""))</f>
        <v/>
      </c>
      <c r="AN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38" t="str">
        <f>IF(NOTA[[#This Row],[CONCAT4]]="","",_xlfn.IFNA(MATCH(NOTA[[#This Row],[CONCAT4]],[2]!RAW[CONCAT_H],0),FALSE))</f>
        <v/>
      </c>
      <c r="AR312" s="38" t="str">
        <f>IF(NOTA[[#This Row],[CONCAT1]]="","",MATCH(NOTA[[#This Row],[CONCAT1]],[3]!db[NB NOTA_C],0))</f>
        <v/>
      </c>
      <c r="AS312" s="38" t="str">
        <f>IF(NOTA[[#This Row],[QTY/ CTN]]="","",TRUE)</f>
        <v/>
      </c>
      <c r="AT312" s="38" t="str">
        <f ca="1">IF(NOTA[[#This Row],[ID_H]]="","",IF(NOTA[[#This Row],[Column3]]=TRUE,NOTA[[#This Row],[QTY/ CTN]],INDEX([3]!db[QTY/ CTN],NOTA[[#This Row],[//DB]])))</f>
        <v/>
      </c>
      <c r="AU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12" s="38" t="str">
        <f ca="1">IF(NOTA[[#This Row],[ID_H]]="","",MATCH(NOTA[[#This Row],[NB NOTA_C_QTY]],[4]!db[NB NOTA_C_QTY+F],0))</f>
        <v/>
      </c>
      <c r="AW312" s="53" t="str">
        <f ca="1">IF(NOTA[[#This Row],[NB NOTA_C_QTY]]="","",ROW()-2)</f>
        <v/>
      </c>
    </row>
    <row r="313" spans="1:49" s="38" customFormat="1" ht="20.100000000000001" customHeight="1" x14ac:dyDescent="0.25">
      <c r="A313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ATA_1809_347-9</v>
      </c>
      <c r="C313" s="38" t="e">
        <f ca="1">IF(NOTA[[#This Row],[ID_P]]="","",MATCH(NOTA[[#This Row],[ID_P]],[1]!B_MSK[N_ID],0))</f>
        <v>#REF!</v>
      </c>
      <c r="D313" s="38">
        <f ca="1">IF(NOTA[[#This Row],[NAMA BARANG]]="","",INDEX(NOTA[ID],MATCH(,INDIRECT(ADDRESS(ROW(NOTA[ID]),COLUMN(NOTA[ID]))&amp;":"&amp;ADDRESS(ROW(),COLUMN(NOTA[ID]))),-1)))</f>
        <v>52</v>
      </c>
      <c r="E313" s="46">
        <v>45187</v>
      </c>
      <c r="F313" s="37" t="s">
        <v>24</v>
      </c>
      <c r="G313" s="37" t="s">
        <v>23</v>
      </c>
      <c r="H313" s="47" t="s">
        <v>439</v>
      </c>
      <c r="I313" s="37"/>
      <c r="J313" s="39">
        <v>45183</v>
      </c>
      <c r="K313" s="37"/>
      <c r="L313" s="37" t="s">
        <v>446</v>
      </c>
      <c r="M313" s="40">
        <v>1</v>
      </c>
      <c r="N313" s="38">
        <v>144</v>
      </c>
      <c r="O313" s="37" t="s">
        <v>126</v>
      </c>
      <c r="P313" s="41">
        <v>13500</v>
      </c>
      <c r="Q313" s="42"/>
      <c r="R313" s="48" t="s">
        <v>454</v>
      </c>
      <c r="S313" s="49">
        <v>0.125</v>
      </c>
      <c r="T313" s="44">
        <v>0.05</v>
      </c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1944000</v>
      </c>
      <c r="Y313" s="50">
        <f>IF(NOTA[[#This Row],[JUMLAH]]="","",NOTA[[#This Row],[JUMLAH]]*NOTA[[#This Row],[DISC 1]])</f>
        <v>243000</v>
      </c>
      <c r="Z313" s="50">
        <f>IF(NOTA[[#This Row],[JUMLAH]]="","",(NOTA[[#This Row],[JUMLAH]]-NOTA[[#This Row],[DISC 1-]])*NOTA[[#This Row],[DISC 2]])</f>
        <v>85050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328050</v>
      </c>
      <c r="AC313" s="50">
        <f>IF(NOTA[[#This Row],[JUMLAH]]="","",NOTA[[#This Row],[JUMLAH]]-NOTA[[#This Row],[DISC]])</f>
        <v>1615950</v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313" s="50">
        <f>IF(OR(NOTA[[#This Row],[QTY]]="",NOTA[[#This Row],[HARGA SATUAN]]="",),"",NOTA[[#This Row],[QTY]]*NOTA[[#This Row],[HARGA SATUAN]])</f>
        <v>1944000</v>
      </c>
      <c r="AH313" s="39">
        <f ca="1">IF(NOTA[ID_H]="","",INDEX(NOTA[TANGGAL],MATCH(,INDIRECT(ADDRESS(ROW(NOTA[TANGGAL]),COLUMN(NOTA[TANGGAL]))&amp;":"&amp;ADDRESS(ROW(),COLUMN(NOTA[TANGGAL]))),-1)))</f>
        <v>45187</v>
      </c>
      <c r="AI313" s="41" t="str">
        <f ca="1">IF(NOTA[[#This Row],[NAMA BARANG]]="","",INDEX(NOTA[SUPPLIER],MATCH(,INDIRECT(ADDRESS(ROW(NOTA[ID]),COLUMN(NOTA[ID]))&amp;":"&amp;ADDRESS(ROW(),COLUMN(NOTA[ID]))),-1)))</f>
        <v>ATALI MAKMUR</v>
      </c>
      <c r="AJ313" s="41" t="str">
        <f ca="1">IF(NOTA[[#This Row],[ID_H]]="","",IF(NOTA[[#This Row],[FAKTUR]]="",INDIRECT(ADDRESS(ROW()-1,COLUMN())),NOTA[[#This Row],[FAKTUR]]))</f>
        <v>ARTO MORO</v>
      </c>
      <c r="AK313" s="38">
        <f ca="1">IF(NOTA[[#This Row],[ID]]="","",COUNTIF(NOTA[ID_H],NOTA[[#This Row],[ID_H]]))</f>
        <v>9</v>
      </c>
      <c r="AL313" s="38">
        <f>IF(NOTA[[#This Row],[TGL.NOTA]]="",IF(NOTA[[#This Row],[SUPPLIER_H]]="","",AL312),MONTH(NOTA[[#This Row],[TGL.NOTA]]))</f>
        <v>9</v>
      </c>
      <c r="AM313" s="38" t="str">
        <f>LOWER(SUBSTITUTE(SUBSTITUTE(SUBSTITUTE(SUBSTITUTE(SUBSTITUTE(SUBSTITUTE(SUBSTITUTE(SUBSTITUTE(SUBSTITUTE(NOTA[NAMA BARANG]," ",),".",""),"-",""),"(",""),")",""),",",""),"/",""),"""",""),"+",""))</f>
        <v>cuttera300sgjk</v>
      </c>
      <c r="AN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cuttera300sgjk19440000.1250.05</v>
      </c>
      <c r="AO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cuttera300sgjk19440000.1250.05</v>
      </c>
      <c r="AP3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MOROSA23091634745183cuttera300sgjk</v>
      </c>
      <c r="AQ313" s="38" t="e">
        <f>IF(NOTA[[#This Row],[CONCAT4]]="","",_xlfn.IFNA(MATCH(NOTA[[#This Row],[CONCAT4]],[2]!RAW[CONCAT_H],0),FALSE))</f>
        <v>#REF!</v>
      </c>
      <c r="AR313" s="38">
        <f>IF(NOTA[[#This Row],[CONCAT1]]="","",MATCH(NOTA[[#This Row],[CONCAT1]],[3]!db[NB NOTA_C],0))</f>
        <v>677</v>
      </c>
      <c r="AS313" s="38" t="b">
        <f>IF(NOTA[[#This Row],[QTY/ CTN]]="","",TRUE)</f>
        <v>1</v>
      </c>
      <c r="AT313" s="38" t="str">
        <f ca="1">IF(NOTA[[#This Row],[ID_H]]="","",IF(NOTA[[#This Row],[Column3]]=TRUE,NOTA[[#This Row],[QTY/ CTN]],INDEX([3]!db[QTY/ CTN],NOTA[[#This Row],[//DB]])))</f>
        <v>12 BOX (12 PCS)</v>
      </c>
      <c r="AU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cuttera300sgjk12box12pcsartomoro</v>
      </c>
      <c r="AV313" s="38" t="e">
        <f ca="1">IF(NOTA[[#This Row],[ID_H]]="","",MATCH(NOTA[[#This Row],[NB NOTA_C_QTY]],[4]!db[NB NOTA_C_QTY+F],0))</f>
        <v>#REF!</v>
      </c>
      <c r="AW313" s="53">
        <f ca="1">IF(NOTA[[#This Row],[NB NOTA_C_QTY]]="","",ROW()-2)</f>
        <v>311</v>
      </c>
    </row>
    <row r="314" spans="1:49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52</v>
      </c>
      <c r="E314" s="46"/>
      <c r="F314" s="37"/>
      <c r="G314" s="37"/>
      <c r="H314" s="47"/>
      <c r="I314" s="37"/>
      <c r="J314" s="39"/>
      <c r="K314" s="37"/>
      <c r="L314" s="37" t="s">
        <v>387</v>
      </c>
      <c r="M314" s="40">
        <v>2</v>
      </c>
      <c r="N314" s="38">
        <v>288</v>
      </c>
      <c r="O314" s="37" t="s">
        <v>138</v>
      </c>
      <c r="P314" s="41">
        <v>14100</v>
      </c>
      <c r="Q314" s="42"/>
      <c r="R314" s="48"/>
      <c r="S314" s="49">
        <v>0.125</v>
      </c>
      <c r="T314" s="44">
        <v>0.05</v>
      </c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4060800</v>
      </c>
      <c r="Y314" s="50">
        <f>IF(NOTA[[#This Row],[JUMLAH]]="","",NOTA[[#This Row],[JUMLAH]]*NOTA[[#This Row],[DISC 1]])</f>
        <v>507600</v>
      </c>
      <c r="Z314" s="50">
        <f>IF(NOTA[[#This Row],[JUMLAH]]="","",(NOTA[[#This Row],[JUMLAH]]-NOTA[[#This Row],[DISC 1-]])*NOTA[[#This Row],[DISC 2]])</f>
        <v>177660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685260</v>
      </c>
      <c r="AC314" s="50">
        <f>IF(NOTA[[#This Row],[JUMLAH]]="","",NOTA[[#This Row],[JUMLAH]]-NOTA[[#This Row],[DISC]])</f>
        <v>3375540</v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4" s="4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G314" s="50">
        <f>IF(OR(NOTA[[#This Row],[QTY]]="",NOTA[[#This Row],[HARGA SATUAN]]="",),"",NOTA[[#This Row],[QTY]]*NOTA[[#This Row],[HARGA SATUAN]])</f>
        <v>4060800</v>
      </c>
      <c r="AH314" s="39">
        <f ca="1">IF(NOTA[ID_H]="","",INDEX(NOTA[TANGGAL],MATCH(,INDIRECT(ADDRESS(ROW(NOTA[TANGGAL]),COLUMN(NOTA[TANGGAL]))&amp;":"&amp;ADDRESS(ROW(),COLUMN(NOTA[TANGGAL]))),-1)))</f>
        <v>45187</v>
      </c>
      <c r="AI314" s="41" t="str">
        <f ca="1">IF(NOTA[[#This Row],[NAMA BARANG]]="","",INDEX(NOTA[SUPPLIER],MATCH(,INDIRECT(ADDRESS(ROW(NOTA[ID]),COLUMN(NOTA[ID]))&amp;":"&amp;ADDRESS(ROW(),COLUMN(NOTA[ID]))),-1)))</f>
        <v>ATALI MAKMUR</v>
      </c>
      <c r="AJ314" s="41" t="str">
        <f ca="1">IF(NOTA[[#This Row],[ID_H]]="","",IF(NOTA[[#This Row],[FAKTUR]]="",INDIRECT(ADDRESS(ROW()-1,COLUMN())),NOTA[[#This Row],[FAKTUR]]))</f>
        <v>ARTO MORO</v>
      </c>
      <c r="AK314" s="38" t="str">
        <f ca="1">IF(NOTA[[#This Row],[ID]]="","",COUNTIF(NOTA[ID_H],NOTA[[#This Row],[ID_H]]))</f>
        <v/>
      </c>
      <c r="AL314" s="38">
        <f ca="1">IF(NOTA[[#This Row],[TGL.NOTA]]="",IF(NOTA[[#This Row],[SUPPLIER_H]]="","",AL313),MONTH(NOTA[[#This Row],[TGL.NOTA]]))</f>
        <v>9</v>
      </c>
      <c r="AM314" s="38" t="str">
        <f>LOWER(SUBSTITUTE(SUBSTITUTE(SUBSTITUTE(SUBSTITUTE(SUBSTITUTE(SUBSTITUTE(SUBSTITUTE(SUBSTITUTE(SUBSTITUTE(NOTA[NAMA BARANG]," ",),".",""),"-",""),"(",""),")",""),",",""),"/",""),"""",""),"+",""))</f>
        <v>gelpengp330blackjk</v>
      </c>
      <c r="AN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O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P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38" t="str">
        <f>IF(NOTA[[#This Row],[CONCAT4]]="","",_xlfn.IFNA(MATCH(NOTA[[#This Row],[CONCAT4]],[2]!RAW[CONCAT_H],0),FALSE))</f>
        <v/>
      </c>
      <c r="AR314" s="38">
        <f>IF(NOTA[[#This Row],[CONCAT1]]="","",MATCH(NOTA[[#This Row],[CONCAT1]],[3]!db[NB NOTA_C],0))</f>
        <v>906</v>
      </c>
      <c r="AS314" s="38" t="str">
        <f>IF(NOTA[[#This Row],[QTY/ CTN]]="","",TRUE)</f>
        <v/>
      </c>
      <c r="AT314" s="38" t="str">
        <f ca="1">IF(NOTA[[#This Row],[ID_H]]="","",IF(NOTA[[#This Row],[Column3]]=TRUE,NOTA[[#This Row],[QTY/ CTN]],INDEX([3]!db[QTY/ CTN],NOTA[[#This Row],[//DB]])))</f>
        <v>144 LSN</v>
      </c>
      <c r="AU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gelpengp330blackjk144lsnartomoro</v>
      </c>
      <c r="AV314" s="38" t="e">
        <f ca="1">IF(NOTA[[#This Row],[ID_H]]="","",MATCH(NOTA[[#This Row],[NB NOTA_C_QTY]],[4]!db[NB NOTA_C_QTY+F],0))</f>
        <v>#REF!</v>
      </c>
      <c r="AW314" s="53">
        <f ca="1">IF(NOTA[[#This Row],[NB NOTA_C_QTY]]="","",ROW()-2)</f>
        <v>312</v>
      </c>
    </row>
    <row r="315" spans="1:49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52</v>
      </c>
      <c r="E315" s="46"/>
      <c r="F315" s="37"/>
      <c r="G315" s="37"/>
      <c r="H315" s="47"/>
      <c r="I315" s="37"/>
      <c r="J315" s="39"/>
      <c r="K315" s="37"/>
      <c r="L315" s="37" t="s">
        <v>440</v>
      </c>
      <c r="M315" s="40">
        <v>2</v>
      </c>
      <c r="N315" s="38">
        <v>40</v>
      </c>
      <c r="O315" s="37" t="s">
        <v>138</v>
      </c>
      <c r="P315" s="41">
        <v>85200</v>
      </c>
      <c r="Q315" s="42"/>
      <c r="R315" s="48"/>
      <c r="S315" s="49">
        <v>0.125</v>
      </c>
      <c r="T315" s="44">
        <v>0.05</v>
      </c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3408000</v>
      </c>
      <c r="Y315" s="50">
        <f>IF(NOTA[[#This Row],[JUMLAH]]="","",NOTA[[#This Row],[JUMLAH]]*NOTA[[#This Row],[DISC 1]])</f>
        <v>426000</v>
      </c>
      <c r="Z315" s="50">
        <f>IF(NOTA[[#This Row],[JUMLAH]]="","",(NOTA[[#This Row],[JUMLAH]]-NOTA[[#This Row],[DISC 1-]])*NOTA[[#This Row],[DISC 2]])</f>
        <v>149100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575100</v>
      </c>
      <c r="AC315" s="50">
        <f>IF(NOTA[[#This Row],[JUMLAH]]="","",NOTA[[#This Row],[JUMLAH]]-NOTA[[#This Row],[DISC]])</f>
        <v>2832900</v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315" s="50">
        <f>IF(OR(NOTA[[#This Row],[QTY]]="",NOTA[[#This Row],[HARGA SATUAN]]="",),"",NOTA[[#This Row],[QTY]]*NOTA[[#This Row],[HARGA SATUAN]])</f>
        <v>3408000</v>
      </c>
      <c r="AH315" s="39">
        <f ca="1">IF(NOTA[ID_H]="","",INDEX(NOTA[TANGGAL],MATCH(,INDIRECT(ADDRESS(ROW(NOTA[TANGGAL]),COLUMN(NOTA[TANGGAL]))&amp;":"&amp;ADDRESS(ROW(),COLUMN(NOTA[TANGGAL]))),-1)))</f>
        <v>45187</v>
      </c>
      <c r="AI315" s="41" t="str">
        <f ca="1">IF(NOTA[[#This Row],[NAMA BARANG]]="","",INDEX(NOTA[SUPPLIER],MATCH(,INDIRECT(ADDRESS(ROW(NOTA[ID]),COLUMN(NOTA[ID]))&amp;":"&amp;ADDRESS(ROW(),COLUMN(NOTA[ID]))),-1)))</f>
        <v>ATALI MAKMUR</v>
      </c>
      <c r="AJ315" s="41" t="str">
        <f ca="1">IF(NOTA[[#This Row],[ID_H]]="","",IF(NOTA[[#This Row],[FAKTUR]]="",INDIRECT(ADDRESS(ROW()-1,COLUMN())),NOTA[[#This Row],[FAKTUR]]))</f>
        <v>ARTO MORO</v>
      </c>
      <c r="AK315" s="38" t="str">
        <f ca="1">IF(NOTA[[#This Row],[ID]]="","",COUNTIF(NOTA[ID_H],NOTA[[#This Row],[ID_H]]))</f>
        <v/>
      </c>
      <c r="AL315" s="38">
        <f ca="1">IF(NOTA[[#This Row],[TGL.NOTA]]="",IF(NOTA[[#This Row],[SUPPLIER_H]]="","",AL314),MONTH(NOTA[[#This Row],[TGL.NOTA]]))</f>
        <v>9</v>
      </c>
      <c r="AM31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38" t="str">
        <f>IF(NOTA[[#This Row],[CONCAT4]]="","",_xlfn.IFNA(MATCH(NOTA[[#This Row],[CONCAT4]],[2]!RAW[CONCAT_H],0),FALSE))</f>
        <v/>
      </c>
      <c r="AR315" s="38">
        <f>IF(NOTA[[#This Row],[CONCAT1]]="","",MATCH(NOTA[[#This Row],[CONCAT1]],[3]!db[NB NOTA_C],0))</f>
        <v>2471</v>
      </c>
      <c r="AS315" s="38" t="str">
        <f>IF(NOTA[[#This Row],[QTY/ CTN]]="","",TRUE)</f>
        <v/>
      </c>
      <c r="AT315" s="38" t="str">
        <f ca="1">IF(NOTA[[#This Row],[ID_H]]="","",IF(NOTA[[#This Row],[Column3]]=TRUE,NOTA[[#This Row],[QTY/ CTN]],INDEX([3]!db[QTY/ CTN],NOTA[[#This Row],[//DB]])))</f>
        <v>20 LSN</v>
      </c>
      <c r="AU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315" s="38" t="e">
        <f ca="1">IF(NOTA[[#This Row],[ID_H]]="","",MATCH(NOTA[[#This Row],[NB NOTA_C_QTY]],[4]!db[NB NOTA_C_QTY+F],0))</f>
        <v>#REF!</v>
      </c>
      <c r="AW315" s="53">
        <f ca="1">IF(NOTA[[#This Row],[NB NOTA_C_QTY]]="","",ROW()-2)</f>
        <v>313</v>
      </c>
    </row>
    <row r="316" spans="1:49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52</v>
      </c>
      <c r="E316" s="46"/>
      <c r="F316" s="37"/>
      <c r="G316" s="37"/>
      <c r="H316" s="47"/>
      <c r="I316" s="37"/>
      <c r="J316" s="39"/>
      <c r="K316" s="37"/>
      <c r="L316" s="37" t="s">
        <v>441</v>
      </c>
      <c r="M316" s="40">
        <v>1</v>
      </c>
      <c r="N316" s="38">
        <v>10</v>
      </c>
      <c r="O316" s="37" t="s">
        <v>286</v>
      </c>
      <c r="P316" s="41">
        <v>89000</v>
      </c>
      <c r="Q316" s="42"/>
      <c r="R316" s="48"/>
      <c r="S316" s="49">
        <v>0.125</v>
      </c>
      <c r="T316" s="44">
        <v>0.05</v>
      </c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890000</v>
      </c>
      <c r="Y316" s="50">
        <f>IF(NOTA[[#This Row],[JUMLAH]]="","",NOTA[[#This Row],[JUMLAH]]*NOTA[[#This Row],[DISC 1]])</f>
        <v>111250</v>
      </c>
      <c r="Z316" s="50">
        <f>IF(NOTA[[#This Row],[JUMLAH]]="","",(NOTA[[#This Row],[JUMLAH]]-NOTA[[#This Row],[DISC 1-]])*NOTA[[#This Row],[DISC 2]])</f>
        <v>38937.5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150187.5</v>
      </c>
      <c r="AC316" s="50">
        <f>IF(NOTA[[#This Row],[JUMLAH]]="","",NOTA[[#This Row],[JUMLAH]]-NOTA[[#This Row],[DISC]])</f>
        <v>739812.5</v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6" s="41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G316" s="50">
        <f>IF(OR(NOTA[[#This Row],[QTY]]="",NOTA[[#This Row],[HARGA SATUAN]]="",),"",NOTA[[#This Row],[QTY]]*NOTA[[#This Row],[HARGA SATUAN]])</f>
        <v>890000</v>
      </c>
      <c r="AH316" s="39">
        <f ca="1">IF(NOTA[ID_H]="","",INDEX(NOTA[TANGGAL],MATCH(,INDIRECT(ADDRESS(ROW(NOTA[TANGGAL]),COLUMN(NOTA[TANGGAL]))&amp;":"&amp;ADDRESS(ROW(),COLUMN(NOTA[TANGGAL]))),-1)))</f>
        <v>45187</v>
      </c>
      <c r="AI316" s="41" t="str">
        <f ca="1">IF(NOTA[[#This Row],[NAMA BARANG]]="","",INDEX(NOTA[SUPPLIER],MATCH(,INDIRECT(ADDRESS(ROW(NOTA[ID]),COLUMN(NOTA[ID]))&amp;":"&amp;ADDRESS(ROW(),COLUMN(NOTA[ID]))),-1)))</f>
        <v>ATALI MAKMUR</v>
      </c>
      <c r="AJ316" s="41" t="str">
        <f ca="1">IF(NOTA[[#This Row],[ID_H]]="","",IF(NOTA[[#This Row],[FAKTUR]]="",INDIRECT(ADDRESS(ROW()-1,COLUMN())),NOTA[[#This Row],[FAKTUR]]))</f>
        <v>ARTO MORO</v>
      </c>
      <c r="AK316" s="38" t="str">
        <f ca="1">IF(NOTA[[#This Row],[ID]]="","",COUNTIF(NOTA[ID_H],NOTA[[#This Row],[ID_H]]))</f>
        <v/>
      </c>
      <c r="AL316" s="38">
        <f ca="1">IF(NOTA[[#This Row],[TGL.NOTA]]="",IF(NOTA[[#This Row],[SUPPLIER_H]]="","",AL315),MONTH(NOTA[[#This Row],[TGL.NOTA]]))</f>
        <v>9</v>
      </c>
      <c r="AM316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38" t="str">
        <f>IF(NOTA[[#This Row],[CONCAT4]]="","",_xlfn.IFNA(MATCH(NOTA[[#This Row],[CONCAT4]],[2]!RAW[CONCAT_H],0),FALSE))</f>
        <v/>
      </c>
      <c r="AR316" s="38">
        <f>IF(NOTA[[#This Row],[CONCAT1]]="","",MATCH(NOTA[[#This Row],[CONCAT1]],[3]!db[NB NOTA_C],0))</f>
        <v>1636</v>
      </c>
      <c r="AS316" s="38" t="str">
        <f>IF(NOTA[[#This Row],[QTY/ CTN]]="","",TRUE)</f>
        <v/>
      </c>
      <c r="AT316" s="38" t="str">
        <f ca="1">IF(NOTA[[#This Row],[ID_H]]="","",IF(NOTA[[#This Row],[Column3]]=TRUE,NOTA[[#This Row],[QTY/ CTN]],INDEX([3]!db[QTY/ CTN],NOTA[[#This Row],[//DB]])))</f>
        <v>10 PAK (100 PCS)</v>
      </c>
      <c r="AU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V316" s="38" t="e">
        <f ca="1">IF(NOTA[[#This Row],[ID_H]]="","",MATCH(NOTA[[#This Row],[NB NOTA_C_QTY]],[4]!db[NB NOTA_C_QTY+F],0))</f>
        <v>#REF!</v>
      </c>
      <c r="AW316" s="53">
        <f ca="1">IF(NOTA[[#This Row],[NB NOTA_C_QTY]]="","",ROW()-2)</f>
        <v>314</v>
      </c>
    </row>
    <row r="317" spans="1:49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52</v>
      </c>
      <c r="E317" s="46"/>
      <c r="F317" s="37"/>
      <c r="G317" s="37"/>
      <c r="H317" s="47"/>
      <c r="I317" s="37"/>
      <c r="J317" s="39"/>
      <c r="K317" s="37"/>
      <c r="L317" s="37" t="s">
        <v>442</v>
      </c>
      <c r="M317" s="40">
        <v>1</v>
      </c>
      <c r="N317" s="38">
        <v>40</v>
      </c>
      <c r="O317" s="37" t="s">
        <v>138</v>
      </c>
      <c r="P317" s="41">
        <v>49200</v>
      </c>
      <c r="Q317" s="42"/>
      <c r="R317" s="48"/>
      <c r="S317" s="49">
        <v>0.125</v>
      </c>
      <c r="T317" s="44">
        <v>0.05</v>
      </c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1968000</v>
      </c>
      <c r="Y317" s="50">
        <f>IF(NOTA[[#This Row],[JUMLAH]]="","",NOTA[[#This Row],[JUMLAH]]*NOTA[[#This Row],[DISC 1]])</f>
        <v>246000</v>
      </c>
      <c r="Z317" s="50">
        <f>IF(NOTA[[#This Row],[JUMLAH]]="","",(NOTA[[#This Row],[JUMLAH]]-NOTA[[#This Row],[DISC 1-]])*NOTA[[#This Row],[DISC 2]])</f>
        <v>86100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332100</v>
      </c>
      <c r="AC317" s="50">
        <f>IF(NOTA[[#This Row],[JUMLAH]]="","",NOTA[[#This Row],[JUMLAH]]-NOTA[[#This Row],[DISC]])</f>
        <v>1635900</v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G317" s="50">
        <f>IF(OR(NOTA[[#This Row],[QTY]]="",NOTA[[#This Row],[HARGA SATUAN]]="",),"",NOTA[[#This Row],[QTY]]*NOTA[[#This Row],[HARGA SATUAN]])</f>
        <v>1968000</v>
      </c>
      <c r="AH317" s="39">
        <f ca="1">IF(NOTA[ID_H]="","",INDEX(NOTA[TANGGAL],MATCH(,INDIRECT(ADDRESS(ROW(NOTA[TANGGAL]),COLUMN(NOTA[TANGGAL]))&amp;":"&amp;ADDRESS(ROW(),COLUMN(NOTA[TANGGAL]))),-1)))</f>
        <v>45187</v>
      </c>
      <c r="AI317" s="41" t="str">
        <f ca="1">IF(NOTA[[#This Row],[NAMA BARANG]]="","",INDEX(NOTA[SUPPLIER],MATCH(,INDIRECT(ADDRESS(ROW(NOTA[ID]),COLUMN(NOTA[ID]))&amp;":"&amp;ADDRESS(ROW(),COLUMN(NOTA[ID]))),-1)))</f>
        <v>ATALI MAKMUR</v>
      </c>
      <c r="AJ317" s="41" t="str">
        <f ca="1">IF(NOTA[[#This Row],[ID_H]]="","",IF(NOTA[[#This Row],[FAKTUR]]="",INDIRECT(ADDRESS(ROW()-1,COLUMN())),NOTA[[#This Row],[FAKTUR]]))</f>
        <v>ARTO MORO</v>
      </c>
      <c r="AK317" s="38" t="str">
        <f ca="1">IF(NOTA[[#This Row],[ID]]="","",COUNTIF(NOTA[ID_H],NOTA[[#This Row],[ID_H]]))</f>
        <v/>
      </c>
      <c r="AL317" s="38">
        <f ca="1">IF(NOTA[[#This Row],[TGL.NOTA]]="",IF(NOTA[[#This Row],[SUPPLIER_H]]="","",AL316),MONTH(NOTA[[#This Row],[TGL.NOTA]]))</f>
        <v>9</v>
      </c>
      <c r="AM317" s="38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38" t="str">
        <f>IF(NOTA[[#This Row],[CONCAT4]]="","",_xlfn.IFNA(MATCH(NOTA[[#This Row],[CONCAT4]],[2]!RAW[CONCAT_H],0),FALSE))</f>
        <v/>
      </c>
      <c r="AR317" s="38">
        <f>IF(NOTA[[#This Row],[CONCAT1]]="","",MATCH(NOTA[[#This Row],[CONCAT1]],[3]!db[NB NOTA_C],0))</f>
        <v>684</v>
      </c>
      <c r="AS317" s="38" t="str">
        <f>IF(NOTA[[#This Row],[QTY/ CTN]]="","",TRUE)</f>
        <v/>
      </c>
      <c r="AT317" s="38" t="str">
        <f ca="1">IF(NOTA[[#This Row],[ID_H]]="","",IF(NOTA[[#This Row],[Column3]]=TRUE,NOTA[[#This Row],[QTY/ CTN]],INDEX([3]!db[QTY/ CTN],NOTA[[#This Row],[//DB]])))</f>
        <v>40 LSN</v>
      </c>
      <c r="AU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V317" s="38" t="e">
        <f ca="1">IF(NOTA[[#This Row],[ID_H]]="","",MATCH(NOTA[[#This Row],[NB NOTA_C_QTY]],[4]!db[NB NOTA_C_QTY+F],0))</f>
        <v>#REF!</v>
      </c>
      <c r="AW317" s="53">
        <f ca="1">IF(NOTA[[#This Row],[NB NOTA_C_QTY]]="","",ROW()-2)</f>
        <v>315</v>
      </c>
    </row>
    <row r="318" spans="1:49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52</v>
      </c>
      <c r="E318" s="46"/>
      <c r="F318" s="37"/>
      <c r="G318" s="37"/>
      <c r="H318" s="47"/>
      <c r="I318" s="37"/>
      <c r="J318" s="39"/>
      <c r="K318" s="37"/>
      <c r="L318" s="37" t="s">
        <v>443</v>
      </c>
      <c r="M318" s="40">
        <v>2</v>
      </c>
      <c r="N318" s="38">
        <v>40</v>
      </c>
      <c r="O318" s="37" t="s">
        <v>212</v>
      </c>
      <c r="P318" s="41">
        <v>67800</v>
      </c>
      <c r="Q318" s="42"/>
      <c r="R318" s="48"/>
      <c r="S318" s="49">
        <v>0.125</v>
      </c>
      <c r="T318" s="44">
        <v>0.05</v>
      </c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2712000</v>
      </c>
      <c r="Y318" s="50">
        <f>IF(NOTA[[#This Row],[JUMLAH]]="","",NOTA[[#This Row],[JUMLAH]]*NOTA[[#This Row],[DISC 1]])</f>
        <v>339000</v>
      </c>
      <c r="Z318" s="50">
        <f>IF(NOTA[[#This Row],[JUMLAH]]="","",(NOTA[[#This Row],[JUMLAH]]-NOTA[[#This Row],[DISC 1-]])*NOTA[[#This Row],[DISC 2]])</f>
        <v>118650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457650</v>
      </c>
      <c r="AC318" s="50">
        <f>IF(NOTA[[#This Row],[JUMLAH]]="","",NOTA[[#This Row],[JUMLAH]]-NOTA[[#This Row],[DISC]])</f>
        <v>2254350</v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8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G318" s="50">
        <f>IF(OR(NOTA[[#This Row],[QTY]]="",NOTA[[#This Row],[HARGA SATUAN]]="",),"",NOTA[[#This Row],[QTY]]*NOTA[[#This Row],[HARGA SATUAN]])</f>
        <v>2712000</v>
      </c>
      <c r="AH318" s="39">
        <f ca="1">IF(NOTA[ID_H]="","",INDEX(NOTA[TANGGAL],MATCH(,INDIRECT(ADDRESS(ROW(NOTA[TANGGAL]),COLUMN(NOTA[TANGGAL]))&amp;":"&amp;ADDRESS(ROW(),COLUMN(NOTA[TANGGAL]))),-1)))</f>
        <v>45187</v>
      </c>
      <c r="AI318" s="41" t="str">
        <f ca="1">IF(NOTA[[#This Row],[NAMA BARANG]]="","",INDEX(NOTA[SUPPLIER],MATCH(,INDIRECT(ADDRESS(ROW(NOTA[ID]),COLUMN(NOTA[ID]))&amp;":"&amp;ADDRESS(ROW(),COLUMN(NOTA[ID]))),-1)))</f>
        <v>ATALI MAKMUR</v>
      </c>
      <c r="AJ318" s="41" t="str">
        <f ca="1">IF(NOTA[[#This Row],[ID_H]]="","",IF(NOTA[[#This Row],[FAKTUR]]="",INDIRECT(ADDRESS(ROW()-1,COLUMN())),NOTA[[#This Row],[FAKTUR]]))</f>
        <v>ARTO MORO</v>
      </c>
      <c r="AK318" s="38" t="str">
        <f ca="1">IF(NOTA[[#This Row],[ID]]="","",COUNTIF(NOTA[ID_H],NOTA[[#This Row],[ID_H]]))</f>
        <v/>
      </c>
      <c r="AL318" s="38">
        <f ca="1">IF(NOTA[[#This Row],[TGL.NOTA]]="",IF(NOTA[[#This Row],[SUPPLIER_H]]="","",AL317),MONTH(NOTA[[#This Row],[TGL.NOTA]]))</f>
        <v>9</v>
      </c>
      <c r="AM318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N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O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P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8" s="38" t="str">
        <f>IF(NOTA[[#This Row],[CONCAT4]]="","",_xlfn.IFNA(MATCH(NOTA[[#This Row],[CONCAT4]],[2]!RAW[CONCAT_H],0),FALSE))</f>
        <v/>
      </c>
      <c r="AR318" s="38">
        <f>IF(NOTA[[#This Row],[CONCAT1]]="","",MATCH(NOTA[[#This Row],[CONCAT1]],[3]!db[NB NOTA_C],0))</f>
        <v>248</v>
      </c>
      <c r="AS318" s="38" t="str">
        <f>IF(NOTA[[#This Row],[QTY/ CTN]]="","",TRUE)</f>
        <v/>
      </c>
      <c r="AT318" s="38" t="str">
        <f ca="1">IF(NOTA[[#This Row],[ID_H]]="","",IF(NOTA[[#This Row],[Column3]]=TRUE,NOTA[[#This Row],[QTY/ CTN]],INDEX([3]!db[QTY/ CTN],NOTA[[#This Row],[//DB]])))</f>
        <v>20 GRS</v>
      </c>
      <c r="AU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V318" s="38" t="e">
        <f ca="1">IF(NOTA[[#This Row],[ID_H]]="","",MATCH(NOTA[[#This Row],[NB NOTA_C_QTY]],[4]!db[NB NOTA_C_QTY+F],0))</f>
        <v>#REF!</v>
      </c>
      <c r="AW318" s="53">
        <f ca="1">IF(NOTA[[#This Row],[NB NOTA_C_QTY]]="","",ROW()-2)</f>
        <v>316</v>
      </c>
    </row>
    <row r="319" spans="1:49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659</v>
      </c>
      <c r="M319" s="40"/>
      <c r="N319" s="38">
        <v>12</v>
      </c>
      <c r="O319" s="37" t="s">
        <v>138</v>
      </c>
      <c r="P319" s="41">
        <v>13200</v>
      </c>
      <c r="Q319" s="42"/>
      <c r="R319" s="48"/>
      <c r="S319" s="49">
        <v>0.1</v>
      </c>
      <c r="T319" s="44">
        <v>0.05</v>
      </c>
      <c r="U319" s="44"/>
      <c r="V319" s="50"/>
      <c r="W319" s="45" t="s">
        <v>417</v>
      </c>
      <c r="X319" s="50">
        <f>IF(NOTA[[#This Row],[HARGA/ CTN]]="",NOTA[[#This Row],[JUMLAH_H]],NOTA[[#This Row],[HARGA/ CTN]]*IF(NOTA[[#This Row],[C]]="",0,NOTA[[#This Row],[C]]))</f>
        <v>158400</v>
      </c>
      <c r="Y319" s="50">
        <f>IF(NOTA[[#This Row],[JUMLAH]]="","",NOTA[[#This Row],[JUMLAH]]*NOTA[[#This Row],[DISC 1]])</f>
        <v>15840</v>
      </c>
      <c r="Z319" s="50">
        <f>IF(NOTA[[#This Row],[JUMLAH]]="","",(NOTA[[#This Row],[JUMLAH]]-NOTA[[#This Row],[DISC 1-]])*NOTA[[#This Row],[DISC 2]])</f>
        <v>7128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22968</v>
      </c>
      <c r="AC319" s="50">
        <f>IF(NOTA[[#This Row],[JUMLAH]]="","",NOTA[[#This Row],[JUMLAH]]-NOTA[[#This Row],[DISC]])</f>
        <v>135432</v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19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319" s="50">
        <f>IF(OR(NOTA[[#This Row],[QTY]]="",NOTA[[#This Row],[HARGA SATUAN]]="",),"",NOTA[[#This Row],[QTY]]*NOTA[[#This Row],[HARGA SATUAN]])</f>
        <v>158400</v>
      </c>
      <c r="AH319" s="39">
        <f ca="1">IF(NOTA[ID_H]="","",INDEX(NOTA[TANGGAL],MATCH(,INDIRECT(ADDRESS(ROW(NOTA[TANGGAL]),COLUMN(NOTA[TANGGAL]))&amp;":"&amp;ADDRESS(ROW(),COLUMN(NOTA[TANGGAL]))),-1)))</f>
        <v>45187</v>
      </c>
      <c r="AI319" s="41" t="str">
        <f ca="1">IF(NOTA[[#This Row],[NAMA BARANG]]="","",INDEX(NOTA[SUPPLIER],MATCH(,INDIRECT(ADDRESS(ROW(NOTA[ID]),COLUMN(NOTA[ID]))&amp;":"&amp;ADDRESS(ROW(),COLUMN(NOTA[ID]))),-1)))</f>
        <v>ATALI MAKMUR</v>
      </c>
      <c r="AJ319" s="41" t="str">
        <f ca="1">IF(NOTA[[#This Row],[ID_H]]="","",IF(NOTA[[#This Row],[FAKTUR]]="",INDIRECT(ADDRESS(ROW()-1,COLUMN())),NOTA[[#This Row],[FAKTUR]]))</f>
        <v>ARTO MORO</v>
      </c>
      <c r="AK319" s="38" t="str">
        <f ca="1">IF(NOTA[[#This Row],[ID]]="","",COUNTIF(NOTA[ID_H],NOTA[[#This Row],[ID_H]]))</f>
        <v/>
      </c>
      <c r="AL319" s="38">
        <f ca="1">IF(NOTA[[#This Row],[TGL.NOTA]]="",IF(NOTA[[#This Row],[SUPPLIER_H]]="","",AL318),MONTH(NOTA[[#This Row],[TGL.NOTA]]))</f>
        <v>9</v>
      </c>
      <c r="AM319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38" t="str">
        <f>IF(NOTA[[#This Row],[CONCAT4]]="","",_xlfn.IFNA(MATCH(NOTA[[#This Row],[CONCAT4]],[2]!RAW[CONCAT_H],0),FALSE))</f>
        <v/>
      </c>
      <c r="AR319" s="38">
        <f>IF(NOTA[[#This Row],[CONCAT1]]="","",MATCH(NOTA[[#This Row],[CONCAT1]],[3]!db[NB NOTA_C],0))</f>
        <v>101</v>
      </c>
      <c r="AS319" s="38" t="str">
        <f>IF(NOTA[[#This Row],[QTY/ CTN]]="","",TRUE)</f>
        <v/>
      </c>
      <c r="AT319" s="38" t="str">
        <f ca="1">IF(NOTA[[#This Row],[ID_H]]="","",IF(NOTA[[#This Row],[Column3]]=TRUE,NOTA[[#This Row],[QTY/ CTN]],INDEX([3]!db[QTY/ CTN],NOTA[[#This Row],[//DB]])))</f>
        <v>144 LSN</v>
      </c>
      <c r="AU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319" s="38" t="e">
        <f ca="1">IF(NOTA[[#This Row],[ID_H]]="","",MATCH(NOTA[[#This Row],[NB NOTA_C_QTY]],[4]!db[NB NOTA_C_QTY+F],0))</f>
        <v>#REF!</v>
      </c>
      <c r="AW319" s="53">
        <f ca="1">IF(NOTA[[#This Row],[NB NOTA_C_QTY]]="","",ROW()-2)</f>
        <v>317</v>
      </c>
    </row>
    <row r="320" spans="1:49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/>
      <c r="L320" s="37" t="s">
        <v>445</v>
      </c>
      <c r="M320" s="40"/>
      <c r="N320" s="38">
        <v>36</v>
      </c>
      <c r="O320" s="37" t="s">
        <v>126</v>
      </c>
      <c r="P320" s="41">
        <v>20700</v>
      </c>
      <c r="Q320" s="42"/>
      <c r="R320" s="48"/>
      <c r="S320" s="49">
        <v>0.125</v>
      </c>
      <c r="T320" s="44">
        <v>0.05</v>
      </c>
      <c r="U320" s="44"/>
      <c r="V320" s="50"/>
      <c r="W320" s="45"/>
      <c r="X320" s="50">
        <f>IF(NOTA[[#This Row],[HARGA/ CTN]]="",NOTA[[#This Row],[JUMLAH_H]],NOTA[[#This Row],[HARGA/ CTN]]*IF(NOTA[[#This Row],[C]]="",0,NOTA[[#This Row],[C]]))</f>
        <v>745200</v>
      </c>
      <c r="Y320" s="50">
        <f>IF(NOTA[[#This Row],[JUMLAH]]="","",NOTA[[#This Row],[JUMLAH]]*NOTA[[#This Row],[DISC 1]])</f>
        <v>93150</v>
      </c>
      <c r="Z320" s="50">
        <f>IF(NOTA[[#This Row],[JUMLAH]]="","",(NOTA[[#This Row],[JUMLAH]]-NOTA[[#This Row],[DISC 1-]])*NOTA[[#This Row],[DISC 2]])</f>
        <v>32602.5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125752.5</v>
      </c>
      <c r="AC320" s="50">
        <f>IF(NOTA[[#This Row],[JUMLAH]]="","",NOTA[[#This Row],[JUMLAH]]-NOTA[[#This Row],[DISC]])</f>
        <v>619447.5</v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G320" s="50">
        <f>IF(OR(NOTA[[#This Row],[QTY]]="",NOTA[[#This Row],[HARGA SATUAN]]="",),"",NOTA[[#This Row],[QTY]]*NOTA[[#This Row],[HARGA SATUAN]])</f>
        <v>745200</v>
      </c>
      <c r="AH320" s="39">
        <f ca="1">IF(NOTA[ID_H]="","",INDEX(NOTA[TANGGAL],MATCH(,INDIRECT(ADDRESS(ROW(NOTA[TANGGAL]),COLUMN(NOTA[TANGGAL]))&amp;":"&amp;ADDRESS(ROW(),COLUMN(NOTA[TANGGAL]))),-1)))</f>
        <v>45187</v>
      </c>
      <c r="AI320" s="41" t="str">
        <f ca="1">IF(NOTA[[#This Row],[NAMA BARANG]]="","",INDEX(NOTA[SUPPLIER],MATCH(,INDIRECT(ADDRESS(ROW(NOTA[ID]),COLUMN(NOTA[ID]))&amp;":"&amp;ADDRESS(ROW(),COLUMN(NOTA[ID]))),-1)))</f>
        <v>ATALI MAKMUR</v>
      </c>
      <c r="AJ320" s="41" t="str">
        <f ca="1">IF(NOTA[[#This Row],[ID_H]]="","",IF(NOTA[[#This Row],[FAKTUR]]="",INDIRECT(ADDRESS(ROW()-1,COLUMN())),NOTA[[#This Row],[FAKTUR]]))</f>
        <v>ARTO MORO</v>
      </c>
      <c r="AK320" s="38" t="str">
        <f ca="1">IF(NOTA[[#This Row],[ID]]="","",COUNTIF(NOTA[ID_H],NOTA[[#This Row],[ID_H]]))</f>
        <v/>
      </c>
      <c r="AL320" s="38">
        <f ca="1">IF(NOTA[[#This Row],[TGL.NOTA]]="",IF(NOTA[[#This Row],[SUPPLIER_H]]="","",AL319),MONTH(NOTA[[#This Row],[TGL.NOTA]]))</f>
        <v>9</v>
      </c>
      <c r="AM32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N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O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P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38" t="str">
        <f>IF(NOTA[[#This Row],[CONCAT4]]="","",_xlfn.IFNA(MATCH(NOTA[[#This Row],[CONCAT4]],[2]!RAW[CONCAT_H],0),FALSE))</f>
        <v/>
      </c>
      <c r="AR320" s="38">
        <f>IF(NOTA[[#This Row],[CONCAT1]]="","",MATCH(NOTA[[#This Row],[CONCAT1]],[3]!db[NB NOTA_C],0))</f>
        <v>230</v>
      </c>
      <c r="AS320" s="38" t="str">
        <f>IF(NOTA[[#This Row],[QTY/ CTN]]="","",TRUE)</f>
        <v/>
      </c>
      <c r="AT320" s="38" t="str">
        <f ca="1">IF(NOTA[[#This Row],[ID_H]]="","",IF(NOTA[[#This Row],[Column3]]=TRUE,NOTA[[#This Row],[QTY/ CTN]],INDEX([3]!db[QTY/ CTN],NOTA[[#This Row],[//DB]])))</f>
        <v>72 PCS</v>
      </c>
      <c r="AU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V320" s="38" t="e">
        <f ca="1">IF(NOTA[[#This Row],[ID_H]]="","",MATCH(NOTA[[#This Row],[NB NOTA_C_QTY]],[4]!db[NB NOTA_C_QTY+F],0))</f>
        <v>#REF!</v>
      </c>
      <c r="AW320" s="53">
        <f ca="1">IF(NOTA[[#This Row],[NB NOTA_C_QTY]]="","",ROW()-2)</f>
        <v>318</v>
      </c>
    </row>
    <row r="321" spans="1:49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52</v>
      </c>
      <c r="E321" s="46"/>
      <c r="F321" s="37"/>
      <c r="G321" s="37"/>
      <c r="H321" s="47"/>
      <c r="I321" s="37"/>
      <c r="J321" s="39"/>
      <c r="K321" s="37"/>
      <c r="L321" s="37" t="s">
        <v>444</v>
      </c>
      <c r="M321" s="40"/>
      <c r="N321" s="38">
        <v>36</v>
      </c>
      <c r="O321" s="37" t="s">
        <v>126</v>
      </c>
      <c r="P321" s="41">
        <v>20700</v>
      </c>
      <c r="Q321" s="42"/>
      <c r="R321" s="48"/>
      <c r="S321" s="49">
        <v>0.125</v>
      </c>
      <c r="T321" s="44">
        <v>0.05</v>
      </c>
      <c r="U321" s="44"/>
      <c r="V321" s="50">
        <v>135432</v>
      </c>
      <c r="W321" s="45"/>
      <c r="X321" s="50">
        <f>IF(NOTA[[#This Row],[HARGA/ CTN]]="",NOTA[[#This Row],[JUMLAH_H]],NOTA[[#This Row],[HARGA/ CTN]]*IF(NOTA[[#This Row],[C]]="",0,NOTA[[#This Row],[C]]))</f>
        <v>745200</v>
      </c>
      <c r="Y321" s="50">
        <f>IF(NOTA[[#This Row],[JUMLAH]]="","",NOTA[[#This Row],[JUMLAH]]*NOTA[[#This Row],[DISC 1]])</f>
        <v>93150</v>
      </c>
      <c r="Z321" s="50">
        <f>IF(NOTA[[#This Row],[JUMLAH]]="","",(NOTA[[#This Row],[JUMLAH]]-NOTA[[#This Row],[DISC 1-]])*NOTA[[#This Row],[DISC 2]])</f>
        <v>32602.5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125752.5</v>
      </c>
      <c r="AC321" s="50">
        <f>IF(NOTA[[#This Row],[JUMLAH]]="","",NOTA[[#This Row],[JUMLAH]]-NOTA[[#This Row],[DISC]])</f>
        <v>619447.5</v>
      </c>
      <c r="AD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2938252.5</v>
      </c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13693347.5</v>
      </c>
      <c r="AF32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G321" s="50">
        <f>IF(OR(NOTA[[#This Row],[QTY]]="",NOTA[[#This Row],[HARGA SATUAN]]="",),"",NOTA[[#This Row],[QTY]]*NOTA[[#This Row],[HARGA SATUAN]])</f>
        <v>745200</v>
      </c>
      <c r="AH321" s="39">
        <f ca="1">IF(NOTA[ID_H]="","",INDEX(NOTA[TANGGAL],MATCH(,INDIRECT(ADDRESS(ROW(NOTA[TANGGAL]),COLUMN(NOTA[TANGGAL]))&amp;":"&amp;ADDRESS(ROW(),COLUMN(NOTA[TANGGAL]))),-1)))</f>
        <v>45187</v>
      </c>
      <c r="AI321" s="41" t="str">
        <f ca="1">IF(NOTA[[#This Row],[NAMA BARANG]]="","",INDEX(NOTA[SUPPLIER],MATCH(,INDIRECT(ADDRESS(ROW(NOTA[ID]),COLUMN(NOTA[ID]))&amp;":"&amp;ADDRESS(ROW(),COLUMN(NOTA[ID]))),-1)))</f>
        <v>ATALI MAKMUR</v>
      </c>
      <c r="AJ321" s="41" t="str">
        <f ca="1">IF(NOTA[[#This Row],[ID_H]]="","",IF(NOTA[[#This Row],[FAKTUR]]="",INDIRECT(ADDRESS(ROW()-1,COLUMN())),NOTA[[#This Row],[FAKTUR]]))</f>
        <v>ARTO MORO</v>
      </c>
      <c r="AK321" s="38" t="str">
        <f ca="1">IF(NOTA[[#This Row],[ID]]="","",COUNTIF(NOTA[ID_H],NOTA[[#This Row],[ID_H]]))</f>
        <v/>
      </c>
      <c r="AL321" s="38">
        <f ca="1">IF(NOTA[[#This Row],[TGL.NOTA]]="",IF(NOTA[[#This Row],[SUPPLIER_H]]="","",AL320),MONTH(NOTA[[#This Row],[TGL.NOTA]]))</f>
        <v>9</v>
      </c>
      <c r="AM321" s="38" t="str">
        <f>LOWER(SUBSTITUTE(SUBSTITUTE(SUBSTITUTE(SUBSTITUTE(SUBSTITUTE(SUBSTITUTE(SUBSTITUTE(SUBSTITUTE(SUBSTITUTE(NOTA[NAMA BARANG]," ",),".",""),"-",""),"(",""),")",""),",",""),"/",""),"""",""),"+",""))</f>
        <v>binderb5tsimm133imagejku</v>
      </c>
      <c r="AN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binderb5tsimm133imagejku7452000.1250.05</v>
      </c>
      <c r="AO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binderb5tsimm133imagejku207000.1250.05</v>
      </c>
      <c r="AP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38" t="str">
        <f>IF(NOTA[[#This Row],[CONCAT4]]="","",_xlfn.IFNA(MATCH(NOTA[[#This Row],[CONCAT4]],[2]!RAW[CONCAT_H],0),FALSE))</f>
        <v/>
      </c>
      <c r="AR321" s="38">
        <f>IF(NOTA[[#This Row],[CONCAT1]]="","",MATCH(NOTA[[#This Row],[CONCAT1]],[3]!db[NB NOTA_C],0))</f>
        <v>239</v>
      </c>
      <c r="AS321" s="38" t="str">
        <f>IF(NOTA[[#This Row],[QTY/ CTN]]="","",TRUE)</f>
        <v/>
      </c>
      <c r="AT321" s="38" t="str">
        <f ca="1">IF(NOTA[[#This Row],[ID_H]]="","",IF(NOTA[[#This Row],[Column3]]=TRUE,NOTA[[#This Row],[QTY/ CTN]],INDEX([3]!db[QTY/ CTN],NOTA[[#This Row],[//DB]])))</f>
        <v>72 PCS</v>
      </c>
      <c r="AU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binderb5tsimm133imagejku72pcsartomoro</v>
      </c>
      <c r="AV321" s="38" t="e">
        <f ca="1">IF(NOTA[[#This Row],[ID_H]]="","",MATCH(NOTA[[#This Row],[NB NOTA_C_QTY]],[4]!db[NB NOTA_C_QTY+F],0))</f>
        <v>#REF!</v>
      </c>
      <c r="AW321" s="53">
        <f ca="1">IF(NOTA[[#This Row],[NB NOTA_C_QTY]]="","",ROW()-2)</f>
        <v>319</v>
      </c>
    </row>
    <row r="322" spans="1:49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22" s="50" t="str">
        <f>IF(OR(NOTA[[#This Row],[QTY]]="",NOTA[[#This Row],[HARGA SATUAN]]="",),"",NOTA[[#This Row],[QTY]]*NOTA[[#This Row],[HARGA SATUAN]])</f>
        <v/>
      </c>
      <c r="AH322" s="39" t="str">
        <f ca="1">IF(NOTA[ID_H]="","",INDEX(NOTA[TANGGAL],MATCH(,INDIRECT(ADDRESS(ROW(NOTA[TANGGAL]),COLUMN(NOTA[TANGGAL]))&amp;":"&amp;ADDRESS(ROW(),COLUMN(NOTA[TANGGAL]))),-1)))</f>
        <v/>
      </c>
      <c r="AI322" s="41" t="str">
        <f ca="1">IF(NOTA[[#This Row],[NAMA BARANG]]="","",INDEX(NOTA[SUPPLIER],MATCH(,INDIRECT(ADDRESS(ROW(NOTA[ID]),COLUMN(NOTA[ID]))&amp;":"&amp;ADDRESS(ROW(),COLUMN(NOTA[ID]))),-1)))</f>
        <v/>
      </c>
      <c r="AJ322" s="41" t="str">
        <f ca="1">IF(NOTA[[#This Row],[ID_H]]="","",IF(NOTA[[#This Row],[FAKTUR]]="",INDIRECT(ADDRESS(ROW()-1,COLUMN())),NOTA[[#This Row],[FAKTUR]]))</f>
        <v/>
      </c>
      <c r="AK322" s="38" t="str">
        <f ca="1">IF(NOTA[[#This Row],[ID]]="","",COUNTIF(NOTA[ID_H],NOTA[[#This Row],[ID_H]]))</f>
        <v/>
      </c>
      <c r="AL322" s="38" t="str">
        <f ca="1">IF(NOTA[[#This Row],[TGL.NOTA]]="",IF(NOTA[[#This Row],[SUPPLIER_H]]="","",AL321),MONTH(NOTA[[#This Row],[TGL.NOTA]]))</f>
        <v/>
      </c>
      <c r="AM322" s="38" t="str">
        <f>LOWER(SUBSTITUTE(SUBSTITUTE(SUBSTITUTE(SUBSTITUTE(SUBSTITUTE(SUBSTITUTE(SUBSTITUTE(SUBSTITUTE(SUBSTITUTE(NOTA[NAMA BARANG]," ",),".",""),"-",""),"(",""),")",""),",",""),"/",""),"""",""),"+",""))</f>
        <v/>
      </c>
      <c r="AN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38" t="str">
        <f>IF(NOTA[[#This Row],[CONCAT4]]="","",_xlfn.IFNA(MATCH(NOTA[[#This Row],[CONCAT4]],[2]!RAW[CONCAT_H],0),FALSE))</f>
        <v/>
      </c>
      <c r="AR322" s="38" t="str">
        <f>IF(NOTA[[#This Row],[CONCAT1]]="","",MATCH(NOTA[[#This Row],[CONCAT1]],[3]!db[NB NOTA_C],0))</f>
        <v/>
      </c>
      <c r="AS322" s="38" t="str">
        <f>IF(NOTA[[#This Row],[QTY/ CTN]]="","",TRUE)</f>
        <v/>
      </c>
      <c r="AT322" s="38" t="str">
        <f ca="1">IF(NOTA[[#This Row],[ID_H]]="","",IF(NOTA[[#This Row],[Column3]]=TRUE,NOTA[[#This Row],[QTY/ CTN]],INDEX([3]!db[QTY/ CTN],NOTA[[#This Row],[//DB]])))</f>
        <v/>
      </c>
      <c r="AU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22" s="38" t="str">
        <f ca="1">IF(NOTA[[#This Row],[ID_H]]="","",MATCH(NOTA[[#This Row],[NB NOTA_C_QTY]],[4]!db[NB NOTA_C_QTY+F],0))</f>
        <v/>
      </c>
      <c r="AW322" s="53" t="str">
        <f ca="1">IF(NOTA[[#This Row],[NB NOTA_C_QTY]]="","",ROW()-2)</f>
        <v/>
      </c>
    </row>
    <row r="323" spans="1:49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ATA_1809_381-8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53</v>
      </c>
      <c r="E323" s="46">
        <v>45187</v>
      </c>
      <c r="F323" s="37" t="s">
        <v>24</v>
      </c>
      <c r="G323" s="37" t="s">
        <v>23</v>
      </c>
      <c r="H323" s="47" t="s">
        <v>447</v>
      </c>
      <c r="I323" s="37"/>
      <c r="J323" s="39">
        <v>45183</v>
      </c>
      <c r="K323" s="37"/>
      <c r="L323" s="37" t="s">
        <v>448</v>
      </c>
      <c r="M323" s="40">
        <v>1</v>
      </c>
      <c r="N323" s="38">
        <v>200</v>
      </c>
      <c r="O323" s="37" t="s">
        <v>183</v>
      </c>
      <c r="P323" s="41">
        <v>4400</v>
      </c>
      <c r="Q323" s="42"/>
      <c r="R323" s="48"/>
      <c r="S323" s="49">
        <v>0.125</v>
      </c>
      <c r="T323" s="44">
        <v>0.05</v>
      </c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880000</v>
      </c>
      <c r="Y323" s="50">
        <f>IF(NOTA[[#This Row],[JUMLAH]]="","",NOTA[[#This Row],[JUMLAH]]*NOTA[[#This Row],[DISC 1]])</f>
        <v>110000</v>
      </c>
      <c r="Z323" s="50">
        <f>IF(NOTA[[#This Row],[JUMLAH]]="","",(NOTA[[#This Row],[JUMLAH]]-NOTA[[#This Row],[DISC 1-]])*NOTA[[#This Row],[DISC 2]])</f>
        <v>38500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148500</v>
      </c>
      <c r="AC323" s="50">
        <f>IF(NOTA[[#This Row],[JUMLAH]]="","",NOTA[[#This Row],[JUMLAH]]-NOTA[[#This Row],[DISC]])</f>
        <v>731500</v>
      </c>
      <c r="AD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3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G323" s="50">
        <f>IF(OR(NOTA[[#This Row],[QTY]]="",NOTA[[#This Row],[HARGA SATUAN]]="",),"",NOTA[[#This Row],[QTY]]*NOTA[[#This Row],[HARGA SATUAN]])</f>
        <v>880000</v>
      </c>
      <c r="AH323" s="39">
        <f ca="1">IF(NOTA[ID_H]="","",INDEX(NOTA[TANGGAL],MATCH(,INDIRECT(ADDRESS(ROW(NOTA[TANGGAL]),COLUMN(NOTA[TANGGAL]))&amp;":"&amp;ADDRESS(ROW(),COLUMN(NOTA[TANGGAL]))),-1)))</f>
        <v>45187</v>
      </c>
      <c r="AI323" s="41" t="str">
        <f ca="1">IF(NOTA[[#This Row],[NAMA BARANG]]="","",INDEX(NOTA[SUPPLIER],MATCH(,INDIRECT(ADDRESS(ROW(NOTA[ID]),COLUMN(NOTA[ID]))&amp;":"&amp;ADDRESS(ROW(),COLUMN(NOTA[ID]))),-1)))</f>
        <v>ATALI MAKMUR</v>
      </c>
      <c r="AJ323" s="41" t="str">
        <f ca="1">IF(NOTA[[#This Row],[ID_H]]="","",IF(NOTA[[#This Row],[FAKTUR]]="",INDIRECT(ADDRESS(ROW()-1,COLUMN())),NOTA[[#This Row],[FAKTUR]]))</f>
        <v>ARTO MORO</v>
      </c>
      <c r="AK323" s="38">
        <f ca="1">IF(NOTA[[#This Row],[ID]]="","",COUNTIF(NOTA[ID_H],NOTA[[#This Row],[ID_H]]))</f>
        <v>8</v>
      </c>
      <c r="AL323" s="38">
        <f>IF(NOTA[[#This Row],[TGL.NOTA]]="",IF(NOTA[[#This Row],[SUPPLIER_H]]="","",AL322),MONTH(NOTA[[#This Row],[TGL.NOTA]]))</f>
        <v>9</v>
      </c>
      <c r="AM323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N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O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P3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MOROSA23091638145183paperclipjumbono5jk</v>
      </c>
      <c r="AQ323" s="38" t="e">
        <f>IF(NOTA[[#This Row],[CONCAT4]]="","",_xlfn.IFNA(MATCH(NOTA[[#This Row],[CONCAT4]],[2]!RAW[CONCAT_H],0),FALSE))</f>
        <v>#REF!</v>
      </c>
      <c r="AR323" s="38">
        <f>IF(NOTA[[#This Row],[CONCAT1]]="","",MATCH(NOTA[[#This Row],[CONCAT1]],[3]!db[NB NOTA_C],0))</f>
        <v>1996</v>
      </c>
      <c r="AS323" s="38" t="str">
        <f>IF(NOTA[[#This Row],[QTY/ CTN]]="","",TRUE)</f>
        <v/>
      </c>
      <c r="AT323" s="38" t="str">
        <f ca="1">IF(NOTA[[#This Row],[ID_H]]="","",IF(NOTA[[#This Row],[Column3]]=TRUE,NOTA[[#This Row],[QTY/ CTN]],INDEX([3]!db[QTY/ CTN],NOTA[[#This Row],[//DB]])))</f>
        <v>200 BOX</v>
      </c>
      <c r="AU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V323" s="38" t="e">
        <f ca="1">IF(NOTA[[#This Row],[ID_H]]="","",MATCH(NOTA[[#This Row],[NB NOTA_C_QTY]],[4]!db[NB NOTA_C_QTY+F],0))</f>
        <v>#REF!</v>
      </c>
      <c r="AW323" s="53">
        <f ca="1">IF(NOTA[[#This Row],[NB NOTA_C_QTY]]="","",ROW()-2)</f>
        <v>321</v>
      </c>
    </row>
    <row r="324" spans="1:49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53</v>
      </c>
      <c r="E324" s="46"/>
      <c r="F324" s="37"/>
      <c r="G324" s="37"/>
      <c r="H324" s="47"/>
      <c r="I324" s="37"/>
      <c r="J324" s="39"/>
      <c r="K324" s="37"/>
      <c r="L324" s="37" t="s">
        <v>449</v>
      </c>
      <c r="M324" s="40">
        <v>1</v>
      </c>
      <c r="N324" s="38">
        <v>50</v>
      </c>
      <c r="O324" s="37" t="s">
        <v>183</v>
      </c>
      <c r="P324" s="41">
        <v>28300</v>
      </c>
      <c r="Q324" s="42"/>
      <c r="R324" s="48"/>
      <c r="S324" s="49">
        <v>0.125</v>
      </c>
      <c r="T324" s="44">
        <v>0.05</v>
      </c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1415000</v>
      </c>
      <c r="Y324" s="50">
        <f>IF(NOTA[[#This Row],[JUMLAH]]="","",NOTA[[#This Row],[JUMLAH]]*NOTA[[#This Row],[DISC 1]])</f>
        <v>176875</v>
      </c>
      <c r="Z324" s="50">
        <f>IF(NOTA[[#This Row],[JUMLAH]]="","",(NOTA[[#This Row],[JUMLAH]]-NOTA[[#This Row],[DISC 1-]])*NOTA[[#This Row],[DISC 2]])</f>
        <v>61906.25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238781.25</v>
      </c>
      <c r="AC324" s="50">
        <f>IF(NOTA[[#This Row],[JUMLAH]]="","",NOTA[[#This Row],[JUMLAH]]-NOTA[[#This Row],[DISC]])</f>
        <v>1176218.75</v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4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324" s="50">
        <f>IF(OR(NOTA[[#This Row],[QTY]]="",NOTA[[#This Row],[HARGA SATUAN]]="",),"",NOTA[[#This Row],[QTY]]*NOTA[[#This Row],[HARGA SATUAN]])</f>
        <v>1415000</v>
      </c>
      <c r="AH324" s="39">
        <f ca="1">IF(NOTA[ID_H]="","",INDEX(NOTA[TANGGAL],MATCH(,INDIRECT(ADDRESS(ROW(NOTA[TANGGAL]),COLUMN(NOTA[TANGGAL]))&amp;":"&amp;ADDRESS(ROW(),COLUMN(NOTA[TANGGAL]))),-1)))</f>
        <v>45187</v>
      </c>
      <c r="AI324" s="41" t="str">
        <f ca="1">IF(NOTA[[#This Row],[NAMA BARANG]]="","",INDEX(NOTA[SUPPLIER],MATCH(,INDIRECT(ADDRESS(ROW(NOTA[ID]),COLUMN(NOTA[ID]))&amp;":"&amp;ADDRESS(ROW(),COLUMN(NOTA[ID]))),-1)))</f>
        <v>ATALI MAKMUR</v>
      </c>
      <c r="AJ324" s="41" t="str">
        <f ca="1">IF(NOTA[[#This Row],[ID_H]]="","",IF(NOTA[[#This Row],[FAKTUR]]="",INDIRECT(ADDRESS(ROW()-1,COLUMN())),NOTA[[#This Row],[FAKTUR]]))</f>
        <v>ARTO MORO</v>
      </c>
      <c r="AK324" s="38" t="str">
        <f ca="1">IF(NOTA[[#This Row],[ID]]="","",COUNTIF(NOTA[ID_H],NOTA[[#This Row],[ID_H]]))</f>
        <v/>
      </c>
      <c r="AL324" s="38">
        <f ca="1">IF(NOTA[[#This Row],[TGL.NOTA]]="",IF(NOTA[[#This Row],[SUPPLIER_H]]="","",AL323),MONTH(NOTA[[#This Row],[TGL.NOTA]]))</f>
        <v>9</v>
      </c>
      <c r="AM324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38" t="str">
        <f>IF(NOTA[[#This Row],[CONCAT4]]="","",_xlfn.IFNA(MATCH(NOTA[[#This Row],[CONCAT4]],[2]!RAW[CONCAT_H],0),FALSE))</f>
        <v/>
      </c>
      <c r="AR324" s="38">
        <f>IF(NOTA[[#This Row],[CONCAT1]]="","",MATCH(NOTA[[#This Row],[CONCAT1]],[3]!db[NB NOTA_C],0))</f>
        <v>834</v>
      </c>
      <c r="AS324" s="38" t="str">
        <f>IF(NOTA[[#This Row],[QTY/ CTN]]="","",TRUE)</f>
        <v/>
      </c>
      <c r="AT324" s="38" t="str">
        <f ca="1">IF(NOTA[[#This Row],[ID_H]]="","",IF(NOTA[[#This Row],[Column3]]=TRUE,NOTA[[#This Row],[QTY/ CTN]],INDEX([3]!db[QTY/ CTN],NOTA[[#This Row],[//DB]])))</f>
        <v>50 BOX (40 PCS)</v>
      </c>
      <c r="AU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324" s="38" t="e">
        <f ca="1">IF(NOTA[[#This Row],[ID_H]]="","",MATCH(NOTA[[#This Row],[NB NOTA_C_QTY]],[4]!db[NB NOTA_C_QTY+F],0))</f>
        <v>#REF!</v>
      </c>
      <c r="AW324" s="53">
        <f ca="1">IF(NOTA[[#This Row],[NB NOTA_C_QTY]]="","",ROW()-2)</f>
        <v>322</v>
      </c>
    </row>
    <row r="325" spans="1:49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53</v>
      </c>
      <c r="E325" s="46"/>
      <c r="F325" s="37"/>
      <c r="G325" s="37"/>
      <c r="H325" s="47"/>
      <c r="I325" s="37"/>
      <c r="J325" s="39"/>
      <c r="K325" s="37"/>
      <c r="L325" s="37" t="s">
        <v>450</v>
      </c>
      <c r="M325" s="40">
        <v>2</v>
      </c>
      <c r="N325" s="38">
        <v>96</v>
      </c>
      <c r="O325" s="37" t="s">
        <v>183</v>
      </c>
      <c r="P325" s="41">
        <v>31200</v>
      </c>
      <c r="Q325" s="42"/>
      <c r="R325" s="48"/>
      <c r="S325" s="49">
        <v>0.125</v>
      </c>
      <c r="T325" s="44">
        <v>0.05</v>
      </c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2995200</v>
      </c>
      <c r="Y325" s="50">
        <f>IF(NOTA[[#This Row],[JUMLAH]]="","",NOTA[[#This Row],[JUMLAH]]*NOTA[[#This Row],[DISC 1]])</f>
        <v>374400</v>
      </c>
      <c r="Z325" s="50">
        <f>IF(NOTA[[#This Row],[JUMLAH]]="","",(NOTA[[#This Row],[JUMLAH]]-NOTA[[#This Row],[DISC 1-]])*NOTA[[#This Row],[DISC 2]])</f>
        <v>131040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505440</v>
      </c>
      <c r="AC325" s="50">
        <f>IF(NOTA[[#This Row],[JUMLAH]]="","",NOTA[[#This Row],[JUMLAH]]-NOTA[[#This Row],[DISC]])</f>
        <v>2489760</v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5" s="4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G325" s="50">
        <f>IF(OR(NOTA[[#This Row],[QTY]]="",NOTA[[#This Row],[HARGA SATUAN]]="",),"",NOTA[[#This Row],[QTY]]*NOTA[[#This Row],[HARGA SATUAN]])</f>
        <v>2995200</v>
      </c>
      <c r="AH325" s="39">
        <f ca="1">IF(NOTA[ID_H]="","",INDEX(NOTA[TANGGAL],MATCH(,INDIRECT(ADDRESS(ROW(NOTA[TANGGAL]),COLUMN(NOTA[TANGGAL]))&amp;":"&amp;ADDRESS(ROW(),COLUMN(NOTA[TANGGAL]))),-1)))</f>
        <v>45187</v>
      </c>
      <c r="AI325" s="41" t="str">
        <f ca="1">IF(NOTA[[#This Row],[NAMA BARANG]]="","",INDEX(NOTA[SUPPLIER],MATCH(,INDIRECT(ADDRESS(ROW(NOTA[ID]),COLUMN(NOTA[ID]))&amp;":"&amp;ADDRESS(ROW(),COLUMN(NOTA[ID]))),-1)))</f>
        <v>ATALI MAKMUR</v>
      </c>
      <c r="AJ325" s="41" t="str">
        <f ca="1">IF(NOTA[[#This Row],[ID_H]]="","",IF(NOTA[[#This Row],[FAKTUR]]="",INDIRECT(ADDRESS(ROW()-1,COLUMN())),NOTA[[#This Row],[FAKTUR]]))</f>
        <v>ARTO MORO</v>
      </c>
      <c r="AK325" s="38" t="str">
        <f ca="1">IF(NOTA[[#This Row],[ID]]="","",COUNTIF(NOTA[ID_H],NOTA[[#This Row],[ID_H]]))</f>
        <v/>
      </c>
      <c r="AL325" s="38">
        <f ca="1">IF(NOTA[[#This Row],[TGL.NOTA]]="",IF(NOTA[[#This Row],[SUPPLIER_H]]="","",AL324),MONTH(NOTA[[#This Row],[TGL.NOTA]]))</f>
        <v>9</v>
      </c>
      <c r="AM325" s="38" t="str">
        <f>LOWER(SUBSTITUTE(SUBSTITUTE(SUBSTITUTE(SUBSTITUTE(SUBSTITUTE(SUBSTITUTE(SUBSTITUTE(SUBSTITUTE(SUBSTITUTE(NOTA[NAMA BARANG]," ",),".",""),"-",""),"(",""),")",""),",",""),"/",""),"""",""),"+",""))</f>
        <v>pushpinpp30jk</v>
      </c>
      <c r="AN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O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P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38" t="str">
        <f>IF(NOTA[[#This Row],[CONCAT4]]="","",_xlfn.IFNA(MATCH(NOTA[[#This Row],[CONCAT4]],[2]!RAW[CONCAT_H],0),FALSE))</f>
        <v/>
      </c>
      <c r="AR325" s="38">
        <f>IF(NOTA[[#This Row],[CONCAT1]]="","",MATCH(NOTA[[#This Row],[CONCAT1]],[3]!db[NB NOTA_C],0))</f>
        <v>2343</v>
      </c>
      <c r="AS325" s="38" t="str">
        <f>IF(NOTA[[#This Row],[QTY/ CTN]]="","",TRUE)</f>
        <v/>
      </c>
      <c r="AT325" s="38" t="str">
        <f ca="1">IF(NOTA[[#This Row],[ID_H]]="","",IF(NOTA[[#This Row],[Column3]]=TRUE,NOTA[[#This Row],[QTY/ CTN]],INDEX([3]!db[QTY/ CTN],NOTA[[#This Row],[//DB]])))</f>
        <v>48 LSN</v>
      </c>
      <c r="AU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pushpinpp30jk48lsnartomoro</v>
      </c>
      <c r="AV325" s="38" t="e">
        <f ca="1">IF(NOTA[[#This Row],[ID_H]]="","",MATCH(NOTA[[#This Row],[NB NOTA_C_QTY]],[4]!db[NB NOTA_C_QTY+F],0))</f>
        <v>#REF!</v>
      </c>
      <c r="AW325" s="53">
        <f ca="1">IF(NOTA[[#This Row],[NB NOTA_C_QTY]]="","",ROW()-2)</f>
        <v>323</v>
      </c>
    </row>
    <row r="326" spans="1:49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53</v>
      </c>
      <c r="E326" s="46"/>
      <c r="F326" s="37"/>
      <c r="G326" s="37"/>
      <c r="H326" s="47"/>
      <c r="I326" s="37"/>
      <c r="J326" s="39"/>
      <c r="K326" s="37"/>
      <c r="L326" s="37" t="s">
        <v>245</v>
      </c>
      <c r="M326" s="40">
        <v>2</v>
      </c>
      <c r="N326" s="38">
        <v>48</v>
      </c>
      <c r="O326" s="37" t="s">
        <v>132</v>
      </c>
      <c r="P326" s="41">
        <v>58900</v>
      </c>
      <c r="Q326" s="42"/>
      <c r="R326" s="48"/>
      <c r="S326" s="49">
        <v>0.125</v>
      </c>
      <c r="T326" s="44">
        <v>0.05</v>
      </c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2827200</v>
      </c>
      <c r="Y326" s="50">
        <f>IF(NOTA[[#This Row],[JUMLAH]]="","",NOTA[[#This Row],[JUMLAH]]*NOTA[[#This Row],[DISC 1]])</f>
        <v>353400</v>
      </c>
      <c r="Z326" s="50">
        <f>IF(NOTA[[#This Row],[JUMLAH]]="","",(NOTA[[#This Row],[JUMLAH]]-NOTA[[#This Row],[DISC 1-]])*NOTA[[#This Row],[DISC 2]])</f>
        <v>123690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477090</v>
      </c>
      <c r="AC326" s="50">
        <f>IF(NOTA[[#This Row],[JUMLAH]]="","",NOTA[[#This Row],[JUMLAH]]-NOTA[[#This Row],[DISC]])</f>
        <v>2350110</v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6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326" s="50">
        <f>IF(OR(NOTA[[#This Row],[QTY]]="",NOTA[[#This Row],[HARGA SATUAN]]="",),"",NOTA[[#This Row],[QTY]]*NOTA[[#This Row],[HARGA SATUAN]])</f>
        <v>2827200</v>
      </c>
      <c r="AH326" s="39">
        <f ca="1">IF(NOTA[ID_H]="","",INDEX(NOTA[TANGGAL],MATCH(,INDIRECT(ADDRESS(ROW(NOTA[TANGGAL]),COLUMN(NOTA[TANGGAL]))&amp;":"&amp;ADDRESS(ROW(),COLUMN(NOTA[TANGGAL]))),-1)))</f>
        <v>45187</v>
      </c>
      <c r="AI326" s="41" t="str">
        <f ca="1">IF(NOTA[[#This Row],[NAMA BARANG]]="","",INDEX(NOTA[SUPPLIER],MATCH(,INDIRECT(ADDRESS(ROW(NOTA[ID]),COLUMN(NOTA[ID]))&amp;":"&amp;ADDRESS(ROW(),COLUMN(NOTA[ID]))),-1)))</f>
        <v>ATALI MAKMUR</v>
      </c>
      <c r="AJ326" s="41" t="str">
        <f ca="1">IF(NOTA[[#This Row],[ID_H]]="","",IF(NOTA[[#This Row],[FAKTUR]]="",INDIRECT(ADDRESS(ROW()-1,COLUMN())),NOTA[[#This Row],[FAKTUR]]))</f>
        <v>ARTO MORO</v>
      </c>
      <c r="AK326" s="38" t="str">
        <f ca="1">IF(NOTA[[#This Row],[ID]]="","",COUNTIF(NOTA[ID_H],NOTA[[#This Row],[ID_H]]))</f>
        <v/>
      </c>
      <c r="AL326" s="38">
        <f ca="1">IF(NOTA[[#This Row],[TGL.NOTA]]="",IF(NOTA[[#This Row],[SUPPLIER_H]]="","",AL325),MONTH(NOTA[[#This Row],[TGL.NOTA]]))</f>
        <v>9</v>
      </c>
      <c r="AM326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38" t="str">
        <f>IF(NOTA[[#This Row],[CONCAT4]]="","",_xlfn.IFNA(MATCH(NOTA[[#This Row],[CONCAT4]],[2]!RAW[CONCAT_H],0),FALSE))</f>
        <v/>
      </c>
      <c r="AR326" s="38">
        <f>IF(NOTA[[#This Row],[CONCAT1]]="","",MATCH(NOTA[[#This Row],[CONCAT1]],[3]!db[NB NOTA_C],0))</f>
        <v>1899</v>
      </c>
      <c r="AS326" s="38" t="str">
        <f>IF(NOTA[[#This Row],[QTY/ CTN]]="","",TRUE)</f>
        <v/>
      </c>
      <c r="AT326" s="38" t="str">
        <f ca="1">IF(NOTA[[#This Row],[ID_H]]="","",IF(NOTA[[#This Row],[Column3]]=TRUE,NOTA[[#This Row],[QTY/ CTN]],INDEX([3]!db[QTY/ CTN],NOTA[[#This Row],[//DB]])))</f>
        <v>4 BOX (6 SET)</v>
      </c>
      <c r="AU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326" s="38" t="e">
        <f ca="1">IF(NOTA[[#This Row],[ID_H]]="","",MATCH(NOTA[[#This Row],[NB NOTA_C_QTY]],[4]!db[NB NOTA_C_QTY+F],0))</f>
        <v>#REF!</v>
      </c>
      <c r="AW326" s="53">
        <f ca="1">IF(NOTA[[#This Row],[NB NOTA_C_QTY]]="","",ROW()-2)</f>
        <v>324</v>
      </c>
    </row>
    <row r="327" spans="1:49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53</v>
      </c>
      <c r="E327" s="46"/>
      <c r="F327" s="37"/>
      <c r="G327" s="37"/>
      <c r="H327" s="47"/>
      <c r="I327" s="37"/>
      <c r="J327" s="39"/>
      <c r="K327" s="37"/>
      <c r="L327" s="37" t="s">
        <v>237</v>
      </c>
      <c r="M327" s="40">
        <v>2</v>
      </c>
      <c r="N327" s="38">
        <v>48</v>
      </c>
      <c r="O327" s="37" t="s">
        <v>132</v>
      </c>
      <c r="P327" s="41">
        <v>66900</v>
      </c>
      <c r="Q327" s="42"/>
      <c r="R327" s="48"/>
      <c r="S327" s="49">
        <v>0.125</v>
      </c>
      <c r="T327" s="44">
        <v>0.05</v>
      </c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3211200</v>
      </c>
      <c r="Y327" s="50">
        <f>IF(NOTA[[#This Row],[JUMLAH]]="","",NOTA[[#This Row],[JUMLAH]]*NOTA[[#This Row],[DISC 1]])</f>
        <v>401400</v>
      </c>
      <c r="Z327" s="50">
        <f>IF(NOTA[[#This Row],[JUMLAH]]="","",(NOTA[[#This Row],[JUMLAH]]-NOTA[[#This Row],[DISC 1-]])*NOTA[[#This Row],[DISC 2]])</f>
        <v>140490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541890</v>
      </c>
      <c r="AC327" s="50">
        <f>IF(NOTA[[#This Row],[JUMLAH]]="","",NOTA[[#This Row],[JUMLAH]]-NOTA[[#This Row],[DISC]])</f>
        <v>2669310</v>
      </c>
      <c r="AD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7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G327" s="50">
        <f>IF(OR(NOTA[[#This Row],[QTY]]="",NOTA[[#This Row],[HARGA SATUAN]]="",),"",NOTA[[#This Row],[QTY]]*NOTA[[#This Row],[HARGA SATUAN]])</f>
        <v>3211200</v>
      </c>
      <c r="AH327" s="39">
        <f ca="1">IF(NOTA[ID_H]="","",INDEX(NOTA[TANGGAL],MATCH(,INDIRECT(ADDRESS(ROW(NOTA[TANGGAL]),COLUMN(NOTA[TANGGAL]))&amp;":"&amp;ADDRESS(ROW(),COLUMN(NOTA[TANGGAL]))),-1)))</f>
        <v>45187</v>
      </c>
      <c r="AI327" s="41" t="str">
        <f ca="1">IF(NOTA[[#This Row],[NAMA BARANG]]="","",INDEX(NOTA[SUPPLIER],MATCH(,INDIRECT(ADDRESS(ROW(NOTA[ID]),COLUMN(NOTA[ID]))&amp;":"&amp;ADDRESS(ROW(),COLUMN(NOTA[ID]))),-1)))</f>
        <v>ATALI MAKMUR</v>
      </c>
      <c r="AJ327" s="41" t="str">
        <f ca="1">IF(NOTA[[#This Row],[ID_H]]="","",IF(NOTA[[#This Row],[FAKTUR]]="",INDIRECT(ADDRESS(ROW()-1,COLUMN())),NOTA[[#This Row],[FAKTUR]]))</f>
        <v>ARTO MORO</v>
      </c>
      <c r="AK327" s="38" t="str">
        <f ca="1">IF(NOTA[[#This Row],[ID]]="","",COUNTIF(NOTA[ID_H],NOTA[[#This Row],[ID_H]]))</f>
        <v/>
      </c>
      <c r="AL327" s="38">
        <f ca="1">IF(NOTA[[#This Row],[TGL.NOTA]]="",IF(NOTA[[#This Row],[SUPPLIER_H]]="","",AL326),MONTH(NOTA[[#This Row],[TGL.NOTA]]))</f>
        <v>9</v>
      </c>
      <c r="AM327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38" t="str">
        <f>IF(NOTA[[#This Row],[CONCAT4]]="","",_xlfn.IFNA(MATCH(NOTA[[#This Row],[CONCAT4]],[2]!RAW[CONCAT_H],0),FALSE))</f>
        <v/>
      </c>
      <c r="AR327" s="38">
        <f>IF(NOTA[[#This Row],[CONCAT1]]="","",MATCH(NOTA[[#This Row],[CONCAT1]],[3]!db[NB NOTA_C],0))</f>
        <v>1900</v>
      </c>
      <c r="AS327" s="38" t="str">
        <f>IF(NOTA[[#This Row],[QTY/ CTN]]="","",TRUE)</f>
        <v/>
      </c>
      <c r="AT327" s="38" t="str">
        <f ca="1">IF(NOTA[[#This Row],[ID_H]]="","",IF(NOTA[[#This Row],[Column3]]=TRUE,NOTA[[#This Row],[QTY/ CTN]],INDEX([3]!db[QTY/ CTN],NOTA[[#This Row],[//DB]])))</f>
        <v>4 BOX (6 SET)</v>
      </c>
      <c r="AU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V327" s="38" t="e">
        <f ca="1">IF(NOTA[[#This Row],[ID_H]]="","",MATCH(NOTA[[#This Row],[NB NOTA_C_QTY]],[4]!db[NB NOTA_C_QTY+F],0))</f>
        <v>#REF!</v>
      </c>
      <c r="AW327" s="53">
        <f ca="1">IF(NOTA[[#This Row],[NB NOTA_C_QTY]]="","",ROW()-2)</f>
        <v>325</v>
      </c>
    </row>
    <row r="328" spans="1:49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53</v>
      </c>
      <c r="E328" s="46"/>
      <c r="F328" s="37"/>
      <c r="G328" s="37"/>
      <c r="H328" s="47"/>
      <c r="I328" s="37"/>
      <c r="J328" s="39"/>
      <c r="K328" s="37"/>
      <c r="L328" s="37" t="s">
        <v>453</v>
      </c>
      <c r="M328" s="40">
        <v>1</v>
      </c>
      <c r="N328" s="38">
        <v>144</v>
      </c>
      <c r="O328" s="37" t="s">
        <v>138</v>
      </c>
      <c r="P328" s="41">
        <v>40800</v>
      </c>
      <c r="Q328" s="42"/>
      <c r="R328" s="48"/>
      <c r="S328" s="49">
        <v>0.125</v>
      </c>
      <c r="T328" s="44">
        <v>0.05</v>
      </c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5875200</v>
      </c>
      <c r="Y328" s="50">
        <f>IF(NOTA[[#This Row],[JUMLAH]]="","",NOTA[[#This Row],[JUMLAH]]*NOTA[[#This Row],[DISC 1]])</f>
        <v>734400</v>
      </c>
      <c r="Z328" s="50">
        <f>IF(NOTA[[#This Row],[JUMLAH]]="","",(NOTA[[#This Row],[JUMLAH]]-NOTA[[#This Row],[DISC 1-]])*NOTA[[#This Row],[DISC 2]])</f>
        <v>257040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991440</v>
      </c>
      <c r="AC328" s="50">
        <f>IF(NOTA[[#This Row],[JUMLAH]]="","",NOTA[[#This Row],[JUMLAH]]-NOTA[[#This Row],[DISC]])</f>
        <v>4883760</v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8" s="4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G328" s="50">
        <f>IF(OR(NOTA[[#This Row],[QTY]]="",NOTA[[#This Row],[HARGA SATUAN]]="",),"",NOTA[[#This Row],[QTY]]*NOTA[[#This Row],[HARGA SATUAN]])</f>
        <v>5875200</v>
      </c>
      <c r="AH328" s="39">
        <f ca="1">IF(NOTA[ID_H]="","",INDEX(NOTA[TANGGAL],MATCH(,INDIRECT(ADDRESS(ROW(NOTA[TANGGAL]),COLUMN(NOTA[TANGGAL]))&amp;":"&amp;ADDRESS(ROW(),COLUMN(NOTA[TANGGAL]))),-1)))</f>
        <v>45187</v>
      </c>
      <c r="AI328" s="41" t="str">
        <f ca="1">IF(NOTA[[#This Row],[NAMA BARANG]]="","",INDEX(NOTA[SUPPLIER],MATCH(,INDIRECT(ADDRESS(ROW(NOTA[ID]),COLUMN(NOTA[ID]))&amp;":"&amp;ADDRESS(ROW(),COLUMN(NOTA[ID]))),-1)))</f>
        <v>ATALI MAKMUR</v>
      </c>
      <c r="AJ328" s="41" t="str">
        <f ca="1">IF(NOTA[[#This Row],[ID_H]]="","",IF(NOTA[[#This Row],[FAKTUR]]="",INDIRECT(ADDRESS(ROW()-1,COLUMN())),NOTA[[#This Row],[FAKTUR]]))</f>
        <v>ARTO MORO</v>
      </c>
      <c r="AK328" s="38" t="str">
        <f ca="1">IF(NOTA[[#This Row],[ID]]="","",COUNTIF(NOTA[ID_H],NOTA[[#This Row],[ID_H]]))</f>
        <v/>
      </c>
      <c r="AL328" s="38">
        <f ca="1">IF(NOTA[[#This Row],[TGL.NOTA]]="",IF(NOTA[[#This Row],[SUPPLIER_H]]="","",AL327),MONTH(NOTA[[#This Row],[TGL.NOTA]]))</f>
        <v>9</v>
      </c>
      <c r="AM328" s="38" t="str">
        <f>LOWER(SUBSTITUTE(SUBSTITUTE(SUBSTITUTE(SUBSTITUTE(SUBSTITUTE(SUBSTITUTE(SUBSTITUTE(SUBSTITUTE(SUBSTITUTE(NOTA[NAMA BARANG]," ",),".",""),"-",""),"(",""),")",""),",",""),"/",""),"""",""),"+",""))</f>
        <v>mechpencilmp19jk</v>
      </c>
      <c r="AN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mechpencilmp19jk58752000.1250.05</v>
      </c>
      <c r="AO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mechpencilmp19jk58752000.1250.05</v>
      </c>
      <c r="AP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8" s="38" t="str">
        <f>IF(NOTA[[#This Row],[CONCAT4]]="","",_xlfn.IFNA(MATCH(NOTA[[#This Row],[CONCAT4]],[2]!RAW[CONCAT_H],0),FALSE))</f>
        <v/>
      </c>
      <c r="AR328" s="38">
        <f>IF(NOTA[[#This Row],[CONCAT1]]="","",MATCH(NOTA[[#This Row],[CONCAT1]],[3]!db[NB NOTA_C],0))</f>
        <v>1800</v>
      </c>
      <c r="AS328" s="38" t="str">
        <f>IF(NOTA[[#This Row],[QTY/ CTN]]="","",TRUE)</f>
        <v/>
      </c>
      <c r="AT328" s="38" t="str">
        <f ca="1">IF(NOTA[[#This Row],[ID_H]]="","",IF(NOTA[[#This Row],[Column3]]=TRUE,NOTA[[#This Row],[QTY/ CTN]],INDEX([3]!db[QTY/ CTN],NOTA[[#This Row],[//DB]])))</f>
        <v>144 LSN</v>
      </c>
      <c r="AU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mechpencilmp19jk144lsnartomoro</v>
      </c>
      <c r="AV328" s="38" t="e">
        <f ca="1">IF(NOTA[[#This Row],[ID_H]]="","",MATCH(NOTA[[#This Row],[NB NOTA_C_QTY]],[4]!db[NB NOTA_C_QTY+F],0))</f>
        <v>#REF!</v>
      </c>
      <c r="AW328" s="53">
        <f ca="1">IF(NOTA[[#This Row],[NB NOTA_C_QTY]]="","",ROW()-2)</f>
        <v>326</v>
      </c>
    </row>
    <row r="329" spans="1:49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53</v>
      </c>
      <c r="E329" s="46"/>
      <c r="F329" s="37"/>
      <c r="G329" s="37"/>
      <c r="H329" s="47"/>
      <c r="I329" s="37"/>
      <c r="J329" s="39"/>
      <c r="K329" s="37"/>
      <c r="L329" s="37" t="s">
        <v>452</v>
      </c>
      <c r="M329" s="40">
        <v>2</v>
      </c>
      <c r="N329" s="38">
        <v>288</v>
      </c>
      <c r="O329" s="37" t="s">
        <v>132</v>
      </c>
      <c r="P329" s="41">
        <v>10600</v>
      </c>
      <c r="Q329" s="42"/>
      <c r="R329" s="48"/>
      <c r="S329" s="49">
        <v>0.125</v>
      </c>
      <c r="T329" s="44">
        <v>0.05</v>
      </c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3052800</v>
      </c>
      <c r="Y329" s="50">
        <f>IF(NOTA[[#This Row],[JUMLAH]]="","",NOTA[[#This Row],[JUMLAH]]*NOTA[[#This Row],[DISC 1]])</f>
        <v>381600</v>
      </c>
      <c r="Z329" s="50">
        <f>IF(NOTA[[#This Row],[JUMLAH]]="","",(NOTA[[#This Row],[JUMLAH]]-NOTA[[#This Row],[DISC 1-]])*NOTA[[#This Row],[DISC 2]])</f>
        <v>133560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515160</v>
      </c>
      <c r="AC329" s="50">
        <f>IF(NOTA[[#This Row],[JUMLAH]]="","",NOTA[[#This Row],[JUMLAH]]-NOTA[[#This Row],[DISC]])</f>
        <v>2537640</v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2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29" s="50">
        <f>IF(OR(NOTA[[#This Row],[QTY]]="",NOTA[[#This Row],[HARGA SATUAN]]="",),"",NOTA[[#This Row],[QTY]]*NOTA[[#This Row],[HARGA SATUAN]])</f>
        <v>3052800</v>
      </c>
      <c r="AH329" s="39">
        <f ca="1">IF(NOTA[ID_H]="","",INDEX(NOTA[TANGGAL],MATCH(,INDIRECT(ADDRESS(ROW(NOTA[TANGGAL]),COLUMN(NOTA[TANGGAL]))&amp;":"&amp;ADDRESS(ROW(),COLUMN(NOTA[TANGGAL]))),-1)))</f>
        <v>45187</v>
      </c>
      <c r="AI329" s="41" t="str">
        <f ca="1">IF(NOTA[[#This Row],[NAMA BARANG]]="","",INDEX(NOTA[SUPPLIER],MATCH(,INDIRECT(ADDRESS(ROW(NOTA[ID]),COLUMN(NOTA[ID]))&amp;":"&amp;ADDRESS(ROW(),COLUMN(NOTA[ID]))),-1)))</f>
        <v>ATALI MAKMUR</v>
      </c>
      <c r="AJ329" s="41" t="str">
        <f ca="1">IF(NOTA[[#This Row],[ID_H]]="","",IF(NOTA[[#This Row],[FAKTUR]]="",INDIRECT(ADDRESS(ROW()-1,COLUMN())),NOTA[[#This Row],[FAKTUR]]))</f>
        <v>ARTO MORO</v>
      </c>
      <c r="AK329" s="38" t="str">
        <f ca="1">IF(NOTA[[#This Row],[ID]]="","",COUNTIF(NOTA[ID_H],NOTA[[#This Row],[ID_H]]))</f>
        <v/>
      </c>
      <c r="AL329" s="38">
        <f ca="1">IF(NOTA[[#This Row],[TGL.NOTA]]="",IF(NOTA[[#This Row],[SUPPLIER_H]]="","",AL328),MONTH(NOTA[[#This Row],[TGL.NOTA]]))</f>
        <v>9</v>
      </c>
      <c r="AM32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38" t="str">
        <f>IF(NOTA[[#This Row],[CONCAT4]]="","",_xlfn.IFNA(MATCH(NOTA[[#This Row],[CONCAT4]],[2]!RAW[CONCAT_H],0),FALSE))</f>
        <v/>
      </c>
      <c r="AR329" s="38">
        <f>IF(NOTA[[#This Row],[CONCAT1]]="","",MATCH(NOTA[[#This Row],[CONCAT1]],[3]!db[NB NOTA_C],0))</f>
        <v>591</v>
      </c>
      <c r="AS329" s="38" t="str">
        <f>IF(NOTA[[#This Row],[QTY/ CTN]]="","",TRUE)</f>
        <v/>
      </c>
      <c r="AT329" s="38" t="str">
        <f ca="1">IF(NOTA[[#This Row],[ID_H]]="","",IF(NOTA[[#This Row],[Column3]]=TRUE,NOTA[[#This Row],[QTY/ CTN]],INDEX([3]!db[QTY/ CTN],NOTA[[#This Row],[//DB]])))</f>
        <v>12 LSN</v>
      </c>
      <c r="AU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329" s="38" t="e">
        <f ca="1">IF(NOTA[[#This Row],[ID_H]]="","",MATCH(NOTA[[#This Row],[NB NOTA_C_QTY]],[4]!db[NB NOTA_C_QTY+F],0))</f>
        <v>#REF!</v>
      </c>
      <c r="AW329" s="53">
        <f ca="1">IF(NOTA[[#This Row],[NB NOTA_C_QTY]]="","",ROW()-2)</f>
        <v>327</v>
      </c>
    </row>
    <row r="330" spans="1:49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53</v>
      </c>
      <c r="E330" s="46"/>
      <c r="F330" s="37"/>
      <c r="G330" s="37"/>
      <c r="H330" s="47"/>
      <c r="I330" s="37"/>
      <c r="J330" s="39"/>
      <c r="K330" s="37"/>
      <c r="L330" s="37" t="s">
        <v>451</v>
      </c>
      <c r="M330" s="40">
        <v>2</v>
      </c>
      <c r="N330" s="38">
        <v>144</v>
      </c>
      <c r="O330" s="37" t="s">
        <v>132</v>
      </c>
      <c r="P330" s="41">
        <v>21200</v>
      </c>
      <c r="Q330" s="42"/>
      <c r="R330" s="48"/>
      <c r="S330" s="49">
        <v>0.125</v>
      </c>
      <c r="T330" s="44">
        <v>0.05</v>
      </c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3052800</v>
      </c>
      <c r="Y330" s="50">
        <f>IF(NOTA[[#This Row],[JUMLAH]]="","",NOTA[[#This Row],[JUMLAH]]*NOTA[[#This Row],[DISC 1]])</f>
        <v>381600</v>
      </c>
      <c r="Z330" s="50">
        <f>IF(NOTA[[#This Row],[JUMLAH]]="","",(NOTA[[#This Row],[JUMLAH]]-NOTA[[#This Row],[DISC 1-]])*NOTA[[#This Row],[DISC 2]])</f>
        <v>133560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515160</v>
      </c>
      <c r="AC330" s="50">
        <f>IF(NOTA[[#This Row],[JUMLAH]]="","",NOTA[[#This Row],[JUMLAH]]-NOTA[[#This Row],[DISC]])</f>
        <v>2537640</v>
      </c>
      <c r="AD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3933461.25</v>
      </c>
      <c r="AE3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19375938.75</v>
      </c>
      <c r="AF33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30" s="50">
        <f>IF(OR(NOTA[[#This Row],[QTY]]="",NOTA[[#This Row],[HARGA SATUAN]]="",),"",NOTA[[#This Row],[QTY]]*NOTA[[#This Row],[HARGA SATUAN]])</f>
        <v>3052800</v>
      </c>
      <c r="AH330" s="39">
        <f ca="1">IF(NOTA[ID_H]="","",INDEX(NOTA[TANGGAL],MATCH(,INDIRECT(ADDRESS(ROW(NOTA[TANGGAL]),COLUMN(NOTA[TANGGAL]))&amp;":"&amp;ADDRESS(ROW(),COLUMN(NOTA[TANGGAL]))),-1)))</f>
        <v>45187</v>
      </c>
      <c r="AI330" s="41" t="str">
        <f ca="1">IF(NOTA[[#This Row],[NAMA BARANG]]="","",INDEX(NOTA[SUPPLIER],MATCH(,INDIRECT(ADDRESS(ROW(NOTA[ID]),COLUMN(NOTA[ID]))&amp;":"&amp;ADDRESS(ROW(),COLUMN(NOTA[ID]))),-1)))</f>
        <v>ATALI MAKMUR</v>
      </c>
      <c r="AJ330" s="41" t="str">
        <f ca="1">IF(NOTA[[#This Row],[ID_H]]="","",IF(NOTA[[#This Row],[FAKTUR]]="",INDIRECT(ADDRESS(ROW()-1,COLUMN())),NOTA[[#This Row],[FAKTUR]]))</f>
        <v>ARTO MORO</v>
      </c>
      <c r="AK330" s="38" t="str">
        <f ca="1">IF(NOTA[[#This Row],[ID]]="","",COUNTIF(NOTA[ID_H],NOTA[[#This Row],[ID_H]]))</f>
        <v/>
      </c>
      <c r="AL330" s="38">
        <f ca="1">IF(NOTA[[#This Row],[TGL.NOTA]]="",IF(NOTA[[#This Row],[SUPPLIER_H]]="","",AL329),MONTH(NOTA[[#This Row],[TGL.NOTA]]))</f>
        <v>9</v>
      </c>
      <c r="AM33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38" t="str">
        <f>IF(NOTA[[#This Row],[CONCAT4]]="","",_xlfn.IFNA(MATCH(NOTA[[#This Row],[CONCAT4]],[2]!RAW[CONCAT_H],0),FALSE))</f>
        <v/>
      </c>
      <c r="AR330" s="38">
        <f>IF(NOTA[[#This Row],[CONCAT1]]="","",MATCH(NOTA[[#This Row],[CONCAT1]],[3]!db[NB NOTA_C],0))</f>
        <v>593</v>
      </c>
      <c r="AS330" s="38" t="str">
        <f>IF(NOTA[[#This Row],[QTY/ CTN]]="","",TRUE)</f>
        <v/>
      </c>
      <c r="AT330" s="38" t="str">
        <f ca="1">IF(NOTA[[#This Row],[ID_H]]="","",IF(NOTA[[#This Row],[Column3]]=TRUE,NOTA[[#This Row],[QTY/ CTN]],INDEX([3]!db[QTY/ CTN],NOTA[[#This Row],[//DB]])))</f>
        <v>12 BOX (6 SET)</v>
      </c>
      <c r="AU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330" s="38" t="e">
        <f ca="1">IF(NOTA[[#This Row],[ID_H]]="","",MATCH(NOTA[[#This Row],[NB NOTA_C_QTY]],[4]!db[NB NOTA_C_QTY+F],0))</f>
        <v>#REF!</v>
      </c>
      <c r="AW330" s="53">
        <f ca="1">IF(NOTA[[#This Row],[NB NOTA_C_QTY]]="","",ROW()-2)</f>
        <v>328</v>
      </c>
    </row>
    <row r="331" spans="1:49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31" s="50" t="str">
        <f>IF(OR(NOTA[[#This Row],[QTY]]="",NOTA[[#This Row],[HARGA SATUAN]]="",),"",NOTA[[#This Row],[QTY]]*NOTA[[#This Row],[HARGA SATUAN]])</f>
        <v/>
      </c>
      <c r="AH331" s="39" t="str">
        <f ca="1">IF(NOTA[ID_H]="","",INDEX(NOTA[TANGGAL],MATCH(,INDIRECT(ADDRESS(ROW(NOTA[TANGGAL]),COLUMN(NOTA[TANGGAL]))&amp;":"&amp;ADDRESS(ROW(),COLUMN(NOTA[TANGGAL]))),-1)))</f>
        <v/>
      </c>
      <c r="AI331" s="41" t="str">
        <f ca="1">IF(NOTA[[#This Row],[NAMA BARANG]]="","",INDEX(NOTA[SUPPLIER],MATCH(,INDIRECT(ADDRESS(ROW(NOTA[ID]),COLUMN(NOTA[ID]))&amp;":"&amp;ADDRESS(ROW(),COLUMN(NOTA[ID]))),-1)))</f>
        <v/>
      </c>
      <c r="AJ331" s="41" t="str">
        <f ca="1">IF(NOTA[[#This Row],[ID_H]]="","",IF(NOTA[[#This Row],[FAKTUR]]="",INDIRECT(ADDRESS(ROW()-1,COLUMN())),NOTA[[#This Row],[FAKTUR]]))</f>
        <v/>
      </c>
      <c r="AK331" s="38" t="str">
        <f ca="1">IF(NOTA[[#This Row],[ID]]="","",COUNTIF(NOTA[ID_H],NOTA[[#This Row],[ID_H]]))</f>
        <v/>
      </c>
      <c r="AL331" s="38" t="str">
        <f ca="1">IF(NOTA[[#This Row],[TGL.NOTA]]="",IF(NOTA[[#This Row],[SUPPLIER_H]]="","",AL330),MONTH(NOTA[[#This Row],[TGL.NOTA]]))</f>
        <v/>
      </c>
      <c r="AM331" s="38" t="str">
        <f>LOWER(SUBSTITUTE(SUBSTITUTE(SUBSTITUTE(SUBSTITUTE(SUBSTITUTE(SUBSTITUTE(SUBSTITUTE(SUBSTITUTE(SUBSTITUTE(NOTA[NAMA BARANG]," ",),".",""),"-",""),"(",""),")",""),",",""),"/",""),"""",""),"+",""))</f>
        <v/>
      </c>
      <c r="AN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38" t="str">
        <f>IF(NOTA[[#This Row],[CONCAT4]]="","",_xlfn.IFNA(MATCH(NOTA[[#This Row],[CONCAT4]],[2]!RAW[CONCAT_H],0),FALSE))</f>
        <v/>
      </c>
      <c r="AR331" s="38" t="str">
        <f>IF(NOTA[[#This Row],[CONCAT1]]="","",MATCH(NOTA[[#This Row],[CONCAT1]],[3]!db[NB NOTA_C],0))</f>
        <v/>
      </c>
      <c r="AS331" s="38" t="str">
        <f>IF(NOTA[[#This Row],[QTY/ CTN]]="","",TRUE)</f>
        <v/>
      </c>
      <c r="AT331" s="38" t="str">
        <f ca="1">IF(NOTA[[#This Row],[ID_H]]="","",IF(NOTA[[#This Row],[Column3]]=TRUE,NOTA[[#This Row],[QTY/ CTN]],INDEX([3]!db[QTY/ CTN],NOTA[[#This Row],[//DB]])))</f>
        <v/>
      </c>
      <c r="AU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31" s="38" t="str">
        <f ca="1">IF(NOTA[[#This Row],[ID_H]]="","",MATCH(NOTA[[#This Row],[NB NOTA_C_QTY]],[4]!db[NB NOTA_C_QTY+F],0))</f>
        <v/>
      </c>
      <c r="AW331" s="53" t="str">
        <f ca="1">IF(NOTA[[#This Row],[NB NOTA_C_QTY]]="","",ROW()-2)</f>
        <v/>
      </c>
    </row>
    <row r="332" spans="1:49" s="38" customFormat="1" ht="20.100000000000001" customHeight="1" x14ac:dyDescent="0.25">
      <c r="A332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KEN_1809_481-7</v>
      </c>
      <c r="C332" s="38" t="e">
        <f ca="1">IF(NOTA[[#This Row],[ID_P]]="","",MATCH(NOTA[[#This Row],[ID_P]],[1]!B_MSK[N_ID],0))</f>
        <v>#REF!</v>
      </c>
      <c r="D332" s="38">
        <f ca="1">IF(NOTA[[#This Row],[NAMA BARANG]]="","",INDEX(NOTA[ID],MATCH(,INDIRECT(ADDRESS(ROW(NOTA[ID]),COLUMN(NOTA[ID]))&amp;":"&amp;ADDRESS(ROW(),COLUMN(NOTA[ID]))),-1)))</f>
        <v>54</v>
      </c>
      <c r="E332" s="46">
        <v>45187</v>
      </c>
      <c r="F332" s="37" t="s">
        <v>22</v>
      </c>
      <c r="G332" s="37" t="s">
        <v>23</v>
      </c>
      <c r="H332" s="47" t="s">
        <v>455</v>
      </c>
      <c r="I332" s="37"/>
      <c r="J332" s="39">
        <v>45185</v>
      </c>
      <c r="K332" s="37"/>
      <c r="L332" s="37" t="s">
        <v>459</v>
      </c>
      <c r="M332" s="40">
        <v>1</v>
      </c>
      <c r="O332" s="37"/>
      <c r="P332" s="41"/>
      <c r="Q332" s="42">
        <v>975000</v>
      </c>
      <c r="R332" s="48"/>
      <c r="S332" s="49">
        <v>0.17</v>
      </c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975000</v>
      </c>
      <c r="Y332" s="50">
        <f>IF(NOTA[[#This Row],[JUMLAH]]="","",NOTA[[#This Row],[JUMLAH]]*NOTA[[#This Row],[DISC 1]])</f>
        <v>165750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165750</v>
      </c>
      <c r="AC332" s="50">
        <f>IF(NOTA[[#This Row],[JUMLAH]]="","",NOTA[[#This Row],[JUMLAH]]-NOTA[[#This Row],[DISC]])</f>
        <v>809250</v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2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G332" s="50" t="str">
        <f>IF(OR(NOTA[[#This Row],[QTY]]="",NOTA[[#This Row],[HARGA SATUAN]]="",),"",NOTA[[#This Row],[QTY]]*NOTA[[#This Row],[HARGA SATUAN]])</f>
        <v/>
      </c>
      <c r="AH332" s="39">
        <f ca="1">IF(NOTA[ID_H]="","",INDEX(NOTA[TANGGAL],MATCH(,INDIRECT(ADDRESS(ROW(NOTA[TANGGAL]),COLUMN(NOTA[TANGGAL]))&amp;":"&amp;ADDRESS(ROW(),COLUMN(NOTA[TANGGAL]))),-1)))</f>
        <v>45187</v>
      </c>
      <c r="AI332" s="41" t="str">
        <f ca="1">IF(NOTA[[#This Row],[NAMA BARANG]]="","",INDEX(NOTA[SUPPLIER],MATCH(,INDIRECT(ADDRESS(ROW(NOTA[ID]),COLUMN(NOTA[ID]))&amp;":"&amp;ADDRESS(ROW(),COLUMN(NOTA[ID]))),-1)))</f>
        <v>KENKO SINAR INDONESIA</v>
      </c>
      <c r="AJ332" s="41" t="str">
        <f ca="1">IF(NOTA[[#This Row],[ID_H]]="","",IF(NOTA[[#This Row],[FAKTUR]]="",INDIRECT(ADDRESS(ROW()-1,COLUMN())),NOTA[[#This Row],[FAKTUR]]))</f>
        <v>ARTO MORO</v>
      </c>
      <c r="AK332" s="38">
        <f ca="1">IF(NOTA[[#This Row],[ID]]="","",COUNTIF(NOTA[ID_H],NOTA[[#This Row],[ID_H]]))</f>
        <v>7</v>
      </c>
      <c r="AL332" s="38">
        <f>IF(NOTA[[#This Row],[TGL.NOTA]]="",IF(NOTA[[#This Row],[SUPPLIER_H]]="","",AL331),MONTH(NOTA[[#This Row],[TGL.NOTA]]))</f>
        <v>9</v>
      </c>
      <c r="AM332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N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O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P33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MORO2309148145185kenkobukutamubt3224btkbatik</v>
      </c>
      <c r="AQ332" s="38" t="e">
        <f>IF(NOTA[[#This Row],[CONCAT4]]="","",_xlfn.IFNA(MATCH(NOTA[[#This Row],[CONCAT4]],[2]!RAW[CONCAT_H],0),FALSE))</f>
        <v>#REF!</v>
      </c>
      <c r="AR332" s="38">
        <f>IF(NOTA[[#This Row],[CONCAT1]]="","",MATCH(NOTA[[#This Row],[CONCAT1]],[3]!db[NB NOTA_C],0))</f>
        <v>1310</v>
      </c>
      <c r="AS332" s="38" t="str">
        <f>IF(NOTA[[#This Row],[QTY/ CTN]]="","",TRUE)</f>
        <v/>
      </c>
      <c r="AT332" s="38" t="str">
        <f ca="1">IF(NOTA[[#This Row],[ID_H]]="","",IF(NOTA[[#This Row],[Column3]]=TRUE,NOTA[[#This Row],[QTY/ CTN]],INDEX([3]!db[QTY/ CTN],NOTA[[#This Row],[//DB]])))</f>
        <v>5 LSN</v>
      </c>
      <c r="AU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V332" s="38" t="e">
        <f ca="1">IF(NOTA[[#This Row],[ID_H]]="","",MATCH(NOTA[[#This Row],[NB NOTA_C_QTY]],[4]!db[NB NOTA_C_QTY+F],0))</f>
        <v>#REF!</v>
      </c>
      <c r="AW332" s="53">
        <f ca="1">IF(NOTA[[#This Row],[NB NOTA_C_QTY]]="","",ROW()-2)</f>
        <v>330</v>
      </c>
    </row>
    <row r="333" spans="1:49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/>
      <c r="L333" s="37" t="s">
        <v>106</v>
      </c>
      <c r="M333" s="40">
        <v>1</v>
      </c>
      <c r="O333" s="37"/>
      <c r="P333" s="41"/>
      <c r="Q333" s="42">
        <v>900000</v>
      </c>
      <c r="R333" s="48"/>
      <c r="S333" s="49">
        <v>0.17</v>
      </c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900000</v>
      </c>
      <c r="Y333" s="50">
        <f>IF(NOTA[[#This Row],[JUMLAH]]="","",NOTA[[#This Row],[JUMLAH]]*NOTA[[#This Row],[DISC 1]])</f>
        <v>153000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153000</v>
      </c>
      <c r="AC333" s="50">
        <f>IF(NOTA[[#This Row],[JUMLAH]]="","",NOTA[[#This Row],[JUMLAH]]-NOTA[[#This Row],[DISC]])</f>
        <v>747000</v>
      </c>
      <c r="AD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333" s="50" t="str">
        <f>IF(OR(NOTA[[#This Row],[QTY]]="",NOTA[[#This Row],[HARGA SATUAN]]="",),"",NOTA[[#This Row],[QTY]]*NOTA[[#This Row],[HARGA SATUAN]])</f>
        <v/>
      </c>
      <c r="AH333" s="39">
        <f ca="1">IF(NOTA[ID_H]="","",INDEX(NOTA[TANGGAL],MATCH(,INDIRECT(ADDRESS(ROW(NOTA[TANGGAL]),COLUMN(NOTA[TANGGAL]))&amp;":"&amp;ADDRESS(ROW(),COLUMN(NOTA[TANGGAL]))),-1)))</f>
        <v>45187</v>
      </c>
      <c r="AI333" s="41" t="str">
        <f ca="1">IF(NOTA[[#This Row],[NAMA BARANG]]="","",INDEX(NOTA[SUPPLIER],MATCH(,INDIRECT(ADDRESS(ROW(NOTA[ID]),COLUMN(NOTA[ID]))&amp;":"&amp;ADDRESS(ROW(),COLUMN(NOTA[ID]))),-1)))</f>
        <v>KENKO SINAR INDONESIA</v>
      </c>
      <c r="AJ333" s="41" t="str">
        <f ca="1">IF(NOTA[[#This Row],[ID_H]]="","",IF(NOTA[[#This Row],[FAKTUR]]="",INDIRECT(ADDRESS(ROW()-1,COLUMN())),NOTA[[#This Row],[FAKTUR]]))</f>
        <v>ARTO MORO</v>
      </c>
      <c r="AK333" s="38" t="str">
        <f ca="1">IF(NOTA[[#This Row],[ID]]="","",COUNTIF(NOTA[ID_H],NOTA[[#This Row],[ID_H]]))</f>
        <v/>
      </c>
      <c r="AL333" s="38">
        <f ca="1">IF(NOTA[[#This Row],[TGL.NOTA]]="",IF(NOTA[[#This Row],[SUPPLIER_H]]="","",AL332),MONTH(NOTA[[#This Row],[TGL.NOTA]]))</f>
        <v>9</v>
      </c>
      <c r="AM33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38" t="str">
        <f>IF(NOTA[[#This Row],[CONCAT4]]="","",_xlfn.IFNA(MATCH(NOTA[[#This Row],[CONCAT4]],[2]!RAW[CONCAT_H],0),FALSE))</f>
        <v/>
      </c>
      <c r="AR333" s="38">
        <f>IF(NOTA[[#This Row],[CONCAT1]]="","",MATCH(NOTA[[#This Row],[CONCAT1]],[3]!db[NB NOTA_C],0))</f>
        <v>1287</v>
      </c>
      <c r="AS333" s="38" t="str">
        <f>IF(NOTA[[#This Row],[QTY/ CTN]]="","",TRUE)</f>
        <v/>
      </c>
      <c r="AT333" s="38" t="str">
        <f ca="1">IF(NOTA[[#This Row],[ID_H]]="","",IF(NOTA[[#This Row],[Column3]]=TRUE,NOTA[[#This Row],[QTY/ CTN]],INDEX([3]!db[QTY/ CTN],NOTA[[#This Row],[//DB]])))</f>
        <v>5 GRS</v>
      </c>
      <c r="AU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333" s="38" t="e">
        <f ca="1">IF(NOTA[[#This Row],[ID_H]]="","",MATCH(NOTA[[#This Row],[NB NOTA_C_QTY]],[4]!db[NB NOTA_C_QTY+F],0))</f>
        <v>#REF!</v>
      </c>
      <c r="AW333" s="53">
        <f ca="1">IF(NOTA[[#This Row],[NB NOTA_C_QTY]]="","",ROW()-2)</f>
        <v>331</v>
      </c>
    </row>
    <row r="334" spans="1:49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/>
      <c r="L334" s="37" t="s">
        <v>456</v>
      </c>
      <c r="M334" s="40">
        <v>1</v>
      </c>
      <c r="O334" s="37"/>
      <c r="P334" s="41"/>
      <c r="Q334" s="42">
        <v>2160000</v>
      </c>
      <c r="R334" s="48"/>
      <c r="S334" s="49">
        <v>0.17</v>
      </c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2160000</v>
      </c>
      <c r="Y334" s="50">
        <f>IF(NOTA[[#This Row],[JUMLAH]]="","",NOTA[[#This Row],[JUMLAH]]*NOTA[[#This Row],[DISC 1]])</f>
        <v>367200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367200</v>
      </c>
      <c r="AC334" s="50">
        <f>IF(NOTA[[#This Row],[JUMLAH]]="","",NOTA[[#This Row],[JUMLAH]]-NOTA[[#This Row],[DISC]])</f>
        <v>1792800</v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G334" s="50" t="str">
        <f>IF(OR(NOTA[[#This Row],[QTY]]="",NOTA[[#This Row],[HARGA SATUAN]]="",),"",NOTA[[#This Row],[QTY]]*NOTA[[#This Row],[HARGA SATUAN]])</f>
        <v/>
      </c>
      <c r="AH334" s="39">
        <f ca="1">IF(NOTA[ID_H]="","",INDEX(NOTA[TANGGAL],MATCH(,INDIRECT(ADDRESS(ROW(NOTA[TANGGAL]),COLUMN(NOTA[TANGGAL]))&amp;":"&amp;ADDRESS(ROW(),COLUMN(NOTA[TANGGAL]))),-1)))</f>
        <v>45187</v>
      </c>
      <c r="AI334" s="41" t="str">
        <f ca="1">IF(NOTA[[#This Row],[NAMA BARANG]]="","",INDEX(NOTA[SUPPLIER],MATCH(,INDIRECT(ADDRESS(ROW(NOTA[ID]),COLUMN(NOTA[ID]))&amp;":"&amp;ADDRESS(ROW(),COLUMN(NOTA[ID]))),-1)))</f>
        <v>KENKO SINAR INDONESIA</v>
      </c>
      <c r="AJ334" s="41" t="str">
        <f ca="1">IF(NOTA[[#This Row],[ID_H]]="","",IF(NOTA[[#This Row],[FAKTUR]]="",INDIRECT(ADDRESS(ROW()-1,COLUMN())),NOTA[[#This Row],[FAKTUR]]))</f>
        <v>ARTO MORO</v>
      </c>
      <c r="AK334" s="38" t="str">
        <f ca="1">IF(NOTA[[#This Row],[ID]]="","",COUNTIF(NOTA[ID_H],NOTA[[#This Row],[ID_H]]))</f>
        <v/>
      </c>
      <c r="AL334" s="38">
        <f ca="1">IF(NOTA[[#This Row],[TGL.NOTA]]="",IF(NOTA[[#This Row],[SUPPLIER_H]]="","",AL333),MONTH(NOTA[[#This Row],[TGL.NOTA]]))</f>
        <v>9</v>
      </c>
      <c r="AM334" s="38" t="str">
        <f>LOWER(SUBSTITUTE(SUBSTITUTE(SUBSTITUTE(SUBSTITUTE(SUBSTITUTE(SUBSTITUTE(SUBSTITUTE(SUBSTITUTE(SUBSTITUTE(NOTA[NAMA BARANG]," ",),".",""),"-",""),"(",""),")",""),",",""),"/",""),"""",""),"+",""))</f>
        <v>kenkopencil2b6373metallic</v>
      </c>
      <c r="AN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kenkopencil2b6373metallic21600000.17</v>
      </c>
      <c r="AO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kenkopencil2b6373metallic21600000.17</v>
      </c>
      <c r="AP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38" t="str">
        <f>IF(NOTA[[#This Row],[CONCAT4]]="","",_xlfn.IFNA(MATCH(NOTA[[#This Row],[CONCAT4]],[2]!RAW[CONCAT_H],0),FALSE))</f>
        <v/>
      </c>
      <c r="AR334" s="38">
        <f>IF(NOTA[[#This Row],[CONCAT1]]="","",MATCH(NOTA[[#This Row],[CONCAT1]],[3]!db[NB NOTA_C],0))</f>
        <v>1503</v>
      </c>
      <c r="AS334" s="38" t="str">
        <f>IF(NOTA[[#This Row],[QTY/ CTN]]="","",TRUE)</f>
        <v/>
      </c>
      <c r="AT334" s="38" t="str">
        <f ca="1">IF(NOTA[[#This Row],[ID_H]]="","",IF(NOTA[[#This Row],[Column3]]=TRUE,NOTA[[#This Row],[QTY/ CTN]],INDEX([3]!db[QTY/ CTN],NOTA[[#This Row],[//DB]])))</f>
        <v>20 GRS</v>
      </c>
      <c r="AU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kenkopencil2b6373metallic20grsartomoro</v>
      </c>
      <c r="AV334" s="38" t="e">
        <f ca="1">IF(NOTA[[#This Row],[ID_H]]="","",MATCH(NOTA[[#This Row],[NB NOTA_C_QTY]],[4]!db[NB NOTA_C_QTY+F],0))</f>
        <v>#REF!</v>
      </c>
      <c r="AW334" s="53">
        <f ca="1">IF(NOTA[[#This Row],[NB NOTA_C_QTY]]="","",ROW()-2)</f>
        <v>332</v>
      </c>
    </row>
    <row r="335" spans="1:49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/>
      <c r="L335" s="37" t="s">
        <v>457</v>
      </c>
      <c r="M335" s="40">
        <v>1</v>
      </c>
      <c r="O335" s="37"/>
      <c r="P335" s="41"/>
      <c r="Q335" s="42">
        <v>2112000</v>
      </c>
      <c r="R335" s="48"/>
      <c r="S335" s="49">
        <v>0.17</v>
      </c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2112000</v>
      </c>
      <c r="Y335" s="50">
        <f>IF(NOTA[[#This Row],[JUMLAH]]="","",NOTA[[#This Row],[JUMLAH]]*NOTA[[#This Row],[DISC 1]])</f>
        <v>359040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359040</v>
      </c>
      <c r="AC335" s="50">
        <f>IF(NOTA[[#This Row],[JUMLAH]]="","",NOTA[[#This Row],[JUMLAH]]-NOTA[[#This Row],[DISC]])</f>
        <v>1752960</v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5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335" s="50" t="str">
        <f>IF(OR(NOTA[[#This Row],[QTY]]="",NOTA[[#This Row],[HARGA SATUAN]]="",),"",NOTA[[#This Row],[QTY]]*NOTA[[#This Row],[HARGA SATUAN]])</f>
        <v/>
      </c>
      <c r="AH335" s="39">
        <f ca="1">IF(NOTA[ID_H]="","",INDEX(NOTA[TANGGAL],MATCH(,INDIRECT(ADDRESS(ROW(NOTA[TANGGAL]),COLUMN(NOTA[TANGGAL]))&amp;":"&amp;ADDRESS(ROW(),COLUMN(NOTA[TANGGAL]))),-1)))</f>
        <v>45187</v>
      </c>
      <c r="AI335" s="41" t="str">
        <f ca="1">IF(NOTA[[#This Row],[NAMA BARANG]]="","",INDEX(NOTA[SUPPLIER],MATCH(,INDIRECT(ADDRESS(ROW(NOTA[ID]),COLUMN(NOTA[ID]))&amp;":"&amp;ADDRESS(ROW(),COLUMN(NOTA[ID]))),-1)))</f>
        <v>KENKO SINAR INDONESIA</v>
      </c>
      <c r="AJ335" s="41" t="str">
        <f ca="1">IF(NOTA[[#This Row],[ID_H]]="","",IF(NOTA[[#This Row],[FAKTUR]]="",INDIRECT(ADDRESS(ROW()-1,COLUMN())),NOTA[[#This Row],[FAKTUR]]))</f>
        <v>ARTO MORO</v>
      </c>
      <c r="AK335" s="38" t="str">
        <f ca="1">IF(NOTA[[#This Row],[ID]]="","",COUNTIF(NOTA[ID_H],NOTA[[#This Row],[ID_H]]))</f>
        <v/>
      </c>
      <c r="AL335" s="38">
        <f ca="1">IF(NOTA[[#This Row],[TGL.NOTA]]="",IF(NOTA[[#This Row],[SUPPLIER_H]]="","",AL334),MONTH(NOTA[[#This Row],[TGL.NOTA]]))</f>
        <v>9</v>
      </c>
      <c r="AM335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38" t="str">
        <f>IF(NOTA[[#This Row],[CONCAT4]]="","",_xlfn.IFNA(MATCH(NOTA[[#This Row],[CONCAT4]],[2]!RAW[CONCAT_H],0),FALSE))</f>
        <v/>
      </c>
      <c r="AR335" s="38">
        <f>IF(NOTA[[#This Row],[CONCAT1]]="","",MATCH(NOTA[[#This Row],[CONCAT1]],[3]!db[NB NOTA_C],0))</f>
        <v>1495</v>
      </c>
      <c r="AS335" s="38" t="str">
        <f>IF(NOTA[[#This Row],[QTY/ CTN]]="","",TRUE)</f>
        <v/>
      </c>
      <c r="AT335" s="38" t="str">
        <f ca="1">IF(NOTA[[#This Row],[ID_H]]="","",IF(NOTA[[#This Row],[Column3]]=TRUE,NOTA[[#This Row],[QTY/ CTN]],INDEX([3]!db[QTY/ CTN],NOTA[[#This Row],[//DB]])))</f>
        <v>20 GRS</v>
      </c>
      <c r="AU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V335" s="38" t="e">
        <f ca="1">IF(NOTA[[#This Row],[ID_H]]="","",MATCH(NOTA[[#This Row],[NB NOTA_C_QTY]],[4]!db[NB NOTA_C_QTY+F],0))</f>
        <v>#REF!</v>
      </c>
      <c r="AW335" s="53">
        <f ca="1">IF(NOTA[[#This Row],[NB NOTA_C_QTY]]="","",ROW()-2)</f>
        <v>333</v>
      </c>
    </row>
    <row r="336" spans="1:49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/>
      <c r="L336" s="37" t="s">
        <v>461</v>
      </c>
      <c r="M336" s="40">
        <v>2</v>
      </c>
      <c r="O336" s="37"/>
      <c r="P336" s="41"/>
      <c r="Q336" s="42">
        <v>2208000</v>
      </c>
      <c r="R336" s="48"/>
      <c r="S336" s="49">
        <v>0.17</v>
      </c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4416000</v>
      </c>
      <c r="Y336" s="50">
        <f>IF(NOTA[[#This Row],[JUMLAH]]="","",NOTA[[#This Row],[JUMLAH]]*NOTA[[#This Row],[DISC 1]])</f>
        <v>750720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750720</v>
      </c>
      <c r="AC336" s="50">
        <f>IF(NOTA[[#This Row],[JUMLAH]]="","",NOTA[[#This Row],[JUMLAH]]-NOTA[[#This Row],[DISC]])</f>
        <v>3665280</v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G336" s="50" t="str">
        <f>IF(OR(NOTA[[#This Row],[QTY]]="",NOTA[[#This Row],[HARGA SATUAN]]="",),"",NOTA[[#This Row],[QTY]]*NOTA[[#This Row],[HARGA SATUAN]])</f>
        <v/>
      </c>
      <c r="AH336" s="39">
        <f ca="1">IF(NOTA[ID_H]="","",INDEX(NOTA[TANGGAL],MATCH(,INDIRECT(ADDRESS(ROW(NOTA[TANGGAL]),COLUMN(NOTA[TANGGAL]))&amp;":"&amp;ADDRESS(ROW(),COLUMN(NOTA[TANGGAL]))),-1)))</f>
        <v>45187</v>
      </c>
      <c r="AI336" s="41" t="str">
        <f ca="1">IF(NOTA[[#This Row],[NAMA BARANG]]="","",INDEX(NOTA[SUPPLIER],MATCH(,INDIRECT(ADDRESS(ROW(NOTA[ID]),COLUMN(NOTA[ID]))&amp;":"&amp;ADDRESS(ROW(),COLUMN(NOTA[ID]))),-1)))</f>
        <v>KENKO SINAR INDONESIA</v>
      </c>
      <c r="AJ336" s="41" t="str">
        <f ca="1">IF(NOTA[[#This Row],[ID_H]]="","",IF(NOTA[[#This Row],[FAKTUR]]="",INDIRECT(ADDRESS(ROW()-1,COLUMN())),NOTA[[#This Row],[FAKTUR]]))</f>
        <v>ARTO MORO</v>
      </c>
      <c r="AK336" s="38" t="str">
        <f ca="1">IF(NOTA[[#This Row],[ID]]="","",COUNTIF(NOTA[ID_H],NOTA[[#This Row],[ID_H]]))</f>
        <v/>
      </c>
      <c r="AL336" s="38">
        <f ca="1">IF(NOTA[[#This Row],[TGL.NOTA]]="",IF(NOTA[[#This Row],[SUPPLIER_H]]="","",AL335),MONTH(NOTA[[#This Row],[TGL.NOTA]]))</f>
        <v>9</v>
      </c>
      <c r="AM33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38" t="str">
        <f>IF(NOTA[[#This Row],[CONCAT4]]="","",_xlfn.IFNA(MATCH(NOTA[[#This Row],[CONCAT4]],[2]!RAW[CONCAT_H],0),FALSE))</f>
        <v/>
      </c>
      <c r="AR336" s="38">
        <f>IF(NOTA[[#This Row],[CONCAT1]]="","",MATCH(NOTA[[#This Row],[CONCAT1]],[3]!db[NB NOTA_C],0))</f>
        <v>1499</v>
      </c>
      <c r="AS336" s="38" t="str">
        <f>IF(NOTA[[#This Row],[QTY/ CTN]]="","",TRUE)</f>
        <v/>
      </c>
      <c r="AT336" s="38" t="str">
        <f ca="1">IF(NOTA[[#This Row],[ID_H]]="","",IF(NOTA[[#This Row],[Column3]]=TRUE,NOTA[[#This Row],[QTY/ CTN]],INDEX([3]!db[QTY/ CTN],NOTA[[#This Row],[//DB]])))</f>
        <v>20 GRS</v>
      </c>
      <c r="AU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V336" s="38" t="e">
        <f ca="1">IF(NOTA[[#This Row],[ID_H]]="","",MATCH(NOTA[[#This Row],[NB NOTA_C_QTY]],[4]!db[NB NOTA_C_QTY+F],0))</f>
        <v>#REF!</v>
      </c>
      <c r="AW336" s="53">
        <f ca="1">IF(NOTA[[#This Row],[NB NOTA_C_QTY]]="","",ROW()-2)</f>
        <v>334</v>
      </c>
    </row>
    <row r="337" spans="1:49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/>
      <c r="L337" s="37" t="s">
        <v>458</v>
      </c>
      <c r="M337" s="40">
        <v>2</v>
      </c>
      <c r="O337" s="37"/>
      <c r="P337" s="41"/>
      <c r="Q337" s="42">
        <v>2208000</v>
      </c>
      <c r="R337" s="48"/>
      <c r="S337" s="49">
        <v>0.17</v>
      </c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4416000</v>
      </c>
      <c r="Y337" s="50">
        <f>IF(NOTA[[#This Row],[JUMLAH]]="","",NOTA[[#This Row],[JUMLAH]]*NOTA[[#This Row],[DISC 1]])</f>
        <v>750720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750720</v>
      </c>
      <c r="AC337" s="50">
        <f>IF(NOTA[[#This Row],[JUMLAH]]="","",NOTA[[#This Row],[JUMLAH]]-NOTA[[#This Row],[DISC]])</f>
        <v>3665280</v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7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G337" s="50" t="str">
        <f>IF(OR(NOTA[[#This Row],[QTY]]="",NOTA[[#This Row],[HARGA SATUAN]]="",),"",NOTA[[#This Row],[QTY]]*NOTA[[#This Row],[HARGA SATUAN]])</f>
        <v/>
      </c>
      <c r="AH337" s="39">
        <f ca="1">IF(NOTA[ID_H]="","",INDEX(NOTA[TANGGAL],MATCH(,INDIRECT(ADDRESS(ROW(NOTA[TANGGAL]),COLUMN(NOTA[TANGGAL]))&amp;":"&amp;ADDRESS(ROW(),COLUMN(NOTA[TANGGAL]))),-1)))</f>
        <v>45187</v>
      </c>
      <c r="AI337" s="41" t="str">
        <f ca="1">IF(NOTA[[#This Row],[NAMA BARANG]]="","",INDEX(NOTA[SUPPLIER],MATCH(,INDIRECT(ADDRESS(ROW(NOTA[ID]),COLUMN(NOTA[ID]))&amp;":"&amp;ADDRESS(ROW(),COLUMN(NOTA[ID]))),-1)))</f>
        <v>KENKO SINAR INDONESIA</v>
      </c>
      <c r="AJ337" s="41" t="str">
        <f ca="1">IF(NOTA[[#This Row],[ID_H]]="","",IF(NOTA[[#This Row],[FAKTUR]]="",INDIRECT(ADDRESS(ROW()-1,COLUMN())),NOTA[[#This Row],[FAKTUR]]))</f>
        <v>ARTO MORO</v>
      </c>
      <c r="AK337" s="38" t="str">
        <f ca="1">IF(NOTA[[#This Row],[ID]]="","",COUNTIF(NOTA[ID_H],NOTA[[#This Row],[ID_H]]))</f>
        <v/>
      </c>
      <c r="AL337" s="38">
        <f ca="1">IF(NOTA[[#This Row],[TGL.NOTA]]="",IF(NOTA[[#This Row],[SUPPLIER_H]]="","",AL336),MONTH(NOTA[[#This Row],[TGL.NOTA]]))</f>
        <v>9</v>
      </c>
      <c r="AM337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38" t="str">
        <f>IF(NOTA[[#This Row],[CONCAT4]]="","",_xlfn.IFNA(MATCH(NOTA[[#This Row],[CONCAT4]],[2]!RAW[CONCAT_H],0),FALSE))</f>
        <v/>
      </c>
      <c r="AR337" s="38">
        <f>IF(NOTA[[#This Row],[CONCAT1]]="","",MATCH(NOTA[[#This Row],[CONCAT1]],[3]!db[NB NOTA_C],0))</f>
        <v>1500</v>
      </c>
      <c r="AS337" s="38" t="str">
        <f>IF(NOTA[[#This Row],[QTY/ CTN]]="","",TRUE)</f>
        <v/>
      </c>
      <c r="AT337" s="38" t="str">
        <f ca="1">IF(NOTA[[#This Row],[ID_H]]="","",IF(NOTA[[#This Row],[Column3]]=TRUE,NOTA[[#This Row],[QTY/ CTN]],INDEX([3]!db[QTY/ CTN],NOTA[[#This Row],[//DB]])))</f>
        <v>20 GRS</v>
      </c>
      <c r="AU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V337" s="38" t="e">
        <f ca="1">IF(NOTA[[#This Row],[ID_H]]="","",MATCH(NOTA[[#This Row],[NB NOTA_C_QTY]],[4]!db[NB NOTA_C_QTY+F],0))</f>
        <v>#REF!</v>
      </c>
      <c r="AW337" s="53">
        <f ca="1">IF(NOTA[[#This Row],[NB NOTA_C_QTY]]="","",ROW()-2)</f>
        <v>335</v>
      </c>
    </row>
    <row r="338" spans="1:49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460</v>
      </c>
      <c r="M338" s="40">
        <v>2</v>
      </c>
      <c r="O338" s="37"/>
      <c r="P338" s="41"/>
      <c r="Q338" s="42">
        <v>2952000</v>
      </c>
      <c r="R338" s="48"/>
      <c r="S338" s="49">
        <v>0.17</v>
      </c>
      <c r="T338" s="44"/>
      <c r="U338" s="44"/>
      <c r="V338" s="50"/>
      <c r="W338" s="45"/>
      <c r="X338" s="50">
        <f>IF(NOTA[[#This Row],[HARGA/ CTN]]="",NOTA[[#This Row],[JUMLAH_H]],NOTA[[#This Row],[HARGA/ CTN]]*IF(NOTA[[#This Row],[C]]="",0,NOTA[[#This Row],[C]]))</f>
        <v>5904000</v>
      </c>
      <c r="Y338" s="50">
        <f>IF(NOTA[[#This Row],[JUMLAH]]="","",NOTA[[#This Row],[JUMLAH]]*NOTA[[#This Row],[DISC 1]])</f>
        <v>1003680.0000000001</v>
      </c>
      <c r="Z338" s="50">
        <f>IF(NOTA[[#This Row],[JUMLAH]]="","",(NOTA[[#This Row],[JUMLAH]]-NOTA[[#This Row],[DISC 1-]])*NOTA[[#This Row],[DISC 2]])</f>
        <v>0</v>
      </c>
      <c r="AA338" s="50">
        <f>IF(NOTA[[#This Row],[JUMLAH]]="","",(NOTA[[#This Row],[JUMLAH]]-NOTA[[#This Row],[DISC 1-]]-NOTA[[#This Row],[DISC 2-]])*NOTA[[#This Row],[DISC 3]])</f>
        <v>0</v>
      </c>
      <c r="AB338" s="50">
        <f>IF(NOTA[[#This Row],[JUMLAH]]="","",NOTA[[#This Row],[DISC 1-]]+NOTA[[#This Row],[DISC 2-]]+NOTA[[#This Row],[DISC 3-]])</f>
        <v>1003680.0000000001</v>
      </c>
      <c r="AC338" s="50">
        <f>IF(NOTA[[#This Row],[JUMLAH]]="","",NOTA[[#This Row],[JUMLAH]]-NOTA[[#This Row],[DISC]])</f>
        <v>4900320</v>
      </c>
      <c r="AD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3550110</v>
      </c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17332890</v>
      </c>
      <c r="AF33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338" s="50" t="str">
        <f>IF(OR(NOTA[[#This Row],[QTY]]="",NOTA[[#This Row],[HARGA SATUAN]]="",),"",NOTA[[#This Row],[QTY]]*NOTA[[#This Row],[HARGA SATUAN]])</f>
        <v/>
      </c>
      <c r="AH338" s="39">
        <f ca="1">IF(NOTA[ID_H]="","",INDEX(NOTA[TANGGAL],MATCH(,INDIRECT(ADDRESS(ROW(NOTA[TANGGAL]),COLUMN(NOTA[TANGGAL]))&amp;":"&amp;ADDRESS(ROW(),COLUMN(NOTA[TANGGAL]))),-1)))</f>
        <v>45187</v>
      </c>
      <c r="AI338" s="41" t="str">
        <f ca="1">IF(NOTA[[#This Row],[NAMA BARANG]]="","",INDEX(NOTA[SUPPLIER],MATCH(,INDIRECT(ADDRESS(ROW(NOTA[ID]),COLUMN(NOTA[ID]))&amp;":"&amp;ADDRESS(ROW(),COLUMN(NOTA[ID]))),-1)))</f>
        <v>KENKO SINAR INDONESIA</v>
      </c>
      <c r="AJ338" s="41" t="str">
        <f ca="1">IF(NOTA[[#This Row],[ID_H]]="","",IF(NOTA[[#This Row],[FAKTUR]]="",INDIRECT(ADDRESS(ROW()-1,COLUMN())),NOTA[[#This Row],[FAKTUR]]))</f>
        <v>ARTO MORO</v>
      </c>
      <c r="AK338" s="38" t="str">
        <f ca="1">IF(NOTA[[#This Row],[ID]]="","",COUNTIF(NOTA[ID_H],NOTA[[#This Row],[ID_H]]))</f>
        <v/>
      </c>
      <c r="AL338" s="38">
        <f ca="1">IF(NOTA[[#This Row],[TGL.NOTA]]="",IF(NOTA[[#This Row],[SUPPLIER_H]]="","",AL337),MONTH(NOTA[[#This Row],[TGL.NOTA]]))</f>
        <v>9</v>
      </c>
      <c r="AM338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38" t="str">
        <f>IF(NOTA[[#This Row],[CONCAT4]]="","",_xlfn.IFNA(MATCH(NOTA[[#This Row],[CONCAT4]],[2]!RAW[CONCAT_H],0),FALSE))</f>
        <v/>
      </c>
      <c r="AR338" s="38">
        <f>IF(NOTA[[#This Row],[CONCAT1]]="","",MATCH(NOTA[[#This Row],[CONCAT1]],[3]!db[NB NOTA_C],0))</f>
        <v>1385</v>
      </c>
      <c r="AS338" s="38" t="str">
        <f>IF(NOTA[[#This Row],[QTY/ CTN]]="","",TRUE)</f>
        <v/>
      </c>
      <c r="AT338" s="38" t="str">
        <f ca="1">IF(NOTA[[#This Row],[ID_H]]="","",IF(NOTA[[#This Row],[Column3]]=TRUE,NOTA[[#This Row],[QTY/ CTN]],INDEX([3]!db[QTY/ CTN],NOTA[[#This Row],[//DB]])))</f>
        <v>20 LSN</v>
      </c>
      <c r="AU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338" s="38" t="e">
        <f ca="1">IF(NOTA[[#This Row],[ID_H]]="","",MATCH(NOTA[[#This Row],[NB NOTA_C_QTY]],[4]!db[NB NOTA_C_QTY+F],0))</f>
        <v>#REF!</v>
      </c>
      <c r="AW338" s="53">
        <f ca="1">IF(NOTA[[#This Row],[NB NOTA_C_QTY]]="","",ROW()-2)</f>
        <v>336</v>
      </c>
    </row>
    <row r="339" spans="1:49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39" s="50" t="str">
        <f>IF(OR(NOTA[[#This Row],[QTY]]="",NOTA[[#This Row],[HARGA SATUAN]]="",),"",NOTA[[#This Row],[QTY]]*NOTA[[#This Row],[HARGA SATUAN]])</f>
        <v/>
      </c>
      <c r="AH339" s="39" t="str">
        <f ca="1">IF(NOTA[ID_H]="","",INDEX(NOTA[TANGGAL],MATCH(,INDIRECT(ADDRESS(ROW(NOTA[TANGGAL]),COLUMN(NOTA[TANGGAL]))&amp;":"&amp;ADDRESS(ROW(),COLUMN(NOTA[TANGGAL]))),-1)))</f>
        <v/>
      </c>
      <c r="AI339" s="41" t="str">
        <f ca="1">IF(NOTA[[#This Row],[NAMA BARANG]]="","",INDEX(NOTA[SUPPLIER],MATCH(,INDIRECT(ADDRESS(ROW(NOTA[ID]),COLUMN(NOTA[ID]))&amp;":"&amp;ADDRESS(ROW(),COLUMN(NOTA[ID]))),-1)))</f>
        <v/>
      </c>
      <c r="AJ339" s="41" t="str">
        <f ca="1">IF(NOTA[[#This Row],[ID_H]]="","",IF(NOTA[[#This Row],[FAKTUR]]="",INDIRECT(ADDRESS(ROW()-1,COLUMN())),NOTA[[#This Row],[FAKTUR]]))</f>
        <v/>
      </c>
      <c r="AK339" s="38" t="str">
        <f ca="1">IF(NOTA[[#This Row],[ID]]="","",COUNTIF(NOTA[ID_H],NOTA[[#This Row],[ID_H]]))</f>
        <v/>
      </c>
      <c r="AL339" s="38" t="str">
        <f ca="1">IF(NOTA[[#This Row],[TGL.NOTA]]="",IF(NOTA[[#This Row],[SUPPLIER_H]]="","",AL338),MONTH(NOTA[[#This Row],[TGL.NOTA]]))</f>
        <v/>
      </c>
      <c r="AM339" s="38" t="str">
        <f>LOWER(SUBSTITUTE(SUBSTITUTE(SUBSTITUTE(SUBSTITUTE(SUBSTITUTE(SUBSTITUTE(SUBSTITUTE(SUBSTITUTE(SUBSTITUTE(NOTA[NAMA BARANG]," ",),".",""),"-",""),"(",""),")",""),",",""),"/",""),"""",""),"+",""))</f>
        <v/>
      </c>
      <c r="AN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38" t="str">
        <f>IF(NOTA[[#This Row],[CONCAT4]]="","",_xlfn.IFNA(MATCH(NOTA[[#This Row],[CONCAT4]],[2]!RAW[CONCAT_H],0),FALSE))</f>
        <v/>
      </c>
      <c r="AR339" s="38" t="str">
        <f>IF(NOTA[[#This Row],[CONCAT1]]="","",MATCH(NOTA[[#This Row],[CONCAT1]],[3]!db[NB NOTA_C],0))</f>
        <v/>
      </c>
      <c r="AS339" s="38" t="str">
        <f>IF(NOTA[[#This Row],[QTY/ CTN]]="","",TRUE)</f>
        <v/>
      </c>
      <c r="AT339" s="38" t="str">
        <f ca="1">IF(NOTA[[#This Row],[ID_H]]="","",IF(NOTA[[#This Row],[Column3]]=TRUE,NOTA[[#This Row],[QTY/ CTN]],INDEX([3]!db[QTY/ CTN],NOTA[[#This Row],[//DB]])))</f>
        <v/>
      </c>
      <c r="AU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39" s="38" t="str">
        <f ca="1">IF(NOTA[[#This Row],[ID_H]]="","",MATCH(NOTA[[#This Row],[NB NOTA_C_QTY]],[4]!db[NB NOTA_C_QTY+F],0))</f>
        <v/>
      </c>
      <c r="AW339" s="53" t="str">
        <f ca="1">IF(NOTA[[#This Row],[NB NOTA_C_QTY]]="","",ROW()-2)</f>
        <v/>
      </c>
    </row>
    <row r="340" spans="1:49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ATA_1809_502-3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45187</v>
      </c>
      <c r="F340" s="37" t="s">
        <v>24</v>
      </c>
      <c r="G340" s="37" t="s">
        <v>23</v>
      </c>
      <c r="H340" s="47" t="s">
        <v>462</v>
      </c>
      <c r="I340" s="37"/>
      <c r="J340" s="39">
        <v>45184</v>
      </c>
      <c r="K340" s="37"/>
      <c r="L340" s="37" t="s">
        <v>464</v>
      </c>
      <c r="M340" s="40">
        <v>4</v>
      </c>
      <c r="N340" s="38">
        <v>192</v>
      </c>
      <c r="O340" s="37" t="s">
        <v>138</v>
      </c>
      <c r="P340" s="41">
        <v>36000</v>
      </c>
      <c r="Q340" s="42"/>
      <c r="R340" s="48"/>
      <c r="S340" s="49">
        <v>0.125</v>
      </c>
      <c r="T340" s="44">
        <v>0.05</v>
      </c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6912000</v>
      </c>
      <c r="Y340" s="50">
        <f>IF(NOTA[[#This Row],[JUMLAH]]="","",NOTA[[#This Row],[JUMLAH]]*NOTA[[#This Row],[DISC 1]])</f>
        <v>864000</v>
      </c>
      <c r="Z340" s="50">
        <f>IF(NOTA[[#This Row],[JUMLAH]]="","",(NOTA[[#This Row],[JUMLAH]]-NOTA[[#This Row],[DISC 1-]])*NOTA[[#This Row],[DISC 2]])</f>
        <v>302400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1166400</v>
      </c>
      <c r="AC340" s="50">
        <f>IF(NOTA[[#This Row],[JUMLAH]]="","",NOTA[[#This Row],[JUMLAH]]-NOTA[[#This Row],[DISC]])</f>
        <v>5745600</v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0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G340" s="50">
        <f>IF(OR(NOTA[[#This Row],[QTY]]="",NOTA[[#This Row],[HARGA SATUAN]]="",),"",NOTA[[#This Row],[QTY]]*NOTA[[#This Row],[HARGA SATUAN]])</f>
        <v>6912000</v>
      </c>
      <c r="AH340" s="39">
        <f ca="1">IF(NOTA[ID_H]="","",INDEX(NOTA[TANGGAL],MATCH(,INDIRECT(ADDRESS(ROW(NOTA[TANGGAL]),COLUMN(NOTA[TANGGAL]))&amp;":"&amp;ADDRESS(ROW(),COLUMN(NOTA[TANGGAL]))),-1)))</f>
        <v>45187</v>
      </c>
      <c r="AI340" s="41" t="str">
        <f ca="1">IF(NOTA[[#This Row],[NAMA BARANG]]="","",INDEX(NOTA[SUPPLIER],MATCH(,INDIRECT(ADDRESS(ROW(NOTA[ID]),COLUMN(NOTA[ID]))&amp;":"&amp;ADDRESS(ROW(),COLUMN(NOTA[ID]))),-1)))</f>
        <v>ATALI MAKMUR</v>
      </c>
      <c r="AJ340" s="41" t="str">
        <f ca="1">IF(NOTA[[#This Row],[ID_H]]="","",IF(NOTA[[#This Row],[FAKTUR]]="",INDIRECT(ADDRESS(ROW()-1,COLUMN())),NOTA[[#This Row],[FAKTUR]]))</f>
        <v>ARTO MORO</v>
      </c>
      <c r="AK340" s="38">
        <f ca="1">IF(NOTA[[#This Row],[ID]]="","",COUNTIF(NOTA[ID_H],NOTA[[#This Row],[ID_H]]))</f>
        <v>3</v>
      </c>
      <c r="AL340" s="38">
        <f>IF(NOTA[[#This Row],[TGL.NOTA]]="",IF(NOTA[[#This Row],[SUPPLIER_H]]="","",AL339),MONTH(NOTA[[#This Row],[TGL.NOTA]]))</f>
        <v>9</v>
      </c>
      <c r="AM340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34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MOROSA23091650245184correctionfluidjk01jk</v>
      </c>
      <c r="AQ340" s="38" t="e">
        <f>IF(NOTA[[#This Row],[CONCAT4]]="","",_xlfn.IFNA(MATCH(NOTA[[#This Row],[CONCAT4]],[2]!RAW[CONCAT_H],0),FALSE))</f>
        <v>#REF!</v>
      </c>
      <c r="AR340" s="38">
        <f>IF(NOTA[[#This Row],[CONCAT1]]="","",MATCH(NOTA[[#This Row],[CONCAT1]],[3]!db[NB NOTA_C],0))</f>
        <v>622</v>
      </c>
      <c r="AS340" s="38" t="str">
        <f>IF(NOTA[[#This Row],[QTY/ CTN]]="","",TRUE)</f>
        <v/>
      </c>
      <c r="AT340" s="38" t="str">
        <f ca="1">IF(NOTA[[#This Row],[ID_H]]="","",IF(NOTA[[#This Row],[Column3]]=TRUE,NOTA[[#This Row],[QTY/ CTN]],INDEX([3]!db[QTY/ CTN],NOTA[[#This Row],[//DB]])))</f>
        <v>48 LSN</v>
      </c>
      <c r="AU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V340" s="38" t="e">
        <f ca="1">IF(NOTA[[#This Row],[ID_H]]="","",MATCH(NOTA[[#This Row],[NB NOTA_C_QTY]],[4]!db[NB NOTA_C_QTY+F],0))</f>
        <v>#REF!</v>
      </c>
      <c r="AW340" s="53">
        <f ca="1">IF(NOTA[[#This Row],[NB NOTA_C_QTY]]="","",ROW()-2)</f>
        <v>338</v>
      </c>
    </row>
    <row r="341" spans="1:49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/>
      <c r="L341" s="37" t="s">
        <v>661</v>
      </c>
      <c r="M341" s="40"/>
      <c r="N341" s="38">
        <v>24</v>
      </c>
      <c r="O341" s="37" t="s">
        <v>138</v>
      </c>
      <c r="P341" s="41">
        <v>13200</v>
      </c>
      <c r="Q341" s="42"/>
      <c r="R341" s="48"/>
      <c r="S341" s="49">
        <v>0.1</v>
      </c>
      <c r="T341" s="44">
        <v>0.05</v>
      </c>
      <c r="U341" s="44"/>
      <c r="V341" s="50"/>
      <c r="W341" s="45" t="s">
        <v>417</v>
      </c>
      <c r="X341" s="50">
        <f>IF(NOTA[[#This Row],[HARGA/ CTN]]="",NOTA[[#This Row],[JUMLAH_H]],NOTA[[#This Row],[HARGA/ CTN]]*IF(NOTA[[#This Row],[C]]="",0,NOTA[[#This Row],[C]]))</f>
        <v>316800</v>
      </c>
      <c r="Y341" s="50">
        <f>IF(NOTA[[#This Row],[JUMLAH]]="","",NOTA[[#This Row],[JUMLAH]]*NOTA[[#This Row],[DISC 1]])</f>
        <v>31680</v>
      </c>
      <c r="Z341" s="50">
        <f>IF(NOTA[[#This Row],[JUMLAH]]="","",(NOTA[[#This Row],[JUMLAH]]-NOTA[[#This Row],[DISC 1-]])*NOTA[[#This Row],[DISC 2]])</f>
        <v>14256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45936</v>
      </c>
      <c r="AC341" s="50">
        <f>IF(NOTA[[#This Row],[JUMLAH]]="","",NOTA[[#This Row],[JUMLAH]]-NOTA[[#This Row],[DISC]])</f>
        <v>270864</v>
      </c>
      <c r="AD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1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G341" s="50">
        <f>IF(OR(NOTA[[#This Row],[QTY]]="",NOTA[[#This Row],[HARGA SATUAN]]="",),"",NOTA[[#This Row],[QTY]]*NOTA[[#This Row],[HARGA SATUAN]])</f>
        <v>316800</v>
      </c>
      <c r="AH341" s="39">
        <f ca="1">IF(NOTA[ID_H]="","",INDEX(NOTA[TANGGAL],MATCH(,INDIRECT(ADDRESS(ROW(NOTA[TANGGAL]),COLUMN(NOTA[TANGGAL]))&amp;":"&amp;ADDRESS(ROW(),COLUMN(NOTA[TANGGAL]))),-1)))</f>
        <v>45187</v>
      </c>
      <c r="AI341" s="41" t="str">
        <f ca="1">IF(NOTA[[#This Row],[NAMA BARANG]]="","",INDEX(NOTA[SUPPLIER],MATCH(,INDIRECT(ADDRESS(ROW(NOTA[ID]),COLUMN(NOTA[ID]))&amp;":"&amp;ADDRESS(ROW(),COLUMN(NOTA[ID]))),-1)))</f>
        <v>ATALI MAKMUR</v>
      </c>
      <c r="AJ341" s="41" t="str">
        <f ca="1">IF(NOTA[[#This Row],[ID_H]]="","",IF(NOTA[[#This Row],[FAKTUR]]="",INDIRECT(ADDRESS(ROW()-1,COLUMN())),NOTA[[#This Row],[FAKTUR]]))</f>
        <v>ARTO MORO</v>
      </c>
      <c r="AK341" s="38" t="str">
        <f ca="1">IF(NOTA[[#This Row],[ID]]="","",COUNTIF(NOTA[ID_H],NOTA[[#This Row],[ID_H]]))</f>
        <v/>
      </c>
      <c r="AL341" s="38">
        <f ca="1">IF(NOTA[[#This Row],[TGL.NOTA]]="",IF(NOTA[[#This Row],[SUPPLIER_H]]="","",AL340),MONTH(NOTA[[#This Row],[TGL.NOTA]]))</f>
        <v>9</v>
      </c>
      <c r="AM341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O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38" t="str">
        <f>IF(NOTA[[#This Row],[CONCAT4]]="","",_xlfn.IFNA(MATCH(NOTA[[#This Row],[CONCAT4]],[2]!RAW[CONCAT_H],0),FALSE))</f>
        <v/>
      </c>
      <c r="AR341" s="38">
        <f>IF(NOTA[[#This Row],[CONCAT1]]="","",MATCH(NOTA[[#This Row],[CONCAT1]],[3]!db[NB NOTA_C],0))</f>
        <v>101</v>
      </c>
      <c r="AS341" s="38" t="str">
        <f>IF(NOTA[[#This Row],[QTY/ CTN]]="","",TRUE)</f>
        <v/>
      </c>
      <c r="AT341" s="38" t="str">
        <f ca="1">IF(NOTA[[#This Row],[ID_H]]="","",IF(NOTA[[#This Row],[Column3]]=TRUE,NOTA[[#This Row],[QTY/ CTN]],INDEX([3]!db[QTY/ CTN],NOTA[[#This Row],[//DB]])))</f>
        <v>144 LSN</v>
      </c>
      <c r="AU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341" s="38" t="e">
        <f ca="1">IF(NOTA[[#This Row],[ID_H]]="","",MATCH(NOTA[[#This Row],[NB NOTA_C_QTY]],[4]!db[NB NOTA_C_QTY+F],0))</f>
        <v>#REF!</v>
      </c>
      <c r="AW341" s="53">
        <f ca="1">IF(NOTA[[#This Row],[NB NOTA_C_QTY]]="","",ROW()-2)</f>
        <v>339</v>
      </c>
    </row>
    <row r="342" spans="1:49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/>
      <c r="L342" s="37" t="s">
        <v>463</v>
      </c>
      <c r="M342" s="40">
        <v>3</v>
      </c>
      <c r="N342" s="38">
        <v>360</v>
      </c>
      <c r="O342" s="37" t="s">
        <v>126</v>
      </c>
      <c r="P342" s="41">
        <v>18700</v>
      </c>
      <c r="Q342" s="42"/>
      <c r="R342" s="48"/>
      <c r="S342" s="49">
        <v>0.125</v>
      </c>
      <c r="T342" s="44">
        <v>0.05</v>
      </c>
      <c r="U342" s="44"/>
      <c r="V342" s="50">
        <v>270864</v>
      </c>
      <c r="W342" s="45"/>
      <c r="X342" s="50">
        <f>IF(NOTA[[#This Row],[HARGA/ CTN]]="",NOTA[[#This Row],[JUMLAH_H]],NOTA[[#This Row],[HARGA/ CTN]]*IF(NOTA[[#This Row],[C]]="",0,NOTA[[#This Row],[C]]))</f>
        <v>6732000</v>
      </c>
      <c r="Y342" s="50">
        <f>IF(NOTA[[#This Row],[JUMLAH]]="","",NOTA[[#This Row],[JUMLAH]]*NOTA[[#This Row],[DISC 1]])</f>
        <v>841500</v>
      </c>
      <c r="Z342" s="50">
        <f>IF(NOTA[[#This Row],[JUMLAH]]="","",(NOTA[[#This Row],[JUMLAH]]-NOTA[[#This Row],[DISC 1-]])*NOTA[[#This Row],[DISC 2]])</f>
        <v>294525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1136025</v>
      </c>
      <c r="AC342" s="50">
        <f>IF(NOTA[[#This Row],[JUMLAH]]="","",NOTA[[#This Row],[JUMLAH]]-NOTA[[#This Row],[DISC]])</f>
        <v>5595975</v>
      </c>
      <c r="AD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2619225</v>
      </c>
      <c r="AE3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11341575</v>
      </c>
      <c r="AF3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G342" s="50">
        <f>IF(OR(NOTA[[#This Row],[QTY]]="",NOTA[[#This Row],[HARGA SATUAN]]="",),"",NOTA[[#This Row],[QTY]]*NOTA[[#This Row],[HARGA SATUAN]])</f>
        <v>6732000</v>
      </c>
      <c r="AH342" s="39">
        <f ca="1">IF(NOTA[ID_H]="","",INDEX(NOTA[TANGGAL],MATCH(,INDIRECT(ADDRESS(ROW(NOTA[TANGGAL]),COLUMN(NOTA[TANGGAL]))&amp;":"&amp;ADDRESS(ROW(),COLUMN(NOTA[TANGGAL]))),-1)))</f>
        <v>45187</v>
      </c>
      <c r="AI342" s="41" t="str">
        <f ca="1">IF(NOTA[[#This Row],[NAMA BARANG]]="","",INDEX(NOTA[SUPPLIER],MATCH(,INDIRECT(ADDRESS(ROW(NOTA[ID]),COLUMN(NOTA[ID]))&amp;":"&amp;ADDRESS(ROW(),COLUMN(NOTA[ID]))),-1)))</f>
        <v>ATALI MAKMUR</v>
      </c>
      <c r="AJ342" s="41" t="str">
        <f ca="1">IF(NOTA[[#This Row],[ID_H]]="","",IF(NOTA[[#This Row],[FAKTUR]]="",INDIRECT(ADDRESS(ROW()-1,COLUMN())),NOTA[[#This Row],[FAKTUR]]))</f>
        <v>ARTO MORO</v>
      </c>
      <c r="AK342" s="38" t="str">
        <f ca="1">IF(NOTA[[#This Row],[ID]]="","",COUNTIF(NOTA[ID_H],NOTA[[#This Row],[ID_H]]))</f>
        <v/>
      </c>
      <c r="AL342" s="38">
        <f ca="1">IF(NOTA[[#This Row],[TGL.NOTA]]="",IF(NOTA[[#This Row],[SUPPLIER_H]]="","",AL341),MONTH(NOTA[[#This Row],[TGL.NOTA]]))</f>
        <v>9</v>
      </c>
      <c r="AM3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N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O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P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38" t="str">
        <f>IF(NOTA[[#This Row],[CONCAT4]]="","",_xlfn.IFNA(MATCH(NOTA[[#This Row],[CONCAT4]],[2]!RAW[CONCAT_H],0),FALSE))</f>
        <v/>
      </c>
      <c r="AR342" s="38">
        <f>IF(NOTA[[#This Row],[CONCAT1]]="","",MATCH(NOTA[[#This Row],[CONCAT1]],[3]!db[NB NOTA_C],0))</f>
        <v>2477</v>
      </c>
      <c r="AS342" s="38" t="str">
        <f>IF(NOTA[[#This Row],[QTY/ CTN]]="","",TRUE)</f>
        <v/>
      </c>
      <c r="AT342" s="38" t="str">
        <f ca="1">IF(NOTA[[#This Row],[ID_H]]="","",IF(NOTA[[#This Row],[Column3]]=TRUE,NOTA[[#This Row],[QTY/ CTN]],INDEX([3]!db[QTY/ CTN],NOTA[[#This Row],[//DB]])))</f>
        <v>20 BOX (6 PCS)</v>
      </c>
      <c r="AU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V342" s="38" t="e">
        <f ca="1">IF(NOTA[[#This Row],[ID_H]]="","",MATCH(NOTA[[#This Row],[NB NOTA_C_QTY]],[4]!db[NB NOTA_C_QTY+F],0))</f>
        <v>#REF!</v>
      </c>
      <c r="AW342" s="53">
        <f ca="1">IF(NOTA[[#This Row],[NB NOTA_C_QTY]]="","",ROW()-2)</f>
        <v>340</v>
      </c>
    </row>
    <row r="343" spans="1:49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43" s="50" t="str">
        <f>IF(OR(NOTA[[#This Row],[QTY]]="",NOTA[[#This Row],[HARGA SATUAN]]="",),"",NOTA[[#This Row],[QTY]]*NOTA[[#This Row],[HARGA SATUAN]])</f>
        <v/>
      </c>
      <c r="AH343" s="39" t="str">
        <f ca="1">IF(NOTA[ID_H]="","",INDEX(NOTA[TANGGAL],MATCH(,INDIRECT(ADDRESS(ROW(NOTA[TANGGAL]),COLUMN(NOTA[TANGGAL]))&amp;":"&amp;ADDRESS(ROW(),COLUMN(NOTA[TANGGAL]))),-1)))</f>
        <v/>
      </c>
      <c r="AI343" s="41" t="str">
        <f ca="1">IF(NOTA[[#This Row],[NAMA BARANG]]="","",INDEX(NOTA[SUPPLIER],MATCH(,INDIRECT(ADDRESS(ROW(NOTA[ID]),COLUMN(NOTA[ID]))&amp;":"&amp;ADDRESS(ROW(),COLUMN(NOTA[ID]))),-1)))</f>
        <v/>
      </c>
      <c r="AJ343" s="41" t="str">
        <f ca="1">IF(NOTA[[#This Row],[ID_H]]="","",IF(NOTA[[#This Row],[FAKTUR]]="",INDIRECT(ADDRESS(ROW()-1,COLUMN())),NOTA[[#This Row],[FAKTUR]]))</f>
        <v/>
      </c>
      <c r="AK343" s="38" t="str">
        <f ca="1">IF(NOTA[[#This Row],[ID]]="","",COUNTIF(NOTA[ID_H],NOTA[[#This Row],[ID_H]]))</f>
        <v/>
      </c>
      <c r="AL343" s="38" t="str">
        <f ca="1">IF(NOTA[[#This Row],[TGL.NOTA]]="",IF(NOTA[[#This Row],[SUPPLIER_H]]="","",AL342),MONTH(NOTA[[#This Row],[TGL.NOTA]]))</f>
        <v/>
      </c>
      <c r="AM343" s="38" t="str">
        <f>LOWER(SUBSTITUTE(SUBSTITUTE(SUBSTITUTE(SUBSTITUTE(SUBSTITUTE(SUBSTITUTE(SUBSTITUTE(SUBSTITUTE(SUBSTITUTE(NOTA[NAMA BARANG]," ",),".",""),"-",""),"(",""),")",""),",",""),"/",""),"""",""),"+",""))</f>
        <v/>
      </c>
      <c r="AN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38" t="str">
        <f>IF(NOTA[[#This Row],[CONCAT4]]="","",_xlfn.IFNA(MATCH(NOTA[[#This Row],[CONCAT4]],[2]!RAW[CONCAT_H],0),FALSE))</f>
        <v/>
      </c>
      <c r="AR343" s="38" t="str">
        <f>IF(NOTA[[#This Row],[CONCAT1]]="","",MATCH(NOTA[[#This Row],[CONCAT1]],[3]!db[NB NOTA_C],0))</f>
        <v/>
      </c>
      <c r="AS343" s="38" t="str">
        <f>IF(NOTA[[#This Row],[QTY/ CTN]]="","",TRUE)</f>
        <v/>
      </c>
      <c r="AT343" s="38" t="str">
        <f ca="1">IF(NOTA[[#This Row],[ID_H]]="","",IF(NOTA[[#This Row],[Column3]]=TRUE,NOTA[[#This Row],[QTY/ CTN]],INDEX([3]!db[QTY/ CTN],NOTA[[#This Row],[//DB]])))</f>
        <v/>
      </c>
      <c r="AU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43" s="38" t="str">
        <f ca="1">IF(NOTA[[#This Row],[ID_H]]="","",MATCH(NOTA[[#This Row],[NB NOTA_C_QTY]],[4]!db[NB NOTA_C_QTY+F],0))</f>
        <v/>
      </c>
      <c r="AW343" s="53" t="str">
        <f ca="1">IF(NOTA[[#This Row],[NB NOTA_C_QTY]]="","",ROW()-2)</f>
        <v/>
      </c>
    </row>
    <row r="344" spans="1:49" s="38" customFormat="1" ht="20.100000000000001" customHeight="1" x14ac:dyDescent="0.25">
      <c r="A344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ATA_1809_446-2</v>
      </c>
      <c r="C344" s="38" t="e">
        <f ca="1">IF(NOTA[[#This Row],[ID_P]]="","",MATCH(NOTA[[#This Row],[ID_P]],[1]!B_MSK[N_ID],0))</f>
        <v>#REF!</v>
      </c>
      <c r="D344" s="38">
        <f ca="1">IF(NOTA[[#This Row],[NAMA BARANG]]="","",INDEX(NOTA[ID],MATCH(,INDIRECT(ADDRESS(ROW(NOTA[ID]),COLUMN(NOTA[ID]))&amp;":"&amp;ADDRESS(ROW(),COLUMN(NOTA[ID]))),-1)))</f>
        <v>56</v>
      </c>
      <c r="E344" s="46">
        <v>45187</v>
      </c>
      <c r="F344" s="37" t="s">
        <v>24</v>
      </c>
      <c r="G344" s="37" t="s">
        <v>23</v>
      </c>
      <c r="H344" s="47" t="s">
        <v>465</v>
      </c>
      <c r="I344" s="37"/>
      <c r="J344" s="39">
        <v>45184</v>
      </c>
      <c r="K344" s="37"/>
      <c r="L344" s="37" t="s">
        <v>466</v>
      </c>
      <c r="M344" s="40">
        <v>3</v>
      </c>
      <c r="N344" s="38">
        <v>2160</v>
      </c>
      <c r="O344" s="37" t="s">
        <v>126</v>
      </c>
      <c r="P344" s="41">
        <v>4800</v>
      </c>
      <c r="Q344" s="42"/>
      <c r="R344" s="48"/>
      <c r="S344" s="49">
        <v>0.125</v>
      </c>
      <c r="T344" s="44">
        <v>0.05</v>
      </c>
      <c r="U344" s="44"/>
      <c r="V344" s="50"/>
      <c r="W344" s="45"/>
      <c r="X344" s="50">
        <f>IF(NOTA[[#This Row],[HARGA/ CTN]]="",NOTA[[#This Row],[JUMLAH_H]],NOTA[[#This Row],[HARGA/ CTN]]*IF(NOTA[[#This Row],[C]]="",0,NOTA[[#This Row],[C]]))</f>
        <v>10368000</v>
      </c>
      <c r="Y344" s="50">
        <f>IF(NOTA[[#This Row],[JUMLAH]]="","",NOTA[[#This Row],[JUMLAH]]*NOTA[[#This Row],[DISC 1]])</f>
        <v>1296000</v>
      </c>
      <c r="Z344" s="50">
        <f>IF(NOTA[[#This Row],[JUMLAH]]="","",(NOTA[[#This Row],[JUMLAH]]-NOTA[[#This Row],[DISC 1-]])*NOTA[[#This Row],[DISC 2]])</f>
        <v>453600</v>
      </c>
      <c r="AA344" s="50">
        <f>IF(NOTA[[#This Row],[JUMLAH]]="","",(NOTA[[#This Row],[JUMLAH]]-NOTA[[#This Row],[DISC 1-]]-NOTA[[#This Row],[DISC 2-]])*NOTA[[#This Row],[DISC 3]])</f>
        <v>0</v>
      </c>
      <c r="AB344" s="50">
        <f>IF(NOTA[[#This Row],[JUMLAH]]="","",NOTA[[#This Row],[DISC 1-]]+NOTA[[#This Row],[DISC 2-]]+NOTA[[#This Row],[DISC 3-]])</f>
        <v>1749600</v>
      </c>
      <c r="AC344" s="50">
        <f>IF(NOTA[[#This Row],[JUMLAH]]="","",NOTA[[#This Row],[JUMLAH]]-NOTA[[#This Row],[DISC]])</f>
        <v>8618400</v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344" s="50">
        <f>IF(OR(NOTA[[#This Row],[QTY]]="",NOTA[[#This Row],[HARGA SATUAN]]="",),"",NOTA[[#This Row],[QTY]]*NOTA[[#This Row],[HARGA SATUAN]])</f>
        <v>10368000</v>
      </c>
      <c r="AH344" s="39">
        <f ca="1">IF(NOTA[ID_H]="","",INDEX(NOTA[TANGGAL],MATCH(,INDIRECT(ADDRESS(ROW(NOTA[TANGGAL]),COLUMN(NOTA[TANGGAL]))&amp;":"&amp;ADDRESS(ROW(),COLUMN(NOTA[TANGGAL]))),-1)))</f>
        <v>45187</v>
      </c>
      <c r="AI344" s="41" t="str">
        <f ca="1">IF(NOTA[[#This Row],[NAMA BARANG]]="","",INDEX(NOTA[SUPPLIER],MATCH(,INDIRECT(ADDRESS(ROW(NOTA[ID]),COLUMN(NOTA[ID]))&amp;":"&amp;ADDRESS(ROW(),COLUMN(NOTA[ID]))),-1)))</f>
        <v>ATALI MAKMUR</v>
      </c>
      <c r="AJ344" s="41" t="str">
        <f ca="1">IF(NOTA[[#This Row],[ID_H]]="","",IF(NOTA[[#This Row],[FAKTUR]]="",INDIRECT(ADDRESS(ROW()-1,COLUMN())),NOTA[[#This Row],[FAKTUR]]))</f>
        <v>ARTO MORO</v>
      </c>
      <c r="AK344" s="38">
        <f ca="1">IF(NOTA[[#This Row],[ID]]="","",COUNTIF(NOTA[ID_H],NOTA[[#This Row],[ID_H]]))</f>
        <v>2</v>
      </c>
      <c r="AL344" s="38">
        <f>IF(NOTA[[#This Row],[TGL.NOTA]]="",IF(NOTA[[#This Row],[SUPPLIER_H]]="","",AL343),MONTH(NOTA[[#This Row],[TGL.NOTA]]))</f>
        <v>9</v>
      </c>
      <c r="AM34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3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MOROSA23091644645184correctiontapect522jk</v>
      </c>
      <c r="AQ344" s="38" t="e">
        <f>IF(NOTA[[#This Row],[CONCAT4]]="","",_xlfn.IFNA(MATCH(NOTA[[#This Row],[CONCAT4]],[2]!RAW[CONCAT_H],0),FALSE))</f>
        <v>#REF!</v>
      </c>
      <c r="AR344" s="38">
        <f>IF(NOTA[[#This Row],[CONCAT1]]="","",MATCH(NOTA[[#This Row],[CONCAT1]],[3]!db[NB NOTA_C],0))</f>
        <v>631</v>
      </c>
      <c r="AS344" s="38" t="str">
        <f>IF(NOTA[[#This Row],[QTY/ CTN]]="","",TRUE)</f>
        <v/>
      </c>
      <c r="AT344" s="38" t="str">
        <f ca="1">IF(NOTA[[#This Row],[ID_H]]="","",IF(NOTA[[#This Row],[Column3]]=TRUE,NOTA[[#This Row],[QTY/ CTN]],INDEX([3]!db[QTY/ CTN],NOTA[[#This Row],[//DB]])))</f>
        <v>60 LSN</v>
      </c>
      <c r="AU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344" s="38" t="e">
        <f ca="1">IF(NOTA[[#This Row],[ID_H]]="","",MATCH(NOTA[[#This Row],[NB NOTA_C_QTY]],[4]!db[NB NOTA_C_QTY+F],0))</f>
        <v>#REF!</v>
      </c>
      <c r="AW344" s="53">
        <f ca="1">IF(NOTA[[#This Row],[NB NOTA_C_QTY]]="","",ROW()-2)</f>
        <v>342</v>
      </c>
    </row>
    <row r="345" spans="1:49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>
        <f ca="1">IF(NOTA[[#This Row],[NAMA BARANG]]="","",INDEX(NOTA[ID],MATCH(,INDIRECT(ADDRESS(ROW(NOTA[ID]),COLUMN(NOTA[ID]))&amp;":"&amp;ADDRESS(ROW(),COLUMN(NOTA[ID]))),-1)))</f>
        <v>56</v>
      </c>
      <c r="E345" s="46"/>
      <c r="F345" s="37"/>
      <c r="G345" s="37"/>
      <c r="H345" s="47"/>
      <c r="I345" s="37"/>
      <c r="J345" s="39"/>
      <c r="K345" s="37"/>
      <c r="L345" s="37" t="s">
        <v>448</v>
      </c>
      <c r="M345" s="40">
        <v>1</v>
      </c>
      <c r="N345" s="38">
        <v>200</v>
      </c>
      <c r="O345" s="37" t="s">
        <v>183</v>
      </c>
      <c r="P345" s="41">
        <v>4400</v>
      </c>
      <c r="Q345" s="42"/>
      <c r="R345" s="48"/>
      <c r="S345" s="49">
        <v>0.125</v>
      </c>
      <c r="T345" s="44">
        <v>0.05</v>
      </c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880000</v>
      </c>
      <c r="Y345" s="50">
        <f>IF(NOTA[[#This Row],[JUMLAH]]="","",NOTA[[#This Row],[JUMLAH]]*NOTA[[#This Row],[DISC 1]])</f>
        <v>110000</v>
      </c>
      <c r="Z345" s="50">
        <f>IF(NOTA[[#This Row],[JUMLAH]]="","",(NOTA[[#This Row],[JUMLAH]]-NOTA[[#This Row],[DISC 1-]])*NOTA[[#This Row],[DISC 2]])</f>
        <v>38500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148500</v>
      </c>
      <c r="AC345" s="50">
        <f>IF(NOTA[[#This Row],[JUMLAH]]="","",NOTA[[#This Row],[JUMLAH]]-NOTA[[#This Row],[DISC]])</f>
        <v>731500</v>
      </c>
      <c r="AD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1898100</v>
      </c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9349900</v>
      </c>
      <c r="AF345" s="41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G345" s="50">
        <f>IF(OR(NOTA[[#This Row],[QTY]]="",NOTA[[#This Row],[HARGA SATUAN]]="",),"",NOTA[[#This Row],[QTY]]*NOTA[[#This Row],[HARGA SATUAN]])</f>
        <v>880000</v>
      </c>
      <c r="AH345" s="39">
        <f ca="1">IF(NOTA[ID_H]="","",INDEX(NOTA[TANGGAL],MATCH(,INDIRECT(ADDRESS(ROW(NOTA[TANGGAL]),COLUMN(NOTA[TANGGAL]))&amp;":"&amp;ADDRESS(ROW(),COLUMN(NOTA[TANGGAL]))),-1)))</f>
        <v>45187</v>
      </c>
      <c r="AI345" s="41" t="str">
        <f ca="1">IF(NOTA[[#This Row],[NAMA BARANG]]="","",INDEX(NOTA[SUPPLIER],MATCH(,INDIRECT(ADDRESS(ROW(NOTA[ID]),COLUMN(NOTA[ID]))&amp;":"&amp;ADDRESS(ROW(),COLUMN(NOTA[ID]))),-1)))</f>
        <v>ATALI MAKMUR</v>
      </c>
      <c r="AJ345" s="41" t="str">
        <f ca="1">IF(NOTA[[#This Row],[ID_H]]="","",IF(NOTA[[#This Row],[FAKTUR]]="",INDIRECT(ADDRESS(ROW()-1,COLUMN())),NOTA[[#This Row],[FAKTUR]]))</f>
        <v>ARTO MORO</v>
      </c>
      <c r="AK345" s="38" t="str">
        <f ca="1">IF(NOTA[[#This Row],[ID]]="","",COUNTIF(NOTA[ID_H],NOTA[[#This Row],[ID_H]]))</f>
        <v/>
      </c>
      <c r="AL345" s="38">
        <f ca="1">IF(NOTA[[#This Row],[TGL.NOTA]]="",IF(NOTA[[#This Row],[SUPPLIER_H]]="","",AL344),MONTH(NOTA[[#This Row],[TGL.NOTA]]))</f>
        <v>9</v>
      </c>
      <c r="AM345" s="3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N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O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P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38" t="str">
        <f>IF(NOTA[[#This Row],[CONCAT4]]="","",_xlfn.IFNA(MATCH(NOTA[[#This Row],[CONCAT4]],[2]!RAW[CONCAT_H],0),FALSE))</f>
        <v/>
      </c>
      <c r="AR345" s="38">
        <f>IF(NOTA[[#This Row],[CONCAT1]]="","",MATCH(NOTA[[#This Row],[CONCAT1]],[3]!db[NB NOTA_C],0))</f>
        <v>1996</v>
      </c>
      <c r="AS345" s="38" t="str">
        <f>IF(NOTA[[#This Row],[QTY/ CTN]]="","",TRUE)</f>
        <v/>
      </c>
      <c r="AT345" s="38" t="str">
        <f ca="1">IF(NOTA[[#This Row],[ID_H]]="","",IF(NOTA[[#This Row],[Column3]]=TRUE,NOTA[[#This Row],[QTY/ CTN]],INDEX([3]!db[QTY/ CTN],NOTA[[#This Row],[//DB]])))</f>
        <v>200 BOX</v>
      </c>
      <c r="AU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V345" s="38" t="e">
        <f ca="1">IF(NOTA[[#This Row],[ID_H]]="","",MATCH(NOTA[[#This Row],[NB NOTA_C_QTY]],[4]!db[NB NOTA_C_QTY+F],0))</f>
        <v>#REF!</v>
      </c>
      <c r="AW345" s="53">
        <f ca="1">IF(NOTA[[#This Row],[NB NOTA_C_QTY]]="","",ROW()-2)</f>
        <v>343</v>
      </c>
    </row>
    <row r="346" spans="1:49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46" s="50" t="str">
        <f>IF(OR(NOTA[[#This Row],[QTY]]="",NOTA[[#This Row],[HARGA SATUAN]]="",),"",NOTA[[#This Row],[QTY]]*NOTA[[#This Row],[HARGA SATUAN]])</f>
        <v/>
      </c>
      <c r="AH346" s="39" t="str">
        <f ca="1">IF(NOTA[ID_H]="","",INDEX(NOTA[TANGGAL],MATCH(,INDIRECT(ADDRESS(ROW(NOTA[TANGGAL]),COLUMN(NOTA[TANGGAL]))&amp;":"&amp;ADDRESS(ROW(),COLUMN(NOTA[TANGGAL]))),-1)))</f>
        <v/>
      </c>
      <c r="AI346" s="41" t="str">
        <f ca="1">IF(NOTA[[#This Row],[NAMA BARANG]]="","",INDEX(NOTA[SUPPLIER],MATCH(,INDIRECT(ADDRESS(ROW(NOTA[ID]),COLUMN(NOTA[ID]))&amp;":"&amp;ADDRESS(ROW(),COLUMN(NOTA[ID]))),-1)))</f>
        <v/>
      </c>
      <c r="AJ346" s="41" t="str">
        <f ca="1">IF(NOTA[[#This Row],[ID_H]]="","",IF(NOTA[[#This Row],[FAKTUR]]="",INDIRECT(ADDRESS(ROW()-1,COLUMN())),NOTA[[#This Row],[FAKTUR]]))</f>
        <v/>
      </c>
      <c r="AK346" s="38" t="str">
        <f ca="1">IF(NOTA[[#This Row],[ID]]="","",COUNTIF(NOTA[ID_H],NOTA[[#This Row],[ID_H]]))</f>
        <v/>
      </c>
      <c r="AL346" s="38" t="str">
        <f ca="1">IF(NOTA[[#This Row],[TGL.NOTA]]="",IF(NOTA[[#This Row],[SUPPLIER_H]]="","",AL345),MONTH(NOTA[[#This Row],[TGL.NOTA]]))</f>
        <v/>
      </c>
      <c r="AM346" s="38" t="str">
        <f>LOWER(SUBSTITUTE(SUBSTITUTE(SUBSTITUTE(SUBSTITUTE(SUBSTITUTE(SUBSTITUTE(SUBSTITUTE(SUBSTITUTE(SUBSTITUTE(NOTA[NAMA BARANG]," ",),".",""),"-",""),"(",""),")",""),",",""),"/",""),"""",""),"+",""))</f>
        <v/>
      </c>
      <c r="AN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38" t="str">
        <f>IF(NOTA[[#This Row],[CONCAT4]]="","",_xlfn.IFNA(MATCH(NOTA[[#This Row],[CONCAT4]],[2]!RAW[CONCAT_H],0),FALSE))</f>
        <v/>
      </c>
      <c r="AR346" s="38" t="str">
        <f>IF(NOTA[[#This Row],[CONCAT1]]="","",MATCH(NOTA[[#This Row],[CONCAT1]],[3]!db[NB NOTA_C],0))</f>
        <v/>
      </c>
      <c r="AS346" s="38" t="str">
        <f>IF(NOTA[[#This Row],[QTY/ CTN]]="","",TRUE)</f>
        <v/>
      </c>
      <c r="AT346" s="38" t="str">
        <f ca="1">IF(NOTA[[#This Row],[ID_H]]="","",IF(NOTA[[#This Row],[Column3]]=TRUE,NOTA[[#This Row],[QTY/ CTN]],INDEX([3]!db[QTY/ CTN],NOTA[[#This Row],[//DB]])))</f>
        <v/>
      </c>
      <c r="AU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46" s="38" t="str">
        <f ca="1">IF(NOTA[[#This Row],[ID_H]]="","",MATCH(NOTA[[#This Row],[NB NOTA_C_QTY]],[4]!db[NB NOTA_C_QTY+F],0))</f>
        <v/>
      </c>
      <c r="AW346" s="53" t="str">
        <f ca="1">IF(NOTA[[#This Row],[NB NOTA_C_QTY]]="","",ROW()-2)</f>
        <v/>
      </c>
    </row>
    <row r="347" spans="1:49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ATA_1809_500-11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57</v>
      </c>
      <c r="E347" s="46">
        <v>45187</v>
      </c>
      <c r="F347" s="37" t="s">
        <v>24</v>
      </c>
      <c r="G347" s="37" t="s">
        <v>23</v>
      </c>
      <c r="H347" s="47" t="s">
        <v>467</v>
      </c>
      <c r="I347" s="37"/>
      <c r="J347" s="39">
        <v>45184</v>
      </c>
      <c r="K347" s="37"/>
      <c r="L347" s="37" t="s">
        <v>468</v>
      </c>
      <c r="M347" s="40">
        <v>1</v>
      </c>
      <c r="N347" s="38">
        <v>50</v>
      </c>
      <c r="O347" s="37" t="s">
        <v>183</v>
      </c>
      <c r="P347" s="41">
        <v>34100</v>
      </c>
      <c r="Q347" s="42"/>
      <c r="R347" s="48"/>
      <c r="S347" s="49">
        <v>0.125</v>
      </c>
      <c r="T347" s="44">
        <v>0.05</v>
      </c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1705000</v>
      </c>
      <c r="Y347" s="50">
        <f>IF(NOTA[[#This Row],[JUMLAH]]="","",NOTA[[#This Row],[JUMLAH]]*NOTA[[#This Row],[DISC 1]])</f>
        <v>213125</v>
      </c>
      <c r="Z347" s="50">
        <f>IF(NOTA[[#This Row],[JUMLAH]]="","",(NOTA[[#This Row],[JUMLAH]]-NOTA[[#This Row],[DISC 1-]])*NOTA[[#This Row],[DISC 2]])</f>
        <v>74593.75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287718.75</v>
      </c>
      <c r="AC347" s="50">
        <f>IF(NOTA[[#This Row],[JUMLAH]]="","",NOTA[[#This Row],[JUMLAH]]-NOTA[[#This Row],[DISC]])</f>
        <v>1417281.25</v>
      </c>
      <c r="AD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347" s="50">
        <f>IF(OR(NOTA[[#This Row],[QTY]]="",NOTA[[#This Row],[HARGA SATUAN]]="",),"",NOTA[[#This Row],[QTY]]*NOTA[[#This Row],[HARGA SATUAN]])</f>
        <v>1705000</v>
      </c>
      <c r="AH347" s="39">
        <f ca="1">IF(NOTA[ID_H]="","",INDEX(NOTA[TANGGAL],MATCH(,INDIRECT(ADDRESS(ROW(NOTA[TANGGAL]),COLUMN(NOTA[TANGGAL]))&amp;":"&amp;ADDRESS(ROW(),COLUMN(NOTA[TANGGAL]))),-1)))</f>
        <v>45187</v>
      </c>
      <c r="AI347" s="41" t="str">
        <f ca="1">IF(NOTA[[#This Row],[NAMA BARANG]]="","",INDEX(NOTA[SUPPLIER],MATCH(,INDIRECT(ADDRESS(ROW(NOTA[ID]),COLUMN(NOTA[ID]))&amp;":"&amp;ADDRESS(ROW(),COLUMN(NOTA[ID]))),-1)))</f>
        <v>ATALI MAKMUR</v>
      </c>
      <c r="AJ347" s="41" t="str">
        <f ca="1">IF(NOTA[[#This Row],[ID_H]]="","",IF(NOTA[[#This Row],[FAKTUR]]="",INDIRECT(ADDRESS(ROW()-1,COLUMN())),NOTA[[#This Row],[FAKTUR]]))</f>
        <v>ARTO MORO</v>
      </c>
      <c r="AK347" s="38">
        <f ca="1">IF(NOTA[[#This Row],[ID]]="","",COUNTIF(NOTA[ID_H],NOTA[[#This Row],[ID_H]]))</f>
        <v>11</v>
      </c>
      <c r="AL347" s="38">
        <f>IF(NOTA[[#This Row],[TGL.NOTA]]="",IF(NOTA[[#This Row],[SUPPLIER_H]]="","",AL346),MONTH(NOTA[[#This Row],[TGL.NOTA]]))</f>
        <v>9</v>
      </c>
      <c r="AM347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N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4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MOROSA23091650045184eraser526b20jk</v>
      </c>
      <c r="AQ347" s="38" t="e">
        <f>IF(NOTA[[#This Row],[CONCAT4]]="","",_xlfn.IFNA(MATCH(NOTA[[#This Row],[CONCAT4]],[2]!RAW[CONCAT_H],0),FALSE))</f>
        <v>#REF!</v>
      </c>
      <c r="AR347" s="38">
        <f>IF(NOTA[[#This Row],[CONCAT1]]="","",MATCH(NOTA[[#This Row],[CONCAT1]],[3]!db[NB NOTA_C],0))</f>
        <v>831</v>
      </c>
      <c r="AS347" s="38" t="str">
        <f>IF(NOTA[[#This Row],[QTY/ CTN]]="","",TRUE)</f>
        <v/>
      </c>
      <c r="AT347" s="38" t="str">
        <f ca="1">IF(NOTA[[#This Row],[ID_H]]="","",IF(NOTA[[#This Row],[Column3]]=TRUE,NOTA[[#This Row],[QTY/ CTN]],INDEX([3]!db[QTY/ CTN],NOTA[[#This Row],[//DB]])))</f>
        <v>50 BOX (20 PCS)</v>
      </c>
      <c r="AU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V347" s="38" t="e">
        <f ca="1">IF(NOTA[[#This Row],[ID_H]]="","",MATCH(NOTA[[#This Row],[NB NOTA_C_QTY]],[4]!db[NB NOTA_C_QTY+F],0))</f>
        <v>#REF!</v>
      </c>
      <c r="AW347" s="53">
        <f ca="1">IF(NOTA[[#This Row],[NB NOTA_C_QTY]]="","",ROW()-2)</f>
        <v>345</v>
      </c>
    </row>
    <row r="348" spans="1:49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57</v>
      </c>
      <c r="E348" s="46"/>
      <c r="F348" s="37"/>
      <c r="G348" s="37"/>
      <c r="H348" s="47"/>
      <c r="I348" s="37"/>
      <c r="J348" s="39"/>
      <c r="K348" s="37"/>
      <c r="L348" s="37" t="s">
        <v>390</v>
      </c>
      <c r="M348" s="40">
        <v>1</v>
      </c>
      <c r="N348" s="38">
        <v>144</v>
      </c>
      <c r="O348" s="37" t="s">
        <v>126</v>
      </c>
      <c r="P348" s="41">
        <v>4350</v>
      </c>
      <c r="Q348" s="42"/>
      <c r="R348" s="48"/>
      <c r="S348" s="49">
        <v>0.125</v>
      </c>
      <c r="T348" s="44">
        <v>0.05</v>
      </c>
      <c r="U348" s="44"/>
      <c r="V348" s="50"/>
      <c r="W348" s="45"/>
      <c r="X348" s="50">
        <f>IF(NOTA[[#This Row],[HARGA/ CTN]]="",NOTA[[#This Row],[JUMLAH_H]],NOTA[[#This Row],[HARGA/ CTN]]*IF(NOTA[[#This Row],[C]]="",0,NOTA[[#This Row],[C]]))</f>
        <v>626400</v>
      </c>
      <c r="Y348" s="50">
        <f>IF(NOTA[[#This Row],[JUMLAH]]="","",NOTA[[#This Row],[JUMLAH]]*NOTA[[#This Row],[DISC 1]])</f>
        <v>78300</v>
      </c>
      <c r="Z348" s="50">
        <f>IF(NOTA[[#This Row],[JUMLAH]]="","",(NOTA[[#This Row],[JUMLAH]]-NOTA[[#This Row],[DISC 1-]])*NOTA[[#This Row],[DISC 2]])</f>
        <v>27405</v>
      </c>
      <c r="AA348" s="50">
        <f>IF(NOTA[[#This Row],[JUMLAH]]="","",(NOTA[[#This Row],[JUMLAH]]-NOTA[[#This Row],[DISC 1-]]-NOTA[[#This Row],[DISC 2-]])*NOTA[[#This Row],[DISC 3]])</f>
        <v>0</v>
      </c>
      <c r="AB348" s="50">
        <f>IF(NOTA[[#This Row],[JUMLAH]]="","",NOTA[[#This Row],[DISC 1-]]+NOTA[[#This Row],[DISC 2-]]+NOTA[[#This Row],[DISC 3-]])</f>
        <v>105705</v>
      </c>
      <c r="AC348" s="50">
        <f>IF(NOTA[[#This Row],[JUMLAH]]="","",NOTA[[#This Row],[JUMLAH]]-NOTA[[#This Row],[DISC]])</f>
        <v>520695</v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G348" s="50">
        <f>IF(OR(NOTA[[#This Row],[QTY]]="",NOTA[[#This Row],[HARGA SATUAN]]="",),"",NOTA[[#This Row],[QTY]]*NOTA[[#This Row],[HARGA SATUAN]])</f>
        <v>626400</v>
      </c>
      <c r="AH348" s="39">
        <f ca="1">IF(NOTA[ID_H]="","",INDEX(NOTA[TANGGAL],MATCH(,INDIRECT(ADDRESS(ROW(NOTA[TANGGAL]),COLUMN(NOTA[TANGGAL]))&amp;":"&amp;ADDRESS(ROW(),COLUMN(NOTA[TANGGAL]))),-1)))</f>
        <v>45187</v>
      </c>
      <c r="AI348" s="41" t="str">
        <f ca="1">IF(NOTA[[#This Row],[NAMA BARANG]]="","",INDEX(NOTA[SUPPLIER],MATCH(,INDIRECT(ADDRESS(ROW(NOTA[ID]),COLUMN(NOTA[ID]))&amp;":"&amp;ADDRESS(ROW(),COLUMN(NOTA[ID]))),-1)))</f>
        <v>ATALI MAKMUR</v>
      </c>
      <c r="AJ348" s="41" t="str">
        <f ca="1">IF(NOTA[[#This Row],[ID_H]]="","",IF(NOTA[[#This Row],[FAKTUR]]="",INDIRECT(ADDRESS(ROW()-1,COLUMN())),NOTA[[#This Row],[FAKTUR]]))</f>
        <v>ARTO MORO</v>
      </c>
      <c r="AK348" s="38" t="str">
        <f ca="1">IF(NOTA[[#This Row],[ID]]="","",COUNTIF(NOTA[ID_H],NOTA[[#This Row],[ID_H]]))</f>
        <v/>
      </c>
      <c r="AL348" s="38">
        <f ca="1">IF(NOTA[[#This Row],[TGL.NOTA]]="",IF(NOTA[[#This Row],[SUPPLIER_H]]="","",AL347),MONTH(NOTA[[#This Row],[TGL.NOTA]]))</f>
        <v>9</v>
      </c>
      <c r="AM34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38" t="str">
        <f>IF(NOTA[[#This Row],[CONCAT4]]="","",_xlfn.IFNA(MATCH(NOTA[[#This Row],[CONCAT4]],[2]!RAW[CONCAT_H],0),FALSE))</f>
        <v/>
      </c>
      <c r="AR348" s="38">
        <f>IF(NOTA[[#This Row],[CONCAT1]]="","",MATCH(NOTA[[#This Row],[CONCAT1]],[3]!db[NB NOTA_C],0))</f>
        <v>2394</v>
      </c>
      <c r="AS348" s="38" t="str">
        <f>IF(NOTA[[#This Row],[QTY/ CTN]]="","",TRUE)</f>
        <v/>
      </c>
      <c r="AT348" s="38" t="str">
        <f ca="1">IF(NOTA[[#This Row],[ID_H]]="","",IF(NOTA[[#This Row],[Column3]]=TRUE,NOTA[[#This Row],[QTY/ CTN]],INDEX([3]!db[QTY/ CTN],NOTA[[#This Row],[//DB]])))</f>
        <v>12 LSN</v>
      </c>
      <c r="AU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348" s="38" t="e">
        <f ca="1">IF(NOTA[[#This Row],[ID_H]]="","",MATCH(NOTA[[#This Row],[NB NOTA_C_QTY]],[4]!db[NB NOTA_C_QTY+F],0))</f>
        <v>#REF!</v>
      </c>
      <c r="AW348" s="53">
        <f ca="1">IF(NOTA[[#This Row],[NB NOTA_C_QTY]]="","",ROW()-2)</f>
        <v>346</v>
      </c>
    </row>
    <row r="349" spans="1:49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57</v>
      </c>
      <c r="E349" s="46"/>
      <c r="F349" s="37"/>
      <c r="G349" s="37"/>
      <c r="H349" s="47"/>
      <c r="I349" s="37"/>
      <c r="J349" s="39"/>
      <c r="K349" s="37"/>
      <c r="L349" s="37" t="s">
        <v>469</v>
      </c>
      <c r="M349" s="40">
        <v>1</v>
      </c>
      <c r="N349" s="38">
        <v>144</v>
      </c>
      <c r="O349" s="37" t="s">
        <v>126</v>
      </c>
      <c r="P349" s="41">
        <v>6500</v>
      </c>
      <c r="Q349" s="42"/>
      <c r="R349" s="48"/>
      <c r="S349" s="49">
        <v>0.125</v>
      </c>
      <c r="T349" s="44">
        <v>0.05</v>
      </c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936000</v>
      </c>
      <c r="Y349" s="50">
        <f>IF(NOTA[[#This Row],[JUMLAH]]="","",NOTA[[#This Row],[JUMLAH]]*NOTA[[#This Row],[DISC 1]])</f>
        <v>117000</v>
      </c>
      <c r="Z349" s="50">
        <f>IF(NOTA[[#This Row],[JUMLAH]]="","",(NOTA[[#This Row],[JUMLAH]]-NOTA[[#This Row],[DISC 1-]])*NOTA[[#This Row],[DISC 2]])</f>
        <v>40950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157950</v>
      </c>
      <c r="AC349" s="50">
        <f>IF(NOTA[[#This Row],[JUMLAH]]="","",NOTA[[#This Row],[JUMLAH]]-NOTA[[#This Row],[DISC]])</f>
        <v>778050</v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49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G349" s="50">
        <f>IF(OR(NOTA[[#This Row],[QTY]]="",NOTA[[#This Row],[HARGA SATUAN]]="",),"",NOTA[[#This Row],[QTY]]*NOTA[[#This Row],[HARGA SATUAN]])</f>
        <v>936000</v>
      </c>
      <c r="AH349" s="39">
        <f ca="1">IF(NOTA[ID_H]="","",INDEX(NOTA[TANGGAL],MATCH(,INDIRECT(ADDRESS(ROW(NOTA[TANGGAL]),COLUMN(NOTA[TANGGAL]))&amp;":"&amp;ADDRESS(ROW(),COLUMN(NOTA[TANGGAL]))),-1)))</f>
        <v>45187</v>
      </c>
      <c r="AI349" s="41" t="str">
        <f ca="1">IF(NOTA[[#This Row],[NAMA BARANG]]="","",INDEX(NOTA[SUPPLIER],MATCH(,INDIRECT(ADDRESS(ROW(NOTA[ID]),COLUMN(NOTA[ID]))&amp;":"&amp;ADDRESS(ROW(),COLUMN(NOTA[ID]))),-1)))</f>
        <v>ATALI MAKMUR</v>
      </c>
      <c r="AJ349" s="41" t="str">
        <f ca="1">IF(NOTA[[#This Row],[ID_H]]="","",IF(NOTA[[#This Row],[FAKTUR]]="",INDIRECT(ADDRESS(ROW()-1,COLUMN())),NOTA[[#This Row],[FAKTUR]]))</f>
        <v>ARTO MORO</v>
      </c>
      <c r="AK349" s="38" t="str">
        <f ca="1">IF(NOTA[[#This Row],[ID]]="","",COUNTIF(NOTA[ID_H],NOTA[[#This Row],[ID_H]]))</f>
        <v/>
      </c>
      <c r="AL349" s="38">
        <f ca="1">IF(NOTA[[#This Row],[TGL.NOTA]]="",IF(NOTA[[#This Row],[SUPPLIER_H]]="","",AL348),MONTH(NOTA[[#This Row],[TGL.NOTA]]))</f>
        <v>9</v>
      </c>
      <c r="AM349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N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9" s="38" t="str">
        <f>IF(NOTA[[#This Row],[CONCAT4]]="","",_xlfn.IFNA(MATCH(NOTA[[#This Row],[CONCAT4]],[2]!RAW[CONCAT_H],0),FALSE))</f>
        <v/>
      </c>
      <c r="AR349" s="38">
        <f>IF(NOTA[[#This Row],[CONCAT1]]="","",MATCH(NOTA[[#This Row],[CONCAT1]],[3]!db[NB NOTA_C],0))</f>
        <v>2395</v>
      </c>
      <c r="AS349" s="38" t="str">
        <f>IF(NOTA[[#This Row],[QTY/ CTN]]="","",TRUE)</f>
        <v/>
      </c>
      <c r="AT349" s="38" t="str">
        <f ca="1">IF(NOTA[[#This Row],[ID_H]]="","",IF(NOTA[[#This Row],[Column3]]=TRUE,NOTA[[#This Row],[QTY/ CTN]],INDEX([3]!db[QTY/ CTN],NOTA[[#This Row],[//DB]])))</f>
        <v>12 LSN</v>
      </c>
      <c r="AU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V349" s="38" t="e">
        <f ca="1">IF(NOTA[[#This Row],[ID_H]]="","",MATCH(NOTA[[#This Row],[NB NOTA_C_QTY]],[4]!db[NB NOTA_C_QTY+F],0))</f>
        <v>#REF!</v>
      </c>
      <c r="AW349" s="53">
        <f ca="1">IF(NOTA[[#This Row],[NB NOTA_C_QTY]]="","",ROW()-2)</f>
        <v>347</v>
      </c>
    </row>
    <row r="350" spans="1:49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57</v>
      </c>
      <c r="E350" s="46"/>
      <c r="F350" s="37"/>
      <c r="G350" s="37"/>
      <c r="H350" s="47"/>
      <c r="I350" s="37"/>
      <c r="J350" s="39"/>
      <c r="K350" s="37"/>
      <c r="L350" s="37" t="s">
        <v>470</v>
      </c>
      <c r="M350" s="40">
        <v>1</v>
      </c>
      <c r="N350" s="38">
        <v>24</v>
      </c>
      <c r="O350" s="37" t="s">
        <v>138</v>
      </c>
      <c r="P350" s="41">
        <v>162000</v>
      </c>
      <c r="Q350" s="42"/>
      <c r="R350" s="48"/>
      <c r="S350" s="49">
        <v>0.125</v>
      </c>
      <c r="T350" s="44">
        <v>0.05</v>
      </c>
      <c r="U350" s="44"/>
      <c r="V350" s="50"/>
      <c r="W350" s="45"/>
      <c r="X350" s="50">
        <f>IF(NOTA[[#This Row],[HARGA/ CTN]]="",NOTA[[#This Row],[JUMLAH_H]],NOTA[[#This Row],[HARGA/ CTN]]*IF(NOTA[[#This Row],[C]]="",0,NOTA[[#This Row],[C]]))</f>
        <v>3888000</v>
      </c>
      <c r="Y350" s="50">
        <f>IF(NOTA[[#This Row],[JUMLAH]]="","",NOTA[[#This Row],[JUMLAH]]*NOTA[[#This Row],[DISC 1]])</f>
        <v>486000</v>
      </c>
      <c r="Z350" s="50">
        <f>IF(NOTA[[#This Row],[JUMLAH]]="","",(NOTA[[#This Row],[JUMLAH]]-NOTA[[#This Row],[DISC 1-]])*NOTA[[#This Row],[DISC 2]])</f>
        <v>170100</v>
      </c>
      <c r="AA350" s="50">
        <f>IF(NOTA[[#This Row],[JUMLAH]]="","",(NOTA[[#This Row],[JUMLAH]]-NOTA[[#This Row],[DISC 1-]]-NOTA[[#This Row],[DISC 2-]])*NOTA[[#This Row],[DISC 3]])</f>
        <v>0</v>
      </c>
      <c r="AB350" s="50">
        <f>IF(NOTA[[#This Row],[JUMLAH]]="","",NOTA[[#This Row],[DISC 1-]]+NOTA[[#This Row],[DISC 2-]]+NOTA[[#This Row],[DISC 3-]])</f>
        <v>656100</v>
      </c>
      <c r="AC350" s="50">
        <f>IF(NOTA[[#This Row],[JUMLAH]]="","",NOTA[[#This Row],[JUMLAH]]-NOTA[[#This Row],[DISC]])</f>
        <v>3231900</v>
      </c>
      <c r="AD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G350" s="50">
        <f>IF(OR(NOTA[[#This Row],[QTY]]="",NOTA[[#This Row],[HARGA SATUAN]]="",),"",NOTA[[#This Row],[QTY]]*NOTA[[#This Row],[HARGA SATUAN]])</f>
        <v>3888000</v>
      </c>
      <c r="AH350" s="39">
        <f ca="1">IF(NOTA[ID_H]="","",INDEX(NOTA[TANGGAL],MATCH(,INDIRECT(ADDRESS(ROW(NOTA[TANGGAL]),COLUMN(NOTA[TANGGAL]))&amp;":"&amp;ADDRESS(ROW(),COLUMN(NOTA[TANGGAL]))),-1)))</f>
        <v>45187</v>
      </c>
      <c r="AI350" s="41" t="str">
        <f ca="1">IF(NOTA[[#This Row],[NAMA BARANG]]="","",INDEX(NOTA[SUPPLIER],MATCH(,INDIRECT(ADDRESS(ROW(NOTA[ID]),COLUMN(NOTA[ID]))&amp;":"&amp;ADDRESS(ROW(),COLUMN(NOTA[ID]))),-1)))</f>
        <v>ATALI MAKMUR</v>
      </c>
      <c r="AJ350" s="41" t="str">
        <f ca="1">IF(NOTA[[#This Row],[ID_H]]="","",IF(NOTA[[#This Row],[FAKTUR]]="",INDIRECT(ADDRESS(ROW()-1,COLUMN())),NOTA[[#This Row],[FAKTUR]]))</f>
        <v>ARTO MORO</v>
      </c>
      <c r="AK350" s="38" t="str">
        <f ca="1">IF(NOTA[[#This Row],[ID]]="","",COUNTIF(NOTA[ID_H],NOTA[[#This Row],[ID_H]]))</f>
        <v/>
      </c>
      <c r="AL350" s="38">
        <f ca="1">IF(NOTA[[#This Row],[TGL.NOTA]]="",IF(NOTA[[#This Row],[SUPPLIER_H]]="","",AL349),MONTH(NOTA[[#This Row],[TGL.NOTA]]))</f>
        <v>9</v>
      </c>
      <c r="AM350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N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38" t="str">
        <f>IF(NOTA[[#This Row],[CONCAT4]]="","",_xlfn.IFNA(MATCH(NOTA[[#This Row],[CONCAT4]],[2]!RAW[CONCAT_H],0),FALSE))</f>
        <v/>
      </c>
      <c r="AR350" s="38">
        <f>IF(NOTA[[#This Row],[CONCAT1]]="","",MATCH(NOTA[[#This Row],[CONCAT1]],[3]!db[NB NOTA_C],0))</f>
        <v>691</v>
      </c>
      <c r="AS350" s="38" t="str">
        <f>IF(NOTA[[#This Row],[QTY/ CTN]]="","",TRUE)</f>
        <v/>
      </c>
      <c r="AT350" s="38" t="str">
        <f ca="1">IF(NOTA[[#This Row],[ID_H]]="","",IF(NOTA[[#This Row],[Column3]]=TRUE,NOTA[[#This Row],[QTY/ CTN]],INDEX([3]!db[QTY/ CTN],NOTA[[#This Row],[//DB]])))</f>
        <v>24 LSN</v>
      </c>
      <c r="AU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V350" s="38" t="e">
        <f ca="1">IF(NOTA[[#This Row],[ID_H]]="","",MATCH(NOTA[[#This Row],[NB NOTA_C_QTY]],[4]!db[NB NOTA_C_QTY+F],0))</f>
        <v>#REF!</v>
      </c>
      <c r="AW350" s="53">
        <f ca="1">IF(NOTA[[#This Row],[NB NOTA_C_QTY]]="","",ROW()-2)</f>
        <v>348</v>
      </c>
    </row>
    <row r="351" spans="1:49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57</v>
      </c>
      <c r="E351" s="46"/>
      <c r="F351" s="37"/>
      <c r="G351" s="37"/>
      <c r="H351" s="47"/>
      <c r="I351" s="37"/>
      <c r="J351" s="39"/>
      <c r="K351" s="37"/>
      <c r="L351" s="37" t="s">
        <v>660</v>
      </c>
      <c r="M351" s="40"/>
      <c r="N351" s="38">
        <v>24</v>
      </c>
      <c r="O351" s="37" t="s">
        <v>138</v>
      </c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G351" s="50" t="str">
        <f>IF(OR(NOTA[[#This Row],[QTY]]="",NOTA[[#This Row],[HARGA SATUAN]]="",),"",NOTA[[#This Row],[QTY]]*NOTA[[#This Row],[HARGA SATUAN]])</f>
        <v/>
      </c>
      <c r="AH351" s="39">
        <f ca="1">IF(NOTA[ID_H]="","",INDEX(NOTA[TANGGAL],MATCH(,INDIRECT(ADDRESS(ROW(NOTA[TANGGAL]),COLUMN(NOTA[TANGGAL]))&amp;":"&amp;ADDRESS(ROW(),COLUMN(NOTA[TANGGAL]))),-1)))</f>
        <v>45187</v>
      </c>
      <c r="AI351" s="41" t="str">
        <f ca="1">IF(NOTA[[#This Row],[NAMA BARANG]]="","",INDEX(NOTA[SUPPLIER],MATCH(,INDIRECT(ADDRESS(ROW(NOTA[ID]),COLUMN(NOTA[ID]))&amp;":"&amp;ADDRESS(ROW(),COLUMN(NOTA[ID]))),-1)))</f>
        <v>ATALI MAKMUR</v>
      </c>
      <c r="AJ351" s="41" t="str">
        <f ca="1">IF(NOTA[[#This Row],[ID_H]]="","",IF(NOTA[[#This Row],[FAKTUR]]="",INDIRECT(ADDRESS(ROW()-1,COLUMN())),NOTA[[#This Row],[FAKTUR]]))</f>
        <v>ARTO MORO</v>
      </c>
      <c r="AK351" s="38" t="str">
        <f ca="1">IF(NOTA[[#This Row],[ID]]="","",COUNTIF(NOTA[ID_H],NOTA[[#This Row],[ID_H]]))</f>
        <v/>
      </c>
      <c r="AL351" s="38">
        <f ca="1">IF(NOTA[[#This Row],[TGL.NOTA]]="",IF(NOTA[[#This Row],[SUPPLIER_H]]="","",AL350),MONTH(NOTA[[#This Row],[TGL.NOTA]]))</f>
        <v>9</v>
      </c>
      <c r="AM351" s="38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1" s="38" t="str">
        <f>IF(NOTA[[#This Row],[CONCAT4]]="","",_xlfn.IFNA(MATCH(NOTA[[#This Row],[CONCAT4]],[2]!RAW[CONCAT_H],0),FALSE))</f>
        <v/>
      </c>
      <c r="AR351" s="38">
        <f>IF(NOTA[[#This Row],[CONCAT1]]="","",MATCH(NOTA[[#This Row],[CONCAT1]],[3]!db[NB NOTA_C],0))</f>
        <v>685</v>
      </c>
      <c r="AS351" s="38" t="str">
        <f>IF(NOTA[[#This Row],[QTY/ CTN]]="","",TRUE)</f>
        <v/>
      </c>
      <c r="AT351" s="38" t="str">
        <f ca="1">IF(NOTA[[#This Row],[ID_H]]="","",IF(NOTA[[#This Row],[Column3]]=TRUE,NOTA[[#This Row],[QTY/ CTN]],INDEX([3]!db[QTY/ CTN],NOTA[[#This Row],[//DB]])))</f>
        <v>40 LSN</v>
      </c>
      <c r="AU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cutterbladel150mmhjkbonus40lsnartomoro</v>
      </c>
      <c r="AV351" s="38" t="e">
        <f ca="1">IF(NOTA[[#This Row],[ID_H]]="","",MATCH(NOTA[[#This Row],[NB NOTA_C_QTY]],[4]!db[NB NOTA_C_QTY+F],0))</f>
        <v>#REF!</v>
      </c>
      <c r="AW351" s="53">
        <f ca="1">IF(NOTA[[#This Row],[NB NOTA_C_QTY]]="","",ROW()-2)</f>
        <v>349</v>
      </c>
    </row>
    <row r="352" spans="1:49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57</v>
      </c>
      <c r="E352" s="46"/>
      <c r="F352" s="37"/>
      <c r="G352" s="37"/>
      <c r="H352" s="47"/>
      <c r="I352" s="37"/>
      <c r="J352" s="39"/>
      <c r="K352" s="37"/>
      <c r="L352" s="37" t="s">
        <v>240</v>
      </c>
      <c r="M352" s="40">
        <v>6</v>
      </c>
      <c r="N352" s="38">
        <v>4320</v>
      </c>
      <c r="O352" s="37" t="s">
        <v>126</v>
      </c>
      <c r="P352" s="41">
        <v>4800</v>
      </c>
      <c r="Q352" s="42"/>
      <c r="R352" s="48"/>
      <c r="S352" s="49">
        <v>0.125</v>
      </c>
      <c r="T352" s="44">
        <v>0.05</v>
      </c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20736000</v>
      </c>
      <c r="Y352" s="50">
        <f>IF(NOTA[[#This Row],[JUMLAH]]="","",NOTA[[#This Row],[JUMLAH]]*NOTA[[#This Row],[DISC 1]])</f>
        <v>2592000</v>
      </c>
      <c r="Z352" s="50">
        <f>IF(NOTA[[#This Row],[JUMLAH]]="","",(NOTA[[#This Row],[JUMLAH]]-NOTA[[#This Row],[DISC 1-]])*NOTA[[#This Row],[DISC 2]])</f>
        <v>907200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3499200</v>
      </c>
      <c r="AC352" s="50">
        <f>IF(NOTA[[#This Row],[JUMLAH]]="","",NOTA[[#This Row],[JUMLAH]]-NOTA[[#This Row],[DISC]])</f>
        <v>17236800</v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2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352" s="50">
        <f>IF(OR(NOTA[[#This Row],[QTY]]="",NOTA[[#This Row],[HARGA SATUAN]]="",),"",NOTA[[#This Row],[QTY]]*NOTA[[#This Row],[HARGA SATUAN]])</f>
        <v>20736000</v>
      </c>
      <c r="AH352" s="39">
        <f ca="1">IF(NOTA[ID_H]="","",INDEX(NOTA[TANGGAL],MATCH(,INDIRECT(ADDRESS(ROW(NOTA[TANGGAL]),COLUMN(NOTA[TANGGAL]))&amp;":"&amp;ADDRESS(ROW(),COLUMN(NOTA[TANGGAL]))),-1)))</f>
        <v>45187</v>
      </c>
      <c r="AI352" s="41" t="str">
        <f ca="1">IF(NOTA[[#This Row],[NAMA BARANG]]="","",INDEX(NOTA[SUPPLIER],MATCH(,INDIRECT(ADDRESS(ROW(NOTA[ID]),COLUMN(NOTA[ID]))&amp;":"&amp;ADDRESS(ROW(),COLUMN(NOTA[ID]))),-1)))</f>
        <v>ATALI MAKMUR</v>
      </c>
      <c r="AJ352" s="41" t="str">
        <f ca="1">IF(NOTA[[#This Row],[ID_H]]="","",IF(NOTA[[#This Row],[FAKTUR]]="",INDIRECT(ADDRESS(ROW()-1,COLUMN())),NOTA[[#This Row],[FAKTUR]]))</f>
        <v>ARTO MORO</v>
      </c>
      <c r="AK352" s="38" t="str">
        <f ca="1">IF(NOTA[[#This Row],[ID]]="","",COUNTIF(NOTA[ID_H],NOTA[[#This Row],[ID_H]]))</f>
        <v/>
      </c>
      <c r="AL352" s="38">
        <f ca="1">IF(NOTA[[#This Row],[TGL.NOTA]]="",IF(NOTA[[#This Row],[SUPPLIER_H]]="","",AL351),MONTH(NOTA[[#This Row],[TGL.NOTA]]))</f>
        <v>9</v>
      </c>
      <c r="AM352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38" t="str">
        <f>IF(NOTA[[#This Row],[CONCAT4]]="","",_xlfn.IFNA(MATCH(NOTA[[#This Row],[CONCAT4]],[2]!RAW[CONCAT_H],0),FALSE))</f>
        <v/>
      </c>
      <c r="AR352" s="38">
        <f>IF(NOTA[[#This Row],[CONCAT1]]="","",MATCH(NOTA[[#This Row],[CONCAT1]],[3]!db[NB NOTA_C],0))</f>
        <v>631</v>
      </c>
      <c r="AS352" s="38" t="str">
        <f>IF(NOTA[[#This Row],[QTY/ CTN]]="","",TRUE)</f>
        <v/>
      </c>
      <c r="AT352" s="38" t="str">
        <f ca="1">IF(NOTA[[#This Row],[ID_H]]="","",IF(NOTA[[#This Row],[Column3]]=TRUE,NOTA[[#This Row],[QTY/ CTN]],INDEX([3]!db[QTY/ CTN],NOTA[[#This Row],[//DB]])))</f>
        <v>60 LSN</v>
      </c>
      <c r="AU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352" s="38" t="e">
        <f ca="1">IF(NOTA[[#This Row],[ID_H]]="","",MATCH(NOTA[[#This Row],[NB NOTA_C_QTY]],[4]!db[NB NOTA_C_QTY+F],0))</f>
        <v>#REF!</v>
      </c>
      <c r="AW352" s="53">
        <f ca="1">IF(NOTA[[#This Row],[NB NOTA_C_QTY]]="","",ROW()-2)</f>
        <v>350</v>
      </c>
    </row>
    <row r="353" spans="1:49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57</v>
      </c>
      <c r="E353" s="46"/>
      <c r="F353" s="37"/>
      <c r="G353" s="37"/>
      <c r="H353" s="47"/>
      <c r="I353" s="37"/>
      <c r="J353" s="39"/>
      <c r="K353" s="37"/>
      <c r="L353" s="37" t="s">
        <v>471</v>
      </c>
      <c r="M353" s="40">
        <v>1</v>
      </c>
      <c r="N353" s="38">
        <v>48</v>
      </c>
      <c r="O353" s="37" t="s">
        <v>132</v>
      </c>
      <c r="P353" s="41">
        <v>29600</v>
      </c>
      <c r="Q353" s="42"/>
      <c r="R353" s="48"/>
      <c r="S353" s="49">
        <v>0.125</v>
      </c>
      <c r="T353" s="44">
        <v>0.05</v>
      </c>
      <c r="U353" s="44"/>
      <c r="V353" s="50"/>
      <c r="W353" s="45"/>
      <c r="X353" s="50">
        <f>IF(NOTA[[#This Row],[HARGA/ CTN]]="",NOTA[[#This Row],[JUMLAH_H]],NOTA[[#This Row],[HARGA/ CTN]]*IF(NOTA[[#This Row],[C]]="",0,NOTA[[#This Row],[C]]))</f>
        <v>1420800</v>
      </c>
      <c r="Y353" s="50">
        <f>IF(NOTA[[#This Row],[JUMLAH]]="","",NOTA[[#This Row],[JUMLAH]]*NOTA[[#This Row],[DISC 1]])</f>
        <v>177600</v>
      </c>
      <c r="Z353" s="50">
        <f>IF(NOTA[[#This Row],[JUMLAH]]="","",(NOTA[[#This Row],[JUMLAH]]-NOTA[[#This Row],[DISC 1-]])*NOTA[[#This Row],[DISC 2]])</f>
        <v>62160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239760</v>
      </c>
      <c r="AC353" s="50">
        <f>IF(NOTA[[#This Row],[JUMLAH]]="","",NOTA[[#This Row],[JUMLAH]]-NOTA[[#This Row],[DISC]])</f>
        <v>1181040</v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353" s="50">
        <f>IF(OR(NOTA[[#This Row],[QTY]]="",NOTA[[#This Row],[HARGA SATUAN]]="",),"",NOTA[[#This Row],[QTY]]*NOTA[[#This Row],[HARGA SATUAN]])</f>
        <v>1420800</v>
      </c>
      <c r="AH353" s="39">
        <f ca="1">IF(NOTA[ID_H]="","",INDEX(NOTA[TANGGAL],MATCH(,INDIRECT(ADDRESS(ROW(NOTA[TANGGAL]),COLUMN(NOTA[TANGGAL]))&amp;":"&amp;ADDRESS(ROW(),COLUMN(NOTA[TANGGAL]))),-1)))</f>
        <v>45187</v>
      </c>
      <c r="AI353" s="41" t="str">
        <f ca="1">IF(NOTA[[#This Row],[NAMA BARANG]]="","",INDEX(NOTA[SUPPLIER],MATCH(,INDIRECT(ADDRESS(ROW(NOTA[ID]),COLUMN(NOTA[ID]))&amp;":"&amp;ADDRESS(ROW(),COLUMN(NOTA[ID]))),-1)))</f>
        <v>ATALI MAKMUR</v>
      </c>
      <c r="AJ353" s="41" t="str">
        <f ca="1">IF(NOTA[[#This Row],[ID_H]]="","",IF(NOTA[[#This Row],[FAKTUR]]="",INDIRECT(ADDRESS(ROW()-1,COLUMN())),NOTA[[#This Row],[FAKTUR]]))</f>
        <v>ARTO MORO</v>
      </c>
      <c r="AK353" s="38" t="str">
        <f ca="1">IF(NOTA[[#This Row],[ID]]="","",COUNTIF(NOTA[ID_H],NOTA[[#This Row],[ID_H]]))</f>
        <v/>
      </c>
      <c r="AL353" s="38">
        <f ca="1">IF(NOTA[[#This Row],[TGL.NOTA]]="",IF(NOTA[[#This Row],[SUPPLIER_H]]="","",AL352),MONTH(NOTA[[#This Row],[TGL.NOTA]]))</f>
        <v>9</v>
      </c>
      <c r="AM35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3" s="38" t="str">
        <f>IF(NOTA[[#This Row],[CONCAT4]]="","",_xlfn.IFNA(MATCH(NOTA[[#This Row],[CONCAT4]],[2]!RAW[CONCAT_H],0),FALSE))</f>
        <v/>
      </c>
      <c r="AR353" s="38">
        <f>IF(NOTA[[#This Row],[CONCAT1]]="","",MATCH(NOTA[[#This Row],[CONCAT1]],[3]!db[NB NOTA_C],0))</f>
        <v>1897</v>
      </c>
      <c r="AS353" s="38" t="str">
        <f>IF(NOTA[[#This Row],[QTY/ CTN]]="","",TRUE)</f>
        <v/>
      </c>
      <c r="AT353" s="38" t="str">
        <f ca="1">IF(NOTA[[#This Row],[ID_H]]="","",IF(NOTA[[#This Row],[Column3]]=TRUE,NOTA[[#This Row],[QTY/ CTN]],INDEX([3]!db[QTY/ CTN],NOTA[[#This Row],[//DB]])))</f>
        <v>8 BOX (6 SET)</v>
      </c>
      <c r="AU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353" s="38" t="e">
        <f ca="1">IF(NOTA[[#This Row],[ID_H]]="","",MATCH(NOTA[[#This Row],[NB NOTA_C_QTY]],[4]!db[NB NOTA_C_QTY+F],0))</f>
        <v>#REF!</v>
      </c>
      <c r="AW353" s="53">
        <f ca="1">IF(NOTA[[#This Row],[NB NOTA_C_QTY]]="","",ROW()-2)</f>
        <v>351</v>
      </c>
    </row>
    <row r="354" spans="1:49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57</v>
      </c>
      <c r="E354" s="46"/>
      <c r="F354" s="37"/>
      <c r="G354" s="37"/>
      <c r="H354" s="47"/>
      <c r="I354" s="37"/>
      <c r="J354" s="39"/>
      <c r="K354" s="37"/>
      <c r="L354" s="37" t="s">
        <v>398</v>
      </c>
      <c r="M354" s="40">
        <v>1</v>
      </c>
      <c r="N354" s="38">
        <v>36</v>
      </c>
      <c r="O354" s="37" t="s">
        <v>132</v>
      </c>
      <c r="P354" s="41">
        <v>41500</v>
      </c>
      <c r="Q354" s="42"/>
      <c r="R354" s="48"/>
      <c r="S354" s="49">
        <v>0.125</v>
      </c>
      <c r="T354" s="44">
        <v>0.05</v>
      </c>
      <c r="U354" s="44"/>
      <c r="V354" s="50"/>
      <c r="W354" s="45"/>
      <c r="X354" s="50">
        <f>IF(NOTA[[#This Row],[HARGA/ CTN]]="",NOTA[[#This Row],[JUMLAH_H]],NOTA[[#This Row],[HARGA/ CTN]]*IF(NOTA[[#This Row],[C]]="",0,NOTA[[#This Row],[C]]))</f>
        <v>1494000</v>
      </c>
      <c r="Y354" s="50">
        <f>IF(NOTA[[#This Row],[JUMLAH]]="","",NOTA[[#This Row],[JUMLAH]]*NOTA[[#This Row],[DISC 1]])</f>
        <v>186750</v>
      </c>
      <c r="Z354" s="50">
        <f>IF(NOTA[[#This Row],[JUMLAH]]="","",(NOTA[[#This Row],[JUMLAH]]-NOTA[[#This Row],[DISC 1-]])*NOTA[[#This Row],[DISC 2]])</f>
        <v>65362.5</v>
      </c>
      <c r="AA354" s="50">
        <f>IF(NOTA[[#This Row],[JUMLAH]]="","",(NOTA[[#This Row],[JUMLAH]]-NOTA[[#This Row],[DISC 1-]]-NOTA[[#This Row],[DISC 2-]])*NOTA[[#This Row],[DISC 3]])</f>
        <v>0</v>
      </c>
      <c r="AB354" s="50">
        <f>IF(NOTA[[#This Row],[JUMLAH]]="","",NOTA[[#This Row],[DISC 1-]]+NOTA[[#This Row],[DISC 2-]]+NOTA[[#This Row],[DISC 3-]])</f>
        <v>252112.5</v>
      </c>
      <c r="AC354" s="50">
        <f>IF(NOTA[[#This Row],[JUMLAH]]="","",NOTA[[#This Row],[JUMLAH]]-NOTA[[#This Row],[DISC]])</f>
        <v>1241887.5</v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G354" s="50">
        <f>IF(OR(NOTA[[#This Row],[QTY]]="",NOTA[[#This Row],[HARGA SATUAN]]="",),"",NOTA[[#This Row],[QTY]]*NOTA[[#This Row],[HARGA SATUAN]])</f>
        <v>1494000</v>
      </c>
      <c r="AH354" s="39">
        <f ca="1">IF(NOTA[ID_H]="","",INDEX(NOTA[TANGGAL],MATCH(,INDIRECT(ADDRESS(ROW(NOTA[TANGGAL]),COLUMN(NOTA[TANGGAL]))&amp;":"&amp;ADDRESS(ROW(),COLUMN(NOTA[TANGGAL]))),-1)))</f>
        <v>45187</v>
      </c>
      <c r="AI354" s="41" t="str">
        <f ca="1">IF(NOTA[[#This Row],[NAMA BARANG]]="","",INDEX(NOTA[SUPPLIER],MATCH(,INDIRECT(ADDRESS(ROW(NOTA[ID]),COLUMN(NOTA[ID]))&amp;":"&amp;ADDRESS(ROW(),COLUMN(NOTA[ID]))),-1)))</f>
        <v>ATALI MAKMUR</v>
      </c>
      <c r="AJ354" s="41" t="str">
        <f ca="1">IF(NOTA[[#This Row],[ID_H]]="","",IF(NOTA[[#This Row],[FAKTUR]]="",INDIRECT(ADDRESS(ROW()-1,COLUMN())),NOTA[[#This Row],[FAKTUR]]))</f>
        <v>ARTO MORO</v>
      </c>
      <c r="AK354" s="38" t="str">
        <f ca="1">IF(NOTA[[#This Row],[ID]]="","",COUNTIF(NOTA[ID_H],NOTA[[#This Row],[ID_H]]))</f>
        <v/>
      </c>
      <c r="AL354" s="38">
        <f ca="1">IF(NOTA[[#This Row],[TGL.NOTA]]="",IF(NOTA[[#This Row],[SUPPLIER_H]]="","",AL353),MONTH(NOTA[[#This Row],[TGL.NOTA]]))</f>
        <v>9</v>
      </c>
      <c r="AM35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38" t="str">
        <f>IF(NOTA[[#This Row],[CONCAT4]]="","",_xlfn.IFNA(MATCH(NOTA[[#This Row],[CONCAT4]],[2]!RAW[CONCAT_H],0),FALSE))</f>
        <v/>
      </c>
      <c r="AR354" s="38">
        <f>IF(NOTA[[#This Row],[CONCAT1]]="","",MATCH(NOTA[[#This Row],[CONCAT1]],[3]!db[NB NOTA_C],0))</f>
        <v>1898</v>
      </c>
      <c r="AS354" s="38" t="str">
        <f>IF(NOTA[[#This Row],[QTY/ CTN]]="","",TRUE)</f>
        <v/>
      </c>
      <c r="AT354" s="38" t="str">
        <f ca="1">IF(NOTA[[#This Row],[ID_H]]="","",IF(NOTA[[#This Row],[Column3]]=TRUE,NOTA[[#This Row],[QTY/ CTN]],INDEX([3]!db[QTY/ CTN],NOTA[[#This Row],[//DB]])))</f>
        <v>6 BOX (6 SET)</v>
      </c>
      <c r="AU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V354" s="38" t="e">
        <f ca="1">IF(NOTA[[#This Row],[ID_H]]="","",MATCH(NOTA[[#This Row],[NB NOTA_C_QTY]],[4]!db[NB NOTA_C_QTY+F],0))</f>
        <v>#REF!</v>
      </c>
      <c r="AW354" s="53">
        <f ca="1">IF(NOTA[[#This Row],[NB NOTA_C_QTY]]="","",ROW()-2)</f>
        <v>352</v>
      </c>
    </row>
    <row r="355" spans="1:49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57</v>
      </c>
      <c r="E355" s="46"/>
      <c r="F355" s="37"/>
      <c r="G355" s="37"/>
      <c r="H355" s="47"/>
      <c r="I355" s="37"/>
      <c r="J355" s="39"/>
      <c r="K355" s="37"/>
      <c r="L355" s="37" t="s">
        <v>440</v>
      </c>
      <c r="M355" s="40">
        <v>1</v>
      </c>
      <c r="N355" s="38">
        <v>20</v>
      </c>
      <c r="O355" s="37" t="s">
        <v>138</v>
      </c>
      <c r="P355" s="41">
        <v>85200</v>
      </c>
      <c r="Q355" s="42"/>
      <c r="R355" s="48"/>
      <c r="S355" s="49">
        <v>0.125</v>
      </c>
      <c r="T355" s="44">
        <v>0.05</v>
      </c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1704000</v>
      </c>
      <c r="Y355" s="50">
        <f>IF(NOTA[[#This Row],[JUMLAH]]="","",NOTA[[#This Row],[JUMLAH]]*NOTA[[#This Row],[DISC 1]])</f>
        <v>213000</v>
      </c>
      <c r="Z355" s="50">
        <f>IF(NOTA[[#This Row],[JUMLAH]]="","",(NOTA[[#This Row],[JUMLAH]]-NOTA[[#This Row],[DISC 1-]])*NOTA[[#This Row],[DISC 2]])</f>
        <v>74550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287550</v>
      </c>
      <c r="AC355" s="50">
        <f>IF(NOTA[[#This Row],[JUMLAH]]="","",NOTA[[#This Row],[JUMLAH]]-NOTA[[#This Row],[DISC]])</f>
        <v>1416450</v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355" s="50">
        <f>IF(OR(NOTA[[#This Row],[QTY]]="",NOTA[[#This Row],[HARGA SATUAN]]="",),"",NOTA[[#This Row],[QTY]]*NOTA[[#This Row],[HARGA SATUAN]])</f>
        <v>1704000</v>
      </c>
      <c r="AH355" s="39">
        <f ca="1">IF(NOTA[ID_H]="","",INDEX(NOTA[TANGGAL],MATCH(,INDIRECT(ADDRESS(ROW(NOTA[TANGGAL]),COLUMN(NOTA[TANGGAL]))&amp;":"&amp;ADDRESS(ROW(),COLUMN(NOTA[TANGGAL]))),-1)))</f>
        <v>45187</v>
      </c>
      <c r="AI355" s="41" t="str">
        <f ca="1">IF(NOTA[[#This Row],[NAMA BARANG]]="","",INDEX(NOTA[SUPPLIER],MATCH(,INDIRECT(ADDRESS(ROW(NOTA[ID]),COLUMN(NOTA[ID]))&amp;":"&amp;ADDRESS(ROW(),COLUMN(NOTA[ID]))),-1)))</f>
        <v>ATALI MAKMUR</v>
      </c>
      <c r="AJ355" s="41" t="str">
        <f ca="1">IF(NOTA[[#This Row],[ID_H]]="","",IF(NOTA[[#This Row],[FAKTUR]]="",INDIRECT(ADDRESS(ROW()-1,COLUMN())),NOTA[[#This Row],[FAKTUR]]))</f>
        <v>ARTO MORO</v>
      </c>
      <c r="AK355" s="38" t="str">
        <f ca="1">IF(NOTA[[#This Row],[ID]]="","",COUNTIF(NOTA[ID_H],NOTA[[#This Row],[ID_H]]))</f>
        <v/>
      </c>
      <c r="AL355" s="38">
        <f ca="1">IF(NOTA[[#This Row],[TGL.NOTA]]="",IF(NOTA[[#This Row],[SUPPLIER_H]]="","",AL354),MONTH(NOTA[[#This Row],[TGL.NOTA]]))</f>
        <v>9</v>
      </c>
      <c r="AM35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5" s="38" t="str">
        <f>IF(NOTA[[#This Row],[CONCAT4]]="","",_xlfn.IFNA(MATCH(NOTA[[#This Row],[CONCAT4]],[2]!RAW[CONCAT_H],0),FALSE))</f>
        <v/>
      </c>
      <c r="AR355" s="38">
        <f>IF(NOTA[[#This Row],[CONCAT1]]="","",MATCH(NOTA[[#This Row],[CONCAT1]],[3]!db[NB NOTA_C],0))</f>
        <v>2471</v>
      </c>
      <c r="AS355" s="38" t="str">
        <f>IF(NOTA[[#This Row],[QTY/ CTN]]="","",TRUE)</f>
        <v/>
      </c>
      <c r="AT355" s="38" t="str">
        <f ca="1">IF(NOTA[[#This Row],[ID_H]]="","",IF(NOTA[[#This Row],[Column3]]=TRUE,NOTA[[#This Row],[QTY/ CTN]],INDEX([3]!db[QTY/ CTN],NOTA[[#This Row],[//DB]])))</f>
        <v>20 LSN</v>
      </c>
      <c r="AU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355" s="38" t="e">
        <f ca="1">IF(NOTA[[#This Row],[ID_H]]="","",MATCH(NOTA[[#This Row],[NB NOTA_C_QTY]],[4]!db[NB NOTA_C_QTY+F],0))</f>
        <v>#REF!</v>
      </c>
      <c r="AW355" s="53">
        <f ca="1">IF(NOTA[[#This Row],[NB NOTA_C_QTY]]="","",ROW()-2)</f>
        <v>353</v>
      </c>
    </row>
    <row r="356" spans="1:49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57</v>
      </c>
      <c r="E356" s="46"/>
      <c r="F356" s="37"/>
      <c r="G356" s="37"/>
      <c r="H356" s="47"/>
      <c r="I356" s="37"/>
      <c r="J356" s="39"/>
      <c r="K356" s="37"/>
      <c r="L356" s="37" t="s">
        <v>220</v>
      </c>
      <c r="M356" s="40">
        <v>2</v>
      </c>
      <c r="N356" s="38">
        <v>60</v>
      </c>
      <c r="O356" s="37" t="s">
        <v>212</v>
      </c>
      <c r="P356" s="41">
        <v>104400</v>
      </c>
      <c r="Q356" s="42"/>
      <c r="R356" s="48" t="s">
        <v>472</v>
      </c>
      <c r="S356" s="49">
        <v>0.125</v>
      </c>
      <c r="T356" s="44">
        <v>0.05</v>
      </c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6264000</v>
      </c>
      <c r="Y356" s="50">
        <f>IF(NOTA[[#This Row],[JUMLAH]]="","",NOTA[[#This Row],[JUMLAH]]*NOTA[[#This Row],[DISC 1]])</f>
        <v>783000</v>
      </c>
      <c r="Z356" s="50">
        <f>IF(NOTA[[#This Row],[JUMLAH]]="","",(NOTA[[#This Row],[JUMLAH]]-NOTA[[#This Row],[DISC 1-]])*NOTA[[#This Row],[DISC 2]])</f>
        <v>274050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1057050</v>
      </c>
      <c r="AC356" s="50">
        <f>IF(NOTA[[#This Row],[JUMLAH]]="","",NOTA[[#This Row],[JUMLAH]]-NOTA[[#This Row],[DISC]])</f>
        <v>5206950</v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6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356" s="50">
        <f>IF(OR(NOTA[[#This Row],[QTY]]="",NOTA[[#This Row],[HARGA SATUAN]]="",),"",NOTA[[#This Row],[QTY]]*NOTA[[#This Row],[HARGA SATUAN]])</f>
        <v>6264000</v>
      </c>
      <c r="AH356" s="39">
        <f ca="1">IF(NOTA[ID_H]="","",INDEX(NOTA[TANGGAL],MATCH(,INDIRECT(ADDRESS(ROW(NOTA[TANGGAL]),COLUMN(NOTA[TANGGAL]))&amp;":"&amp;ADDRESS(ROW(),COLUMN(NOTA[TANGGAL]))),-1)))</f>
        <v>45187</v>
      </c>
      <c r="AI356" s="41" t="str">
        <f ca="1">IF(NOTA[[#This Row],[NAMA BARANG]]="","",INDEX(NOTA[SUPPLIER],MATCH(,INDIRECT(ADDRESS(ROW(NOTA[ID]),COLUMN(NOTA[ID]))&amp;":"&amp;ADDRESS(ROW(),COLUMN(NOTA[ID]))),-1)))</f>
        <v>ATALI MAKMUR</v>
      </c>
      <c r="AJ356" s="41" t="str">
        <f ca="1">IF(NOTA[[#This Row],[ID_H]]="","",IF(NOTA[[#This Row],[FAKTUR]]="",INDIRECT(ADDRESS(ROW()-1,COLUMN())),NOTA[[#This Row],[FAKTUR]]))</f>
        <v>ARTO MORO</v>
      </c>
      <c r="AK356" s="38" t="str">
        <f ca="1">IF(NOTA[[#This Row],[ID]]="","",COUNTIF(NOTA[ID_H],NOTA[[#This Row],[ID_H]]))</f>
        <v/>
      </c>
      <c r="AL356" s="38">
        <f ca="1">IF(NOTA[[#This Row],[TGL.NOTA]]="",IF(NOTA[[#This Row],[SUPPLIER_H]]="","",AL355),MONTH(NOTA[[#This Row],[TGL.NOTA]]))</f>
        <v>9</v>
      </c>
      <c r="AM356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38" t="str">
        <f>IF(NOTA[[#This Row],[CONCAT4]]="","",_xlfn.IFNA(MATCH(NOTA[[#This Row],[CONCAT4]],[2]!RAW[CONCAT_H],0),FALSE))</f>
        <v/>
      </c>
      <c r="AR356" s="38">
        <f>IF(NOTA[[#This Row],[CONCAT1]]="","",MATCH(NOTA[[#This Row],[CONCAT1]],[3]!db[NB NOTA_C],0))</f>
        <v>2174</v>
      </c>
      <c r="AS356" s="38" t="b">
        <f>IF(NOTA[[#This Row],[QTY/ CTN]]="","",TRUE)</f>
        <v>1</v>
      </c>
      <c r="AT356" s="38" t="str">
        <f ca="1">IF(NOTA[[#This Row],[ID_H]]="","",IF(NOTA[[#This Row],[Column3]]=TRUE,NOTA[[#This Row],[QTY/ CTN]],INDEX([3]!db[QTY/ CTN],NOTA[[#This Row],[//DB]])))</f>
        <v xml:space="preserve">30 GRS </v>
      </c>
      <c r="AU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356" s="38" t="e">
        <f ca="1">IF(NOTA[[#This Row],[ID_H]]="","",MATCH(NOTA[[#This Row],[NB NOTA_C_QTY]],[4]!db[NB NOTA_C_QTY+F],0))</f>
        <v>#REF!</v>
      </c>
      <c r="AW356" s="53">
        <f ca="1">IF(NOTA[[#This Row],[NB NOTA_C_QTY]]="","",ROW()-2)</f>
        <v>354</v>
      </c>
    </row>
    <row r="357" spans="1:49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57</v>
      </c>
      <c r="E357" s="46"/>
      <c r="F357" s="37"/>
      <c r="G357" s="37"/>
      <c r="H357" s="47"/>
      <c r="I357" s="37"/>
      <c r="J357" s="39"/>
      <c r="K357" s="37"/>
      <c r="L357" s="37" t="s">
        <v>473</v>
      </c>
      <c r="M357" s="40">
        <v>1</v>
      </c>
      <c r="N357" s="38">
        <v>72</v>
      </c>
      <c r="O357" s="37" t="s">
        <v>138</v>
      </c>
      <c r="P357" s="41">
        <v>37200</v>
      </c>
      <c r="Q357" s="42"/>
      <c r="R357" s="48"/>
      <c r="S357" s="49">
        <v>0.125</v>
      </c>
      <c r="T357" s="44">
        <v>0.05</v>
      </c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2678400</v>
      </c>
      <c r="Y357" s="50">
        <f>IF(NOTA[[#This Row],[JUMLAH]]="","",NOTA[[#This Row],[JUMLAH]]*NOTA[[#This Row],[DISC 1]])</f>
        <v>334800</v>
      </c>
      <c r="Z357" s="50">
        <f>IF(NOTA[[#This Row],[JUMLAH]]="","",(NOTA[[#This Row],[JUMLAH]]-NOTA[[#This Row],[DISC 1-]])*NOTA[[#This Row],[DISC 2]])</f>
        <v>117180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451980</v>
      </c>
      <c r="AC357" s="50">
        <f>IF(NOTA[[#This Row],[JUMLAH]]="","",NOTA[[#This Row],[JUMLAH]]-NOTA[[#This Row],[DISC]])</f>
        <v>2226420</v>
      </c>
      <c r="AD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6995126.25</v>
      </c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34457473.75</v>
      </c>
      <c r="AF3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G357" s="50">
        <f>IF(OR(NOTA[[#This Row],[QTY]]="",NOTA[[#This Row],[HARGA SATUAN]]="",),"",NOTA[[#This Row],[QTY]]*NOTA[[#This Row],[HARGA SATUAN]])</f>
        <v>2678400</v>
      </c>
      <c r="AH357" s="39">
        <f ca="1">IF(NOTA[ID_H]="","",INDEX(NOTA[TANGGAL],MATCH(,INDIRECT(ADDRESS(ROW(NOTA[TANGGAL]),COLUMN(NOTA[TANGGAL]))&amp;":"&amp;ADDRESS(ROW(),COLUMN(NOTA[TANGGAL]))),-1)))</f>
        <v>45187</v>
      </c>
      <c r="AI357" s="41" t="str">
        <f ca="1">IF(NOTA[[#This Row],[NAMA BARANG]]="","",INDEX(NOTA[SUPPLIER],MATCH(,INDIRECT(ADDRESS(ROW(NOTA[ID]),COLUMN(NOTA[ID]))&amp;":"&amp;ADDRESS(ROW(),COLUMN(NOTA[ID]))),-1)))</f>
        <v>ATALI MAKMUR</v>
      </c>
      <c r="AJ357" s="41" t="str">
        <f ca="1">IF(NOTA[[#This Row],[ID_H]]="","",IF(NOTA[[#This Row],[FAKTUR]]="",INDIRECT(ADDRESS(ROW()-1,COLUMN())),NOTA[[#This Row],[FAKTUR]]))</f>
        <v>ARTO MORO</v>
      </c>
      <c r="AK357" s="38" t="str">
        <f ca="1">IF(NOTA[[#This Row],[ID]]="","",COUNTIF(NOTA[ID_H],NOTA[[#This Row],[ID_H]]))</f>
        <v/>
      </c>
      <c r="AL357" s="38">
        <f ca="1">IF(NOTA[[#This Row],[TGL.NOTA]]="",IF(NOTA[[#This Row],[SUPPLIER_H]]="","",AL356),MONTH(NOTA[[#This Row],[TGL.NOTA]]))</f>
        <v>9</v>
      </c>
      <c r="AM357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38" t="str">
        <f>IF(NOTA[[#This Row],[CONCAT4]]="","",_xlfn.IFNA(MATCH(NOTA[[#This Row],[CONCAT4]],[2]!RAW[CONCAT_H],0),FALSE))</f>
        <v/>
      </c>
      <c r="AR357" s="38">
        <f>IF(NOTA[[#This Row],[CONCAT1]]="","",MATCH(NOTA[[#This Row],[CONCAT1]],[3]!db[NB NOTA_C],0))</f>
        <v>2171</v>
      </c>
      <c r="AS357" s="38" t="str">
        <f>IF(NOTA[[#This Row],[QTY/ CTN]]="","",TRUE)</f>
        <v/>
      </c>
      <c r="AT357" s="38" t="str">
        <f ca="1">IF(NOTA[[#This Row],[ID_H]]="","",IF(NOTA[[#This Row],[Column3]]=TRUE,NOTA[[#This Row],[QTY/ CTN]],INDEX([3]!db[QTY/ CTN],NOTA[[#This Row],[//DB]])))</f>
        <v>12 BOX (72 PCS)</v>
      </c>
      <c r="AU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V357" s="38" t="e">
        <f ca="1">IF(NOTA[[#This Row],[ID_H]]="","",MATCH(NOTA[[#This Row],[NB NOTA_C_QTY]],[4]!db[NB NOTA_C_QTY+F],0))</f>
        <v>#REF!</v>
      </c>
      <c r="AW357" s="53">
        <f ca="1">IF(NOTA[[#This Row],[NB NOTA_C_QTY]]="","",ROW()-2)</f>
        <v>355</v>
      </c>
    </row>
    <row r="358" spans="1:49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58" s="50" t="str">
        <f>IF(OR(NOTA[[#This Row],[QTY]]="",NOTA[[#This Row],[HARGA SATUAN]]="",),"",NOTA[[#This Row],[QTY]]*NOTA[[#This Row],[HARGA SATUAN]])</f>
        <v/>
      </c>
      <c r="AH358" s="39" t="str">
        <f ca="1">IF(NOTA[ID_H]="","",INDEX(NOTA[TANGGAL],MATCH(,INDIRECT(ADDRESS(ROW(NOTA[TANGGAL]),COLUMN(NOTA[TANGGAL]))&amp;":"&amp;ADDRESS(ROW(),COLUMN(NOTA[TANGGAL]))),-1)))</f>
        <v/>
      </c>
      <c r="AI358" s="41" t="str">
        <f ca="1">IF(NOTA[[#This Row],[NAMA BARANG]]="","",INDEX(NOTA[SUPPLIER],MATCH(,INDIRECT(ADDRESS(ROW(NOTA[ID]),COLUMN(NOTA[ID]))&amp;":"&amp;ADDRESS(ROW(),COLUMN(NOTA[ID]))),-1)))</f>
        <v/>
      </c>
      <c r="AJ358" s="41" t="str">
        <f ca="1">IF(NOTA[[#This Row],[ID_H]]="","",IF(NOTA[[#This Row],[FAKTUR]]="",INDIRECT(ADDRESS(ROW()-1,COLUMN())),NOTA[[#This Row],[FAKTUR]]))</f>
        <v/>
      </c>
      <c r="AK358" s="38" t="str">
        <f ca="1">IF(NOTA[[#This Row],[ID]]="","",COUNTIF(NOTA[ID_H],NOTA[[#This Row],[ID_H]]))</f>
        <v/>
      </c>
      <c r="AL358" s="38" t="str">
        <f ca="1">IF(NOTA[[#This Row],[TGL.NOTA]]="",IF(NOTA[[#This Row],[SUPPLIER_H]]="","",AL357),MONTH(NOTA[[#This Row],[TGL.NOTA]]))</f>
        <v/>
      </c>
      <c r="AM358" s="38" t="str">
        <f>LOWER(SUBSTITUTE(SUBSTITUTE(SUBSTITUTE(SUBSTITUTE(SUBSTITUTE(SUBSTITUTE(SUBSTITUTE(SUBSTITUTE(SUBSTITUTE(NOTA[NAMA BARANG]," ",),".",""),"-",""),"(",""),")",""),",",""),"/",""),"""",""),"+",""))</f>
        <v/>
      </c>
      <c r="AN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38" t="str">
        <f>IF(NOTA[[#This Row],[CONCAT4]]="","",_xlfn.IFNA(MATCH(NOTA[[#This Row],[CONCAT4]],[2]!RAW[CONCAT_H],0),FALSE))</f>
        <v/>
      </c>
      <c r="AR358" s="38" t="str">
        <f>IF(NOTA[[#This Row],[CONCAT1]]="","",MATCH(NOTA[[#This Row],[CONCAT1]],[3]!db[NB NOTA_C],0))</f>
        <v/>
      </c>
      <c r="AS358" s="38" t="str">
        <f>IF(NOTA[[#This Row],[QTY/ CTN]]="","",TRUE)</f>
        <v/>
      </c>
      <c r="AT358" s="38" t="str">
        <f ca="1">IF(NOTA[[#This Row],[ID_H]]="","",IF(NOTA[[#This Row],[Column3]]=TRUE,NOTA[[#This Row],[QTY/ CTN]],INDEX([3]!db[QTY/ CTN],NOTA[[#This Row],[//DB]])))</f>
        <v/>
      </c>
      <c r="AU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58" s="38" t="str">
        <f ca="1">IF(NOTA[[#This Row],[ID_H]]="","",MATCH(NOTA[[#This Row],[NB NOTA_C_QTY]],[4]!db[NB NOTA_C_QTY+F],0))</f>
        <v/>
      </c>
      <c r="AW358" s="53" t="str">
        <f ca="1">IF(NOTA[[#This Row],[NB NOTA_C_QTY]]="","",ROW()-2)</f>
        <v/>
      </c>
    </row>
    <row r="359" spans="1:49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ATA_1809_501-12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58</v>
      </c>
      <c r="E359" s="46">
        <v>45187</v>
      </c>
      <c r="F359" s="37" t="s">
        <v>24</v>
      </c>
      <c r="G359" s="37" t="s">
        <v>23</v>
      </c>
      <c r="H359" s="47" t="s">
        <v>474</v>
      </c>
      <c r="I359" s="37"/>
      <c r="J359" s="39">
        <v>45184</v>
      </c>
      <c r="K359" s="37"/>
      <c r="L359" s="37" t="s">
        <v>475</v>
      </c>
      <c r="M359" s="40">
        <v>1</v>
      </c>
      <c r="N359" s="38">
        <v>144</v>
      </c>
      <c r="O359" s="37" t="s">
        <v>138</v>
      </c>
      <c r="P359" s="41">
        <v>12600</v>
      </c>
      <c r="Q359" s="42"/>
      <c r="R359" s="48"/>
      <c r="S359" s="49">
        <v>0.125</v>
      </c>
      <c r="T359" s="44">
        <v>0.05</v>
      </c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1814400</v>
      </c>
      <c r="Y359" s="50">
        <f>IF(NOTA[[#This Row],[JUMLAH]]="","",NOTA[[#This Row],[JUMLAH]]*NOTA[[#This Row],[DISC 1]])</f>
        <v>226800</v>
      </c>
      <c r="Z359" s="50">
        <f>IF(NOTA[[#This Row],[JUMLAH]]="","",(NOTA[[#This Row],[JUMLAH]]-NOTA[[#This Row],[DISC 1-]])*NOTA[[#This Row],[DISC 2]])</f>
        <v>79380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306180</v>
      </c>
      <c r="AC359" s="50">
        <f>IF(NOTA[[#This Row],[JUMLAH]]="","",NOTA[[#This Row],[JUMLAH]]-NOTA[[#This Row],[DISC]])</f>
        <v>1508220</v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59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G359" s="50">
        <f>IF(OR(NOTA[[#This Row],[QTY]]="",NOTA[[#This Row],[HARGA SATUAN]]="",),"",NOTA[[#This Row],[QTY]]*NOTA[[#This Row],[HARGA SATUAN]])</f>
        <v>1814400</v>
      </c>
      <c r="AH359" s="39">
        <f ca="1">IF(NOTA[ID_H]="","",INDEX(NOTA[TANGGAL],MATCH(,INDIRECT(ADDRESS(ROW(NOTA[TANGGAL]),COLUMN(NOTA[TANGGAL]))&amp;":"&amp;ADDRESS(ROW(),COLUMN(NOTA[TANGGAL]))),-1)))</f>
        <v>45187</v>
      </c>
      <c r="AI359" s="41" t="str">
        <f ca="1">IF(NOTA[[#This Row],[NAMA BARANG]]="","",INDEX(NOTA[SUPPLIER],MATCH(,INDIRECT(ADDRESS(ROW(NOTA[ID]),COLUMN(NOTA[ID]))&amp;":"&amp;ADDRESS(ROW(),COLUMN(NOTA[ID]))),-1)))</f>
        <v>ATALI MAKMUR</v>
      </c>
      <c r="AJ359" s="41" t="str">
        <f ca="1">IF(NOTA[[#This Row],[ID_H]]="","",IF(NOTA[[#This Row],[FAKTUR]]="",INDIRECT(ADDRESS(ROW()-1,COLUMN())),NOTA[[#This Row],[FAKTUR]]))</f>
        <v>ARTO MORO</v>
      </c>
      <c r="AK359" s="38">
        <f ca="1">IF(NOTA[[#This Row],[ID]]="","",COUNTIF(NOTA[ID_H],NOTA[[#This Row],[ID_H]]))</f>
        <v>12</v>
      </c>
      <c r="AL359" s="38">
        <f>IF(NOTA[[#This Row],[TGL.NOTA]]="",IF(NOTA[[#This Row],[SUPPLIER_H]]="","",AL358),MONTH(NOTA[[#This Row],[TGL.NOTA]]))</f>
        <v>9</v>
      </c>
      <c r="AM359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3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MOROSA23091650145184ballpenbp338vocusblackjk</v>
      </c>
      <c r="AQ359" s="38" t="e">
        <f>IF(NOTA[[#This Row],[CONCAT4]]="","",_xlfn.IFNA(MATCH(NOTA[[#This Row],[CONCAT4]],[2]!RAW[CONCAT_H],0),FALSE))</f>
        <v>#REF!</v>
      </c>
      <c r="AR359" s="38">
        <f>IF(NOTA[[#This Row],[CONCAT1]]="","",MATCH(NOTA[[#This Row],[CONCAT1]],[3]!db[NB NOTA_C],0))</f>
        <v>97</v>
      </c>
      <c r="AS359" s="38" t="str">
        <f>IF(NOTA[[#This Row],[QTY/ CTN]]="","",TRUE)</f>
        <v/>
      </c>
      <c r="AT359" s="38" t="str">
        <f ca="1">IF(NOTA[[#This Row],[ID_H]]="","",IF(NOTA[[#This Row],[Column3]]=TRUE,NOTA[[#This Row],[QTY/ CTN]],INDEX([3]!db[QTY/ CTN],NOTA[[#This Row],[//DB]])))</f>
        <v>144 LSN</v>
      </c>
      <c r="AU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V359" s="38" t="e">
        <f ca="1">IF(NOTA[[#This Row],[ID_H]]="","",MATCH(NOTA[[#This Row],[NB NOTA_C_QTY]],[4]!db[NB NOTA_C_QTY+F],0))</f>
        <v>#REF!</v>
      </c>
      <c r="AW359" s="53">
        <f ca="1">IF(NOTA[[#This Row],[NB NOTA_C_QTY]]="","",ROW()-2)</f>
        <v>357</v>
      </c>
    </row>
    <row r="360" spans="1:49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58</v>
      </c>
      <c r="E360" s="46"/>
      <c r="F360" s="37"/>
      <c r="G360" s="37"/>
      <c r="H360" s="47"/>
      <c r="I360" s="37"/>
      <c r="J360" s="39"/>
      <c r="K360" s="37"/>
      <c r="L360" s="37" t="s">
        <v>476</v>
      </c>
      <c r="M360" s="40">
        <v>1</v>
      </c>
      <c r="N360" s="38">
        <v>144</v>
      </c>
      <c r="O360" s="37" t="s">
        <v>132</v>
      </c>
      <c r="P360" s="41">
        <v>13800</v>
      </c>
      <c r="Q360" s="42"/>
      <c r="R360" s="48"/>
      <c r="S360" s="49">
        <v>0.125</v>
      </c>
      <c r="T360" s="44">
        <v>0.05</v>
      </c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1987200</v>
      </c>
      <c r="Y360" s="50">
        <f>IF(NOTA[[#This Row],[JUMLAH]]="","",NOTA[[#This Row],[JUMLAH]]*NOTA[[#This Row],[DISC 1]])</f>
        <v>248400</v>
      </c>
      <c r="Z360" s="50">
        <f>IF(NOTA[[#This Row],[JUMLAH]]="","",(NOTA[[#This Row],[JUMLAH]]-NOTA[[#This Row],[DISC 1-]])*NOTA[[#This Row],[DISC 2]])</f>
        <v>86940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335340</v>
      </c>
      <c r="AC360" s="50">
        <f>IF(NOTA[[#This Row],[JUMLAH]]="","",NOTA[[#This Row],[JUMLAH]]-NOTA[[#This Row],[DISC]])</f>
        <v>1651860</v>
      </c>
      <c r="AD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0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G360" s="50">
        <f>IF(OR(NOTA[[#This Row],[QTY]]="",NOTA[[#This Row],[HARGA SATUAN]]="",),"",NOTA[[#This Row],[QTY]]*NOTA[[#This Row],[HARGA SATUAN]])</f>
        <v>1987200</v>
      </c>
      <c r="AH360" s="39">
        <f ca="1">IF(NOTA[ID_H]="","",INDEX(NOTA[TANGGAL],MATCH(,INDIRECT(ADDRESS(ROW(NOTA[TANGGAL]),COLUMN(NOTA[TANGGAL]))&amp;":"&amp;ADDRESS(ROW(),COLUMN(NOTA[TANGGAL]))),-1)))</f>
        <v>45187</v>
      </c>
      <c r="AI360" s="41" t="str">
        <f ca="1">IF(NOTA[[#This Row],[NAMA BARANG]]="","",INDEX(NOTA[SUPPLIER],MATCH(,INDIRECT(ADDRESS(ROW(NOTA[ID]),COLUMN(NOTA[ID]))&amp;":"&amp;ADDRESS(ROW(),COLUMN(NOTA[ID]))),-1)))</f>
        <v>ATALI MAKMUR</v>
      </c>
      <c r="AJ360" s="41" t="str">
        <f ca="1">IF(NOTA[[#This Row],[ID_H]]="","",IF(NOTA[[#This Row],[FAKTUR]]="",INDIRECT(ADDRESS(ROW()-1,COLUMN())),NOTA[[#This Row],[FAKTUR]]))</f>
        <v>ARTO MORO</v>
      </c>
      <c r="AK360" s="38" t="str">
        <f ca="1">IF(NOTA[[#This Row],[ID]]="","",COUNTIF(NOTA[ID_H],NOTA[[#This Row],[ID_H]]))</f>
        <v/>
      </c>
      <c r="AL360" s="38">
        <f ca="1">IF(NOTA[[#This Row],[TGL.NOTA]]="",IF(NOTA[[#This Row],[SUPPLIER_H]]="","",AL359),MONTH(NOTA[[#This Row],[TGL.NOTA]]))</f>
        <v>9</v>
      </c>
      <c r="AM360" s="38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38" t="str">
        <f>IF(NOTA[[#This Row],[CONCAT4]]="","",_xlfn.IFNA(MATCH(NOTA[[#This Row],[CONCAT4]],[2]!RAW[CONCAT_H],0),FALSE))</f>
        <v/>
      </c>
      <c r="AR360" s="38">
        <f>IF(NOTA[[#This Row],[CONCAT1]]="","",MATCH(NOTA[[#This Row],[CONCAT1]],[3]!db[NB NOTA_C],0))</f>
        <v>599</v>
      </c>
      <c r="AS360" s="38" t="str">
        <f>IF(NOTA[[#This Row],[QTY/ CTN]]="","",TRUE)</f>
        <v/>
      </c>
      <c r="AT360" s="38" t="str">
        <f ca="1">IF(NOTA[[#This Row],[ID_H]]="","",IF(NOTA[[#This Row],[Column3]]=TRUE,NOTA[[#This Row],[QTY/ CTN]],INDEX([3]!db[QTY/ CTN],NOTA[[#This Row],[//DB]])))</f>
        <v>12 LSN</v>
      </c>
      <c r="AU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colorpencilcps24jk12lsnartomoro</v>
      </c>
      <c r="AV360" s="38" t="e">
        <f ca="1">IF(NOTA[[#This Row],[ID_H]]="","",MATCH(NOTA[[#This Row],[NB NOTA_C_QTY]],[4]!db[NB NOTA_C_QTY+F],0))</f>
        <v>#REF!</v>
      </c>
      <c r="AW360" s="53">
        <f ca="1">IF(NOTA[[#This Row],[NB NOTA_C_QTY]]="","",ROW()-2)</f>
        <v>358</v>
      </c>
    </row>
    <row r="361" spans="1:49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58</v>
      </c>
      <c r="E361" s="46"/>
      <c r="F361" s="37"/>
      <c r="G361" s="37"/>
      <c r="H361" s="47"/>
      <c r="I361" s="37"/>
      <c r="J361" s="39"/>
      <c r="K361" s="37"/>
      <c r="L361" s="37" t="s">
        <v>452</v>
      </c>
      <c r="M361" s="40">
        <v>1</v>
      </c>
      <c r="N361" s="38">
        <v>144</v>
      </c>
      <c r="O361" s="37" t="s">
        <v>132</v>
      </c>
      <c r="P361" s="41">
        <v>10600</v>
      </c>
      <c r="Q361" s="42"/>
      <c r="R361" s="48"/>
      <c r="S361" s="49">
        <v>0.125</v>
      </c>
      <c r="T361" s="44">
        <v>0.05</v>
      </c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1526400</v>
      </c>
      <c r="Y361" s="50">
        <f>IF(NOTA[[#This Row],[JUMLAH]]="","",NOTA[[#This Row],[JUMLAH]]*NOTA[[#This Row],[DISC 1]])</f>
        <v>190800</v>
      </c>
      <c r="Z361" s="50">
        <f>IF(NOTA[[#This Row],[JUMLAH]]="","",(NOTA[[#This Row],[JUMLAH]]-NOTA[[#This Row],[DISC 1-]])*NOTA[[#This Row],[DISC 2]])</f>
        <v>66780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257580</v>
      </c>
      <c r="AC361" s="50">
        <f>IF(NOTA[[#This Row],[JUMLAH]]="","",NOTA[[#This Row],[JUMLAH]]-NOTA[[#This Row],[DISC]])</f>
        <v>1268820</v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61" s="50">
        <f>IF(OR(NOTA[[#This Row],[QTY]]="",NOTA[[#This Row],[HARGA SATUAN]]="",),"",NOTA[[#This Row],[QTY]]*NOTA[[#This Row],[HARGA SATUAN]])</f>
        <v>1526400</v>
      </c>
      <c r="AH361" s="39">
        <f ca="1">IF(NOTA[ID_H]="","",INDEX(NOTA[TANGGAL],MATCH(,INDIRECT(ADDRESS(ROW(NOTA[TANGGAL]),COLUMN(NOTA[TANGGAL]))&amp;":"&amp;ADDRESS(ROW(),COLUMN(NOTA[TANGGAL]))),-1)))</f>
        <v>45187</v>
      </c>
      <c r="AI361" s="41" t="str">
        <f ca="1">IF(NOTA[[#This Row],[NAMA BARANG]]="","",INDEX(NOTA[SUPPLIER],MATCH(,INDIRECT(ADDRESS(ROW(NOTA[ID]),COLUMN(NOTA[ID]))&amp;":"&amp;ADDRESS(ROW(),COLUMN(NOTA[ID]))),-1)))</f>
        <v>ATALI MAKMUR</v>
      </c>
      <c r="AJ361" s="41" t="str">
        <f ca="1">IF(NOTA[[#This Row],[ID_H]]="","",IF(NOTA[[#This Row],[FAKTUR]]="",INDIRECT(ADDRESS(ROW()-1,COLUMN())),NOTA[[#This Row],[FAKTUR]]))</f>
        <v>ARTO MORO</v>
      </c>
      <c r="AK361" s="38" t="str">
        <f ca="1">IF(NOTA[[#This Row],[ID]]="","",COUNTIF(NOTA[ID_H],NOTA[[#This Row],[ID_H]]))</f>
        <v/>
      </c>
      <c r="AL361" s="38">
        <f ca="1">IF(NOTA[[#This Row],[TGL.NOTA]]="",IF(NOTA[[#This Row],[SUPPLIER_H]]="","",AL360),MONTH(NOTA[[#This Row],[TGL.NOTA]]))</f>
        <v>9</v>
      </c>
      <c r="AM361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38" t="str">
        <f>IF(NOTA[[#This Row],[CONCAT4]]="","",_xlfn.IFNA(MATCH(NOTA[[#This Row],[CONCAT4]],[2]!RAW[CONCAT_H],0),FALSE))</f>
        <v/>
      </c>
      <c r="AR361" s="38">
        <f>IF(NOTA[[#This Row],[CONCAT1]]="","",MATCH(NOTA[[#This Row],[CONCAT1]],[3]!db[NB NOTA_C],0))</f>
        <v>591</v>
      </c>
      <c r="AS361" s="38" t="str">
        <f>IF(NOTA[[#This Row],[QTY/ CTN]]="","",TRUE)</f>
        <v/>
      </c>
      <c r="AT361" s="38" t="str">
        <f ca="1">IF(NOTA[[#This Row],[ID_H]]="","",IF(NOTA[[#This Row],[Column3]]=TRUE,NOTA[[#This Row],[QTY/ CTN]],INDEX([3]!db[QTY/ CTN],NOTA[[#This Row],[//DB]])))</f>
        <v>12 LSN</v>
      </c>
      <c r="AU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361" s="38" t="e">
        <f ca="1">IF(NOTA[[#This Row],[ID_H]]="","",MATCH(NOTA[[#This Row],[NB NOTA_C_QTY]],[4]!db[NB NOTA_C_QTY+F],0))</f>
        <v>#REF!</v>
      </c>
      <c r="AW361" s="53">
        <f ca="1">IF(NOTA[[#This Row],[NB NOTA_C_QTY]]="","",ROW()-2)</f>
        <v>359</v>
      </c>
    </row>
    <row r="362" spans="1:49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58</v>
      </c>
      <c r="E362" s="46"/>
      <c r="F362" s="37"/>
      <c r="G362" s="37"/>
      <c r="H362" s="47"/>
      <c r="I362" s="37"/>
      <c r="J362" s="39"/>
      <c r="K362" s="37"/>
      <c r="L362" s="37" t="s">
        <v>451</v>
      </c>
      <c r="M362" s="40">
        <v>4</v>
      </c>
      <c r="N362" s="38">
        <v>288</v>
      </c>
      <c r="O362" s="37" t="s">
        <v>132</v>
      </c>
      <c r="P362" s="41">
        <v>21200</v>
      </c>
      <c r="Q362" s="42"/>
      <c r="R362" s="48"/>
      <c r="S362" s="49">
        <v>0.125</v>
      </c>
      <c r="T362" s="44">
        <v>0.05</v>
      </c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6105600</v>
      </c>
      <c r="Y362" s="50">
        <f>IF(NOTA[[#This Row],[JUMLAH]]="","",NOTA[[#This Row],[JUMLAH]]*NOTA[[#This Row],[DISC 1]])</f>
        <v>763200</v>
      </c>
      <c r="Z362" s="50">
        <f>IF(NOTA[[#This Row],[JUMLAH]]="","",(NOTA[[#This Row],[JUMLAH]]-NOTA[[#This Row],[DISC 1-]])*NOTA[[#This Row],[DISC 2]])</f>
        <v>267120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1030320</v>
      </c>
      <c r="AC362" s="50">
        <f>IF(NOTA[[#This Row],[JUMLAH]]="","",NOTA[[#This Row],[JUMLAH]]-NOTA[[#This Row],[DISC]])</f>
        <v>5075280</v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362" s="50">
        <f>IF(OR(NOTA[[#This Row],[QTY]]="",NOTA[[#This Row],[HARGA SATUAN]]="",),"",NOTA[[#This Row],[QTY]]*NOTA[[#This Row],[HARGA SATUAN]])</f>
        <v>6105600</v>
      </c>
      <c r="AH362" s="39">
        <f ca="1">IF(NOTA[ID_H]="","",INDEX(NOTA[TANGGAL],MATCH(,INDIRECT(ADDRESS(ROW(NOTA[TANGGAL]),COLUMN(NOTA[TANGGAL]))&amp;":"&amp;ADDRESS(ROW(),COLUMN(NOTA[TANGGAL]))),-1)))</f>
        <v>45187</v>
      </c>
      <c r="AI362" s="41" t="str">
        <f ca="1">IF(NOTA[[#This Row],[NAMA BARANG]]="","",INDEX(NOTA[SUPPLIER],MATCH(,INDIRECT(ADDRESS(ROW(NOTA[ID]),COLUMN(NOTA[ID]))&amp;":"&amp;ADDRESS(ROW(),COLUMN(NOTA[ID]))),-1)))</f>
        <v>ATALI MAKMUR</v>
      </c>
      <c r="AJ362" s="41" t="str">
        <f ca="1">IF(NOTA[[#This Row],[ID_H]]="","",IF(NOTA[[#This Row],[FAKTUR]]="",INDIRECT(ADDRESS(ROW()-1,COLUMN())),NOTA[[#This Row],[FAKTUR]]))</f>
        <v>ARTO MORO</v>
      </c>
      <c r="AK362" s="38" t="str">
        <f ca="1">IF(NOTA[[#This Row],[ID]]="","",COUNTIF(NOTA[ID_H],NOTA[[#This Row],[ID_H]]))</f>
        <v/>
      </c>
      <c r="AL362" s="38">
        <f ca="1">IF(NOTA[[#This Row],[TGL.NOTA]]="",IF(NOTA[[#This Row],[SUPPLIER_H]]="","",AL361),MONTH(NOTA[[#This Row],[TGL.NOTA]]))</f>
        <v>9</v>
      </c>
      <c r="AM362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38" t="str">
        <f>IF(NOTA[[#This Row],[CONCAT4]]="","",_xlfn.IFNA(MATCH(NOTA[[#This Row],[CONCAT4]],[2]!RAW[CONCAT_H],0),FALSE))</f>
        <v/>
      </c>
      <c r="AR362" s="38">
        <f>IF(NOTA[[#This Row],[CONCAT1]]="","",MATCH(NOTA[[#This Row],[CONCAT1]],[3]!db[NB NOTA_C],0))</f>
        <v>593</v>
      </c>
      <c r="AS362" s="38" t="str">
        <f>IF(NOTA[[#This Row],[QTY/ CTN]]="","",TRUE)</f>
        <v/>
      </c>
      <c r="AT362" s="38" t="str">
        <f ca="1">IF(NOTA[[#This Row],[ID_H]]="","",IF(NOTA[[#This Row],[Column3]]=TRUE,NOTA[[#This Row],[QTY/ CTN]],INDEX([3]!db[QTY/ CTN],NOTA[[#This Row],[//DB]])))</f>
        <v>12 BOX (6 SET)</v>
      </c>
      <c r="AU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362" s="38" t="e">
        <f ca="1">IF(NOTA[[#This Row],[ID_H]]="","",MATCH(NOTA[[#This Row],[NB NOTA_C_QTY]],[4]!db[NB NOTA_C_QTY+F],0))</f>
        <v>#REF!</v>
      </c>
      <c r="AW362" s="53">
        <f ca="1">IF(NOTA[[#This Row],[NB NOTA_C_QTY]]="","",ROW()-2)</f>
        <v>360</v>
      </c>
    </row>
    <row r="363" spans="1:49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58</v>
      </c>
      <c r="E363" s="46"/>
      <c r="F363" s="37"/>
      <c r="G363" s="37"/>
      <c r="H363" s="47"/>
      <c r="I363" s="37"/>
      <c r="J363" s="39"/>
      <c r="K363" s="37"/>
      <c r="L363" s="37" t="s">
        <v>477</v>
      </c>
      <c r="M363" s="40">
        <v>1</v>
      </c>
      <c r="N363" s="38">
        <v>720</v>
      </c>
      <c r="O363" s="37" t="s">
        <v>126</v>
      </c>
      <c r="P363" s="41">
        <v>4600</v>
      </c>
      <c r="Q363" s="42"/>
      <c r="R363" s="48"/>
      <c r="S363" s="49">
        <v>0.125</v>
      </c>
      <c r="T363" s="44">
        <v>0.05</v>
      </c>
      <c r="U363" s="44"/>
      <c r="V363" s="50"/>
      <c r="W363" s="45"/>
      <c r="X363" s="50">
        <f>IF(NOTA[[#This Row],[HARGA/ CTN]]="",NOTA[[#This Row],[JUMLAH_H]],NOTA[[#This Row],[HARGA/ CTN]]*IF(NOTA[[#This Row],[C]]="",0,NOTA[[#This Row],[C]]))</f>
        <v>3312000</v>
      </c>
      <c r="Y363" s="50">
        <f>IF(NOTA[[#This Row],[JUMLAH]]="","",NOTA[[#This Row],[JUMLAH]]*NOTA[[#This Row],[DISC 1]])</f>
        <v>414000</v>
      </c>
      <c r="Z363" s="50">
        <f>IF(NOTA[[#This Row],[JUMLAH]]="","",(NOTA[[#This Row],[JUMLAH]]-NOTA[[#This Row],[DISC 1-]])*NOTA[[#This Row],[DISC 2]])</f>
        <v>144900</v>
      </c>
      <c r="AA363" s="50">
        <f>IF(NOTA[[#This Row],[JUMLAH]]="","",(NOTA[[#This Row],[JUMLAH]]-NOTA[[#This Row],[DISC 1-]]-NOTA[[#This Row],[DISC 2-]])*NOTA[[#This Row],[DISC 3]])</f>
        <v>0</v>
      </c>
      <c r="AB363" s="50">
        <f>IF(NOTA[[#This Row],[JUMLAH]]="","",NOTA[[#This Row],[DISC 1-]]+NOTA[[#This Row],[DISC 2-]]+NOTA[[#This Row],[DISC 3-]])</f>
        <v>558900</v>
      </c>
      <c r="AC363" s="50">
        <f>IF(NOTA[[#This Row],[JUMLAH]]="","",NOTA[[#This Row],[JUMLAH]]-NOTA[[#This Row],[DISC]])</f>
        <v>2753100</v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3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G363" s="50">
        <f>IF(OR(NOTA[[#This Row],[QTY]]="",NOTA[[#This Row],[HARGA SATUAN]]="",),"",NOTA[[#This Row],[QTY]]*NOTA[[#This Row],[HARGA SATUAN]])</f>
        <v>3312000</v>
      </c>
      <c r="AH363" s="39">
        <f ca="1">IF(NOTA[ID_H]="","",INDEX(NOTA[TANGGAL],MATCH(,INDIRECT(ADDRESS(ROW(NOTA[TANGGAL]),COLUMN(NOTA[TANGGAL]))&amp;":"&amp;ADDRESS(ROW(),COLUMN(NOTA[TANGGAL]))),-1)))</f>
        <v>45187</v>
      </c>
      <c r="AI363" s="41" t="str">
        <f ca="1">IF(NOTA[[#This Row],[NAMA BARANG]]="","",INDEX(NOTA[SUPPLIER],MATCH(,INDIRECT(ADDRESS(ROW(NOTA[ID]),COLUMN(NOTA[ID]))&amp;":"&amp;ADDRESS(ROW(),COLUMN(NOTA[ID]))),-1)))</f>
        <v>ATALI MAKMUR</v>
      </c>
      <c r="AJ363" s="41" t="str">
        <f ca="1">IF(NOTA[[#This Row],[ID_H]]="","",IF(NOTA[[#This Row],[FAKTUR]]="",INDIRECT(ADDRESS(ROW()-1,COLUMN())),NOTA[[#This Row],[FAKTUR]]))</f>
        <v>ARTO MORO</v>
      </c>
      <c r="AK363" s="38" t="str">
        <f ca="1">IF(NOTA[[#This Row],[ID]]="","",COUNTIF(NOTA[ID_H],NOTA[[#This Row],[ID_H]]))</f>
        <v/>
      </c>
      <c r="AL363" s="38">
        <f ca="1">IF(NOTA[[#This Row],[TGL.NOTA]]="",IF(NOTA[[#This Row],[SUPPLIER_H]]="","",AL362),MONTH(NOTA[[#This Row],[TGL.NOTA]]))</f>
        <v>9</v>
      </c>
      <c r="AM363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N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O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P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38" t="str">
        <f>IF(NOTA[[#This Row],[CONCAT4]]="","",_xlfn.IFNA(MATCH(NOTA[[#This Row],[CONCAT4]],[2]!RAW[CONCAT_H],0),FALSE))</f>
        <v/>
      </c>
      <c r="AR363" s="38">
        <f>IF(NOTA[[#This Row],[CONCAT1]]="","",MATCH(NOTA[[#This Row],[CONCAT1]],[3]!db[NB NOTA_C],0))</f>
        <v>626</v>
      </c>
      <c r="AS363" s="38" t="str">
        <f>IF(NOTA[[#This Row],[QTY/ CTN]]="","",TRUE)</f>
        <v/>
      </c>
      <c r="AT363" s="38" t="str">
        <f ca="1">IF(NOTA[[#This Row],[ID_H]]="","",IF(NOTA[[#This Row],[Column3]]=TRUE,NOTA[[#This Row],[QTY/ CTN]],INDEX([3]!db[QTY/ CTN],NOTA[[#This Row],[//DB]])))</f>
        <v>60 LSN</v>
      </c>
      <c r="AU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V363" s="38" t="e">
        <f ca="1">IF(NOTA[[#This Row],[ID_H]]="","",MATCH(NOTA[[#This Row],[NB NOTA_C_QTY]],[4]!db[NB NOTA_C_QTY+F],0))</f>
        <v>#REF!</v>
      </c>
      <c r="AW363" s="53">
        <f ca="1">IF(NOTA[[#This Row],[NB NOTA_C_QTY]]="","",ROW()-2)</f>
        <v>361</v>
      </c>
    </row>
    <row r="364" spans="1:49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58</v>
      </c>
      <c r="E364" s="46"/>
      <c r="F364" s="37"/>
      <c r="G364" s="37"/>
      <c r="H364" s="47"/>
      <c r="I364" s="37"/>
      <c r="J364" s="39"/>
      <c r="K364" s="37"/>
      <c r="L364" s="37" t="s">
        <v>478</v>
      </c>
      <c r="M364" s="40">
        <v>2</v>
      </c>
      <c r="N364" s="38">
        <v>864</v>
      </c>
      <c r="O364" s="37" t="s">
        <v>126</v>
      </c>
      <c r="P364" s="41">
        <v>4400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3801600</v>
      </c>
      <c r="Y364" s="50">
        <f>IF(NOTA[[#This Row],[JUMLAH]]="","",NOTA[[#This Row],[JUMLAH]]*NOTA[[#This Row],[DISC 1]])</f>
        <v>475200</v>
      </c>
      <c r="Z364" s="50">
        <f>IF(NOTA[[#This Row],[JUMLAH]]="","",(NOTA[[#This Row],[JUMLAH]]-NOTA[[#This Row],[DISC 1-]])*NOTA[[#This Row],[DISC 2]])</f>
        <v>166320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641520</v>
      </c>
      <c r="AC364" s="50">
        <f>IF(NOTA[[#This Row],[JUMLAH]]="","",NOTA[[#This Row],[JUMLAH]]-NOTA[[#This Row],[DISC]])</f>
        <v>3160080</v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4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G364" s="50">
        <f>IF(OR(NOTA[[#This Row],[QTY]]="",NOTA[[#This Row],[HARGA SATUAN]]="",),"",NOTA[[#This Row],[QTY]]*NOTA[[#This Row],[HARGA SATUAN]])</f>
        <v>3801600</v>
      </c>
      <c r="AH364" s="39">
        <f ca="1">IF(NOTA[ID_H]="","",INDEX(NOTA[TANGGAL],MATCH(,INDIRECT(ADDRESS(ROW(NOTA[TANGGAL]),COLUMN(NOTA[TANGGAL]))&amp;":"&amp;ADDRESS(ROW(),COLUMN(NOTA[TANGGAL]))),-1)))</f>
        <v>45187</v>
      </c>
      <c r="AI364" s="41" t="str">
        <f ca="1">IF(NOTA[[#This Row],[NAMA BARANG]]="","",INDEX(NOTA[SUPPLIER],MATCH(,INDIRECT(ADDRESS(ROW(NOTA[ID]),COLUMN(NOTA[ID]))&amp;":"&amp;ADDRESS(ROW(),COLUMN(NOTA[ID]))),-1)))</f>
        <v>ATALI MAKMUR</v>
      </c>
      <c r="AJ364" s="41" t="str">
        <f ca="1">IF(NOTA[[#This Row],[ID_H]]="","",IF(NOTA[[#This Row],[FAKTUR]]="",INDIRECT(ADDRESS(ROW()-1,COLUMN())),NOTA[[#This Row],[FAKTUR]]))</f>
        <v>ARTO MORO</v>
      </c>
      <c r="AK364" s="38" t="str">
        <f ca="1">IF(NOTA[[#This Row],[ID]]="","",COUNTIF(NOTA[ID_H],NOTA[[#This Row],[ID_H]]))</f>
        <v/>
      </c>
      <c r="AL364" s="38">
        <f ca="1">IF(NOTA[[#This Row],[TGL.NOTA]]="",IF(NOTA[[#This Row],[SUPPLIER_H]]="","",AL363),MONTH(NOTA[[#This Row],[TGL.NOTA]]))</f>
        <v>9</v>
      </c>
      <c r="AM364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N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38" t="str">
        <f>IF(NOTA[[#This Row],[CONCAT4]]="","",_xlfn.IFNA(MATCH(NOTA[[#This Row],[CONCAT4]],[2]!RAW[CONCAT_H],0),FALSE))</f>
        <v/>
      </c>
      <c r="AR364" s="38">
        <f>IF(NOTA[[#This Row],[CONCAT1]]="","",MATCH(NOTA[[#This Row],[CONCAT1]],[3]!db[NB NOTA_C],0))</f>
        <v>1142</v>
      </c>
      <c r="AS364" s="38" t="str">
        <f>IF(NOTA[[#This Row],[QTY/ CTN]]="","",TRUE)</f>
        <v/>
      </c>
      <c r="AT364" s="38" t="str">
        <f ca="1">IF(NOTA[[#This Row],[ID_H]]="","",IF(NOTA[[#This Row],[Column3]]=TRUE,NOTA[[#This Row],[QTY/ CTN]],INDEX([3]!db[QTY/ CTN],NOTA[[#This Row],[//DB]])))</f>
        <v>36 LSN</v>
      </c>
      <c r="AU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V364" s="38" t="e">
        <f ca="1">IF(NOTA[[#This Row],[ID_H]]="","",MATCH(NOTA[[#This Row],[NB NOTA_C_QTY]],[4]!db[NB NOTA_C_QTY+F],0))</f>
        <v>#REF!</v>
      </c>
      <c r="AW364" s="53">
        <f ca="1">IF(NOTA[[#This Row],[NB NOTA_C_QTY]]="","",ROW()-2)</f>
        <v>362</v>
      </c>
    </row>
    <row r="365" spans="1:49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58</v>
      </c>
      <c r="E365" s="46"/>
      <c r="F365" s="37"/>
      <c r="G365" s="37"/>
      <c r="H365" s="47"/>
      <c r="I365" s="37"/>
      <c r="J365" s="39"/>
      <c r="K365" s="37"/>
      <c r="L365" s="37" t="s">
        <v>386</v>
      </c>
      <c r="M365" s="40">
        <v>5</v>
      </c>
      <c r="N365" s="38">
        <v>250</v>
      </c>
      <c r="O365" s="37" t="s">
        <v>183</v>
      </c>
      <c r="P365" s="41">
        <v>28300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7075000</v>
      </c>
      <c r="Y365" s="50">
        <f>IF(NOTA[[#This Row],[JUMLAH]]="","",NOTA[[#This Row],[JUMLAH]]*NOTA[[#This Row],[DISC 1]])</f>
        <v>884375</v>
      </c>
      <c r="Z365" s="50">
        <f>IF(NOTA[[#This Row],[JUMLAH]]="","",(NOTA[[#This Row],[JUMLAH]]-NOTA[[#This Row],[DISC 1-]])*NOTA[[#This Row],[DISC 2]])</f>
        <v>309531.25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1193906.25</v>
      </c>
      <c r="AC365" s="50">
        <f>IF(NOTA[[#This Row],[JUMLAH]]="","",NOTA[[#This Row],[JUMLAH]]-NOTA[[#This Row],[DISC]])</f>
        <v>5881093.75</v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365" s="50">
        <f>IF(OR(NOTA[[#This Row],[QTY]]="",NOTA[[#This Row],[HARGA SATUAN]]="",),"",NOTA[[#This Row],[QTY]]*NOTA[[#This Row],[HARGA SATUAN]])</f>
        <v>7075000</v>
      </c>
      <c r="AH365" s="39">
        <f ca="1">IF(NOTA[ID_H]="","",INDEX(NOTA[TANGGAL],MATCH(,INDIRECT(ADDRESS(ROW(NOTA[TANGGAL]),COLUMN(NOTA[TANGGAL]))&amp;":"&amp;ADDRESS(ROW(),COLUMN(NOTA[TANGGAL]))),-1)))</f>
        <v>45187</v>
      </c>
      <c r="AI365" s="41" t="str">
        <f ca="1">IF(NOTA[[#This Row],[NAMA BARANG]]="","",INDEX(NOTA[SUPPLIER],MATCH(,INDIRECT(ADDRESS(ROW(NOTA[ID]),COLUMN(NOTA[ID]))&amp;":"&amp;ADDRESS(ROW(),COLUMN(NOTA[ID]))),-1)))</f>
        <v>ATALI MAKMUR</v>
      </c>
      <c r="AJ365" s="41" t="str">
        <f ca="1">IF(NOTA[[#This Row],[ID_H]]="","",IF(NOTA[[#This Row],[FAKTUR]]="",INDIRECT(ADDRESS(ROW()-1,COLUMN())),NOTA[[#This Row],[FAKTUR]]))</f>
        <v>ARTO MORO</v>
      </c>
      <c r="AK365" s="38" t="str">
        <f ca="1">IF(NOTA[[#This Row],[ID]]="","",COUNTIF(NOTA[ID_H],NOTA[[#This Row],[ID_H]]))</f>
        <v/>
      </c>
      <c r="AL365" s="38">
        <f ca="1">IF(NOTA[[#This Row],[TGL.NOTA]]="",IF(NOTA[[#This Row],[SUPPLIER_H]]="","",AL364),MONTH(NOTA[[#This Row],[TGL.NOTA]]))</f>
        <v>9</v>
      </c>
      <c r="AM36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38" t="str">
        <f>IF(NOTA[[#This Row],[CONCAT4]]="","",_xlfn.IFNA(MATCH(NOTA[[#This Row],[CONCAT4]],[2]!RAW[CONCAT_H],0),FALSE))</f>
        <v/>
      </c>
      <c r="AR365" s="38">
        <f>IF(NOTA[[#This Row],[CONCAT1]]="","",MATCH(NOTA[[#This Row],[CONCAT1]],[3]!db[NB NOTA_C],0))</f>
        <v>834</v>
      </c>
      <c r="AS365" s="38" t="str">
        <f>IF(NOTA[[#This Row],[QTY/ CTN]]="","",TRUE)</f>
        <v/>
      </c>
      <c r="AT365" s="38" t="str">
        <f ca="1">IF(NOTA[[#This Row],[ID_H]]="","",IF(NOTA[[#This Row],[Column3]]=TRUE,NOTA[[#This Row],[QTY/ CTN]],INDEX([3]!db[QTY/ CTN],NOTA[[#This Row],[//DB]])))</f>
        <v>50 BOX (40 PCS)</v>
      </c>
      <c r="AU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365" s="38" t="e">
        <f ca="1">IF(NOTA[[#This Row],[ID_H]]="","",MATCH(NOTA[[#This Row],[NB NOTA_C_QTY]],[4]!db[NB NOTA_C_QTY+F],0))</f>
        <v>#REF!</v>
      </c>
      <c r="AW365" s="53">
        <f ca="1">IF(NOTA[[#This Row],[NB NOTA_C_QTY]]="","",ROW()-2)</f>
        <v>363</v>
      </c>
    </row>
    <row r="366" spans="1:49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58</v>
      </c>
      <c r="E366" s="46"/>
      <c r="F366" s="37"/>
      <c r="G366" s="37"/>
      <c r="H366" s="47"/>
      <c r="I366" s="37"/>
      <c r="J366" s="39"/>
      <c r="K366" s="37"/>
      <c r="L366" s="37" t="s">
        <v>479</v>
      </c>
      <c r="M366" s="40">
        <v>5</v>
      </c>
      <c r="N366" s="38">
        <v>250</v>
      </c>
      <c r="O366" s="37" t="s">
        <v>183</v>
      </c>
      <c r="P366" s="41">
        <v>28300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7075000</v>
      </c>
      <c r="Y366" s="50">
        <f>IF(NOTA[[#This Row],[JUMLAH]]="","",NOTA[[#This Row],[JUMLAH]]*NOTA[[#This Row],[DISC 1]])</f>
        <v>884375</v>
      </c>
      <c r="Z366" s="50">
        <f>IF(NOTA[[#This Row],[JUMLAH]]="","",(NOTA[[#This Row],[JUMLAH]]-NOTA[[#This Row],[DISC 1-]])*NOTA[[#This Row],[DISC 2]])</f>
        <v>309531.25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1193906.25</v>
      </c>
      <c r="AC366" s="50">
        <f>IF(NOTA[[#This Row],[JUMLAH]]="","",NOTA[[#This Row],[JUMLAH]]-NOTA[[#This Row],[DISC]])</f>
        <v>5881093.75</v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G366" s="50">
        <f>IF(OR(NOTA[[#This Row],[QTY]]="",NOTA[[#This Row],[HARGA SATUAN]]="",),"",NOTA[[#This Row],[QTY]]*NOTA[[#This Row],[HARGA SATUAN]])</f>
        <v>7075000</v>
      </c>
      <c r="AH366" s="39">
        <f ca="1">IF(NOTA[ID_H]="","",INDEX(NOTA[TANGGAL],MATCH(,INDIRECT(ADDRESS(ROW(NOTA[TANGGAL]),COLUMN(NOTA[TANGGAL]))&amp;":"&amp;ADDRESS(ROW(),COLUMN(NOTA[TANGGAL]))),-1)))</f>
        <v>45187</v>
      </c>
      <c r="AI366" s="41" t="str">
        <f ca="1">IF(NOTA[[#This Row],[NAMA BARANG]]="","",INDEX(NOTA[SUPPLIER],MATCH(,INDIRECT(ADDRESS(ROW(NOTA[ID]),COLUMN(NOTA[ID]))&amp;":"&amp;ADDRESS(ROW(),COLUMN(NOTA[ID]))),-1)))</f>
        <v>ATALI MAKMUR</v>
      </c>
      <c r="AJ366" s="41" t="str">
        <f ca="1">IF(NOTA[[#This Row],[ID_H]]="","",IF(NOTA[[#This Row],[FAKTUR]]="",INDIRECT(ADDRESS(ROW()-1,COLUMN())),NOTA[[#This Row],[FAKTUR]]))</f>
        <v>ARTO MORO</v>
      </c>
      <c r="AK366" s="38" t="str">
        <f ca="1">IF(NOTA[[#This Row],[ID]]="","",COUNTIF(NOTA[ID_H],NOTA[[#This Row],[ID_H]]))</f>
        <v/>
      </c>
      <c r="AL366" s="38">
        <f ca="1">IF(NOTA[[#This Row],[TGL.NOTA]]="",IF(NOTA[[#This Row],[SUPPLIER_H]]="","",AL365),MONTH(NOTA[[#This Row],[TGL.NOTA]]))</f>
        <v>9</v>
      </c>
      <c r="AM36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N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38" t="str">
        <f>IF(NOTA[[#This Row],[CONCAT4]]="","",_xlfn.IFNA(MATCH(NOTA[[#This Row],[CONCAT4]],[2]!RAW[CONCAT_H],0),FALSE))</f>
        <v/>
      </c>
      <c r="AR366" s="38">
        <f>IF(NOTA[[#This Row],[CONCAT1]]="","",MATCH(NOTA[[#This Row],[CONCAT1]],[3]!db[NB NOTA_C],0))</f>
        <v>832</v>
      </c>
      <c r="AS366" s="38" t="str">
        <f>IF(NOTA[[#This Row],[QTY/ CTN]]="","",TRUE)</f>
        <v/>
      </c>
      <c r="AT366" s="38" t="str">
        <f ca="1">IF(NOTA[[#This Row],[ID_H]]="","",IF(NOTA[[#This Row],[Column3]]=TRUE,NOTA[[#This Row],[QTY/ CTN]],INDEX([3]!db[QTY/ CTN],NOTA[[#This Row],[//DB]])))</f>
        <v>50 BOX (40 PCS)</v>
      </c>
      <c r="AU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V366" s="38" t="e">
        <f ca="1">IF(NOTA[[#This Row],[ID_H]]="","",MATCH(NOTA[[#This Row],[NB NOTA_C_QTY]],[4]!db[NB NOTA_C_QTY+F],0))</f>
        <v>#REF!</v>
      </c>
      <c r="AW366" s="53">
        <f ca="1">IF(NOTA[[#This Row],[NB NOTA_C_QTY]]="","",ROW()-2)</f>
        <v>364</v>
      </c>
    </row>
    <row r="367" spans="1:49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58</v>
      </c>
      <c r="E367" s="46"/>
      <c r="F367" s="37"/>
      <c r="G367" s="37"/>
      <c r="H367" s="47"/>
      <c r="I367" s="37"/>
      <c r="J367" s="39"/>
      <c r="K367" s="37"/>
      <c r="L367" s="37" t="s">
        <v>480</v>
      </c>
      <c r="M367" s="40">
        <v>4</v>
      </c>
      <c r="N367" s="38">
        <v>200</v>
      </c>
      <c r="O367" s="37" t="s">
        <v>183</v>
      </c>
      <c r="P367" s="41">
        <v>32000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6400000</v>
      </c>
      <c r="Y367" s="50">
        <f>IF(NOTA[[#This Row],[JUMLAH]]="","",NOTA[[#This Row],[JUMLAH]]*NOTA[[#This Row],[DISC 1]])</f>
        <v>800000</v>
      </c>
      <c r="Z367" s="50">
        <f>IF(NOTA[[#This Row],[JUMLAH]]="","",(NOTA[[#This Row],[JUMLAH]]-NOTA[[#This Row],[DISC 1-]])*NOTA[[#This Row],[DISC 2]])</f>
        <v>280000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1080000</v>
      </c>
      <c r="AC367" s="50">
        <f>IF(NOTA[[#This Row],[JUMLAH]]="","",NOTA[[#This Row],[JUMLAH]]-NOTA[[#This Row],[DISC]])</f>
        <v>5320000</v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367" s="50">
        <f>IF(OR(NOTA[[#This Row],[QTY]]="",NOTA[[#This Row],[HARGA SATUAN]]="",),"",NOTA[[#This Row],[QTY]]*NOTA[[#This Row],[HARGA SATUAN]])</f>
        <v>6400000</v>
      </c>
      <c r="AH367" s="39">
        <f ca="1">IF(NOTA[ID_H]="","",INDEX(NOTA[TANGGAL],MATCH(,INDIRECT(ADDRESS(ROW(NOTA[TANGGAL]),COLUMN(NOTA[TANGGAL]))&amp;":"&amp;ADDRESS(ROW(),COLUMN(NOTA[TANGGAL]))),-1)))</f>
        <v>45187</v>
      </c>
      <c r="AI367" s="41" t="str">
        <f ca="1">IF(NOTA[[#This Row],[NAMA BARANG]]="","",INDEX(NOTA[SUPPLIER],MATCH(,INDIRECT(ADDRESS(ROW(NOTA[ID]),COLUMN(NOTA[ID]))&amp;":"&amp;ADDRESS(ROW(),COLUMN(NOTA[ID]))),-1)))</f>
        <v>ATALI MAKMUR</v>
      </c>
      <c r="AJ367" s="41" t="str">
        <f ca="1">IF(NOTA[[#This Row],[ID_H]]="","",IF(NOTA[[#This Row],[FAKTUR]]="",INDIRECT(ADDRESS(ROW()-1,COLUMN())),NOTA[[#This Row],[FAKTUR]]))</f>
        <v>ARTO MORO</v>
      </c>
      <c r="AK367" s="38" t="str">
        <f ca="1">IF(NOTA[[#This Row],[ID]]="","",COUNTIF(NOTA[ID_H],NOTA[[#This Row],[ID_H]]))</f>
        <v/>
      </c>
      <c r="AL367" s="38">
        <f ca="1">IF(NOTA[[#This Row],[TGL.NOTA]]="",IF(NOTA[[#This Row],[SUPPLIER_H]]="","",AL366),MONTH(NOTA[[#This Row],[TGL.NOTA]]))</f>
        <v>9</v>
      </c>
      <c r="AM367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N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7" s="38" t="str">
        <f>IF(NOTA[[#This Row],[CONCAT4]]="","",_xlfn.IFNA(MATCH(NOTA[[#This Row],[CONCAT4]],[2]!RAW[CONCAT_H],0),FALSE))</f>
        <v/>
      </c>
      <c r="AR367" s="38">
        <f>IF(NOTA[[#This Row],[CONCAT1]]="","",MATCH(NOTA[[#This Row],[CONCAT1]],[3]!db[NB NOTA_C],0))</f>
        <v>841</v>
      </c>
      <c r="AS367" s="38" t="str">
        <f>IF(NOTA[[#This Row],[QTY/ CTN]]="","",TRUE)</f>
        <v/>
      </c>
      <c r="AT367" s="38" t="str">
        <f ca="1">IF(NOTA[[#This Row],[ID_H]]="","",IF(NOTA[[#This Row],[Column3]]=TRUE,NOTA[[#This Row],[QTY/ CTN]],INDEX([3]!db[QTY/ CTN],NOTA[[#This Row],[//DB]])))</f>
        <v>50 BOX (30 PCS)</v>
      </c>
      <c r="AU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V367" s="38" t="e">
        <f ca="1">IF(NOTA[[#This Row],[ID_H]]="","",MATCH(NOTA[[#This Row],[NB NOTA_C_QTY]],[4]!db[NB NOTA_C_QTY+F],0))</f>
        <v>#REF!</v>
      </c>
      <c r="AW367" s="53">
        <f ca="1">IF(NOTA[[#This Row],[NB NOTA_C_QTY]]="","",ROW()-2)</f>
        <v>365</v>
      </c>
    </row>
    <row r="368" spans="1:49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58</v>
      </c>
      <c r="E368" s="46"/>
      <c r="F368" s="37"/>
      <c r="G368" s="37"/>
      <c r="H368" s="47"/>
      <c r="I368" s="37"/>
      <c r="J368" s="39"/>
      <c r="K368" s="37"/>
      <c r="L368" s="37" t="s">
        <v>481</v>
      </c>
      <c r="M368" s="40">
        <v>3</v>
      </c>
      <c r="N368" s="38">
        <v>150</v>
      </c>
      <c r="O368" s="37" t="s">
        <v>183</v>
      </c>
      <c r="P368" s="41">
        <v>34100</v>
      </c>
      <c r="Q368" s="42"/>
      <c r="R368" s="48"/>
      <c r="S368" s="49">
        <v>0.125</v>
      </c>
      <c r="T368" s="44">
        <v>0.05</v>
      </c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5115000</v>
      </c>
      <c r="Y368" s="50">
        <f>IF(NOTA[[#This Row],[JUMLAH]]="","",NOTA[[#This Row],[JUMLAH]]*NOTA[[#This Row],[DISC 1]])</f>
        <v>639375</v>
      </c>
      <c r="Z368" s="50">
        <f>IF(NOTA[[#This Row],[JUMLAH]]="","",(NOTA[[#This Row],[JUMLAH]]-NOTA[[#This Row],[DISC 1-]])*NOTA[[#This Row],[DISC 2]])</f>
        <v>223781.25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863156.25</v>
      </c>
      <c r="AC368" s="50">
        <f>IF(NOTA[[#This Row],[JUMLAH]]="","",NOTA[[#This Row],[JUMLAH]]-NOTA[[#This Row],[DISC]])</f>
        <v>4251843.75</v>
      </c>
      <c r="AD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8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368" s="50">
        <f>IF(OR(NOTA[[#This Row],[QTY]]="",NOTA[[#This Row],[HARGA SATUAN]]="",),"",NOTA[[#This Row],[QTY]]*NOTA[[#This Row],[HARGA SATUAN]])</f>
        <v>5115000</v>
      </c>
      <c r="AH368" s="39">
        <f ca="1">IF(NOTA[ID_H]="","",INDEX(NOTA[TANGGAL],MATCH(,INDIRECT(ADDRESS(ROW(NOTA[TANGGAL]),COLUMN(NOTA[TANGGAL]))&amp;":"&amp;ADDRESS(ROW(),COLUMN(NOTA[TANGGAL]))),-1)))</f>
        <v>45187</v>
      </c>
      <c r="AI368" s="41" t="str">
        <f ca="1">IF(NOTA[[#This Row],[NAMA BARANG]]="","",INDEX(NOTA[SUPPLIER],MATCH(,INDIRECT(ADDRESS(ROW(NOTA[ID]),COLUMN(NOTA[ID]))&amp;":"&amp;ADDRESS(ROW(),COLUMN(NOTA[ID]))),-1)))</f>
        <v>ATALI MAKMUR</v>
      </c>
      <c r="AJ368" s="41" t="str">
        <f ca="1">IF(NOTA[[#This Row],[ID_H]]="","",IF(NOTA[[#This Row],[FAKTUR]]="",INDIRECT(ADDRESS(ROW()-1,COLUMN())),NOTA[[#This Row],[FAKTUR]]))</f>
        <v>ARTO MORO</v>
      </c>
      <c r="AK368" s="38" t="str">
        <f ca="1">IF(NOTA[[#This Row],[ID]]="","",COUNTIF(NOTA[ID_H],NOTA[[#This Row],[ID_H]]))</f>
        <v/>
      </c>
      <c r="AL368" s="38">
        <f ca="1">IF(NOTA[[#This Row],[TGL.NOTA]]="",IF(NOTA[[#This Row],[SUPPLIER_H]]="","",AL367),MONTH(NOTA[[#This Row],[TGL.NOTA]]))</f>
        <v>9</v>
      </c>
      <c r="AM368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N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38" t="str">
        <f>IF(NOTA[[#This Row],[CONCAT4]]="","",_xlfn.IFNA(MATCH(NOTA[[#This Row],[CONCAT4]],[2]!RAW[CONCAT_H],0),FALSE))</f>
        <v/>
      </c>
      <c r="AR368" s="38">
        <f>IF(NOTA[[#This Row],[CONCAT1]]="","",MATCH(NOTA[[#This Row],[CONCAT1]],[3]!db[NB NOTA_C],0))</f>
        <v>842</v>
      </c>
      <c r="AS368" s="38" t="str">
        <f>IF(NOTA[[#This Row],[QTY/ CTN]]="","",TRUE)</f>
        <v/>
      </c>
      <c r="AT368" s="38" t="str">
        <f ca="1">IF(NOTA[[#This Row],[ID_H]]="","",IF(NOTA[[#This Row],[Column3]]=TRUE,NOTA[[#This Row],[QTY/ CTN]],INDEX([3]!db[QTY/ CTN],NOTA[[#This Row],[//DB]])))</f>
        <v>50 BOX (20 PCS)</v>
      </c>
      <c r="AU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V368" s="38" t="e">
        <f ca="1">IF(NOTA[[#This Row],[ID_H]]="","",MATCH(NOTA[[#This Row],[NB NOTA_C_QTY]],[4]!db[NB NOTA_C_QTY+F],0))</f>
        <v>#REF!</v>
      </c>
      <c r="AW368" s="53">
        <f ca="1">IF(NOTA[[#This Row],[NB NOTA_C_QTY]]="","",ROW()-2)</f>
        <v>366</v>
      </c>
    </row>
    <row r="369" spans="1:49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58</v>
      </c>
      <c r="E369" s="46"/>
      <c r="F369" s="37"/>
      <c r="G369" s="37"/>
      <c r="H369" s="47"/>
      <c r="I369" s="37"/>
      <c r="J369" s="39"/>
      <c r="K369" s="37"/>
      <c r="L369" s="37" t="s">
        <v>225</v>
      </c>
      <c r="M369" s="40">
        <v>6</v>
      </c>
      <c r="N369" s="38">
        <v>144</v>
      </c>
      <c r="O369" s="37" t="s">
        <v>126</v>
      </c>
      <c r="P369" s="41">
        <v>19000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2736000</v>
      </c>
      <c r="Y369" s="50">
        <f>IF(NOTA[[#This Row],[JUMLAH]]="","",NOTA[[#This Row],[JUMLAH]]*NOTA[[#This Row],[DISC 1]])</f>
        <v>342000</v>
      </c>
      <c r="Z369" s="50">
        <f>IF(NOTA[[#This Row],[JUMLAH]]="","",(NOTA[[#This Row],[JUMLAH]]-NOTA[[#This Row],[DISC 1-]])*NOTA[[#This Row],[DISC 2]])</f>
        <v>119700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461700</v>
      </c>
      <c r="AC369" s="50">
        <f>IF(NOTA[[#This Row],[JUMLAH]]="","",NOTA[[#This Row],[JUMLAH]]-NOTA[[#This Row],[DISC]])</f>
        <v>2274300</v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69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G369" s="50">
        <f>IF(OR(NOTA[[#This Row],[QTY]]="",NOTA[[#This Row],[HARGA SATUAN]]="",),"",NOTA[[#This Row],[QTY]]*NOTA[[#This Row],[HARGA SATUAN]])</f>
        <v>2736000</v>
      </c>
      <c r="AH369" s="39">
        <f ca="1">IF(NOTA[ID_H]="","",INDEX(NOTA[TANGGAL],MATCH(,INDIRECT(ADDRESS(ROW(NOTA[TANGGAL]),COLUMN(NOTA[TANGGAL]))&amp;":"&amp;ADDRESS(ROW(),COLUMN(NOTA[TANGGAL]))),-1)))</f>
        <v>45187</v>
      </c>
      <c r="AI369" s="41" t="str">
        <f ca="1">IF(NOTA[[#This Row],[NAMA BARANG]]="","",INDEX(NOTA[SUPPLIER],MATCH(,INDIRECT(ADDRESS(ROW(NOTA[ID]),COLUMN(NOTA[ID]))&amp;":"&amp;ADDRESS(ROW(),COLUMN(NOTA[ID]))),-1)))</f>
        <v>ATALI MAKMUR</v>
      </c>
      <c r="AJ369" s="41" t="str">
        <f ca="1">IF(NOTA[[#This Row],[ID_H]]="","",IF(NOTA[[#This Row],[FAKTUR]]="",INDIRECT(ADDRESS(ROW()-1,COLUMN())),NOTA[[#This Row],[FAKTUR]]))</f>
        <v>ARTO MORO</v>
      </c>
      <c r="AK369" s="38" t="str">
        <f ca="1">IF(NOTA[[#This Row],[ID]]="","",COUNTIF(NOTA[ID_H],NOTA[[#This Row],[ID_H]]))</f>
        <v/>
      </c>
      <c r="AL369" s="38">
        <f ca="1">IF(NOTA[[#This Row],[TGL.NOTA]]="",IF(NOTA[[#This Row],[SUPPLIER_H]]="","",AL368),MONTH(NOTA[[#This Row],[TGL.NOTA]]))</f>
        <v>9</v>
      </c>
      <c r="AM369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38" t="str">
        <f>IF(NOTA[[#This Row],[CONCAT4]]="","",_xlfn.IFNA(MATCH(NOTA[[#This Row],[CONCAT4]],[2]!RAW[CONCAT_H],0),FALSE))</f>
        <v/>
      </c>
      <c r="AR369" s="38">
        <f>IF(NOTA[[#This Row],[CONCAT1]]="","",MATCH(NOTA[[#This Row],[CONCAT1]],[3]!db[NB NOTA_C],0))</f>
        <v>2527</v>
      </c>
      <c r="AS369" s="38" t="str">
        <f>IF(NOTA[[#This Row],[QTY/ CTN]]="","",TRUE)</f>
        <v/>
      </c>
      <c r="AT369" s="38" t="str">
        <f ca="1">IF(NOTA[[#This Row],[ID_H]]="","",IF(NOTA[[#This Row],[Column3]]=TRUE,NOTA[[#This Row],[QTY/ CTN]],INDEX([3]!db[QTY/ CTN],NOTA[[#This Row],[//DB]])))</f>
        <v>24 PCS</v>
      </c>
      <c r="AU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369" s="38" t="e">
        <f ca="1">IF(NOTA[[#This Row],[ID_H]]="","",MATCH(NOTA[[#This Row],[NB NOTA_C_QTY]],[4]!db[NB NOTA_C_QTY+F],0))</f>
        <v>#REF!</v>
      </c>
      <c r="AW369" s="53">
        <f ca="1">IF(NOTA[[#This Row],[NB NOTA_C_QTY]]="","",ROW()-2)</f>
        <v>367</v>
      </c>
    </row>
    <row r="370" spans="1:49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58</v>
      </c>
      <c r="E370" s="46"/>
      <c r="F370" s="37"/>
      <c r="G370" s="37"/>
      <c r="H370" s="47"/>
      <c r="I370" s="37"/>
      <c r="J370" s="39"/>
      <c r="K370" s="37"/>
      <c r="L370" s="37" t="s">
        <v>384</v>
      </c>
      <c r="M370" s="40">
        <v>1</v>
      </c>
      <c r="N370" s="38">
        <v>240</v>
      </c>
      <c r="O370" s="37" t="s">
        <v>132</v>
      </c>
      <c r="P370" s="41">
        <v>8800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2112000</v>
      </c>
      <c r="Y370" s="50">
        <f>IF(NOTA[[#This Row],[JUMLAH]]="","",NOTA[[#This Row],[JUMLAH]]*NOTA[[#This Row],[DISC 1]])</f>
        <v>264000</v>
      </c>
      <c r="Z370" s="50">
        <f>IF(NOTA[[#This Row],[JUMLAH]]="","",(NOTA[[#This Row],[JUMLAH]]-NOTA[[#This Row],[DISC 1-]])*NOTA[[#This Row],[DISC 2]])</f>
        <v>92400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356400</v>
      </c>
      <c r="AC370" s="50">
        <f>IF(NOTA[[#This Row],[JUMLAH]]="","",NOTA[[#This Row],[JUMLAH]]-NOTA[[#This Row],[DISC]])</f>
        <v>1755600</v>
      </c>
      <c r="AD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8278908.75</v>
      </c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40781291.25</v>
      </c>
      <c r="AF370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G370" s="50">
        <f>IF(OR(NOTA[[#This Row],[QTY]]="",NOTA[[#This Row],[HARGA SATUAN]]="",),"",NOTA[[#This Row],[QTY]]*NOTA[[#This Row],[HARGA SATUAN]])</f>
        <v>2112000</v>
      </c>
      <c r="AH370" s="39">
        <f ca="1">IF(NOTA[ID_H]="","",INDEX(NOTA[TANGGAL],MATCH(,INDIRECT(ADDRESS(ROW(NOTA[TANGGAL]),COLUMN(NOTA[TANGGAL]))&amp;":"&amp;ADDRESS(ROW(),COLUMN(NOTA[TANGGAL]))),-1)))</f>
        <v>45187</v>
      </c>
      <c r="AI370" s="41" t="str">
        <f ca="1">IF(NOTA[[#This Row],[NAMA BARANG]]="","",INDEX(NOTA[SUPPLIER],MATCH(,INDIRECT(ADDRESS(ROW(NOTA[ID]),COLUMN(NOTA[ID]))&amp;":"&amp;ADDRESS(ROW(),COLUMN(NOTA[ID]))),-1)))</f>
        <v>ATALI MAKMUR</v>
      </c>
      <c r="AJ370" s="41" t="str">
        <f ca="1">IF(NOTA[[#This Row],[ID_H]]="","",IF(NOTA[[#This Row],[FAKTUR]]="",INDIRECT(ADDRESS(ROW()-1,COLUMN())),NOTA[[#This Row],[FAKTUR]]))</f>
        <v>ARTO MORO</v>
      </c>
      <c r="AK370" s="38" t="str">
        <f ca="1">IF(NOTA[[#This Row],[ID]]="","",COUNTIF(NOTA[ID_H],NOTA[[#This Row],[ID_H]]))</f>
        <v/>
      </c>
      <c r="AL370" s="38">
        <f ca="1">IF(NOTA[[#This Row],[TGL.NOTA]]="",IF(NOTA[[#This Row],[SUPPLIER_H]]="","",AL369),MONTH(NOTA[[#This Row],[TGL.NOTA]]))</f>
        <v>9</v>
      </c>
      <c r="AM370" s="38" t="str">
        <f>LOWER(SUBSTITUTE(SUBSTITUTE(SUBSTITUTE(SUBSTITUTE(SUBSTITUTE(SUBSTITUTE(SUBSTITUTE(SUBSTITUTE(SUBSTITUTE(NOTA[NAMA BARANG]," ",),".",""),"-",""),"(",""),")",""),",",""),"/",""),"""",""),"+",""))</f>
        <v>brushbr1jk</v>
      </c>
      <c r="AN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38" t="str">
        <f>IF(NOTA[[#This Row],[CONCAT4]]="","",_xlfn.IFNA(MATCH(NOTA[[#This Row],[CONCAT4]],[2]!RAW[CONCAT_H],0),FALSE))</f>
        <v/>
      </c>
      <c r="AR370" s="38">
        <f>IF(NOTA[[#This Row],[CONCAT1]]="","",MATCH(NOTA[[#This Row],[CONCAT1]],[3]!db[NB NOTA_C],0))</f>
        <v>392</v>
      </c>
      <c r="AS370" s="38" t="str">
        <f>IF(NOTA[[#This Row],[QTY/ CTN]]="","",TRUE)</f>
        <v/>
      </c>
      <c r="AT370" s="38" t="str">
        <f ca="1">IF(NOTA[[#This Row],[ID_H]]="","",IF(NOTA[[#This Row],[Column3]]=TRUE,NOTA[[#This Row],[QTY/ CTN]],INDEX([3]!db[QTY/ CTN],NOTA[[#This Row],[//DB]])))</f>
        <v>10 BOX (24 SET)</v>
      </c>
      <c r="AU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370" s="38" t="e">
        <f ca="1">IF(NOTA[[#This Row],[ID_H]]="","",MATCH(NOTA[[#This Row],[NB NOTA_C_QTY]],[4]!db[NB NOTA_C_QTY+F],0))</f>
        <v>#REF!</v>
      </c>
      <c r="AW370" s="53">
        <f ca="1">IF(NOTA[[#This Row],[NB NOTA_C_QTY]]="","",ROW()-2)</f>
        <v>368</v>
      </c>
    </row>
    <row r="371" spans="1:49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71" s="50" t="str">
        <f>IF(OR(NOTA[[#This Row],[QTY]]="",NOTA[[#This Row],[HARGA SATUAN]]="",),"",NOTA[[#This Row],[QTY]]*NOTA[[#This Row],[HARGA SATUAN]])</f>
        <v/>
      </c>
      <c r="AH371" s="39" t="str">
        <f ca="1">IF(NOTA[ID_H]="","",INDEX(NOTA[TANGGAL],MATCH(,INDIRECT(ADDRESS(ROW(NOTA[TANGGAL]),COLUMN(NOTA[TANGGAL]))&amp;":"&amp;ADDRESS(ROW(),COLUMN(NOTA[TANGGAL]))),-1)))</f>
        <v/>
      </c>
      <c r="AI371" s="41" t="str">
        <f ca="1">IF(NOTA[[#This Row],[NAMA BARANG]]="","",INDEX(NOTA[SUPPLIER],MATCH(,INDIRECT(ADDRESS(ROW(NOTA[ID]),COLUMN(NOTA[ID]))&amp;":"&amp;ADDRESS(ROW(),COLUMN(NOTA[ID]))),-1)))</f>
        <v/>
      </c>
      <c r="AJ371" s="41" t="str">
        <f ca="1">IF(NOTA[[#This Row],[ID_H]]="","",IF(NOTA[[#This Row],[FAKTUR]]="",INDIRECT(ADDRESS(ROW()-1,COLUMN())),NOTA[[#This Row],[FAKTUR]]))</f>
        <v/>
      </c>
      <c r="AK371" s="38" t="str">
        <f ca="1">IF(NOTA[[#This Row],[ID]]="","",COUNTIF(NOTA[ID_H],NOTA[[#This Row],[ID_H]]))</f>
        <v/>
      </c>
      <c r="AL371" s="38" t="str">
        <f ca="1">IF(NOTA[[#This Row],[TGL.NOTA]]="",IF(NOTA[[#This Row],[SUPPLIER_H]]="","",AL370),MONTH(NOTA[[#This Row],[TGL.NOTA]]))</f>
        <v/>
      </c>
      <c r="AM371" s="38" t="str">
        <f>LOWER(SUBSTITUTE(SUBSTITUTE(SUBSTITUTE(SUBSTITUTE(SUBSTITUTE(SUBSTITUTE(SUBSTITUTE(SUBSTITUTE(SUBSTITUTE(NOTA[NAMA BARANG]," ",),".",""),"-",""),"(",""),")",""),",",""),"/",""),"""",""),"+",""))</f>
        <v/>
      </c>
      <c r="AN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38" t="str">
        <f>IF(NOTA[[#This Row],[CONCAT4]]="","",_xlfn.IFNA(MATCH(NOTA[[#This Row],[CONCAT4]],[2]!RAW[CONCAT_H],0),FALSE))</f>
        <v/>
      </c>
      <c r="AR371" s="38" t="str">
        <f>IF(NOTA[[#This Row],[CONCAT1]]="","",MATCH(NOTA[[#This Row],[CONCAT1]],[3]!db[NB NOTA_C],0))</f>
        <v/>
      </c>
      <c r="AS371" s="38" t="str">
        <f>IF(NOTA[[#This Row],[QTY/ CTN]]="","",TRUE)</f>
        <v/>
      </c>
      <c r="AT371" s="38" t="str">
        <f ca="1">IF(NOTA[[#This Row],[ID_H]]="","",IF(NOTA[[#This Row],[Column3]]=TRUE,NOTA[[#This Row],[QTY/ CTN]],INDEX([3]!db[QTY/ CTN],NOTA[[#This Row],[//DB]])))</f>
        <v/>
      </c>
      <c r="AU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71" s="38" t="str">
        <f ca="1">IF(NOTA[[#This Row],[ID_H]]="","",MATCH(NOTA[[#This Row],[NB NOTA_C_QTY]],[4]!db[NB NOTA_C_QTY+F],0))</f>
        <v/>
      </c>
      <c r="AW371" s="53" t="str">
        <f ca="1">IF(NOTA[[#This Row],[NB NOTA_C_QTY]]="","",ROW()-2)</f>
        <v/>
      </c>
    </row>
    <row r="372" spans="1:49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MSI_2009_149-10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59</v>
      </c>
      <c r="E372" s="46">
        <v>45189</v>
      </c>
      <c r="F372" s="37" t="s">
        <v>482</v>
      </c>
      <c r="G372" s="37" t="s">
        <v>123</v>
      </c>
      <c r="H372" s="47" t="s">
        <v>483</v>
      </c>
      <c r="I372" s="37"/>
      <c r="J372" s="39">
        <v>45177</v>
      </c>
      <c r="K372" s="37"/>
      <c r="L372" s="37" t="s">
        <v>484</v>
      </c>
      <c r="M372" s="40">
        <v>10</v>
      </c>
      <c r="N372" s="38">
        <v>1440</v>
      </c>
      <c r="O372" s="37" t="s">
        <v>138</v>
      </c>
      <c r="P372" s="41">
        <v>9000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12960000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12960000</v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2" s="50">
        <f>IF(OR(NOTA[[#This Row],[QTY]]="",NOTA[[#This Row],[HARGA SATUAN]]="",),"",NOTA[[#This Row],[QTY]]*NOTA[[#This Row],[HARGA SATUAN]])</f>
        <v>12960000</v>
      </c>
      <c r="AH372" s="39">
        <f ca="1">IF(NOTA[ID_H]="","",INDEX(NOTA[TANGGAL],MATCH(,INDIRECT(ADDRESS(ROW(NOTA[TANGGAL]),COLUMN(NOTA[TANGGAL]))&amp;":"&amp;ADDRESS(ROW(),COLUMN(NOTA[TANGGAL]))),-1)))</f>
        <v>45189</v>
      </c>
      <c r="AI372" s="41" t="str">
        <f ca="1">IF(NOTA[[#This Row],[NAMA BARANG]]="","",INDEX(NOTA[SUPPLIER],MATCH(,INDIRECT(ADDRESS(ROW(NOTA[ID]),COLUMN(NOTA[ID]))&amp;":"&amp;ADDRESS(ROW(),COLUMN(NOTA[ID]))),-1)))</f>
        <v>MSI</v>
      </c>
      <c r="AJ372" s="41" t="str">
        <f ca="1">IF(NOTA[[#This Row],[ID_H]]="","",IF(NOTA[[#This Row],[FAKTUR]]="",INDIRECT(ADDRESS(ROW()-1,COLUMN())),NOTA[[#This Row],[FAKTUR]]))</f>
        <v>UNTANA</v>
      </c>
      <c r="AK372" s="38">
        <f ca="1">IF(NOTA[[#This Row],[ID]]="","",COUNTIF(NOTA[ID_H],NOTA[[#This Row],[ID_H]]))</f>
        <v>10</v>
      </c>
      <c r="AL372" s="38">
        <f>IF(NOTA[[#This Row],[TGL.NOTA]]="",IF(NOTA[[#This Row],[SUPPLIER_H]]="","",AL371),MONTH(NOTA[[#This Row],[TGL.NOTA]]))</f>
        <v>9</v>
      </c>
      <c r="AM372" s="38" t="str">
        <f>LOWER(SUBSTITUTE(SUBSTITUTE(SUBSTITUTE(SUBSTITUTE(SUBSTITUTE(SUBSTITUTE(SUBSTITUTE(SUBSTITUTE(SUBSTITUTE(NOTA[NAMA BARANG]," ",),".",""),"-",""),"(",""),")",""),",",""),"/",""),"""",""),"+",""))</f>
        <v>gelpenvtr238justiceleague</v>
      </c>
      <c r="AN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gelpenvtr238justiceleague1296000</v>
      </c>
      <c r="AO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gelpenvtr238justiceleague1296000</v>
      </c>
      <c r="AP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MSIUNTANA23/IX/14945177gelpenvtr238justiceleague</v>
      </c>
      <c r="AQ372" s="38" t="e">
        <f>IF(NOTA[[#This Row],[CONCAT4]]="","",_xlfn.IFNA(MATCH(NOTA[[#This Row],[CONCAT4]],[2]!RAW[CONCAT_H],0),FALSE))</f>
        <v>#REF!</v>
      </c>
      <c r="AR372" s="38" t="e">
        <f>IF(NOTA[[#This Row],[CONCAT1]]="","",MATCH(NOTA[[#This Row],[CONCAT1]],[3]!db[NB NOTA_C],0))</f>
        <v>#N/A</v>
      </c>
      <c r="AS372" s="38" t="str">
        <f>IF(NOTA[[#This Row],[QTY/ CTN]]="","",TRUE)</f>
        <v/>
      </c>
      <c r="AT372" s="38" t="e">
        <f ca="1">IF(NOTA[[#This Row],[ID_H]]="","",IF(NOTA[[#This Row],[Column3]]=TRUE,NOTA[[#This Row],[QTY/ CTN]],INDEX([3]!db[QTY/ CTN],NOTA[[#This Row],[//DB]])))</f>
        <v>#N/A</v>
      </c>
      <c r="AU3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2" s="38" t="e">
        <f ca="1">IF(NOTA[[#This Row],[ID_H]]="","",MATCH(NOTA[[#This Row],[NB NOTA_C_QTY]],[4]!db[NB NOTA_C_QTY+F],0))</f>
        <v>#N/A</v>
      </c>
      <c r="AW372" s="53" t="e">
        <f ca="1">IF(NOTA[[#This Row],[NB NOTA_C_QTY]]="","",ROW()-2)</f>
        <v>#N/A</v>
      </c>
    </row>
    <row r="373" spans="1:49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59</v>
      </c>
      <c r="E373" s="46"/>
      <c r="F373" s="37"/>
      <c r="G373" s="37"/>
      <c r="H373" s="47"/>
      <c r="I373" s="37"/>
      <c r="J373" s="39"/>
      <c r="K373" s="37"/>
      <c r="L373" s="37" t="s">
        <v>485</v>
      </c>
      <c r="M373" s="40">
        <v>10</v>
      </c>
      <c r="N373" s="38">
        <v>1440</v>
      </c>
      <c r="O373" s="37" t="s">
        <v>138</v>
      </c>
      <c r="P373" s="41">
        <v>9000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12960000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12960000</v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3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3" s="50">
        <f>IF(OR(NOTA[[#This Row],[QTY]]="",NOTA[[#This Row],[HARGA SATUAN]]="",),"",NOTA[[#This Row],[QTY]]*NOTA[[#This Row],[HARGA SATUAN]])</f>
        <v>12960000</v>
      </c>
      <c r="AH373" s="39">
        <f ca="1">IF(NOTA[ID_H]="","",INDEX(NOTA[TANGGAL],MATCH(,INDIRECT(ADDRESS(ROW(NOTA[TANGGAL]),COLUMN(NOTA[TANGGAL]))&amp;":"&amp;ADDRESS(ROW(),COLUMN(NOTA[TANGGAL]))),-1)))</f>
        <v>45189</v>
      </c>
      <c r="AI373" s="41" t="str">
        <f ca="1">IF(NOTA[[#This Row],[NAMA BARANG]]="","",INDEX(NOTA[SUPPLIER],MATCH(,INDIRECT(ADDRESS(ROW(NOTA[ID]),COLUMN(NOTA[ID]))&amp;":"&amp;ADDRESS(ROW(),COLUMN(NOTA[ID]))),-1)))</f>
        <v>MSI</v>
      </c>
      <c r="AJ373" s="41" t="str">
        <f ca="1">IF(NOTA[[#This Row],[ID_H]]="","",IF(NOTA[[#This Row],[FAKTUR]]="",INDIRECT(ADDRESS(ROW()-1,COLUMN())),NOTA[[#This Row],[FAKTUR]]))</f>
        <v>UNTANA</v>
      </c>
      <c r="AK373" s="38" t="str">
        <f ca="1">IF(NOTA[[#This Row],[ID]]="","",COUNTIF(NOTA[ID_H],NOTA[[#This Row],[ID_H]]))</f>
        <v/>
      </c>
      <c r="AL373" s="38">
        <f ca="1">IF(NOTA[[#This Row],[TGL.NOTA]]="",IF(NOTA[[#This Row],[SUPPLIER_H]]="","",AL372),MONTH(NOTA[[#This Row],[TGL.NOTA]]))</f>
        <v>9</v>
      </c>
      <c r="AM373" s="38" t="str">
        <f>LOWER(SUBSTITUTE(SUBSTITUTE(SUBSTITUTE(SUBSTITUTE(SUBSTITUTE(SUBSTITUTE(SUBSTITUTE(SUBSTITUTE(SUBSTITUTE(NOTA[NAMA BARANG]," ",),".",""),"-",""),"(",""),")",""),",",""),"/",""),"""",""),"+",""))</f>
        <v>gelpenvtr238popgirls</v>
      </c>
      <c r="AN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gelpenvtr238popgirls1296000</v>
      </c>
      <c r="AO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gelpenvtr238popgirls1296000</v>
      </c>
      <c r="AP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38" t="str">
        <f>IF(NOTA[[#This Row],[CONCAT4]]="","",_xlfn.IFNA(MATCH(NOTA[[#This Row],[CONCAT4]],[2]!RAW[CONCAT_H],0),FALSE))</f>
        <v/>
      </c>
      <c r="AR373" s="38" t="e">
        <f>IF(NOTA[[#This Row],[CONCAT1]]="","",MATCH(NOTA[[#This Row],[CONCAT1]],[3]!db[NB NOTA_C],0))</f>
        <v>#N/A</v>
      </c>
      <c r="AS373" s="38" t="str">
        <f>IF(NOTA[[#This Row],[QTY/ CTN]]="","",TRUE)</f>
        <v/>
      </c>
      <c r="AT373" s="38" t="e">
        <f ca="1">IF(NOTA[[#This Row],[ID_H]]="","",IF(NOTA[[#This Row],[Column3]]=TRUE,NOTA[[#This Row],[QTY/ CTN]],INDEX([3]!db[QTY/ CTN],NOTA[[#This Row],[//DB]])))</f>
        <v>#N/A</v>
      </c>
      <c r="AU3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3" s="38" t="e">
        <f ca="1">IF(NOTA[[#This Row],[ID_H]]="","",MATCH(NOTA[[#This Row],[NB NOTA_C_QTY]],[4]!db[NB NOTA_C_QTY+F],0))</f>
        <v>#N/A</v>
      </c>
      <c r="AW373" s="53" t="e">
        <f ca="1">IF(NOTA[[#This Row],[NB NOTA_C_QTY]]="","",ROW()-2)</f>
        <v>#N/A</v>
      </c>
    </row>
    <row r="374" spans="1:49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59</v>
      </c>
      <c r="E374" s="46"/>
      <c r="F374" s="37"/>
      <c r="G374" s="37"/>
      <c r="H374" s="47"/>
      <c r="I374" s="37"/>
      <c r="J374" s="39"/>
      <c r="K374" s="37"/>
      <c r="L374" s="37" t="s">
        <v>486</v>
      </c>
      <c r="M374" s="40">
        <v>10</v>
      </c>
      <c r="N374" s="38">
        <v>1440</v>
      </c>
      <c r="O374" s="37" t="s">
        <v>138</v>
      </c>
      <c r="P374" s="41">
        <v>9000</v>
      </c>
      <c r="Q374" s="42"/>
      <c r="R374" s="48"/>
      <c r="S374" s="49"/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12960000</v>
      </c>
      <c r="Y374" s="50">
        <f>IF(NOTA[[#This Row],[JUMLAH]]="","",NOTA[[#This Row],[JUMLAH]]*NOTA[[#This Row],[DISC 1]])</f>
        <v>0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0</v>
      </c>
      <c r="AC374" s="50">
        <f>IF(NOTA[[#This Row],[JUMLAH]]="","",NOTA[[#This Row],[JUMLAH]]-NOTA[[#This Row],[DISC]])</f>
        <v>12960000</v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4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4" s="50">
        <f>IF(OR(NOTA[[#This Row],[QTY]]="",NOTA[[#This Row],[HARGA SATUAN]]="",),"",NOTA[[#This Row],[QTY]]*NOTA[[#This Row],[HARGA SATUAN]])</f>
        <v>12960000</v>
      </c>
      <c r="AH374" s="39">
        <f ca="1">IF(NOTA[ID_H]="","",INDEX(NOTA[TANGGAL],MATCH(,INDIRECT(ADDRESS(ROW(NOTA[TANGGAL]),COLUMN(NOTA[TANGGAL]))&amp;":"&amp;ADDRESS(ROW(),COLUMN(NOTA[TANGGAL]))),-1)))</f>
        <v>45189</v>
      </c>
      <c r="AI374" s="41" t="str">
        <f ca="1">IF(NOTA[[#This Row],[NAMA BARANG]]="","",INDEX(NOTA[SUPPLIER],MATCH(,INDIRECT(ADDRESS(ROW(NOTA[ID]),COLUMN(NOTA[ID]))&amp;":"&amp;ADDRESS(ROW(),COLUMN(NOTA[ID]))),-1)))</f>
        <v>MSI</v>
      </c>
      <c r="AJ374" s="41" t="str">
        <f ca="1">IF(NOTA[[#This Row],[ID_H]]="","",IF(NOTA[[#This Row],[FAKTUR]]="",INDIRECT(ADDRESS(ROW()-1,COLUMN())),NOTA[[#This Row],[FAKTUR]]))</f>
        <v>UNTANA</v>
      </c>
      <c r="AK374" s="38" t="str">
        <f ca="1">IF(NOTA[[#This Row],[ID]]="","",COUNTIF(NOTA[ID_H],NOTA[[#This Row],[ID_H]]))</f>
        <v/>
      </c>
      <c r="AL374" s="38">
        <f ca="1">IF(NOTA[[#This Row],[TGL.NOTA]]="",IF(NOTA[[#This Row],[SUPPLIER_H]]="","",AL373),MONTH(NOTA[[#This Row],[TGL.NOTA]]))</f>
        <v>9</v>
      </c>
      <c r="AM374" s="38" t="str">
        <f>LOWER(SUBSTITUTE(SUBSTITUTE(SUBSTITUTE(SUBSTITUTE(SUBSTITUTE(SUBSTITUTE(SUBSTITUTE(SUBSTITUTE(SUBSTITUTE(NOTA[NAMA BARANG]," ",),".",""),"-",""),"(",""),")",""),",",""),"/",""),"""",""),"+",""))</f>
        <v>gelpenvtr239austronaut</v>
      </c>
      <c r="AN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gelpenvtr239austronaut1296000</v>
      </c>
      <c r="AO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gelpenvtr239austronaut1296000</v>
      </c>
      <c r="AP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4" s="38" t="str">
        <f>IF(NOTA[[#This Row],[CONCAT4]]="","",_xlfn.IFNA(MATCH(NOTA[[#This Row],[CONCAT4]],[2]!RAW[CONCAT_H],0),FALSE))</f>
        <v/>
      </c>
      <c r="AR374" s="38" t="e">
        <f>IF(NOTA[[#This Row],[CONCAT1]]="","",MATCH(NOTA[[#This Row],[CONCAT1]],[3]!db[NB NOTA_C],0))</f>
        <v>#N/A</v>
      </c>
      <c r="AS374" s="38" t="str">
        <f>IF(NOTA[[#This Row],[QTY/ CTN]]="","",TRUE)</f>
        <v/>
      </c>
      <c r="AT374" s="38" t="e">
        <f ca="1">IF(NOTA[[#This Row],[ID_H]]="","",IF(NOTA[[#This Row],[Column3]]=TRUE,NOTA[[#This Row],[QTY/ CTN]],INDEX([3]!db[QTY/ CTN],NOTA[[#This Row],[//DB]])))</f>
        <v>#N/A</v>
      </c>
      <c r="AU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4" s="38" t="e">
        <f ca="1">IF(NOTA[[#This Row],[ID_H]]="","",MATCH(NOTA[[#This Row],[NB NOTA_C_QTY]],[4]!db[NB NOTA_C_QTY+F],0))</f>
        <v>#N/A</v>
      </c>
      <c r="AW374" s="53" t="e">
        <f ca="1">IF(NOTA[[#This Row],[NB NOTA_C_QTY]]="","",ROW()-2)</f>
        <v>#N/A</v>
      </c>
    </row>
    <row r="375" spans="1:49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59</v>
      </c>
      <c r="E375" s="46"/>
      <c r="F375" s="37"/>
      <c r="G375" s="37"/>
      <c r="H375" s="47"/>
      <c r="I375" s="37"/>
      <c r="J375" s="39"/>
      <c r="K375" s="37"/>
      <c r="L375" s="37" t="s">
        <v>487</v>
      </c>
      <c r="M375" s="40">
        <v>10</v>
      </c>
      <c r="N375" s="38">
        <v>1440</v>
      </c>
      <c r="O375" s="37" t="s">
        <v>138</v>
      </c>
      <c r="P375" s="41">
        <v>9000</v>
      </c>
      <c r="Q375" s="42"/>
      <c r="R375" s="48"/>
      <c r="S375" s="49"/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12960000</v>
      </c>
      <c r="Y375" s="50">
        <f>IF(NOTA[[#This Row],[JUMLAH]]="","",NOTA[[#This Row],[JUMLAH]]*NOTA[[#This Row],[DISC 1]])</f>
        <v>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0</v>
      </c>
      <c r="AC375" s="50">
        <f>IF(NOTA[[#This Row],[JUMLAH]]="","",NOTA[[#This Row],[JUMLAH]]-NOTA[[#This Row],[DISC]])</f>
        <v>12960000</v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5" s="50">
        <f>IF(OR(NOTA[[#This Row],[QTY]]="",NOTA[[#This Row],[HARGA SATUAN]]="",),"",NOTA[[#This Row],[QTY]]*NOTA[[#This Row],[HARGA SATUAN]])</f>
        <v>12960000</v>
      </c>
      <c r="AH375" s="39">
        <f ca="1">IF(NOTA[ID_H]="","",INDEX(NOTA[TANGGAL],MATCH(,INDIRECT(ADDRESS(ROW(NOTA[TANGGAL]),COLUMN(NOTA[TANGGAL]))&amp;":"&amp;ADDRESS(ROW(),COLUMN(NOTA[TANGGAL]))),-1)))</f>
        <v>45189</v>
      </c>
      <c r="AI375" s="41" t="str">
        <f ca="1">IF(NOTA[[#This Row],[NAMA BARANG]]="","",INDEX(NOTA[SUPPLIER],MATCH(,INDIRECT(ADDRESS(ROW(NOTA[ID]),COLUMN(NOTA[ID]))&amp;":"&amp;ADDRESS(ROW(),COLUMN(NOTA[ID]))),-1)))</f>
        <v>MSI</v>
      </c>
      <c r="AJ375" s="41" t="str">
        <f ca="1">IF(NOTA[[#This Row],[ID_H]]="","",IF(NOTA[[#This Row],[FAKTUR]]="",INDIRECT(ADDRESS(ROW()-1,COLUMN())),NOTA[[#This Row],[FAKTUR]]))</f>
        <v>UNTANA</v>
      </c>
      <c r="AK375" s="38" t="str">
        <f ca="1">IF(NOTA[[#This Row],[ID]]="","",COUNTIF(NOTA[ID_H],NOTA[[#This Row],[ID_H]]))</f>
        <v/>
      </c>
      <c r="AL375" s="38">
        <f ca="1">IF(NOTA[[#This Row],[TGL.NOTA]]="",IF(NOTA[[#This Row],[SUPPLIER_H]]="","",AL374),MONTH(NOTA[[#This Row],[TGL.NOTA]]))</f>
        <v>9</v>
      </c>
      <c r="AM375" s="38" t="str">
        <f>LOWER(SUBSTITUTE(SUBSTITUTE(SUBSTITUTE(SUBSTITUTE(SUBSTITUTE(SUBSTITUTE(SUBSTITUTE(SUBSTITUTE(SUBSTITUTE(NOTA[NAMA BARANG]," ",),".",""),"-",""),"(",""),")",""),",",""),"/",""),"""",""),"+",""))</f>
        <v>gelpenvtr231rescuebots</v>
      </c>
      <c r="AN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gelpenvtr231rescuebots1296000</v>
      </c>
      <c r="AO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gelpenvtr231rescuebots1296000</v>
      </c>
      <c r="AP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38" t="str">
        <f>IF(NOTA[[#This Row],[CONCAT4]]="","",_xlfn.IFNA(MATCH(NOTA[[#This Row],[CONCAT4]],[2]!RAW[CONCAT_H],0),FALSE))</f>
        <v/>
      </c>
      <c r="AR375" s="38" t="e">
        <f>IF(NOTA[[#This Row],[CONCAT1]]="","",MATCH(NOTA[[#This Row],[CONCAT1]],[3]!db[NB NOTA_C],0))</f>
        <v>#N/A</v>
      </c>
      <c r="AS375" s="38" t="str">
        <f>IF(NOTA[[#This Row],[QTY/ CTN]]="","",TRUE)</f>
        <v/>
      </c>
      <c r="AT375" s="38" t="e">
        <f ca="1">IF(NOTA[[#This Row],[ID_H]]="","",IF(NOTA[[#This Row],[Column3]]=TRUE,NOTA[[#This Row],[QTY/ CTN]],INDEX([3]!db[QTY/ CTN],NOTA[[#This Row],[//DB]])))</f>
        <v>#N/A</v>
      </c>
      <c r="AU3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5" s="38" t="e">
        <f ca="1">IF(NOTA[[#This Row],[ID_H]]="","",MATCH(NOTA[[#This Row],[NB NOTA_C_QTY]],[4]!db[NB NOTA_C_QTY+F],0))</f>
        <v>#N/A</v>
      </c>
      <c r="AW375" s="53" t="e">
        <f ca="1">IF(NOTA[[#This Row],[NB NOTA_C_QTY]]="","",ROW()-2)</f>
        <v>#N/A</v>
      </c>
    </row>
    <row r="376" spans="1:49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59</v>
      </c>
      <c r="E376" s="46"/>
      <c r="F376" s="37"/>
      <c r="G376" s="37"/>
      <c r="H376" s="47"/>
      <c r="I376" s="37"/>
      <c r="J376" s="39"/>
      <c r="K376" s="37"/>
      <c r="L376" s="37" t="s">
        <v>488</v>
      </c>
      <c r="M376" s="40">
        <v>10</v>
      </c>
      <c r="N376" s="38">
        <v>1440</v>
      </c>
      <c r="O376" s="37" t="s">
        <v>138</v>
      </c>
      <c r="P376" s="41">
        <v>9000</v>
      </c>
      <c r="Q376" s="42"/>
      <c r="R376" s="48"/>
      <c r="S376" s="49"/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12960000</v>
      </c>
      <c r="Y376" s="50">
        <f>IF(NOTA[[#This Row],[JUMLAH]]="","",NOTA[[#This Row],[JUMLAH]]*NOTA[[#This Row],[DISC 1]])</f>
        <v>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0</v>
      </c>
      <c r="AC376" s="50">
        <f>IF(NOTA[[#This Row],[JUMLAH]]="","",NOTA[[#This Row],[JUMLAH]]-NOTA[[#This Row],[DISC]])</f>
        <v>12960000</v>
      </c>
      <c r="AD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6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6" s="50">
        <f>IF(OR(NOTA[[#This Row],[QTY]]="",NOTA[[#This Row],[HARGA SATUAN]]="",),"",NOTA[[#This Row],[QTY]]*NOTA[[#This Row],[HARGA SATUAN]])</f>
        <v>12960000</v>
      </c>
      <c r="AH376" s="39">
        <f ca="1">IF(NOTA[ID_H]="","",INDEX(NOTA[TANGGAL],MATCH(,INDIRECT(ADDRESS(ROW(NOTA[TANGGAL]),COLUMN(NOTA[TANGGAL]))&amp;":"&amp;ADDRESS(ROW(),COLUMN(NOTA[TANGGAL]))),-1)))</f>
        <v>45189</v>
      </c>
      <c r="AI376" s="41" t="str">
        <f ca="1">IF(NOTA[[#This Row],[NAMA BARANG]]="","",INDEX(NOTA[SUPPLIER],MATCH(,INDIRECT(ADDRESS(ROW(NOTA[ID]),COLUMN(NOTA[ID]))&amp;":"&amp;ADDRESS(ROW(),COLUMN(NOTA[ID]))),-1)))</f>
        <v>MSI</v>
      </c>
      <c r="AJ376" s="41" t="str">
        <f ca="1">IF(NOTA[[#This Row],[ID_H]]="","",IF(NOTA[[#This Row],[FAKTUR]]="",INDIRECT(ADDRESS(ROW()-1,COLUMN())),NOTA[[#This Row],[FAKTUR]]))</f>
        <v>UNTANA</v>
      </c>
      <c r="AK376" s="38" t="str">
        <f ca="1">IF(NOTA[[#This Row],[ID]]="","",COUNTIF(NOTA[ID_H],NOTA[[#This Row],[ID_H]]))</f>
        <v/>
      </c>
      <c r="AL376" s="38">
        <f ca="1">IF(NOTA[[#This Row],[TGL.NOTA]]="",IF(NOTA[[#This Row],[SUPPLIER_H]]="","",AL375),MONTH(NOTA[[#This Row],[TGL.NOTA]]))</f>
        <v>9</v>
      </c>
      <c r="AM376" s="38" t="str">
        <f>LOWER(SUBSTITUTE(SUBSTITUTE(SUBSTITUTE(SUBSTITUTE(SUBSTITUTE(SUBSTITUTE(SUBSTITUTE(SUBSTITUTE(SUBSTITUTE(NOTA[NAMA BARANG]," ",),".",""),"-",""),"(",""),")",""),",",""),"/",""),"""",""),"+",""))</f>
        <v>gelpenvtr235mymelody</v>
      </c>
      <c r="AN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gelpenvtr235mymelody1296000</v>
      </c>
      <c r="AO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gelpenvtr235mymelody1296000</v>
      </c>
      <c r="AP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38" t="str">
        <f>IF(NOTA[[#This Row],[CONCAT4]]="","",_xlfn.IFNA(MATCH(NOTA[[#This Row],[CONCAT4]],[2]!RAW[CONCAT_H],0),FALSE))</f>
        <v/>
      </c>
      <c r="AR376" s="38" t="e">
        <f>IF(NOTA[[#This Row],[CONCAT1]]="","",MATCH(NOTA[[#This Row],[CONCAT1]],[3]!db[NB NOTA_C],0))</f>
        <v>#N/A</v>
      </c>
      <c r="AS376" s="38" t="str">
        <f>IF(NOTA[[#This Row],[QTY/ CTN]]="","",TRUE)</f>
        <v/>
      </c>
      <c r="AT376" s="38" t="e">
        <f ca="1">IF(NOTA[[#This Row],[ID_H]]="","",IF(NOTA[[#This Row],[Column3]]=TRUE,NOTA[[#This Row],[QTY/ CTN]],INDEX([3]!db[QTY/ CTN],NOTA[[#This Row],[//DB]])))</f>
        <v>#N/A</v>
      </c>
      <c r="AU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6" s="38" t="e">
        <f ca="1">IF(NOTA[[#This Row],[ID_H]]="","",MATCH(NOTA[[#This Row],[NB NOTA_C_QTY]],[4]!db[NB NOTA_C_QTY+F],0))</f>
        <v>#N/A</v>
      </c>
      <c r="AW376" s="53" t="e">
        <f ca="1">IF(NOTA[[#This Row],[NB NOTA_C_QTY]]="","",ROW()-2)</f>
        <v>#N/A</v>
      </c>
    </row>
    <row r="377" spans="1:49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59</v>
      </c>
      <c r="E377" s="46"/>
      <c r="F377" s="37"/>
      <c r="G377" s="37"/>
      <c r="H377" s="47"/>
      <c r="I377" s="37"/>
      <c r="J377" s="39"/>
      <c r="K377" s="37"/>
      <c r="L377" s="37" t="s">
        <v>489</v>
      </c>
      <c r="M377" s="40">
        <v>10</v>
      </c>
      <c r="N377" s="38">
        <v>1440</v>
      </c>
      <c r="O377" s="37" t="s">
        <v>138</v>
      </c>
      <c r="P377" s="41">
        <v>9000</v>
      </c>
      <c r="Q377" s="42"/>
      <c r="R377" s="48"/>
      <c r="S377" s="49"/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12960000</v>
      </c>
      <c r="Y377" s="50">
        <f>IF(NOTA[[#This Row],[JUMLAH]]="","",NOTA[[#This Row],[JUMLAH]]*NOTA[[#This Row],[DISC 1]])</f>
        <v>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0</v>
      </c>
      <c r="AC377" s="50">
        <f>IF(NOTA[[#This Row],[JUMLAH]]="","",NOTA[[#This Row],[JUMLAH]]-NOTA[[#This Row],[DISC]])</f>
        <v>12960000</v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7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7" s="50">
        <f>IF(OR(NOTA[[#This Row],[QTY]]="",NOTA[[#This Row],[HARGA SATUAN]]="",),"",NOTA[[#This Row],[QTY]]*NOTA[[#This Row],[HARGA SATUAN]])</f>
        <v>12960000</v>
      </c>
      <c r="AH377" s="39">
        <f ca="1">IF(NOTA[ID_H]="","",INDEX(NOTA[TANGGAL],MATCH(,INDIRECT(ADDRESS(ROW(NOTA[TANGGAL]),COLUMN(NOTA[TANGGAL]))&amp;":"&amp;ADDRESS(ROW(),COLUMN(NOTA[TANGGAL]))),-1)))</f>
        <v>45189</v>
      </c>
      <c r="AI377" s="41" t="str">
        <f ca="1">IF(NOTA[[#This Row],[NAMA BARANG]]="","",INDEX(NOTA[SUPPLIER],MATCH(,INDIRECT(ADDRESS(ROW(NOTA[ID]),COLUMN(NOTA[ID]))&amp;":"&amp;ADDRESS(ROW(),COLUMN(NOTA[ID]))),-1)))</f>
        <v>MSI</v>
      </c>
      <c r="AJ377" s="41" t="str">
        <f ca="1">IF(NOTA[[#This Row],[ID_H]]="","",IF(NOTA[[#This Row],[FAKTUR]]="",INDIRECT(ADDRESS(ROW()-1,COLUMN())),NOTA[[#This Row],[FAKTUR]]))</f>
        <v>UNTANA</v>
      </c>
      <c r="AK377" s="38" t="str">
        <f ca="1">IF(NOTA[[#This Row],[ID]]="","",COUNTIF(NOTA[ID_H],NOTA[[#This Row],[ID_H]]))</f>
        <v/>
      </c>
      <c r="AL377" s="38">
        <f ca="1">IF(NOTA[[#This Row],[TGL.NOTA]]="",IF(NOTA[[#This Row],[SUPPLIER_H]]="","",AL376),MONTH(NOTA[[#This Row],[TGL.NOTA]]))</f>
        <v>9</v>
      </c>
      <c r="AM377" s="38" t="str">
        <f>LOWER(SUBSTITUTE(SUBSTITUTE(SUBSTITUTE(SUBSTITUTE(SUBSTITUTE(SUBSTITUTE(SUBSTITUTE(SUBSTITUTE(SUBSTITUTE(NOTA[NAMA BARANG]," ",),".",""),"-",""),"(",""),")",""),",",""),"/",""),"""",""),"+",""))</f>
        <v>gelpenvtr236powerheroes</v>
      </c>
      <c r="AN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gelpenvtr236powerheroes1296000</v>
      </c>
      <c r="AO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gelpenvtr236powerheroes1296000</v>
      </c>
      <c r="AP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38" t="str">
        <f>IF(NOTA[[#This Row],[CONCAT4]]="","",_xlfn.IFNA(MATCH(NOTA[[#This Row],[CONCAT4]],[2]!RAW[CONCAT_H],0),FALSE))</f>
        <v/>
      </c>
      <c r="AR377" s="38" t="e">
        <f>IF(NOTA[[#This Row],[CONCAT1]]="","",MATCH(NOTA[[#This Row],[CONCAT1]],[3]!db[NB NOTA_C],0))</f>
        <v>#N/A</v>
      </c>
      <c r="AS377" s="38" t="str">
        <f>IF(NOTA[[#This Row],[QTY/ CTN]]="","",TRUE)</f>
        <v/>
      </c>
      <c r="AT377" s="38" t="e">
        <f ca="1">IF(NOTA[[#This Row],[ID_H]]="","",IF(NOTA[[#This Row],[Column3]]=TRUE,NOTA[[#This Row],[QTY/ CTN]],INDEX([3]!db[QTY/ CTN],NOTA[[#This Row],[//DB]])))</f>
        <v>#N/A</v>
      </c>
      <c r="AU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7" s="38" t="e">
        <f ca="1">IF(NOTA[[#This Row],[ID_H]]="","",MATCH(NOTA[[#This Row],[NB NOTA_C_QTY]],[4]!db[NB NOTA_C_QTY+F],0))</f>
        <v>#N/A</v>
      </c>
      <c r="AW377" s="53" t="e">
        <f ca="1">IF(NOTA[[#This Row],[NB NOTA_C_QTY]]="","",ROW()-2)</f>
        <v>#N/A</v>
      </c>
    </row>
    <row r="378" spans="1:49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59</v>
      </c>
      <c r="E378" s="46"/>
      <c r="F378" s="37"/>
      <c r="G378" s="37"/>
      <c r="H378" s="47"/>
      <c r="I378" s="37"/>
      <c r="J378" s="39"/>
      <c r="K378" s="37"/>
      <c r="L378" s="37" t="s">
        <v>490</v>
      </c>
      <c r="M378" s="40">
        <v>10</v>
      </c>
      <c r="N378" s="38">
        <v>1440</v>
      </c>
      <c r="O378" s="37" t="s">
        <v>138</v>
      </c>
      <c r="P378" s="41">
        <v>9000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12960000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12960000</v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8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8" s="50">
        <f>IF(OR(NOTA[[#This Row],[QTY]]="",NOTA[[#This Row],[HARGA SATUAN]]="",),"",NOTA[[#This Row],[QTY]]*NOTA[[#This Row],[HARGA SATUAN]])</f>
        <v>12960000</v>
      </c>
      <c r="AH378" s="39">
        <f ca="1">IF(NOTA[ID_H]="","",INDEX(NOTA[TANGGAL],MATCH(,INDIRECT(ADDRESS(ROW(NOTA[TANGGAL]),COLUMN(NOTA[TANGGAL]))&amp;":"&amp;ADDRESS(ROW(),COLUMN(NOTA[TANGGAL]))),-1)))</f>
        <v>45189</v>
      </c>
      <c r="AI378" s="41" t="str">
        <f ca="1">IF(NOTA[[#This Row],[NAMA BARANG]]="","",INDEX(NOTA[SUPPLIER],MATCH(,INDIRECT(ADDRESS(ROW(NOTA[ID]),COLUMN(NOTA[ID]))&amp;":"&amp;ADDRESS(ROW(),COLUMN(NOTA[ID]))),-1)))</f>
        <v>MSI</v>
      </c>
      <c r="AJ378" s="41" t="str">
        <f ca="1">IF(NOTA[[#This Row],[ID_H]]="","",IF(NOTA[[#This Row],[FAKTUR]]="",INDIRECT(ADDRESS(ROW()-1,COLUMN())),NOTA[[#This Row],[FAKTUR]]))</f>
        <v>UNTANA</v>
      </c>
      <c r="AK378" s="38" t="str">
        <f ca="1">IF(NOTA[[#This Row],[ID]]="","",COUNTIF(NOTA[ID_H],NOTA[[#This Row],[ID_H]]))</f>
        <v/>
      </c>
      <c r="AL378" s="38">
        <f ca="1">IF(NOTA[[#This Row],[TGL.NOTA]]="",IF(NOTA[[#This Row],[SUPPLIER_H]]="","",AL377),MONTH(NOTA[[#This Row],[TGL.NOTA]]))</f>
        <v>9</v>
      </c>
      <c r="AM378" s="38" t="str">
        <f>LOWER(SUBSTITUTE(SUBSTITUTE(SUBSTITUTE(SUBSTITUTE(SUBSTITUTE(SUBSTITUTE(SUBSTITUTE(SUBSTITUTE(SUBSTITUTE(NOTA[NAMA BARANG]," ",),".",""),"-",""),"(",""),")",""),",",""),"/",""),"""",""),"+",""))</f>
        <v>gelpenvtr225littleprincess</v>
      </c>
      <c r="AN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gelpenvtr225littleprincess1296000</v>
      </c>
      <c r="AO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gelpenvtr225littleprincess1296000</v>
      </c>
      <c r="AP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38" t="str">
        <f>IF(NOTA[[#This Row],[CONCAT4]]="","",_xlfn.IFNA(MATCH(NOTA[[#This Row],[CONCAT4]],[2]!RAW[CONCAT_H],0),FALSE))</f>
        <v/>
      </c>
      <c r="AR378" s="38" t="e">
        <f>IF(NOTA[[#This Row],[CONCAT1]]="","",MATCH(NOTA[[#This Row],[CONCAT1]],[3]!db[NB NOTA_C],0))</f>
        <v>#N/A</v>
      </c>
      <c r="AS378" s="38" t="str">
        <f>IF(NOTA[[#This Row],[QTY/ CTN]]="","",TRUE)</f>
        <v/>
      </c>
      <c r="AT378" s="38" t="e">
        <f ca="1">IF(NOTA[[#This Row],[ID_H]]="","",IF(NOTA[[#This Row],[Column3]]=TRUE,NOTA[[#This Row],[QTY/ CTN]],INDEX([3]!db[QTY/ CTN],NOTA[[#This Row],[//DB]])))</f>
        <v>#N/A</v>
      </c>
      <c r="AU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8" s="38" t="e">
        <f ca="1">IF(NOTA[[#This Row],[ID_H]]="","",MATCH(NOTA[[#This Row],[NB NOTA_C_QTY]],[4]!db[NB NOTA_C_QTY+F],0))</f>
        <v>#N/A</v>
      </c>
      <c r="AW378" s="53" t="e">
        <f ca="1">IF(NOTA[[#This Row],[NB NOTA_C_QTY]]="","",ROW()-2)</f>
        <v>#N/A</v>
      </c>
    </row>
    <row r="379" spans="1:49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59</v>
      </c>
      <c r="E379" s="46"/>
      <c r="F379" s="37"/>
      <c r="G379" s="37"/>
      <c r="H379" s="47"/>
      <c r="I379" s="37"/>
      <c r="J379" s="39"/>
      <c r="K379" s="37"/>
      <c r="L379" s="37" t="s">
        <v>491</v>
      </c>
      <c r="M379" s="40">
        <v>10</v>
      </c>
      <c r="N379" s="38">
        <v>1440</v>
      </c>
      <c r="O379" s="37" t="s">
        <v>138</v>
      </c>
      <c r="P379" s="41">
        <v>9000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12960000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12960000</v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7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79" s="50">
        <f>IF(OR(NOTA[[#This Row],[QTY]]="",NOTA[[#This Row],[HARGA SATUAN]]="",),"",NOTA[[#This Row],[QTY]]*NOTA[[#This Row],[HARGA SATUAN]])</f>
        <v>12960000</v>
      </c>
      <c r="AH379" s="39">
        <f ca="1">IF(NOTA[ID_H]="","",INDEX(NOTA[TANGGAL],MATCH(,INDIRECT(ADDRESS(ROW(NOTA[TANGGAL]),COLUMN(NOTA[TANGGAL]))&amp;":"&amp;ADDRESS(ROW(),COLUMN(NOTA[TANGGAL]))),-1)))</f>
        <v>45189</v>
      </c>
      <c r="AI379" s="41" t="str">
        <f ca="1">IF(NOTA[[#This Row],[NAMA BARANG]]="","",INDEX(NOTA[SUPPLIER],MATCH(,INDIRECT(ADDRESS(ROW(NOTA[ID]),COLUMN(NOTA[ID]))&amp;":"&amp;ADDRESS(ROW(),COLUMN(NOTA[ID]))),-1)))</f>
        <v>MSI</v>
      </c>
      <c r="AJ379" s="41" t="str">
        <f ca="1">IF(NOTA[[#This Row],[ID_H]]="","",IF(NOTA[[#This Row],[FAKTUR]]="",INDIRECT(ADDRESS(ROW()-1,COLUMN())),NOTA[[#This Row],[FAKTUR]]))</f>
        <v>UNTANA</v>
      </c>
      <c r="AK379" s="38" t="str">
        <f ca="1">IF(NOTA[[#This Row],[ID]]="","",COUNTIF(NOTA[ID_H],NOTA[[#This Row],[ID_H]]))</f>
        <v/>
      </c>
      <c r="AL379" s="38">
        <f ca="1">IF(NOTA[[#This Row],[TGL.NOTA]]="",IF(NOTA[[#This Row],[SUPPLIER_H]]="","",AL378),MONTH(NOTA[[#This Row],[TGL.NOTA]]))</f>
        <v>9</v>
      </c>
      <c r="AM379" s="38" t="str">
        <f>LOWER(SUBSTITUTE(SUBSTITUTE(SUBSTITUTE(SUBSTITUTE(SUBSTITUTE(SUBSTITUTE(SUBSTITUTE(SUBSTITUTE(SUBSTITUTE(NOTA[NAMA BARANG]," ",),".",""),"-",""),"(",""),")",""),",",""),"/",""),"""",""),"+",""))</f>
        <v>gelpenvtr216doraemon</v>
      </c>
      <c r="AN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gelpenvtr216doraemon1296000</v>
      </c>
      <c r="AO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gelpenvtr216doraemon1296000</v>
      </c>
      <c r="AP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38" t="str">
        <f>IF(NOTA[[#This Row],[CONCAT4]]="","",_xlfn.IFNA(MATCH(NOTA[[#This Row],[CONCAT4]],[2]!RAW[CONCAT_H],0),FALSE))</f>
        <v/>
      </c>
      <c r="AR379" s="38" t="e">
        <f>IF(NOTA[[#This Row],[CONCAT1]]="","",MATCH(NOTA[[#This Row],[CONCAT1]],[3]!db[NB NOTA_C],0))</f>
        <v>#N/A</v>
      </c>
      <c r="AS379" s="38" t="str">
        <f>IF(NOTA[[#This Row],[QTY/ CTN]]="","",TRUE)</f>
        <v/>
      </c>
      <c r="AT379" s="38" t="e">
        <f ca="1">IF(NOTA[[#This Row],[ID_H]]="","",IF(NOTA[[#This Row],[Column3]]=TRUE,NOTA[[#This Row],[QTY/ CTN]],INDEX([3]!db[QTY/ CTN],NOTA[[#This Row],[//DB]])))</f>
        <v>#N/A</v>
      </c>
      <c r="AU37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79" s="38" t="e">
        <f ca="1">IF(NOTA[[#This Row],[ID_H]]="","",MATCH(NOTA[[#This Row],[NB NOTA_C_QTY]],[4]!db[NB NOTA_C_QTY+F],0))</f>
        <v>#N/A</v>
      </c>
      <c r="AW379" s="53" t="e">
        <f ca="1">IF(NOTA[[#This Row],[NB NOTA_C_QTY]]="","",ROW()-2)</f>
        <v>#N/A</v>
      </c>
    </row>
    <row r="380" spans="1:49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59</v>
      </c>
      <c r="E380" s="46"/>
      <c r="F380" s="37"/>
      <c r="G380" s="37"/>
      <c r="H380" s="47"/>
      <c r="I380" s="37"/>
      <c r="J380" s="39"/>
      <c r="K380" s="37"/>
      <c r="L380" s="37" t="s">
        <v>492</v>
      </c>
      <c r="M380" s="40">
        <v>10</v>
      </c>
      <c r="N380" s="38">
        <v>1440</v>
      </c>
      <c r="O380" s="37" t="s">
        <v>138</v>
      </c>
      <c r="P380" s="41">
        <v>9000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12960000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12960000</v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80" s="50">
        <f>IF(OR(NOTA[[#This Row],[QTY]]="",NOTA[[#This Row],[HARGA SATUAN]]="",),"",NOTA[[#This Row],[QTY]]*NOTA[[#This Row],[HARGA SATUAN]])</f>
        <v>12960000</v>
      </c>
      <c r="AH380" s="39">
        <f ca="1">IF(NOTA[ID_H]="","",INDEX(NOTA[TANGGAL],MATCH(,INDIRECT(ADDRESS(ROW(NOTA[TANGGAL]),COLUMN(NOTA[TANGGAL]))&amp;":"&amp;ADDRESS(ROW(),COLUMN(NOTA[TANGGAL]))),-1)))</f>
        <v>45189</v>
      </c>
      <c r="AI380" s="41" t="str">
        <f ca="1">IF(NOTA[[#This Row],[NAMA BARANG]]="","",INDEX(NOTA[SUPPLIER],MATCH(,INDIRECT(ADDRESS(ROW(NOTA[ID]),COLUMN(NOTA[ID]))&amp;":"&amp;ADDRESS(ROW(),COLUMN(NOTA[ID]))),-1)))</f>
        <v>MSI</v>
      </c>
      <c r="AJ380" s="41" t="str">
        <f ca="1">IF(NOTA[[#This Row],[ID_H]]="","",IF(NOTA[[#This Row],[FAKTUR]]="",INDIRECT(ADDRESS(ROW()-1,COLUMN())),NOTA[[#This Row],[FAKTUR]]))</f>
        <v>UNTANA</v>
      </c>
      <c r="AK380" s="38" t="str">
        <f ca="1">IF(NOTA[[#This Row],[ID]]="","",COUNTIF(NOTA[ID_H],NOTA[[#This Row],[ID_H]]))</f>
        <v/>
      </c>
      <c r="AL380" s="38">
        <f ca="1">IF(NOTA[[#This Row],[TGL.NOTA]]="",IF(NOTA[[#This Row],[SUPPLIER_H]]="","",AL379),MONTH(NOTA[[#This Row],[TGL.NOTA]]))</f>
        <v>9</v>
      </c>
      <c r="AM380" s="38" t="str">
        <f>LOWER(SUBSTITUTE(SUBSTITUTE(SUBSTITUTE(SUBSTITUTE(SUBSTITUTE(SUBSTITUTE(SUBSTITUTE(SUBSTITUTE(SUBSTITUTE(NOTA[NAMA BARANG]," ",),".",""),"-",""),"(",""),")",""),",",""),"/",""),"""",""),"+",""))</f>
        <v>gelpenvtr217hellokitty</v>
      </c>
      <c r="AN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gelpenvtr217hellokitty1296000</v>
      </c>
      <c r="AO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gelpenvtr217hellokitty1296000</v>
      </c>
      <c r="AP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38" t="str">
        <f>IF(NOTA[[#This Row],[CONCAT4]]="","",_xlfn.IFNA(MATCH(NOTA[[#This Row],[CONCAT4]],[2]!RAW[CONCAT_H],0),FALSE))</f>
        <v/>
      </c>
      <c r="AR380" s="38" t="e">
        <f>IF(NOTA[[#This Row],[CONCAT1]]="","",MATCH(NOTA[[#This Row],[CONCAT1]],[3]!db[NB NOTA_C],0))</f>
        <v>#N/A</v>
      </c>
      <c r="AS380" s="38" t="str">
        <f>IF(NOTA[[#This Row],[QTY/ CTN]]="","",TRUE)</f>
        <v/>
      </c>
      <c r="AT380" s="38" t="e">
        <f ca="1">IF(NOTA[[#This Row],[ID_H]]="","",IF(NOTA[[#This Row],[Column3]]=TRUE,NOTA[[#This Row],[QTY/ CTN]],INDEX([3]!db[QTY/ CTN],NOTA[[#This Row],[//DB]])))</f>
        <v>#N/A</v>
      </c>
      <c r="AU3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80" s="38" t="e">
        <f ca="1">IF(NOTA[[#This Row],[ID_H]]="","",MATCH(NOTA[[#This Row],[NB NOTA_C_QTY]],[4]!db[NB NOTA_C_QTY+F],0))</f>
        <v>#N/A</v>
      </c>
      <c r="AW380" s="53" t="e">
        <f ca="1">IF(NOTA[[#This Row],[NB NOTA_C_QTY]]="","",ROW()-2)</f>
        <v>#N/A</v>
      </c>
    </row>
    <row r="381" spans="1:49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59</v>
      </c>
      <c r="E381" s="46"/>
      <c r="F381" s="37"/>
      <c r="G381" s="37"/>
      <c r="H381" s="47"/>
      <c r="I381" s="37"/>
      <c r="J381" s="39"/>
      <c r="K381" s="37"/>
      <c r="L381" s="37" t="s">
        <v>493</v>
      </c>
      <c r="M381" s="40">
        <v>10</v>
      </c>
      <c r="N381" s="38">
        <v>1440</v>
      </c>
      <c r="O381" s="37" t="s">
        <v>138</v>
      </c>
      <c r="P381" s="41">
        <v>9000</v>
      </c>
      <c r="Q381" s="42"/>
      <c r="R381" s="48"/>
      <c r="S381" s="49"/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12960000</v>
      </c>
      <c r="Y381" s="50">
        <f>IF(NOTA[[#This Row],[JUMLAH]]="","",NOTA[[#This Row],[JUMLAH]]*NOTA[[#This Row],[DISC 1]])</f>
        <v>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0</v>
      </c>
      <c r="AC381" s="50">
        <f>IF(NOTA[[#This Row],[JUMLAH]]="","",NOTA[[#This Row],[JUMLAH]]-NOTA[[#This Row],[DISC]])</f>
        <v>12960000</v>
      </c>
      <c r="AD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129600000</v>
      </c>
      <c r="AF38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G381" s="50">
        <f>IF(OR(NOTA[[#This Row],[QTY]]="",NOTA[[#This Row],[HARGA SATUAN]]="",),"",NOTA[[#This Row],[QTY]]*NOTA[[#This Row],[HARGA SATUAN]])</f>
        <v>12960000</v>
      </c>
      <c r="AH381" s="39">
        <f ca="1">IF(NOTA[ID_H]="","",INDEX(NOTA[TANGGAL],MATCH(,INDIRECT(ADDRESS(ROW(NOTA[TANGGAL]),COLUMN(NOTA[TANGGAL]))&amp;":"&amp;ADDRESS(ROW(),COLUMN(NOTA[TANGGAL]))),-1)))</f>
        <v>45189</v>
      </c>
      <c r="AI381" s="41" t="str">
        <f ca="1">IF(NOTA[[#This Row],[NAMA BARANG]]="","",INDEX(NOTA[SUPPLIER],MATCH(,INDIRECT(ADDRESS(ROW(NOTA[ID]),COLUMN(NOTA[ID]))&amp;":"&amp;ADDRESS(ROW(),COLUMN(NOTA[ID]))),-1)))</f>
        <v>MSI</v>
      </c>
      <c r="AJ381" s="41" t="str">
        <f ca="1">IF(NOTA[[#This Row],[ID_H]]="","",IF(NOTA[[#This Row],[FAKTUR]]="",INDIRECT(ADDRESS(ROW()-1,COLUMN())),NOTA[[#This Row],[FAKTUR]]))</f>
        <v>UNTANA</v>
      </c>
      <c r="AK381" s="38" t="str">
        <f ca="1">IF(NOTA[[#This Row],[ID]]="","",COUNTIF(NOTA[ID_H],NOTA[[#This Row],[ID_H]]))</f>
        <v/>
      </c>
      <c r="AL381" s="38">
        <f ca="1">IF(NOTA[[#This Row],[TGL.NOTA]]="",IF(NOTA[[#This Row],[SUPPLIER_H]]="","",AL380),MONTH(NOTA[[#This Row],[TGL.NOTA]]))</f>
        <v>9</v>
      </c>
      <c r="AM381" s="38" t="str">
        <f>LOWER(SUBSTITUTE(SUBSTITUTE(SUBSTITUTE(SUBSTITUTE(SUBSTITUTE(SUBSTITUTE(SUBSTITUTE(SUBSTITUTE(SUBSTITUTE(NOTA[NAMA BARANG]," ",),".",""),"-",""),"(",""),")",""),",",""),"/",""),"""",""),"+",""))</f>
        <v>gelpenvtr222superheroadventure</v>
      </c>
      <c r="AN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gelpenvtr222superheroadventure1296000</v>
      </c>
      <c r="AO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gelpenvtr222superheroadventure1296000</v>
      </c>
      <c r="AP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38" t="str">
        <f>IF(NOTA[[#This Row],[CONCAT4]]="","",_xlfn.IFNA(MATCH(NOTA[[#This Row],[CONCAT4]],[2]!RAW[CONCAT_H],0),FALSE))</f>
        <v/>
      </c>
      <c r="AR381" s="38" t="e">
        <f>IF(NOTA[[#This Row],[CONCAT1]]="","",MATCH(NOTA[[#This Row],[CONCAT1]],[3]!db[NB NOTA_C],0))</f>
        <v>#N/A</v>
      </c>
      <c r="AS381" s="38" t="str">
        <f>IF(NOTA[[#This Row],[QTY/ CTN]]="","",TRUE)</f>
        <v/>
      </c>
      <c r="AT381" s="38" t="e">
        <f ca="1">IF(NOTA[[#This Row],[ID_H]]="","",IF(NOTA[[#This Row],[Column3]]=TRUE,NOTA[[#This Row],[QTY/ CTN]],INDEX([3]!db[QTY/ CTN],NOTA[[#This Row],[//DB]])))</f>
        <v>#N/A</v>
      </c>
      <c r="AU3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81" s="38" t="e">
        <f ca="1">IF(NOTA[[#This Row],[ID_H]]="","",MATCH(NOTA[[#This Row],[NB NOTA_C_QTY]],[4]!db[NB NOTA_C_QTY+F],0))</f>
        <v>#N/A</v>
      </c>
      <c r="AW381" s="53" t="e">
        <f ca="1">IF(NOTA[[#This Row],[NB NOTA_C_QTY]]="","",ROW()-2)</f>
        <v>#N/A</v>
      </c>
    </row>
    <row r="382" spans="1:49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82" s="50" t="str">
        <f>IF(OR(NOTA[[#This Row],[QTY]]="",NOTA[[#This Row],[HARGA SATUAN]]="",),"",NOTA[[#This Row],[QTY]]*NOTA[[#This Row],[HARGA SATUAN]])</f>
        <v/>
      </c>
      <c r="AH382" s="39" t="str">
        <f ca="1">IF(NOTA[ID_H]="","",INDEX(NOTA[TANGGAL],MATCH(,INDIRECT(ADDRESS(ROW(NOTA[TANGGAL]),COLUMN(NOTA[TANGGAL]))&amp;":"&amp;ADDRESS(ROW(),COLUMN(NOTA[TANGGAL]))),-1)))</f>
        <v/>
      </c>
      <c r="AI382" s="41" t="str">
        <f ca="1">IF(NOTA[[#This Row],[NAMA BARANG]]="","",INDEX(NOTA[SUPPLIER],MATCH(,INDIRECT(ADDRESS(ROW(NOTA[ID]),COLUMN(NOTA[ID]))&amp;":"&amp;ADDRESS(ROW(),COLUMN(NOTA[ID]))),-1)))</f>
        <v/>
      </c>
      <c r="AJ382" s="41" t="str">
        <f ca="1">IF(NOTA[[#This Row],[ID_H]]="","",IF(NOTA[[#This Row],[FAKTUR]]="",INDIRECT(ADDRESS(ROW()-1,COLUMN())),NOTA[[#This Row],[FAKTUR]]))</f>
        <v/>
      </c>
      <c r="AK382" s="38" t="str">
        <f ca="1">IF(NOTA[[#This Row],[ID]]="","",COUNTIF(NOTA[ID_H],NOTA[[#This Row],[ID_H]]))</f>
        <v/>
      </c>
      <c r="AL382" s="38" t="str">
        <f ca="1">IF(NOTA[[#This Row],[TGL.NOTA]]="",IF(NOTA[[#This Row],[SUPPLIER_H]]="","",AL381),MONTH(NOTA[[#This Row],[TGL.NOTA]]))</f>
        <v/>
      </c>
      <c r="AM382" s="38" t="str">
        <f>LOWER(SUBSTITUTE(SUBSTITUTE(SUBSTITUTE(SUBSTITUTE(SUBSTITUTE(SUBSTITUTE(SUBSTITUTE(SUBSTITUTE(SUBSTITUTE(NOTA[NAMA BARANG]," ",),".",""),"-",""),"(",""),")",""),",",""),"/",""),"""",""),"+",""))</f>
        <v/>
      </c>
      <c r="AN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38" t="str">
        <f>IF(NOTA[[#This Row],[CONCAT4]]="","",_xlfn.IFNA(MATCH(NOTA[[#This Row],[CONCAT4]],[2]!RAW[CONCAT_H],0),FALSE))</f>
        <v/>
      </c>
      <c r="AR382" s="38" t="str">
        <f>IF(NOTA[[#This Row],[CONCAT1]]="","",MATCH(NOTA[[#This Row],[CONCAT1]],[3]!db[NB NOTA_C],0))</f>
        <v/>
      </c>
      <c r="AS382" s="38" t="str">
        <f>IF(NOTA[[#This Row],[QTY/ CTN]]="","",TRUE)</f>
        <v/>
      </c>
      <c r="AT382" s="38" t="str">
        <f ca="1">IF(NOTA[[#This Row],[ID_H]]="","",IF(NOTA[[#This Row],[Column3]]=TRUE,NOTA[[#This Row],[QTY/ CTN]],INDEX([3]!db[QTY/ CTN],NOTA[[#This Row],[//DB]])))</f>
        <v/>
      </c>
      <c r="AU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2" s="38" t="str">
        <f ca="1">IF(NOTA[[#This Row],[ID_H]]="","",MATCH(NOTA[[#This Row],[NB NOTA_C_QTY]],[4]!db[NB NOTA_C_QTY+F],0))</f>
        <v/>
      </c>
      <c r="AW382" s="53" t="str">
        <f ca="1">IF(NOTA[[#This Row],[NB NOTA_C_QTY]]="","",ROW()-2)</f>
        <v/>
      </c>
    </row>
    <row r="383" spans="1:49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SUR_2009_510-1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60</v>
      </c>
      <c r="E383" s="46">
        <v>45189</v>
      </c>
      <c r="F383" s="37" t="s">
        <v>494</v>
      </c>
      <c r="G383" s="37" t="s">
        <v>123</v>
      </c>
      <c r="H383" s="47" t="s">
        <v>495</v>
      </c>
      <c r="I383" s="37"/>
      <c r="J383" s="39">
        <v>45187</v>
      </c>
      <c r="K383" s="37"/>
      <c r="L383" s="37" t="s">
        <v>496</v>
      </c>
      <c r="M383" s="40">
        <v>30</v>
      </c>
      <c r="N383" s="38">
        <f>120*30</f>
        <v>3600</v>
      </c>
      <c r="O383" s="37" t="s">
        <v>126</v>
      </c>
      <c r="P383" s="41">
        <v>10000</v>
      </c>
      <c r="Q383" s="42"/>
      <c r="R383" s="48">
        <v>120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36000000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36000000</v>
      </c>
      <c r="AD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F38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G383" s="50">
        <f>IF(OR(NOTA[[#This Row],[QTY]]="",NOTA[[#This Row],[HARGA SATUAN]]="",),"",NOTA[[#This Row],[QTY]]*NOTA[[#This Row],[HARGA SATUAN]])</f>
        <v>36000000</v>
      </c>
      <c r="AH383" s="39">
        <f ca="1">IF(NOTA[ID_H]="","",INDEX(NOTA[TANGGAL],MATCH(,INDIRECT(ADDRESS(ROW(NOTA[TANGGAL]),COLUMN(NOTA[TANGGAL]))&amp;":"&amp;ADDRESS(ROW(),COLUMN(NOTA[TANGGAL]))),-1)))</f>
        <v>45189</v>
      </c>
      <c r="AI383" s="41" t="str">
        <f ca="1">IF(NOTA[[#This Row],[NAMA BARANG]]="","",INDEX(NOTA[SUPPLIER],MATCH(,INDIRECT(ADDRESS(ROW(NOTA[ID]),COLUMN(NOTA[ID]))&amp;":"&amp;ADDRESS(ROW(),COLUMN(NOTA[ID]))),-1)))</f>
        <v>SURYA PRATAMA</v>
      </c>
      <c r="AJ383" s="41" t="str">
        <f ca="1">IF(NOTA[[#This Row],[ID_H]]="","",IF(NOTA[[#This Row],[FAKTUR]]="",INDIRECT(ADDRESS(ROW()-1,COLUMN())),NOTA[[#This Row],[FAKTUR]]))</f>
        <v>UNTANA</v>
      </c>
      <c r="AK383" s="38">
        <f ca="1">IF(NOTA[[#This Row],[ID]]="","",COUNTIF(NOTA[ID_H],NOTA[[#This Row],[ID_H]]))</f>
        <v>1</v>
      </c>
      <c r="AL383" s="38">
        <f>IF(NOTA[[#This Row],[TGL.NOTA]]="",IF(NOTA[[#This Row],[SUPPLIER_H]]="","",AL382),MONTH(NOTA[[#This Row],[TGL.NOTA]]))</f>
        <v>9</v>
      </c>
      <c r="AM383" s="38" t="str">
        <f>LOWER(SUBSTITUTE(SUBSTITUTE(SUBSTITUTE(SUBSTITUTE(SUBSTITUTE(SUBSTITUTE(SUBSTITUTE(SUBSTITUTE(SUBSTITUTE(NOTA[NAMA BARANG]," ",),".",""),"-",""),"(",""),")",""),",",""),"/",""),"""",""),"+",""))</f>
        <v>taskarung40*45*20</v>
      </c>
      <c r="AN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taskarung40*45*201200000</v>
      </c>
      <c r="AO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taskarung40*45*201200000</v>
      </c>
      <c r="AP383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PRATAMAUNTANAF23/00051045187taskarung40*45*20</v>
      </c>
      <c r="AQ383" s="38" t="e">
        <f>IF(NOTA[[#This Row],[CONCAT4]]="","",_xlfn.IFNA(MATCH(NOTA[[#This Row],[CONCAT4]],[2]!RAW[CONCAT_H],0),FALSE))</f>
        <v>#REF!</v>
      </c>
      <c r="AR383" s="38" t="e">
        <f>IF(NOTA[[#This Row],[CONCAT1]]="","",MATCH(NOTA[[#This Row],[CONCAT1]],[3]!db[NB NOTA_C],0))</f>
        <v>#N/A</v>
      </c>
      <c r="AS383" s="38" t="b">
        <f>IF(NOTA[[#This Row],[QTY/ CTN]]="","",TRUE)</f>
        <v>1</v>
      </c>
      <c r="AT383" s="38">
        <f ca="1">IF(NOTA[[#This Row],[ID_H]]="","",IF(NOTA[[#This Row],[Column3]]=TRUE,NOTA[[#This Row],[QTY/ CTN]],INDEX([3]!db[QTY/ CTN],NOTA[[#This Row],[//DB]])))</f>
        <v>120</v>
      </c>
      <c r="AU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taskarung40*45*20120untana</v>
      </c>
      <c r="AV383" s="38" t="e">
        <f ca="1">IF(NOTA[[#This Row],[ID_H]]="","",MATCH(NOTA[[#This Row],[NB NOTA_C_QTY]],[4]!db[NB NOTA_C_QTY+F],0))</f>
        <v>#REF!</v>
      </c>
      <c r="AW383" s="53">
        <f ca="1">IF(NOTA[[#This Row],[NB NOTA_C_QTY]]="","",ROW()-2)</f>
        <v>381</v>
      </c>
    </row>
    <row r="384" spans="1:49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84" s="50" t="str">
        <f>IF(OR(NOTA[[#This Row],[QTY]]="",NOTA[[#This Row],[HARGA SATUAN]]="",),"",NOTA[[#This Row],[QTY]]*NOTA[[#This Row],[HARGA SATUAN]])</f>
        <v/>
      </c>
      <c r="AH384" s="39" t="str">
        <f ca="1">IF(NOTA[ID_H]="","",INDEX(NOTA[TANGGAL],MATCH(,INDIRECT(ADDRESS(ROW(NOTA[TANGGAL]),COLUMN(NOTA[TANGGAL]))&amp;":"&amp;ADDRESS(ROW(),COLUMN(NOTA[TANGGAL]))),-1)))</f>
        <v/>
      </c>
      <c r="AI384" s="41" t="str">
        <f ca="1">IF(NOTA[[#This Row],[NAMA BARANG]]="","",INDEX(NOTA[SUPPLIER],MATCH(,INDIRECT(ADDRESS(ROW(NOTA[ID]),COLUMN(NOTA[ID]))&amp;":"&amp;ADDRESS(ROW(),COLUMN(NOTA[ID]))),-1)))</f>
        <v/>
      </c>
      <c r="AJ384" s="41" t="str">
        <f ca="1">IF(NOTA[[#This Row],[ID_H]]="","",IF(NOTA[[#This Row],[FAKTUR]]="",INDIRECT(ADDRESS(ROW()-1,COLUMN())),NOTA[[#This Row],[FAKTUR]]))</f>
        <v/>
      </c>
      <c r="AK384" s="38" t="str">
        <f ca="1">IF(NOTA[[#This Row],[ID]]="","",COUNTIF(NOTA[ID_H],NOTA[[#This Row],[ID_H]]))</f>
        <v/>
      </c>
      <c r="AL384" s="38" t="str">
        <f ca="1">IF(NOTA[[#This Row],[TGL.NOTA]]="",IF(NOTA[[#This Row],[SUPPLIER_H]]="","",AL383),MONTH(NOTA[[#This Row],[TGL.NOTA]]))</f>
        <v/>
      </c>
      <c r="AM384" s="38" t="str">
        <f>LOWER(SUBSTITUTE(SUBSTITUTE(SUBSTITUTE(SUBSTITUTE(SUBSTITUTE(SUBSTITUTE(SUBSTITUTE(SUBSTITUTE(SUBSTITUTE(NOTA[NAMA BARANG]," ",),".",""),"-",""),"(",""),")",""),",",""),"/",""),"""",""),"+",""))</f>
        <v/>
      </c>
      <c r="AN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38" t="str">
        <f>IF(NOTA[[#This Row],[CONCAT4]]="","",_xlfn.IFNA(MATCH(NOTA[[#This Row],[CONCAT4]],[2]!RAW[CONCAT_H],0),FALSE))</f>
        <v/>
      </c>
      <c r="AR384" s="38" t="str">
        <f>IF(NOTA[[#This Row],[CONCAT1]]="","",MATCH(NOTA[[#This Row],[CONCAT1]],[3]!db[NB NOTA_C],0))</f>
        <v/>
      </c>
      <c r="AS384" s="38" t="str">
        <f>IF(NOTA[[#This Row],[QTY/ CTN]]="","",TRUE)</f>
        <v/>
      </c>
      <c r="AT384" s="38" t="str">
        <f ca="1">IF(NOTA[[#This Row],[ID_H]]="","",IF(NOTA[[#This Row],[Column3]]=TRUE,NOTA[[#This Row],[QTY/ CTN]],INDEX([3]!db[QTY/ CTN],NOTA[[#This Row],[//DB]])))</f>
        <v/>
      </c>
      <c r="AU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4" s="38" t="str">
        <f ca="1">IF(NOTA[[#This Row],[ID_H]]="","",MATCH(NOTA[[#This Row],[NB NOTA_C_QTY]],[4]!db[NB NOTA_C_QTY+F],0))</f>
        <v/>
      </c>
      <c r="AW384" s="53" t="str">
        <f ca="1">IF(NOTA[[#This Row],[NB NOTA_C_QTY]]="","",ROW()-2)</f>
        <v/>
      </c>
    </row>
    <row r="385" spans="1:49" s="38" customFormat="1" ht="20.100000000000001" customHeight="1" x14ac:dyDescent="0.25">
      <c r="A385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HAN_2009_183-2</v>
      </c>
      <c r="C385" s="38" t="e">
        <f ca="1">IF(NOTA[[#This Row],[ID_P]]="","",MATCH(NOTA[[#This Row],[ID_P]],[1]!B_MSK[N_ID],0))</f>
        <v>#REF!</v>
      </c>
      <c r="D385" s="38">
        <f ca="1">IF(NOTA[[#This Row],[NAMA BARANG]]="","",INDEX(NOTA[ID],MATCH(,INDIRECT(ADDRESS(ROW(NOTA[ID]),COLUMN(NOTA[ID]))&amp;":"&amp;ADDRESS(ROW(),COLUMN(NOTA[ID]))),-1)))</f>
        <v>61</v>
      </c>
      <c r="E385" s="46">
        <v>45189</v>
      </c>
      <c r="F385" s="37" t="s">
        <v>122</v>
      </c>
      <c r="G385" s="37" t="s">
        <v>123</v>
      </c>
      <c r="H385" s="47" t="s">
        <v>497</v>
      </c>
      <c r="I385" s="37"/>
      <c r="J385" s="39">
        <v>45189</v>
      </c>
      <c r="K385" s="37"/>
      <c r="L385" s="37" t="s">
        <v>498</v>
      </c>
      <c r="M385" s="40"/>
      <c r="N385" s="38">
        <v>4</v>
      </c>
      <c r="O385" s="37" t="s">
        <v>138</v>
      </c>
      <c r="P385" s="41">
        <v>13000</v>
      </c>
      <c r="Q385" s="42"/>
      <c r="R385" s="48"/>
      <c r="S385" s="49"/>
      <c r="T385" s="44"/>
      <c r="U385" s="44"/>
      <c r="V385" s="50"/>
      <c r="W385" s="45" t="s">
        <v>499</v>
      </c>
      <c r="X385" s="50">
        <f>IF(NOTA[[#This Row],[HARGA/ CTN]]="",NOTA[[#This Row],[JUMLAH_H]],NOTA[[#This Row],[HARGA/ CTN]]*IF(NOTA[[#This Row],[C]]="",0,NOTA[[#This Row],[C]]))</f>
        <v>52000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52000</v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5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G385" s="50">
        <f>IF(OR(NOTA[[#This Row],[QTY]]="",NOTA[[#This Row],[HARGA SATUAN]]="",),"",NOTA[[#This Row],[QTY]]*NOTA[[#This Row],[HARGA SATUAN]])</f>
        <v>52000</v>
      </c>
      <c r="AH385" s="39">
        <f ca="1">IF(NOTA[ID_H]="","",INDEX(NOTA[TANGGAL],MATCH(,INDIRECT(ADDRESS(ROW(NOTA[TANGGAL]),COLUMN(NOTA[TANGGAL]))&amp;":"&amp;ADDRESS(ROW(),COLUMN(NOTA[TANGGAL]))),-1)))</f>
        <v>45189</v>
      </c>
      <c r="AI385" s="41" t="str">
        <f ca="1">IF(NOTA[[#This Row],[NAMA BARANG]]="","",INDEX(NOTA[SUPPLIER],MATCH(,INDIRECT(ADDRESS(ROW(NOTA[ID]),COLUMN(NOTA[ID]))&amp;":"&amp;ADDRESS(ROW(),COLUMN(NOTA[ID]))),-1)))</f>
        <v>HANSA</v>
      </c>
      <c r="AJ385" s="41" t="str">
        <f ca="1">IF(NOTA[[#This Row],[ID_H]]="","",IF(NOTA[[#This Row],[FAKTUR]]="",INDIRECT(ADDRESS(ROW()-1,COLUMN())),NOTA[[#This Row],[FAKTUR]]))</f>
        <v>UNTANA</v>
      </c>
      <c r="AK385" s="38">
        <f ca="1">IF(NOTA[[#This Row],[ID]]="","",COUNTIF(NOTA[ID_H],NOTA[[#This Row],[ID_H]]))</f>
        <v>2</v>
      </c>
      <c r="AL385" s="38">
        <f>IF(NOTA[[#This Row],[TGL.NOTA]]="",IF(NOTA[[#This Row],[SUPPLIER_H]]="","",AL384),MONTH(NOTA[[#This Row],[TGL.NOTA]]))</f>
        <v>9</v>
      </c>
      <c r="AM385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38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HANSAUNTANAHN09202318345189lilinangkashintoeng</v>
      </c>
      <c r="AQ385" s="38" t="e">
        <f>IF(NOTA[[#This Row],[CONCAT4]]="","",_xlfn.IFNA(MATCH(NOTA[[#This Row],[CONCAT4]],[2]!RAW[CONCAT_H],0),FALSE))</f>
        <v>#REF!</v>
      </c>
      <c r="AR385" s="38">
        <f>IF(NOTA[[#This Row],[CONCAT1]]="","",MATCH(NOTA[[#This Row],[CONCAT1]],[3]!db[NB NOTA_C],0))</f>
        <v>1655</v>
      </c>
      <c r="AS385" s="38" t="str">
        <f>IF(NOTA[[#This Row],[QTY/ CTN]]="","",TRUE)</f>
        <v/>
      </c>
      <c r="AT385" s="38" t="str">
        <f ca="1">IF(NOTA[[#This Row],[ID_H]]="","",IF(NOTA[[#This Row],[Column3]]=TRUE,NOTA[[#This Row],[QTY/ CTN]],INDEX([3]!db[QTY/ CTN],NOTA[[#This Row],[//DB]])))</f>
        <v>100 LSN</v>
      </c>
      <c r="AU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V385" s="38" t="e">
        <f ca="1">IF(NOTA[[#This Row],[ID_H]]="","",MATCH(NOTA[[#This Row],[NB NOTA_C_QTY]],[4]!db[NB NOTA_C_QTY+F],0))</f>
        <v>#REF!</v>
      </c>
      <c r="AW385" s="53">
        <f ca="1">IF(NOTA[[#This Row],[NB NOTA_C_QTY]]="","",ROW()-2)</f>
        <v>383</v>
      </c>
    </row>
    <row r="386" spans="1:49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61</v>
      </c>
      <c r="E386" s="46"/>
      <c r="F386" s="37"/>
      <c r="G386" s="37"/>
      <c r="H386" s="47"/>
      <c r="I386" s="37"/>
      <c r="J386" s="39"/>
      <c r="K386" s="37"/>
      <c r="L386" s="37" t="s">
        <v>498</v>
      </c>
      <c r="M386" s="40"/>
      <c r="N386" s="38">
        <v>4</v>
      </c>
      <c r="O386" s="37" t="s">
        <v>138</v>
      </c>
      <c r="P386" s="41">
        <v>13000</v>
      </c>
      <c r="Q386" s="42"/>
      <c r="R386" s="48"/>
      <c r="S386" s="49"/>
      <c r="T386" s="44"/>
      <c r="U386" s="44"/>
      <c r="V386" s="50"/>
      <c r="W386" s="45" t="s">
        <v>500</v>
      </c>
      <c r="X386" s="50">
        <f>IF(NOTA[[#This Row],[HARGA/ CTN]]="",NOTA[[#This Row],[JUMLAH_H]],NOTA[[#This Row],[HARGA/ CTN]]*IF(NOTA[[#This Row],[C]]="",0,NOTA[[#This Row],[C]]))</f>
        <v>52000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52000</v>
      </c>
      <c r="AD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F386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G386" s="50">
        <f>IF(OR(NOTA[[#This Row],[QTY]]="",NOTA[[#This Row],[HARGA SATUAN]]="",),"",NOTA[[#This Row],[QTY]]*NOTA[[#This Row],[HARGA SATUAN]])</f>
        <v>52000</v>
      </c>
      <c r="AH386" s="39">
        <f ca="1">IF(NOTA[ID_H]="","",INDEX(NOTA[TANGGAL],MATCH(,INDIRECT(ADDRESS(ROW(NOTA[TANGGAL]),COLUMN(NOTA[TANGGAL]))&amp;":"&amp;ADDRESS(ROW(),COLUMN(NOTA[TANGGAL]))),-1)))</f>
        <v>45189</v>
      </c>
      <c r="AI386" s="41" t="str">
        <f ca="1">IF(NOTA[[#This Row],[NAMA BARANG]]="","",INDEX(NOTA[SUPPLIER],MATCH(,INDIRECT(ADDRESS(ROW(NOTA[ID]),COLUMN(NOTA[ID]))&amp;":"&amp;ADDRESS(ROW(),COLUMN(NOTA[ID]))),-1)))</f>
        <v>HANSA</v>
      </c>
      <c r="AJ386" s="41" t="str">
        <f ca="1">IF(NOTA[[#This Row],[ID_H]]="","",IF(NOTA[[#This Row],[FAKTUR]]="",INDIRECT(ADDRESS(ROW()-1,COLUMN())),NOTA[[#This Row],[FAKTUR]]))</f>
        <v>UNTANA</v>
      </c>
      <c r="AK386" s="38" t="str">
        <f ca="1">IF(NOTA[[#This Row],[ID]]="","",COUNTIF(NOTA[ID_H],NOTA[[#This Row],[ID_H]]))</f>
        <v/>
      </c>
      <c r="AL386" s="38">
        <f ca="1">IF(NOTA[[#This Row],[TGL.NOTA]]="",IF(NOTA[[#This Row],[SUPPLIER_H]]="","",AL385),MONTH(NOTA[[#This Row],[TGL.NOTA]]))</f>
        <v>9</v>
      </c>
      <c r="AM386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6" s="38" t="str">
        <f>IF(NOTA[[#This Row],[CONCAT4]]="","",_xlfn.IFNA(MATCH(NOTA[[#This Row],[CONCAT4]],[2]!RAW[CONCAT_H],0),FALSE))</f>
        <v/>
      </c>
      <c r="AR386" s="38">
        <f>IF(NOTA[[#This Row],[CONCAT1]]="","",MATCH(NOTA[[#This Row],[CONCAT1]],[3]!db[NB NOTA_C],0))</f>
        <v>1655</v>
      </c>
      <c r="AS386" s="38" t="str">
        <f>IF(NOTA[[#This Row],[QTY/ CTN]]="","",TRUE)</f>
        <v/>
      </c>
      <c r="AT386" s="38" t="str">
        <f ca="1">IF(NOTA[[#This Row],[ID_H]]="","",IF(NOTA[[#This Row],[Column3]]=TRUE,NOTA[[#This Row],[QTY/ CTN]],INDEX([3]!db[QTY/ CTN],NOTA[[#This Row],[//DB]])))</f>
        <v>100 LSN</v>
      </c>
      <c r="AU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V386" s="38" t="e">
        <f ca="1">IF(NOTA[[#This Row],[ID_H]]="","",MATCH(NOTA[[#This Row],[NB NOTA_C_QTY]],[4]!db[NB NOTA_C_QTY+F],0))</f>
        <v>#REF!</v>
      </c>
      <c r="AW386" s="53">
        <f ca="1">IF(NOTA[[#This Row],[NB NOTA_C_QTY]]="","",ROW()-2)</f>
        <v>384</v>
      </c>
    </row>
    <row r="387" spans="1:49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87" s="50" t="str">
        <f>IF(OR(NOTA[[#This Row],[QTY]]="",NOTA[[#This Row],[HARGA SATUAN]]="",),"",NOTA[[#This Row],[QTY]]*NOTA[[#This Row],[HARGA SATUAN]])</f>
        <v/>
      </c>
      <c r="AH387" s="39" t="str">
        <f ca="1">IF(NOTA[ID_H]="","",INDEX(NOTA[TANGGAL],MATCH(,INDIRECT(ADDRESS(ROW(NOTA[TANGGAL]),COLUMN(NOTA[TANGGAL]))&amp;":"&amp;ADDRESS(ROW(),COLUMN(NOTA[TANGGAL]))),-1)))</f>
        <v/>
      </c>
      <c r="AI387" s="41" t="str">
        <f ca="1">IF(NOTA[[#This Row],[NAMA BARANG]]="","",INDEX(NOTA[SUPPLIER],MATCH(,INDIRECT(ADDRESS(ROW(NOTA[ID]),COLUMN(NOTA[ID]))&amp;":"&amp;ADDRESS(ROW(),COLUMN(NOTA[ID]))),-1)))</f>
        <v/>
      </c>
      <c r="AJ387" s="41" t="str">
        <f ca="1">IF(NOTA[[#This Row],[ID_H]]="","",IF(NOTA[[#This Row],[FAKTUR]]="",INDIRECT(ADDRESS(ROW()-1,COLUMN())),NOTA[[#This Row],[FAKTUR]]))</f>
        <v/>
      </c>
      <c r="AK387" s="38" t="str">
        <f ca="1">IF(NOTA[[#This Row],[ID]]="","",COUNTIF(NOTA[ID_H],NOTA[[#This Row],[ID_H]]))</f>
        <v/>
      </c>
      <c r="AL387" s="38" t="str">
        <f ca="1">IF(NOTA[[#This Row],[TGL.NOTA]]="",IF(NOTA[[#This Row],[SUPPLIER_H]]="","",AL386),MONTH(NOTA[[#This Row],[TGL.NOTA]]))</f>
        <v/>
      </c>
      <c r="AM387" s="38" t="str">
        <f>LOWER(SUBSTITUTE(SUBSTITUTE(SUBSTITUTE(SUBSTITUTE(SUBSTITUTE(SUBSTITUTE(SUBSTITUTE(SUBSTITUTE(SUBSTITUTE(NOTA[NAMA BARANG]," ",),".",""),"-",""),"(",""),")",""),",",""),"/",""),"""",""),"+",""))</f>
        <v/>
      </c>
      <c r="AN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38" t="str">
        <f>IF(NOTA[[#This Row],[CONCAT4]]="","",_xlfn.IFNA(MATCH(NOTA[[#This Row],[CONCAT4]],[2]!RAW[CONCAT_H],0),FALSE))</f>
        <v/>
      </c>
      <c r="AR387" s="38" t="str">
        <f>IF(NOTA[[#This Row],[CONCAT1]]="","",MATCH(NOTA[[#This Row],[CONCAT1]],[3]!db[NB NOTA_C],0))</f>
        <v/>
      </c>
      <c r="AS387" s="38" t="str">
        <f>IF(NOTA[[#This Row],[QTY/ CTN]]="","",TRUE)</f>
        <v/>
      </c>
      <c r="AT387" s="38" t="str">
        <f ca="1">IF(NOTA[[#This Row],[ID_H]]="","",IF(NOTA[[#This Row],[Column3]]=TRUE,NOTA[[#This Row],[QTY/ CTN]],INDEX([3]!db[QTY/ CTN],NOTA[[#This Row],[//DB]])))</f>
        <v/>
      </c>
      <c r="AU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7" s="38" t="str">
        <f ca="1">IF(NOTA[[#This Row],[ID_H]]="","",MATCH(NOTA[[#This Row],[NB NOTA_C_QTY]],[4]!db[NB NOTA_C_QTY+F],0))</f>
        <v/>
      </c>
      <c r="AW387" s="53" t="str">
        <f ca="1">IF(NOTA[[#This Row],[NB NOTA_C_QTY]]="","",ROW()-2)</f>
        <v/>
      </c>
    </row>
    <row r="388" spans="1:49" s="38" customFormat="1" ht="20.100000000000001" customHeight="1" x14ac:dyDescent="0.25">
      <c r="A388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COM_1909_920-2</v>
      </c>
      <c r="C388" s="38" t="e">
        <f ca="1">IF(NOTA[[#This Row],[ID_P]]="","",MATCH(NOTA[[#This Row],[ID_P]],[1]!B_MSK[N_ID],0))</f>
        <v>#REF!</v>
      </c>
      <c r="D388" s="38">
        <f ca="1">IF(NOTA[[#This Row],[NAMA BARANG]]="","",INDEX(NOTA[ID],MATCH(,INDIRECT(ADDRESS(ROW(NOTA[ID]),COLUMN(NOTA[ID]))&amp;":"&amp;ADDRESS(ROW(),COLUMN(NOTA[ID]))),-1)))</f>
        <v>62</v>
      </c>
      <c r="E388" s="46">
        <v>45188</v>
      </c>
      <c r="F388" s="37" t="s">
        <v>501</v>
      </c>
      <c r="G388" s="37" t="s">
        <v>123</v>
      </c>
      <c r="H388" s="47" t="s">
        <v>502</v>
      </c>
      <c r="I388" s="37"/>
      <c r="J388" s="39">
        <v>45188</v>
      </c>
      <c r="K388" s="37"/>
      <c r="L388" s="37" t="s">
        <v>503</v>
      </c>
      <c r="M388" s="40"/>
      <c r="N388" s="38">
        <v>8</v>
      </c>
      <c r="O388" s="37" t="s">
        <v>138</v>
      </c>
      <c r="P388" s="41">
        <v>213000</v>
      </c>
      <c r="Q388" s="42"/>
      <c r="R388" s="48"/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1704000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1704000</v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88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388" s="50">
        <f>IF(OR(NOTA[[#This Row],[QTY]]="",NOTA[[#This Row],[HARGA SATUAN]]="",),"",NOTA[[#This Row],[QTY]]*NOTA[[#This Row],[HARGA SATUAN]])</f>
        <v>1704000</v>
      </c>
      <c r="AH388" s="39">
        <f ca="1">IF(NOTA[ID_H]="","",INDEX(NOTA[TANGGAL],MATCH(,INDIRECT(ADDRESS(ROW(NOTA[TANGGAL]),COLUMN(NOTA[TANGGAL]))&amp;":"&amp;ADDRESS(ROW(),COLUMN(NOTA[TANGGAL]))),-1)))</f>
        <v>45188</v>
      </c>
      <c r="AI388" s="41" t="str">
        <f ca="1">IF(NOTA[[#This Row],[NAMA BARANG]]="","",INDEX(NOTA[SUPPLIER],MATCH(,INDIRECT(ADDRESS(ROW(NOTA[ID]),COLUMN(NOTA[ID]))&amp;":"&amp;ADDRESS(ROW(),COLUMN(NOTA[ID]))),-1)))</f>
        <v>COMBI STATIOERY</v>
      </c>
      <c r="AJ388" s="41" t="str">
        <f ca="1">IF(NOTA[[#This Row],[ID_H]]="","",IF(NOTA[[#This Row],[FAKTUR]]="",INDIRECT(ADDRESS(ROW()-1,COLUMN())),NOTA[[#This Row],[FAKTUR]]))</f>
        <v>UNTANA</v>
      </c>
      <c r="AK388" s="38">
        <f ca="1">IF(NOTA[[#This Row],[ID]]="","",COUNTIF(NOTA[ID_H],NOTA[[#This Row],[ID_H]]))</f>
        <v>2</v>
      </c>
      <c r="AL388" s="38">
        <f>IF(NOTA[[#This Row],[TGL.NOTA]]="",IF(NOTA[[#This Row],[SUPPLIER_H]]="","",AL387),MONTH(NOTA[[#This Row],[TGL.NOTA]]))</f>
        <v>9</v>
      </c>
      <c r="AM388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N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docritautenticdk5121704000</v>
      </c>
      <c r="AO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docritautenticdk512213000</v>
      </c>
      <c r="AP38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STATIOERYUNTANA092045188docritautenticdk512</v>
      </c>
      <c r="AQ388" s="38" t="e">
        <f>IF(NOTA[[#This Row],[CONCAT4]]="","",_xlfn.IFNA(MATCH(NOTA[[#This Row],[CONCAT4]],[2]!RAW[CONCAT_H],0),FALSE))</f>
        <v>#REF!</v>
      </c>
      <c r="AR388" s="38" t="e">
        <f>IF(NOTA[[#This Row],[CONCAT1]]="","",MATCH(NOTA[[#This Row],[CONCAT1]],[3]!db[NB NOTA_C],0))</f>
        <v>#N/A</v>
      </c>
      <c r="AS388" s="38" t="str">
        <f>IF(NOTA[[#This Row],[QTY/ CTN]]="","",TRUE)</f>
        <v/>
      </c>
      <c r="AT388" s="38" t="e">
        <f ca="1">IF(NOTA[[#This Row],[ID_H]]="","",IF(NOTA[[#This Row],[Column3]]=TRUE,NOTA[[#This Row],[QTY/ CTN]],INDEX([3]!db[QTY/ CTN],NOTA[[#This Row],[//DB]])))</f>
        <v>#N/A</v>
      </c>
      <c r="AU3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388" s="38" t="e">
        <f ca="1">IF(NOTA[[#This Row],[ID_H]]="","",MATCH(NOTA[[#This Row],[NB NOTA_C_QTY]],[4]!db[NB NOTA_C_QTY+F],0))</f>
        <v>#N/A</v>
      </c>
      <c r="AW388" s="53" t="e">
        <f ca="1">IF(NOTA[[#This Row],[NB NOTA_C_QTY]]="","",ROW()-2)</f>
        <v>#N/A</v>
      </c>
    </row>
    <row r="389" spans="1:49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62</v>
      </c>
      <c r="E389" s="46"/>
      <c r="F389" s="37"/>
      <c r="G389" s="37"/>
      <c r="H389" s="47"/>
      <c r="I389" s="37"/>
      <c r="J389" s="39"/>
      <c r="K389" s="37"/>
      <c r="L389" s="37" t="s">
        <v>504</v>
      </c>
      <c r="M389" s="40"/>
      <c r="N389" s="38">
        <v>10</v>
      </c>
      <c r="O389" s="37" t="s">
        <v>138</v>
      </c>
      <c r="P389" s="41">
        <v>260000</v>
      </c>
      <c r="Q389" s="42"/>
      <c r="R389" s="48"/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2600000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2600000</v>
      </c>
      <c r="AD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F389" s="41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G389" s="50">
        <f>IF(OR(NOTA[[#This Row],[QTY]]="",NOTA[[#This Row],[HARGA SATUAN]]="",),"",NOTA[[#This Row],[QTY]]*NOTA[[#This Row],[HARGA SATUAN]])</f>
        <v>2600000</v>
      </c>
      <c r="AH389" s="39">
        <f ca="1">IF(NOTA[ID_H]="","",INDEX(NOTA[TANGGAL],MATCH(,INDIRECT(ADDRESS(ROW(NOTA[TANGGAL]),COLUMN(NOTA[TANGGAL]))&amp;":"&amp;ADDRESS(ROW(),COLUMN(NOTA[TANGGAL]))),-1)))</f>
        <v>45188</v>
      </c>
      <c r="AI389" s="41" t="str">
        <f ca="1">IF(NOTA[[#This Row],[NAMA BARANG]]="","",INDEX(NOTA[SUPPLIER],MATCH(,INDIRECT(ADDRESS(ROW(NOTA[ID]),COLUMN(NOTA[ID]))&amp;":"&amp;ADDRESS(ROW(),COLUMN(NOTA[ID]))),-1)))</f>
        <v>COMBI STATIOERY</v>
      </c>
      <c r="AJ389" s="41" t="str">
        <f ca="1">IF(NOTA[[#This Row],[ID_H]]="","",IF(NOTA[[#This Row],[FAKTUR]]="",INDIRECT(ADDRESS(ROW()-1,COLUMN())),NOTA[[#This Row],[FAKTUR]]))</f>
        <v>UNTANA</v>
      </c>
      <c r="AK389" s="38" t="str">
        <f ca="1">IF(NOTA[[#This Row],[ID]]="","",COUNTIF(NOTA[ID_H],NOTA[[#This Row],[ID_H]]))</f>
        <v/>
      </c>
      <c r="AL389" s="38">
        <f ca="1">IF(NOTA[[#This Row],[TGL.NOTA]]="",IF(NOTA[[#This Row],[SUPPLIER_H]]="","",AL388),MONTH(NOTA[[#This Row],[TGL.NOTA]]))</f>
        <v>9</v>
      </c>
      <c r="AM389" s="38" t="str">
        <f>LOWER(SUBSTITUTE(SUBSTITUTE(SUBSTITUTE(SUBSTITUTE(SUBSTITUTE(SUBSTITUTE(SUBSTITUTE(SUBSTITUTE(SUBSTITUTE(NOTA[NAMA BARANG]," ",),".",""),"-",""),"(",""),")",""),",",""),"/",""),"""",""),"+",""))</f>
        <v>docritoptima</v>
      </c>
      <c r="AN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docritoptima2600000</v>
      </c>
      <c r="AO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P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38" t="str">
        <f>IF(NOTA[[#This Row],[CONCAT4]]="","",_xlfn.IFNA(MATCH(NOTA[[#This Row],[CONCAT4]],[2]!RAW[CONCAT_H],0),FALSE))</f>
        <v/>
      </c>
      <c r="AR389" s="38">
        <f>IF(NOTA[[#This Row],[CONCAT1]]="","",MATCH(NOTA[[#This Row],[CONCAT1]],[3]!db[NB NOTA_C],0))</f>
        <v>743</v>
      </c>
      <c r="AS389" s="38" t="str">
        <f>IF(NOTA[[#This Row],[QTY/ CTN]]="","",TRUE)</f>
        <v/>
      </c>
      <c r="AT389" s="38" t="str">
        <f ca="1">IF(NOTA[[#This Row],[ID_H]]="","",IF(NOTA[[#This Row],[Column3]]=TRUE,NOTA[[#This Row],[QTY/ CTN]],INDEX([3]!db[QTY/ CTN],NOTA[[#This Row],[//DB]])))</f>
        <v>5 LSN</v>
      </c>
      <c r="AU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V389" s="38" t="e">
        <f ca="1">IF(NOTA[[#This Row],[ID_H]]="","",MATCH(NOTA[[#This Row],[NB NOTA_C_QTY]],[4]!db[NB NOTA_C_QTY+F],0))</f>
        <v>#REF!</v>
      </c>
      <c r="AW389" s="53">
        <f ca="1">IF(NOTA[[#This Row],[NB NOTA_C_QTY]]="","",ROW()-2)</f>
        <v>387</v>
      </c>
    </row>
    <row r="390" spans="1:49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0" s="50" t="str">
        <f>IF(OR(NOTA[[#This Row],[QTY]]="",NOTA[[#This Row],[HARGA SATUAN]]="",),"",NOTA[[#This Row],[QTY]]*NOTA[[#This Row],[HARGA SATUAN]])</f>
        <v/>
      </c>
      <c r="AH390" s="39" t="str">
        <f ca="1">IF(NOTA[ID_H]="","",INDEX(NOTA[TANGGAL],MATCH(,INDIRECT(ADDRESS(ROW(NOTA[TANGGAL]),COLUMN(NOTA[TANGGAL]))&amp;":"&amp;ADDRESS(ROW(),COLUMN(NOTA[TANGGAL]))),-1)))</f>
        <v/>
      </c>
      <c r="AI390" s="41" t="str">
        <f ca="1">IF(NOTA[[#This Row],[NAMA BARANG]]="","",INDEX(NOTA[SUPPLIER],MATCH(,INDIRECT(ADDRESS(ROW(NOTA[ID]),COLUMN(NOTA[ID]))&amp;":"&amp;ADDRESS(ROW(),COLUMN(NOTA[ID]))),-1)))</f>
        <v/>
      </c>
      <c r="AJ390" s="41" t="str">
        <f ca="1">IF(NOTA[[#This Row],[ID_H]]="","",IF(NOTA[[#This Row],[FAKTUR]]="",INDIRECT(ADDRESS(ROW()-1,COLUMN())),NOTA[[#This Row],[FAKTUR]]))</f>
        <v/>
      </c>
      <c r="AK390" s="38" t="str">
        <f ca="1">IF(NOTA[[#This Row],[ID]]="","",COUNTIF(NOTA[ID_H],NOTA[[#This Row],[ID_H]]))</f>
        <v/>
      </c>
      <c r="AL390" s="38" t="str">
        <f ca="1">IF(NOTA[[#This Row],[TGL.NOTA]]="",IF(NOTA[[#This Row],[SUPPLIER_H]]="","",AL389),MONTH(NOTA[[#This Row],[TGL.NOTA]]))</f>
        <v/>
      </c>
      <c r="AM390" s="38" t="str">
        <f>LOWER(SUBSTITUTE(SUBSTITUTE(SUBSTITUTE(SUBSTITUTE(SUBSTITUTE(SUBSTITUTE(SUBSTITUTE(SUBSTITUTE(SUBSTITUTE(NOTA[NAMA BARANG]," ",),".",""),"-",""),"(",""),")",""),",",""),"/",""),"""",""),"+",""))</f>
        <v/>
      </c>
      <c r="AN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38" t="str">
        <f>IF(NOTA[[#This Row],[CONCAT4]]="","",_xlfn.IFNA(MATCH(NOTA[[#This Row],[CONCAT4]],[2]!RAW[CONCAT_H],0),FALSE))</f>
        <v/>
      </c>
      <c r="AR390" s="38" t="str">
        <f>IF(NOTA[[#This Row],[CONCAT1]]="","",MATCH(NOTA[[#This Row],[CONCAT1]],[3]!db[NB NOTA_C],0))</f>
        <v/>
      </c>
      <c r="AS390" s="38" t="str">
        <f>IF(NOTA[[#This Row],[QTY/ CTN]]="","",TRUE)</f>
        <v/>
      </c>
      <c r="AT390" s="38" t="str">
        <f ca="1">IF(NOTA[[#This Row],[ID_H]]="","",IF(NOTA[[#This Row],[Column3]]=TRUE,NOTA[[#This Row],[QTY/ CTN]],INDEX([3]!db[QTY/ CTN],NOTA[[#This Row],[//DB]])))</f>
        <v/>
      </c>
      <c r="AU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0" s="38" t="str">
        <f ca="1">IF(NOTA[[#This Row],[ID_H]]="","",MATCH(NOTA[[#This Row],[NB NOTA_C_QTY]],[4]!db[NB NOTA_C_QTY+F],0))</f>
        <v/>
      </c>
      <c r="AW390" s="53" t="str">
        <f ca="1">IF(NOTA[[#This Row],[NB NOTA_C_QTY]]="","",ROW()-2)</f>
        <v/>
      </c>
    </row>
    <row r="391" spans="1:49" s="38" customFormat="1" ht="20.100000000000001" customHeight="1" x14ac:dyDescent="0.25">
      <c r="A391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SUR_1909_270-2</v>
      </c>
      <c r="C391" s="38" t="e">
        <f ca="1">IF(NOTA[[#This Row],[ID_P]]="","",MATCH(NOTA[[#This Row],[ID_P]],[1]!B_MSK[N_ID],0))</f>
        <v>#REF!</v>
      </c>
      <c r="D391" s="38">
        <f ca="1">IF(NOTA[[#This Row],[NAMA BARANG]]="","",INDEX(NOTA[ID],MATCH(,INDIRECT(ADDRESS(ROW(NOTA[ID]),COLUMN(NOTA[ID]))&amp;":"&amp;ADDRESS(ROW(),COLUMN(NOTA[ID]))),-1)))</f>
        <v>63</v>
      </c>
      <c r="E391" s="46">
        <v>45188</v>
      </c>
      <c r="F391" s="37" t="s">
        <v>494</v>
      </c>
      <c r="G391" s="37" t="s">
        <v>123</v>
      </c>
      <c r="H391" s="47" t="s">
        <v>505</v>
      </c>
      <c r="I391" s="37"/>
      <c r="J391" s="39">
        <v>45185</v>
      </c>
      <c r="K391" s="37"/>
      <c r="L391" s="37" t="s">
        <v>506</v>
      </c>
      <c r="M391" s="40">
        <v>40</v>
      </c>
      <c r="N391" s="38">
        <f>200*40</f>
        <v>8000</v>
      </c>
      <c r="O391" s="37" t="s">
        <v>126</v>
      </c>
      <c r="P391" s="41">
        <v>3000</v>
      </c>
      <c r="Q391" s="42"/>
      <c r="R391" s="48" t="s">
        <v>507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24000000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24000000</v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G391" s="50">
        <f>IF(OR(NOTA[[#This Row],[QTY]]="",NOTA[[#This Row],[HARGA SATUAN]]="",),"",NOTA[[#This Row],[QTY]]*NOTA[[#This Row],[HARGA SATUAN]])</f>
        <v>24000000</v>
      </c>
      <c r="AH391" s="39">
        <f ca="1">IF(NOTA[ID_H]="","",INDEX(NOTA[TANGGAL],MATCH(,INDIRECT(ADDRESS(ROW(NOTA[TANGGAL]),COLUMN(NOTA[TANGGAL]))&amp;":"&amp;ADDRESS(ROW(),COLUMN(NOTA[TANGGAL]))),-1)))</f>
        <v>45188</v>
      </c>
      <c r="AI391" s="41" t="str">
        <f ca="1">IF(NOTA[[#This Row],[NAMA BARANG]]="","",INDEX(NOTA[SUPPLIER],MATCH(,INDIRECT(ADDRESS(ROW(NOTA[ID]),COLUMN(NOTA[ID]))&amp;":"&amp;ADDRESS(ROW(),COLUMN(NOTA[ID]))),-1)))</f>
        <v>SURYA PRATAMA</v>
      </c>
      <c r="AJ391" s="41" t="str">
        <f ca="1">IF(NOTA[[#This Row],[ID_H]]="","",IF(NOTA[[#This Row],[FAKTUR]]="",INDIRECT(ADDRESS(ROW()-1,COLUMN())),NOTA[[#This Row],[FAKTUR]]))</f>
        <v>UNTANA</v>
      </c>
      <c r="AK391" s="38">
        <f ca="1">IF(NOTA[[#This Row],[ID]]="","",COUNTIF(NOTA[ID_H],NOTA[[#This Row],[ID_H]]))</f>
        <v>2</v>
      </c>
      <c r="AL391" s="38">
        <f>IF(NOTA[[#This Row],[TGL.NOTA]]="",IF(NOTA[[#This Row],[SUPPLIER_H]]="","",AL390),MONTH(NOTA[[#This Row],[TGL.NOTA]]))</f>
        <v>9</v>
      </c>
      <c r="AM391" s="38" t="str">
        <f>LOWER(SUBSTITUTE(SUBSTITUTE(SUBSTITUTE(SUBSTITUTE(SUBSTITUTE(SUBSTITUTE(SUBSTITUTE(SUBSTITUTE(SUBSTITUTE(NOTA[NAMA BARANG]," ",),".",""),"-",""),"(",""),")",""),",",""),"/",""),"""",""),"+",""))</f>
        <v>isolasigambarfancy15*2m</v>
      </c>
      <c r="AN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isolasigambarfancy15*2m600000</v>
      </c>
      <c r="AO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isolasigambarfancy15*2m600000</v>
      </c>
      <c r="AP391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PRATAMAUNTANAF23/P00027045185isolasigambarfancy15*2m</v>
      </c>
      <c r="AQ391" s="38" t="e">
        <f>IF(NOTA[[#This Row],[CONCAT4]]="","",_xlfn.IFNA(MATCH(NOTA[[#This Row],[CONCAT4]],[2]!RAW[CONCAT_H],0),FALSE))</f>
        <v>#REF!</v>
      </c>
      <c r="AR391" s="38" t="e">
        <f>IF(NOTA[[#This Row],[CONCAT1]]="","",MATCH(NOTA[[#This Row],[CONCAT1]],[3]!db[NB NOTA_C],0))</f>
        <v>#N/A</v>
      </c>
      <c r="AS391" s="38" t="b">
        <f>IF(NOTA[[#This Row],[QTY/ CTN]]="","",TRUE)</f>
        <v>1</v>
      </c>
      <c r="AT391" s="38" t="str">
        <f ca="1">IF(NOTA[[#This Row],[ID_H]]="","",IF(NOTA[[#This Row],[Column3]]=TRUE,NOTA[[#This Row],[QTY/ CTN]],INDEX([3]!db[QTY/ CTN],NOTA[[#This Row],[//DB]])))</f>
        <v>200 PCS</v>
      </c>
      <c r="AU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isolasigambarfancy15*2m200pcsuntana</v>
      </c>
      <c r="AV391" s="38" t="e">
        <f ca="1">IF(NOTA[[#This Row],[ID_H]]="","",MATCH(NOTA[[#This Row],[NB NOTA_C_QTY]],[4]!db[NB NOTA_C_QTY+F],0))</f>
        <v>#REF!</v>
      </c>
      <c r="AW391" s="53">
        <f ca="1">IF(NOTA[[#This Row],[NB NOTA_C_QTY]]="","",ROW()-2)</f>
        <v>389</v>
      </c>
    </row>
    <row r="392" spans="1:49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/>
      <c r="L392" s="37" t="s">
        <v>508</v>
      </c>
      <c r="M392" s="40">
        <v>20</v>
      </c>
      <c r="N392" s="38">
        <f>144*20</f>
        <v>2880</v>
      </c>
      <c r="O392" s="37" t="s">
        <v>126</v>
      </c>
      <c r="P392" s="41">
        <v>9500</v>
      </c>
      <c r="Q392" s="42"/>
      <c r="R392" s="48" t="s">
        <v>509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27360000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27360000</v>
      </c>
      <c r="AD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3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51360000</v>
      </c>
      <c r="AF392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G392" s="50">
        <f>IF(OR(NOTA[[#This Row],[QTY]]="",NOTA[[#This Row],[HARGA SATUAN]]="",),"",NOTA[[#This Row],[QTY]]*NOTA[[#This Row],[HARGA SATUAN]])</f>
        <v>27360000</v>
      </c>
      <c r="AH392" s="39">
        <f ca="1">IF(NOTA[ID_H]="","",INDEX(NOTA[TANGGAL],MATCH(,INDIRECT(ADDRESS(ROW(NOTA[TANGGAL]),COLUMN(NOTA[TANGGAL]))&amp;":"&amp;ADDRESS(ROW(),COLUMN(NOTA[TANGGAL]))),-1)))</f>
        <v>45188</v>
      </c>
      <c r="AI392" s="41" t="str">
        <f ca="1">IF(NOTA[[#This Row],[NAMA BARANG]]="","",INDEX(NOTA[SUPPLIER],MATCH(,INDIRECT(ADDRESS(ROW(NOTA[ID]),COLUMN(NOTA[ID]))&amp;":"&amp;ADDRESS(ROW(),COLUMN(NOTA[ID]))),-1)))</f>
        <v>SURYA PRATAMA</v>
      </c>
      <c r="AJ392" s="41" t="str">
        <f ca="1">IF(NOTA[[#This Row],[ID_H]]="","",IF(NOTA[[#This Row],[FAKTUR]]="",INDIRECT(ADDRESS(ROW()-1,COLUMN())),NOTA[[#This Row],[FAKTUR]]))</f>
        <v>UNTANA</v>
      </c>
      <c r="AK392" s="38" t="str">
        <f ca="1">IF(NOTA[[#This Row],[ID]]="","",COUNTIF(NOTA[ID_H],NOTA[[#This Row],[ID_H]]))</f>
        <v/>
      </c>
      <c r="AL392" s="38">
        <f ca="1">IF(NOTA[[#This Row],[TGL.NOTA]]="",IF(NOTA[[#This Row],[SUPPLIER_H]]="","",AL391),MONTH(NOTA[[#This Row],[TGL.NOTA]]))</f>
        <v>9</v>
      </c>
      <c r="AM392" s="38" t="str">
        <f>LOWER(SUBSTITUTE(SUBSTITUTE(SUBSTITUTE(SUBSTITUTE(SUBSTITUTE(SUBSTITUTE(SUBSTITUTE(SUBSTITUTE(SUBSTITUTE(NOTA[NAMA BARANG]," ",),".",""),"-",""),"(",""),")",""),",",""),"/",""),"""",""),"+",""))</f>
        <v>magicboardtk901rumahkecil</v>
      </c>
      <c r="AN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magicboardtk901rumahkecil1368000</v>
      </c>
      <c r="AO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magicboardtk901rumahkecil1368000</v>
      </c>
      <c r="AP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38" t="str">
        <f>IF(NOTA[[#This Row],[CONCAT4]]="","",_xlfn.IFNA(MATCH(NOTA[[#This Row],[CONCAT4]],[2]!RAW[CONCAT_H],0),FALSE))</f>
        <v/>
      </c>
      <c r="AR392" s="38" t="e">
        <f>IF(NOTA[[#This Row],[CONCAT1]]="","",MATCH(NOTA[[#This Row],[CONCAT1]],[3]!db[NB NOTA_C],0))</f>
        <v>#N/A</v>
      </c>
      <c r="AS392" s="38" t="b">
        <f>IF(NOTA[[#This Row],[QTY/ CTN]]="","",TRUE)</f>
        <v>1</v>
      </c>
      <c r="AT392" s="38" t="str">
        <f ca="1">IF(NOTA[[#This Row],[ID_H]]="","",IF(NOTA[[#This Row],[Column3]]=TRUE,NOTA[[#This Row],[QTY/ CTN]],INDEX([3]!db[QTY/ CTN],NOTA[[#This Row],[//DB]])))</f>
        <v>144 PCS</v>
      </c>
      <c r="AU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magicboardtk901rumahkecil144pcsuntana</v>
      </c>
      <c r="AV392" s="38" t="e">
        <f ca="1">IF(NOTA[[#This Row],[ID_H]]="","",MATCH(NOTA[[#This Row],[NB NOTA_C_QTY]],[4]!db[NB NOTA_C_QTY+F],0))</f>
        <v>#REF!</v>
      </c>
      <c r="AW392" s="53">
        <f ca="1">IF(NOTA[[#This Row],[NB NOTA_C_QTY]]="","",ROW()-2)</f>
        <v>390</v>
      </c>
    </row>
    <row r="393" spans="1:49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3" s="50" t="str">
        <f>IF(OR(NOTA[[#This Row],[QTY]]="",NOTA[[#This Row],[HARGA SATUAN]]="",),"",NOTA[[#This Row],[QTY]]*NOTA[[#This Row],[HARGA SATUAN]])</f>
        <v/>
      </c>
      <c r="AH393" s="39" t="str">
        <f ca="1">IF(NOTA[ID_H]="","",INDEX(NOTA[TANGGAL],MATCH(,INDIRECT(ADDRESS(ROW(NOTA[TANGGAL]),COLUMN(NOTA[TANGGAL]))&amp;":"&amp;ADDRESS(ROW(),COLUMN(NOTA[TANGGAL]))),-1)))</f>
        <v/>
      </c>
      <c r="AI393" s="41" t="str">
        <f ca="1">IF(NOTA[[#This Row],[NAMA BARANG]]="","",INDEX(NOTA[SUPPLIER],MATCH(,INDIRECT(ADDRESS(ROW(NOTA[ID]),COLUMN(NOTA[ID]))&amp;":"&amp;ADDRESS(ROW(),COLUMN(NOTA[ID]))),-1)))</f>
        <v/>
      </c>
      <c r="AJ393" s="41" t="str">
        <f ca="1">IF(NOTA[[#This Row],[ID_H]]="","",IF(NOTA[[#This Row],[FAKTUR]]="",INDIRECT(ADDRESS(ROW()-1,COLUMN())),NOTA[[#This Row],[FAKTUR]]))</f>
        <v/>
      </c>
      <c r="AK393" s="38" t="str">
        <f ca="1">IF(NOTA[[#This Row],[ID]]="","",COUNTIF(NOTA[ID_H],NOTA[[#This Row],[ID_H]]))</f>
        <v/>
      </c>
      <c r="AL393" s="38" t="str">
        <f ca="1">IF(NOTA[[#This Row],[TGL.NOTA]]="",IF(NOTA[[#This Row],[SUPPLIER_H]]="","",AL392),MONTH(NOTA[[#This Row],[TGL.NOTA]]))</f>
        <v/>
      </c>
      <c r="AM393" s="38" t="str">
        <f>LOWER(SUBSTITUTE(SUBSTITUTE(SUBSTITUTE(SUBSTITUTE(SUBSTITUTE(SUBSTITUTE(SUBSTITUTE(SUBSTITUTE(SUBSTITUTE(NOTA[NAMA BARANG]," ",),".",""),"-",""),"(",""),")",""),",",""),"/",""),"""",""),"+",""))</f>
        <v/>
      </c>
      <c r="AN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3" s="38" t="str">
        <f>IF(NOTA[[#This Row],[CONCAT4]]="","",_xlfn.IFNA(MATCH(NOTA[[#This Row],[CONCAT4]],[2]!RAW[CONCAT_H],0),FALSE))</f>
        <v/>
      </c>
      <c r="AR393" s="38" t="str">
        <f>IF(NOTA[[#This Row],[CONCAT1]]="","",MATCH(NOTA[[#This Row],[CONCAT1]],[3]!db[NB NOTA_C],0))</f>
        <v/>
      </c>
      <c r="AS393" s="38" t="str">
        <f>IF(NOTA[[#This Row],[QTY/ CTN]]="","",TRUE)</f>
        <v/>
      </c>
      <c r="AT393" s="38" t="str">
        <f ca="1">IF(NOTA[[#This Row],[ID_H]]="","",IF(NOTA[[#This Row],[Column3]]=TRUE,NOTA[[#This Row],[QTY/ CTN]],INDEX([3]!db[QTY/ CTN],NOTA[[#This Row],[//DB]])))</f>
        <v/>
      </c>
      <c r="AU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3" s="38" t="str">
        <f ca="1">IF(NOTA[[#This Row],[ID_H]]="","",MATCH(NOTA[[#This Row],[NB NOTA_C_QTY]],[4]!db[NB NOTA_C_QTY+F],0))</f>
        <v/>
      </c>
      <c r="AW393" s="53" t="str">
        <f ca="1">IF(NOTA[[#This Row],[NB NOTA_C_QTY]]="","",ROW()-2)</f>
        <v/>
      </c>
    </row>
    <row r="394" spans="1:49" s="38" customFormat="1" ht="20.100000000000001" customHeight="1" x14ac:dyDescent="0.25">
      <c r="A394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4" s="38" t="e">
        <f ca="1">IF(NOTA[[#This Row],[ID_P]]="","",MATCH(NOTA[[#This Row],[ID_P]],[1]!B_MSK[N_ID],0))</f>
        <v>#REF!</v>
      </c>
      <c r="D394" s="38">
        <f ca="1">IF(NOTA[[#This Row],[NAMA BARANG]]="","",INDEX(NOTA[ID],MATCH(,INDIRECT(ADDRESS(ROW(NOTA[ID]),COLUMN(NOTA[ID]))&amp;":"&amp;ADDRESS(ROW(),COLUMN(NOTA[ID]))),-1)))</f>
        <v>64</v>
      </c>
      <c r="E394" s="46">
        <v>45187</v>
      </c>
      <c r="F394" s="37" t="s">
        <v>290</v>
      </c>
      <c r="G394" s="37" t="s">
        <v>123</v>
      </c>
      <c r="H394" s="47" t="s">
        <v>510</v>
      </c>
      <c r="I394" s="37"/>
      <c r="J394" s="39">
        <v>45183</v>
      </c>
      <c r="K394" s="37"/>
      <c r="L394" s="37" t="s">
        <v>511</v>
      </c>
      <c r="M394" s="40"/>
      <c r="N394" s="38">
        <v>200</v>
      </c>
      <c r="O394" s="37" t="s">
        <v>138</v>
      </c>
      <c r="P394" s="41">
        <v>21380</v>
      </c>
      <c r="Q394" s="42"/>
      <c r="R394" s="48"/>
      <c r="S394" s="49">
        <v>0.2</v>
      </c>
      <c r="T394" s="44">
        <v>0.04</v>
      </c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4276000</v>
      </c>
      <c r="Y394" s="50">
        <f>IF(NOTA[[#This Row],[JUMLAH]]="","",NOTA[[#This Row],[JUMLAH]]*NOTA[[#This Row],[DISC 1]])</f>
        <v>855200</v>
      </c>
      <c r="Z394" s="50">
        <f>IF(NOTA[[#This Row],[JUMLAH]]="","",(NOTA[[#This Row],[JUMLAH]]-NOTA[[#This Row],[DISC 1-]])*NOTA[[#This Row],[DISC 2]])</f>
        <v>136832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992032</v>
      </c>
      <c r="AC394" s="50">
        <f>IF(NOTA[[#This Row],[JUMLAH]]="","",NOTA[[#This Row],[JUMLAH]]-NOTA[[#This Row],[DISC]])</f>
        <v>3283968</v>
      </c>
      <c r="AD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E3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F394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G394" s="50">
        <f>IF(OR(NOTA[[#This Row],[QTY]]="",NOTA[[#This Row],[HARGA SATUAN]]="",),"",NOTA[[#This Row],[QTY]]*NOTA[[#This Row],[HARGA SATUAN]])</f>
        <v>4276000</v>
      </c>
      <c r="AH394" s="39">
        <f ca="1">IF(NOTA[ID_H]="","",INDEX(NOTA[TANGGAL],MATCH(,INDIRECT(ADDRESS(ROW(NOTA[TANGGAL]),COLUMN(NOTA[TANGGAL]))&amp;":"&amp;ADDRESS(ROW(),COLUMN(NOTA[TANGGAL]))),-1)))</f>
        <v>45187</v>
      </c>
      <c r="AI394" s="41" t="str">
        <f ca="1">IF(NOTA[[#This Row],[NAMA BARANG]]="","",INDEX(NOTA[SUPPLIER],MATCH(,INDIRECT(ADDRESS(ROW(NOTA[ID]),COLUMN(NOTA[ID]))&amp;":"&amp;ADDRESS(ROW(),COLUMN(NOTA[ID]))),-1)))</f>
        <v>PPW</v>
      </c>
      <c r="AJ394" s="41" t="str">
        <f ca="1">IF(NOTA[[#This Row],[ID_H]]="","",IF(NOTA[[#This Row],[FAKTUR]]="",INDIRECT(ADDRESS(ROW()-1,COLUMN())),NOTA[[#This Row],[FAKTUR]]))</f>
        <v>UNTANA</v>
      </c>
      <c r="AK394" s="38">
        <f ca="1">IF(NOTA[[#This Row],[ID]]="","",COUNTIF(NOTA[ID_H],NOTA[[#This Row],[ID_H]]))</f>
        <v>1</v>
      </c>
      <c r="AL394" s="38">
        <f>IF(NOTA[[#This Row],[TGL.NOTA]]="",IF(NOTA[[#This Row],[SUPPLIER_H]]="","",AL393),MONTH(NOTA[[#This Row],[TGL.NOTA]]))</f>
        <v>9</v>
      </c>
      <c r="AM394" s="38" t="str">
        <f>LOWER(SUBSTITUTE(SUBSTITUTE(SUBSTITUTE(SUBSTITUTE(SUBSTITUTE(SUBSTITUTE(SUBSTITUTE(SUBSTITUTE(SUBSTITUTE(NOTA[NAMA BARANG]," ",),".",""),"-",""),"(",""),")",""),",",""),"/",""),"""",""),"+",""))</f>
        <v>bt20cm</v>
      </c>
      <c r="AN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O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P39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PPWUNTANA0188/HW/IX/2345183bt20cm</v>
      </c>
      <c r="AQ394" s="38" t="e">
        <f>IF(NOTA[[#This Row],[CONCAT4]]="","",_xlfn.IFNA(MATCH(NOTA[[#This Row],[CONCAT4]],[2]!RAW[CONCAT_H],0),FALSE))</f>
        <v>#REF!</v>
      </c>
      <c r="AR394" s="38">
        <f>IF(NOTA[[#This Row],[CONCAT1]]="","",MATCH(NOTA[[#This Row],[CONCAT1]],[3]!db[NB NOTA_C],0))</f>
        <v>417</v>
      </c>
      <c r="AS394" s="38" t="str">
        <f>IF(NOTA[[#This Row],[QTY/ CTN]]="","",TRUE)</f>
        <v/>
      </c>
      <c r="AT394" s="38" t="str">
        <f ca="1">IF(NOTA[[#This Row],[ID_H]]="","",IF(NOTA[[#This Row],[Column3]]=TRUE,NOTA[[#This Row],[QTY/ CTN]],INDEX([3]!db[QTY/ CTN],NOTA[[#This Row],[//DB]])))</f>
        <v>100 LSN</v>
      </c>
      <c r="AU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V394" s="38" t="e">
        <f ca="1">IF(NOTA[[#This Row],[ID_H]]="","",MATCH(NOTA[[#This Row],[NB NOTA_C_QTY]],[4]!db[NB NOTA_C_QTY+F],0))</f>
        <v>#REF!</v>
      </c>
      <c r="AW394" s="53">
        <f ca="1">IF(NOTA[[#This Row],[NB NOTA_C_QTY]]="","",ROW()-2)</f>
        <v>392</v>
      </c>
    </row>
    <row r="395" spans="1:49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5" s="50" t="str">
        <f>IF(OR(NOTA[[#This Row],[QTY]]="",NOTA[[#This Row],[HARGA SATUAN]]="",),"",NOTA[[#This Row],[QTY]]*NOTA[[#This Row],[HARGA SATUAN]])</f>
        <v/>
      </c>
      <c r="AH395" s="39" t="str">
        <f ca="1">IF(NOTA[ID_H]="","",INDEX(NOTA[TANGGAL],MATCH(,INDIRECT(ADDRESS(ROW(NOTA[TANGGAL]),COLUMN(NOTA[TANGGAL]))&amp;":"&amp;ADDRESS(ROW(),COLUMN(NOTA[TANGGAL]))),-1)))</f>
        <v/>
      </c>
      <c r="AI395" s="41" t="str">
        <f ca="1">IF(NOTA[[#This Row],[NAMA BARANG]]="","",INDEX(NOTA[SUPPLIER],MATCH(,INDIRECT(ADDRESS(ROW(NOTA[ID]),COLUMN(NOTA[ID]))&amp;":"&amp;ADDRESS(ROW(),COLUMN(NOTA[ID]))),-1)))</f>
        <v/>
      </c>
      <c r="AJ395" s="41" t="str">
        <f ca="1">IF(NOTA[[#This Row],[ID_H]]="","",IF(NOTA[[#This Row],[FAKTUR]]="",INDIRECT(ADDRESS(ROW()-1,COLUMN())),NOTA[[#This Row],[FAKTUR]]))</f>
        <v/>
      </c>
      <c r="AK395" s="38" t="str">
        <f ca="1">IF(NOTA[[#This Row],[ID]]="","",COUNTIF(NOTA[ID_H],NOTA[[#This Row],[ID_H]]))</f>
        <v/>
      </c>
      <c r="AL395" s="38" t="str">
        <f ca="1">IF(NOTA[[#This Row],[TGL.NOTA]]="",IF(NOTA[[#This Row],[SUPPLIER_H]]="","",AL394),MONTH(NOTA[[#This Row],[TGL.NOTA]]))</f>
        <v/>
      </c>
      <c r="AM395" s="38" t="str">
        <f>LOWER(SUBSTITUTE(SUBSTITUTE(SUBSTITUTE(SUBSTITUTE(SUBSTITUTE(SUBSTITUTE(SUBSTITUTE(SUBSTITUTE(SUBSTITUTE(NOTA[NAMA BARANG]," ",),".",""),"-",""),"(",""),")",""),",",""),"/",""),"""",""),"+",""))</f>
        <v/>
      </c>
      <c r="AN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5" s="38" t="str">
        <f>IF(NOTA[[#This Row],[CONCAT4]]="","",_xlfn.IFNA(MATCH(NOTA[[#This Row],[CONCAT4]],[2]!RAW[CONCAT_H],0),FALSE))</f>
        <v/>
      </c>
      <c r="AR395" s="38" t="str">
        <f>IF(NOTA[[#This Row],[CONCAT1]]="","",MATCH(NOTA[[#This Row],[CONCAT1]],[3]!db[NB NOTA_C],0))</f>
        <v/>
      </c>
      <c r="AS395" s="38" t="str">
        <f>IF(NOTA[[#This Row],[QTY/ CTN]]="","",TRUE)</f>
        <v/>
      </c>
      <c r="AT395" s="38" t="str">
        <f ca="1">IF(NOTA[[#This Row],[ID_H]]="","",IF(NOTA[[#This Row],[Column3]]=TRUE,NOTA[[#This Row],[QTY/ CTN]],INDEX([3]!db[QTY/ CTN],NOTA[[#This Row],[//DB]])))</f>
        <v/>
      </c>
      <c r="AU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5" s="38" t="str">
        <f ca="1">IF(NOTA[[#This Row],[ID_H]]="","",MATCH(NOTA[[#This Row],[NB NOTA_C_QTY]],[4]!db[NB NOTA_C_QTY+F],0))</f>
        <v/>
      </c>
      <c r="AW395" s="53" t="str">
        <f ca="1">IF(NOTA[[#This Row],[NB NOTA_C_QTY]]="","",ROW()-2)</f>
        <v/>
      </c>
    </row>
    <row r="396" spans="1:49" s="38" customFormat="1" ht="20.100000000000001" customHeight="1" x14ac:dyDescent="0.25">
      <c r="A39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6" s="38" t="e">
        <f ca="1">IF(NOTA[[#This Row],[ID_P]]="","",MATCH(NOTA[[#This Row],[ID_P]],[1]!B_MSK[N_ID],0))</f>
        <v>#REF!</v>
      </c>
      <c r="D396" s="38">
        <f ca="1">IF(NOTA[[#This Row],[NAMA BARANG]]="","",INDEX(NOTA[ID],MATCH(,INDIRECT(ADDRESS(ROW(NOTA[ID]),COLUMN(NOTA[ID]))&amp;":"&amp;ADDRESS(ROW(),COLUMN(NOTA[ID]))),-1)))</f>
        <v>65</v>
      </c>
      <c r="E396" s="46"/>
      <c r="F396" s="37" t="s">
        <v>290</v>
      </c>
      <c r="G396" s="37" t="s">
        <v>123</v>
      </c>
      <c r="H396" s="47" t="s">
        <v>512</v>
      </c>
      <c r="I396" s="37"/>
      <c r="J396" s="39">
        <v>45183</v>
      </c>
      <c r="K396" s="37"/>
      <c r="L396" s="37" t="s">
        <v>292</v>
      </c>
      <c r="M396" s="40"/>
      <c r="N396" s="38">
        <v>500</v>
      </c>
      <c r="O396" s="37" t="s">
        <v>138</v>
      </c>
      <c r="P396" s="41">
        <v>26780</v>
      </c>
      <c r="Q396" s="42"/>
      <c r="R396" s="48"/>
      <c r="S396" s="49">
        <v>0.2</v>
      </c>
      <c r="T396" s="44">
        <v>0.04</v>
      </c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13390000</v>
      </c>
      <c r="Y396" s="50">
        <f>IF(NOTA[[#This Row],[JUMLAH]]="","",NOTA[[#This Row],[JUMLAH]]*NOTA[[#This Row],[DISC 1]])</f>
        <v>2678000</v>
      </c>
      <c r="Z396" s="50">
        <f>IF(NOTA[[#This Row],[JUMLAH]]="","",(NOTA[[#This Row],[JUMLAH]]-NOTA[[#This Row],[DISC 1-]])*NOTA[[#This Row],[DISC 2]])</f>
        <v>428480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3106480</v>
      </c>
      <c r="AC396" s="50">
        <f>IF(NOTA[[#This Row],[JUMLAH]]="","",NOTA[[#This Row],[JUMLAH]]-NOTA[[#This Row],[DISC]])</f>
        <v>10283520</v>
      </c>
      <c r="AD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E3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F396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G396" s="50">
        <f>IF(OR(NOTA[[#This Row],[QTY]]="",NOTA[[#This Row],[HARGA SATUAN]]="",),"",NOTA[[#This Row],[QTY]]*NOTA[[#This Row],[HARGA SATUAN]])</f>
        <v>13390000</v>
      </c>
      <c r="AH396" s="39">
        <f ca="1">IF(NOTA[ID_H]="","",INDEX(NOTA[TANGGAL],MATCH(,INDIRECT(ADDRESS(ROW(NOTA[TANGGAL]),COLUMN(NOTA[TANGGAL]))&amp;":"&amp;ADDRESS(ROW(),COLUMN(NOTA[TANGGAL]))),-1)))</f>
        <v>45187</v>
      </c>
      <c r="AI396" s="41" t="str">
        <f ca="1">IF(NOTA[[#This Row],[NAMA BARANG]]="","",INDEX(NOTA[SUPPLIER],MATCH(,INDIRECT(ADDRESS(ROW(NOTA[ID]),COLUMN(NOTA[ID]))&amp;":"&amp;ADDRESS(ROW(),COLUMN(NOTA[ID]))),-1)))</f>
        <v>PPW</v>
      </c>
      <c r="AJ396" s="41" t="str">
        <f ca="1">IF(NOTA[[#This Row],[ID_H]]="","",IF(NOTA[[#This Row],[FAKTUR]]="",INDIRECT(ADDRESS(ROW()-1,COLUMN())),NOTA[[#This Row],[FAKTUR]]))</f>
        <v>UNTANA</v>
      </c>
      <c r="AK396" s="38">
        <f ca="1">IF(NOTA[[#This Row],[ID]]="","",COUNTIF(NOTA[ID_H],NOTA[[#This Row],[ID_H]]))</f>
        <v>1</v>
      </c>
      <c r="AL396" s="38">
        <f>IF(NOTA[[#This Row],[TGL.NOTA]]="",IF(NOTA[[#This Row],[SUPPLIER_H]]="","",AL395),MONTH(NOTA[[#This Row],[TGL.NOTA]]))</f>
        <v>9</v>
      </c>
      <c r="AM396" s="38" t="str">
        <f>LOWER(SUBSTITUTE(SUBSTITUTE(SUBSTITUTE(SUBSTITUTE(SUBSTITUTE(SUBSTITUTE(SUBSTITUTE(SUBSTITUTE(SUBSTITUTE(NOTA[NAMA BARANG]," ",),".",""),"-",""),"(",""),")",""),",",""),"/",""),"""",""),"+",""))</f>
        <v>bt30cm</v>
      </c>
      <c r="AN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O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P396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PPWUNTANA0177/HW/IX/2345183bt30cm</v>
      </c>
      <c r="AQ396" s="38" t="e">
        <f>IF(NOTA[[#This Row],[CONCAT4]]="","",_xlfn.IFNA(MATCH(NOTA[[#This Row],[CONCAT4]],[2]!RAW[CONCAT_H],0),FALSE))</f>
        <v>#REF!</v>
      </c>
      <c r="AR396" s="38">
        <f>IF(NOTA[[#This Row],[CONCAT1]]="","",MATCH(NOTA[[#This Row],[CONCAT1]],[3]!db[NB NOTA_C],0))</f>
        <v>418</v>
      </c>
      <c r="AS396" s="38" t="str">
        <f>IF(NOTA[[#This Row],[QTY/ CTN]]="","",TRUE)</f>
        <v/>
      </c>
      <c r="AT396" s="38" t="str">
        <f ca="1">IF(NOTA[[#This Row],[ID_H]]="","",IF(NOTA[[#This Row],[Column3]]=TRUE,NOTA[[#This Row],[QTY/ CTN]],INDEX([3]!db[QTY/ CTN],NOTA[[#This Row],[//DB]])))</f>
        <v>100 LSN</v>
      </c>
      <c r="AU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V396" s="38" t="e">
        <f ca="1">IF(NOTA[[#This Row],[ID_H]]="","",MATCH(NOTA[[#This Row],[NB NOTA_C_QTY]],[4]!db[NB NOTA_C_QTY+F],0))</f>
        <v>#REF!</v>
      </c>
      <c r="AW396" s="53">
        <f ca="1">IF(NOTA[[#This Row],[NB NOTA_C_QTY]]="","",ROW()-2)</f>
        <v>394</v>
      </c>
    </row>
    <row r="397" spans="1:49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7" s="50" t="str">
        <f>IF(OR(NOTA[[#This Row],[QTY]]="",NOTA[[#This Row],[HARGA SATUAN]]="",),"",NOTA[[#This Row],[QTY]]*NOTA[[#This Row],[HARGA SATUAN]])</f>
        <v/>
      </c>
      <c r="AH397" s="39" t="str">
        <f ca="1">IF(NOTA[ID_H]="","",INDEX(NOTA[TANGGAL],MATCH(,INDIRECT(ADDRESS(ROW(NOTA[TANGGAL]),COLUMN(NOTA[TANGGAL]))&amp;":"&amp;ADDRESS(ROW(),COLUMN(NOTA[TANGGAL]))),-1)))</f>
        <v/>
      </c>
      <c r="AI397" s="41" t="str">
        <f ca="1">IF(NOTA[[#This Row],[NAMA BARANG]]="","",INDEX(NOTA[SUPPLIER],MATCH(,INDIRECT(ADDRESS(ROW(NOTA[ID]),COLUMN(NOTA[ID]))&amp;":"&amp;ADDRESS(ROW(),COLUMN(NOTA[ID]))),-1)))</f>
        <v/>
      </c>
      <c r="AJ397" s="41" t="str">
        <f ca="1">IF(NOTA[[#This Row],[ID_H]]="","",IF(NOTA[[#This Row],[FAKTUR]]="",INDIRECT(ADDRESS(ROW()-1,COLUMN())),NOTA[[#This Row],[FAKTUR]]))</f>
        <v/>
      </c>
      <c r="AK397" s="38" t="str">
        <f ca="1">IF(NOTA[[#This Row],[ID]]="","",COUNTIF(NOTA[ID_H],NOTA[[#This Row],[ID_H]]))</f>
        <v/>
      </c>
      <c r="AL397" s="38" t="str">
        <f ca="1">IF(NOTA[[#This Row],[TGL.NOTA]]="",IF(NOTA[[#This Row],[SUPPLIER_H]]="","",AL396),MONTH(NOTA[[#This Row],[TGL.NOTA]]))</f>
        <v/>
      </c>
      <c r="AM397" s="38" t="str">
        <f>LOWER(SUBSTITUTE(SUBSTITUTE(SUBSTITUTE(SUBSTITUTE(SUBSTITUTE(SUBSTITUTE(SUBSTITUTE(SUBSTITUTE(SUBSTITUTE(NOTA[NAMA BARANG]," ",),".",""),"-",""),"(",""),")",""),",",""),"/",""),"""",""),"+",""))</f>
        <v/>
      </c>
      <c r="AN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7" s="38" t="str">
        <f>IF(NOTA[[#This Row],[CONCAT4]]="","",_xlfn.IFNA(MATCH(NOTA[[#This Row],[CONCAT4]],[2]!RAW[CONCAT_H],0),FALSE))</f>
        <v/>
      </c>
      <c r="AR397" s="38" t="str">
        <f>IF(NOTA[[#This Row],[CONCAT1]]="","",MATCH(NOTA[[#This Row],[CONCAT1]],[3]!db[NB NOTA_C],0))</f>
        <v/>
      </c>
      <c r="AS397" s="38" t="str">
        <f>IF(NOTA[[#This Row],[QTY/ CTN]]="","",TRUE)</f>
        <v/>
      </c>
      <c r="AT397" s="38" t="str">
        <f ca="1">IF(NOTA[[#This Row],[ID_H]]="","",IF(NOTA[[#This Row],[Column3]]=TRUE,NOTA[[#This Row],[QTY/ CTN]],INDEX([3]!db[QTY/ CTN],NOTA[[#This Row],[//DB]])))</f>
        <v/>
      </c>
      <c r="AU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7" s="38" t="str">
        <f ca="1">IF(NOTA[[#This Row],[ID_H]]="","",MATCH(NOTA[[#This Row],[NB NOTA_C_QTY]],[4]!db[NB NOTA_C_QTY+F],0))</f>
        <v/>
      </c>
      <c r="AW397" s="53" t="str">
        <f ca="1">IF(NOTA[[#This Row],[NB NOTA_C_QTY]]="","",ROW()-2)</f>
        <v/>
      </c>
    </row>
    <row r="398" spans="1:49" s="38" customFormat="1" ht="20.100000000000001" customHeight="1" x14ac:dyDescent="0.25">
      <c r="A398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PPW_1809_X23-1</v>
      </c>
      <c r="C398" s="38" t="e">
        <f ca="1">IF(NOTA[[#This Row],[ID_P]]="","",MATCH(NOTA[[#This Row],[ID_P]],[1]!B_MSK[N_ID],0))</f>
        <v>#REF!</v>
      </c>
      <c r="D398" s="38">
        <f ca="1">IF(NOTA[[#This Row],[NAMA BARANG]]="","",INDEX(NOTA[ID],MATCH(,INDIRECT(ADDRESS(ROW(NOTA[ID]),COLUMN(NOTA[ID]))&amp;":"&amp;ADDRESS(ROW(),COLUMN(NOTA[ID]))),-1)))</f>
        <v>66</v>
      </c>
      <c r="E398" s="46"/>
      <c r="F398" s="37" t="s">
        <v>290</v>
      </c>
      <c r="G398" s="37" t="s">
        <v>123</v>
      </c>
      <c r="H398" s="47" t="s">
        <v>513</v>
      </c>
      <c r="I398" s="37"/>
      <c r="J398" s="39">
        <v>45181</v>
      </c>
      <c r="K398" s="37"/>
      <c r="L398" s="37" t="s">
        <v>514</v>
      </c>
      <c r="M398" s="40"/>
      <c r="N398" s="38">
        <v>16</v>
      </c>
      <c r="O398" s="37" t="s">
        <v>138</v>
      </c>
      <c r="P398" s="41">
        <v>236880</v>
      </c>
      <c r="Q398" s="42"/>
      <c r="R398" s="48"/>
      <c r="S398" s="49">
        <v>0.2</v>
      </c>
      <c r="T398" s="44">
        <v>0.04</v>
      </c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3790080</v>
      </c>
      <c r="Y398" s="50">
        <f>IF(NOTA[[#This Row],[JUMLAH]]="","",NOTA[[#This Row],[JUMLAH]]*NOTA[[#This Row],[DISC 1]])</f>
        <v>758016</v>
      </c>
      <c r="Z398" s="50">
        <f>IF(NOTA[[#This Row],[JUMLAH]]="","",(NOTA[[#This Row],[JUMLAH]]-NOTA[[#This Row],[DISC 1-]])*NOTA[[#This Row],[DISC 2]])</f>
        <v>121282.56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879298.56000000006</v>
      </c>
      <c r="AC398" s="50">
        <f>IF(NOTA[[#This Row],[JUMLAH]]="","",NOTA[[#This Row],[JUMLAH]]-NOTA[[#This Row],[DISC]])</f>
        <v>2910781.4399999999</v>
      </c>
      <c r="AD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E3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F398" s="41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G398" s="50">
        <f>IF(OR(NOTA[[#This Row],[QTY]]="",NOTA[[#This Row],[HARGA SATUAN]]="",),"",NOTA[[#This Row],[QTY]]*NOTA[[#This Row],[HARGA SATUAN]])</f>
        <v>3790080</v>
      </c>
      <c r="AH398" s="39">
        <f ca="1">IF(NOTA[ID_H]="","",INDEX(NOTA[TANGGAL],MATCH(,INDIRECT(ADDRESS(ROW(NOTA[TANGGAL]),COLUMN(NOTA[TANGGAL]))&amp;":"&amp;ADDRESS(ROW(),COLUMN(NOTA[TANGGAL]))),-1)))</f>
        <v>45187</v>
      </c>
      <c r="AI398" s="41" t="str">
        <f ca="1">IF(NOTA[[#This Row],[NAMA BARANG]]="","",INDEX(NOTA[SUPPLIER],MATCH(,INDIRECT(ADDRESS(ROW(NOTA[ID]),COLUMN(NOTA[ID]))&amp;":"&amp;ADDRESS(ROW(),COLUMN(NOTA[ID]))),-1)))</f>
        <v>PPW</v>
      </c>
      <c r="AJ398" s="41" t="str">
        <f ca="1">IF(NOTA[[#This Row],[ID_H]]="","",IF(NOTA[[#This Row],[FAKTUR]]="",INDIRECT(ADDRESS(ROW()-1,COLUMN())),NOTA[[#This Row],[FAKTUR]]))</f>
        <v>UNTANA</v>
      </c>
      <c r="AK398" s="38">
        <f ca="1">IF(NOTA[[#This Row],[ID]]="","",COUNTIF(NOTA[ID_H],NOTA[[#This Row],[ID_H]]))</f>
        <v>1</v>
      </c>
      <c r="AL398" s="38">
        <f>IF(NOTA[[#This Row],[TGL.NOTA]]="",IF(NOTA[[#This Row],[SUPPLIER_H]]="","",AL397),MONTH(NOTA[[#This Row],[TGL.NOTA]]))</f>
        <v>9</v>
      </c>
      <c r="AM398" s="38" t="str">
        <f>LOWER(SUBSTITUTE(SUBSTITUTE(SUBSTITUTE(SUBSTITUTE(SUBSTITUTE(SUBSTITUTE(SUBSTITUTE(SUBSTITUTE(SUBSTITUTE(NOTA[NAMA BARANG]," ",),".",""),"-",""),"(",""),")",""),",",""),"/",""),"""",""),"+",""))</f>
        <v>segitigabtno12</v>
      </c>
      <c r="AN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O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segitigabtno122368800.20.04</v>
      </c>
      <c r="AP398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PPWUNTANA0140/HW/IX/2345181segitigabtno12</v>
      </c>
      <c r="AQ398" s="38" t="e">
        <f>IF(NOTA[[#This Row],[CONCAT4]]="","",_xlfn.IFNA(MATCH(NOTA[[#This Row],[CONCAT4]],[2]!RAW[CONCAT_H],0),FALSE))</f>
        <v>#REF!</v>
      </c>
      <c r="AR398" s="38">
        <f>IF(NOTA[[#This Row],[CONCAT1]]="","",MATCH(NOTA[[#This Row],[CONCAT1]],[3]!db[NB NOTA_C],0))</f>
        <v>2412</v>
      </c>
      <c r="AS398" s="38" t="str">
        <f>IF(NOTA[[#This Row],[QTY/ CTN]]="","",TRUE)</f>
        <v/>
      </c>
      <c r="AT398" s="38" t="str">
        <f ca="1">IF(NOTA[[#This Row],[ID_H]]="","",IF(NOTA[[#This Row],[Column3]]=TRUE,NOTA[[#This Row],[QTY/ CTN]],INDEX([3]!db[QTY/ CTN],NOTA[[#This Row],[//DB]])))</f>
        <v>16 LSN</v>
      </c>
      <c r="AU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segitigabtno1216lsnuntana</v>
      </c>
      <c r="AV398" s="38" t="e">
        <f ca="1">IF(NOTA[[#This Row],[ID_H]]="","",MATCH(NOTA[[#This Row],[NB NOTA_C_QTY]],[4]!db[NB NOTA_C_QTY+F],0))</f>
        <v>#REF!</v>
      </c>
      <c r="AW398" s="53">
        <f ca="1">IF(NOTA[[#This Row],[NB NOTA_C_QTY]]="","",ROW()-2)</f>
        <v>396</v>
      </c>
    </row>
    <row r="399" spans="1:49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399" s="50" t="str">
        <f>IF(OR(NOTA[[#This Row],[QTY]]="",NOTA[[#This Row],[HARGA SATUAN]]="",),"",NOTA[[#This Row],[QTY]]*NOTA[[#This Row],[HARGA SATUAN]])</f>
        <v/>
      </c>
      <c r="AH399" s="39" t="str">
        <f ca="1">IF(NOTA[ID_H]="","",INDEX(NOTA[TANGGAL],MATCH(,INDIRECT(ADDRESS(ROW(NOTA[TANGGAL]),COLUMN(NOTA[TANGGAL]))&amp;":"&amp;ADDRESS(ROW(),COLUMN(NOTA[TANGGAL]))),-1)))</f>
        <v/>
      </c>
      <c r="AI399" s="41" t="str">
        <f ca="1">IF(NOTA[[#This Row],[NAMA BARANG]]="","",INDEX(NOTA[SUPPLIER],MATCH(,INDIRECT(ADDRESS(ROW(NOTA[ID]),COLUMN(NOTA[ID]))&amp;":"&amp;ADDRESS(ROW(),COLUMN(NOTA[ID]))),-1)))</f>
        <v/>
      </c>
      <c r="AJ399" s="41" t="str">
        <f ca="1">IF(NOTA[[#This Row],[ID_H]]="","",IF(NOTA[[#This Row],[FAKTUR]]="",INDIRECT(ADDRESS(ROW()-1,COLUMN())),NOTA[[#This Row],[FAKTUR]]))</f>
        <v/>
      </c>
      <c r="AK399" s="38" t="str">
        <f ca="1">IF(NOTA[[#This Row],[ID]]="","",COUNTIF(NOTA[ID_H],NOTA[[#This Row],[ID_H]]))</f>
        <v/>
      </c>
      <c r="AL399" s="38" t="str">
        <f ca="1">IF(NOTA[[#This Row],[TGL.NOTA]]="",IF(NOTA[[#This Row],[SUPPLIER_H]]="","",AL398),MONTH(NOTA[[#This Row],[TGL.NOTA]]))</f>
        <v/>
      </c>
      <c r="AM399" s="38" t="str">
        <f>LOWER(SUBSTITUTE(SUBSTITUTE(SUBSTITUTE(SUBSTITUTE(SUBSTITUTE(SUBSTITUTE(SUBSTITUTE(SUBSTITUTE(SUBSTITUTE(NOTA[NAMA BARANG]," ",),".",""),"-",""),"(",""),")",""),",",""),"/",""),"""",""),"+",""))</f>
        <v/>
      </c>
      <c r="AN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38" t="str">
        <f>IF(NOTA[[#This Row],[CONCAT4]]="","",_xlfn.IFNA(MATCH(NOTA[[#This Row],[CONCAT4]],[2]!RAW[CONCAT_H],0),FALSE))</f>
        <v/>
      </c>
      <c r="AR399" s="38" t="str">
        <f>IF(NOTA[[#This Row],[CONCAT1]]="","",MATCH(NOTA[[#This Row],[CONCAT1]],[3]!db[NB NOTA_C],0))</f>
        <v/>
      </c>
      <c r="AS399" s="38" t="str">
        <f>IF(NOTA[[#This Row],[QTY/ CTN]]="","",TRUE)</f>
        <v/>
      </c>
      <c r="AT399" s="38" t="str">
        <f ca="1">IF(NOTA[[#This Row],[ID_H]]="","",IF(NOTA[[#This Row],[Column3]]=TRUE,NOTA[[#This Row],[QTY/ CTN]],INDEX([3]!db[QTY/ CTN],NOTA[[#This Row],[//DB]])))</f>
        <v/>
      </c>
      <c r="AU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99" s="38" t="str">
        <f ca="1">IF(NOTA[[#This Row],[ID_H]]="","",MATCH(NOTA[[#This Row],[NB NOTA_C_QTY]],[4]!db[NB NOTA_C_QTY+F],0))</f>
        <v/>
      </c>
      <c r="AW399" s="53" t="str">
        <f ca="1">IF(NOTA[[#This Row],[NB NOTA_C_QTY]]="","",ROW()-2)</f>
        <v/>
      </c>
    </row>
    <row r="400" spans="1:49" s="38" customFormat="1" ht="20.100000000000001" customHeight="1" x14ac:dyDescent="0.25">
      <c r="A400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SAM_2009_554-8</v>
      </c>
      <c r="C400" s="38" t="e">
        <f ca="1">IF(NOTA[[#This Row],[ID_P]]="","",MATCH(NOTA[[#This Row],[ID_P]],[1]!B_MSK[N_ID],0))</f>
        <v>#REF!</v>
      </c>
      <c r="D400" s="38">
        <f ca="1">IF(NOTA[[#This Row],[NAMA BARANG]]="","",INDEX(NOTA[ID],MATCH(,INDIRECT(ADDRESS(ROW(NOTA[ID]),COLUMN(NOTA[ID]))&amp;":"&amp;ADDRESS(ROW(),COLUMN(NOTA[ID]))),-1)))</f>
        <v>67</v>
      </c>
      <c r="E400" s="46">
        <v>45189</v>
      </c>
      <c r="F400" s="37" t="s">
        <v>56</v>
      </c>
      <c r="G400" s="37" t="s">
        <v>23</v>
      </c>
      <c r="H400" s="47" t="s">
        <v>515</v>
      </c>
      <c r="I400" s="37"/>
      <c r="J400" s="39">
        <v>45185</v>
      </c>
      <c r="K400" s="37"/>
      <c r="L400" s="37" t="s">
        <v>517</v>
      </c>
      <c r="M400" s="40">
        <v>3</v>
      </c>
      <c r="N400" s="38">
        <v>480</v>
      </c>
      <c r="O400" s="37" t="s">
        <v>126</v>
      </c>
      <c r="P400" s="41">
        <v>10000</v>
      </c>
      <c r="Q400" s="42"/>
      <c r="R400" s="48" t="s">
        <v>516</v>
      </c>
      <c r="S400" s="49">
        <v>7.0000000000000007E-2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4800000</v>
      </c>
      <c r="Y400" s="50">
        <f>IF(NOTA[[#This Row],[JUMLAH]]="","",NOTA[[#This Row],[JUMLAH]]*NOTA[[#This Row],[DISC 1]])</f>
        <v>336000.00000000006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336000.00000000006</v>
      </c>
      <c r="AC400" s="50">
        <f>IF(NOTA[[#This Row],[JUMLAH]]="","",NOTA[[#This Row],[JUMLAH]]-NOTA[[#This Row],[DISC]])</f>
        <v>4464000</v>
      </c>
      <c r="AD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00" s="50">
        <f>IF(OR(NOTA[[#This Row],[QTY]]="",NOTA[[#This Row],[HARGA SATUAN]]="",),"",NOTA[[#This Row],[QTY]]*NOTA[[#This Row],[HARGA SATUAN]])</f>
        <v>4800000</v>
      </c>
      <c r="AH400" s="39">
        <f ca="1">IF(NOTA[ID_H]="","",INDEX(NOTA[TANGGAL],MATCH(,INDIRECT(ADDRESS(ROW(NOTA[TANGGAL]),COLUMN(NOTA[TANGGAL]))&amp;":"&amp;ADDRESS(ROW(),COLUMN(NOTA[TANGGAL]))),-1)))</f>
        <v>45189</v>
      </c>
      <c r="AI400" s="41" t="str">
        <f ca="1">IF(NOTA[[#This Row],[NAMA BARANG]]="","",INDEX(NOTA[SUPPLIER],MATCH(,INDIRECT(ADDRESS(ROW(NOTA[ID]),COLUMN(NOTA[ID]))&amp;":"&amp;ADDRESS(ROW(),COLUMN(NOTA[ID]))),-1)))</f>
        <v>SAMUDERA ANGKASA JAYA</v>
      </c>
      <c r="AJ400" s="41" t="str">
        <f ca="1">IF(NOTA[[#This Row],[ID_H]]="","",IF(NOTA[[#This Row],[FAKTUR]]="",INDIRECT(ADDRESS(ROW()-1,COLUMN())),NOTA[[#This Row],[FAKTUR]]))</f>
        <v>ARTO MORO</v>
      </c>
      <c r="AK400" s="38">
        <f ca="1">IF(NOTA[[#This Row],[ID]]="","",COUNTIF(NOTA[ID_H],NOTA[[#This Row],[ID_H]]))</f>
        <v>8</v>
      </c>
      <c r="AL400" s="38">
        <f>IF(NOTA[[#This Row],[TGL.NOTA]]="",IF(NOTA[[#This Row],[SUPPLIER_H]]="","",AL399),MONTH(NOTA[[#This Row],[TGL.NOTA]]))</f>
        <v>9</v>
      </c>
      <c r="AM400" s="38" t="str">
        <f>LOWER(SUBSTITUTE(SUBSTITUTE(SUBSTITUTE(SUBSTITUTE(SUBSTITUTE(SUBSTITUTE(SUBSTITUTE(SUBSTITUTE(SUBSTITUTE(NOTA[NAMA BARANG]," ",),".",""),"-",""),"(",""),")",""),",",""),"/",""),"""",""),"+",""))</f>
        <v>bukuspiral0161980la5pvc</v>
      </c>
      <c r="AN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bukuspiral0161980la5pvc16000000.07</v>
      </c>
      <c r="AO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bukuspiral0161980la5pvc16000000.07</v>
      </c>
      <c r="AP40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MOROJL-1655445185bukuspiral0161980la5pvc</v>
      </c>
      <c r="AQ400" s="38" t="e">
        <f>IF(NOTA[[#This Row],[CONCAT4]]="","",_xlfn.IFNA(MATCH(NOTA[[#This Row],[CONCAT4]],[2]!RAW[CONCAT_H],0),FALSE))</f>
        <v>#REF!</v>
      </c>
      <c r="AR400" s="38">
        <f>IF(NOTA[[#This Row],[CONCAT1]]="","",MATCH(NOTA[[#This Row],[CONCAT1]],[3]!db[NB NOTA_C],0))</f>
        <v>463</v>
      </c>
      <c r="AS400" s="38" t="b">
        <f>IF(NOTA[[#This Row],[QTY/ CTN]]="","",TRUE)</f>
        <v>1</v>
      </c>
      <c r="AT400" s="38" t="str">
        <f ca="1">IF(NOTA[[#This Row],[ID_H]]="","",IF(NOTA[[#This Row],[Column3]]=TRUE,NOTA[[#This Row],[QTY/ CTN]],INDEX([3]!db[QTY/ CTN],NOTA[[#This Row],[//DB]])))</f>
        <v>160 PCS</v>
      </c>
      <c r="AU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bukuspiral0161980la5pvc160pcsartomoro</v>
      </c>
      <c r="AV400" s="38" t="e">
        <f ca="1">IF(NOTA[[#This Row],[ID_H]]="","",MATCH(NOTA[[#This Row],[NB NOTA_C_QTY]],[4]!db[NB NOTA_C_QTY+F],0))</f>
        <v>#REF!</v>
      </c>
      <c r="AW400" s="53">
        <f ca="1">IF(NOTA[[#This Row],[NB NOTA_C_QTY]]="","",ROW()-2)</f>
        <v>398</v>
      </c>
    </row>
    <row r="401" spans="1:49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67</v>
      </c>
      <c r="E401" s="46"/>
      <c r="F401" s="37"/>
      <c r="G401" s="37"/>
      <c r="H401" s="47"/>
      <c r="I401" s="37"/>
      <c r="J401" s="39"/>
      <c r="K401" s="37"/>
      <c r="L401" s="37" t="s">
        <v>518</v>
      </c>
      <c r="M401" s="40">
        <v>3</v>
      </c>
      <c r="N401" s="38">
        <v>480</v>
      </c>
      <c r="O401" s="37" t="s">
        <v>126</v>
      </c>
      <c r="P401" s="41">
        <v>10000</v>
      </c>
      <c r="Q401" s="42"/>
      <c r="R401" s="48" t="s">
        <v>516</v>
      </c>
      <c r="S401" s="49">
        <v>7.0000000000000007E-2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4800000</v>
      </c>
      <c r="Y401" s="50">
        <f>IF(NOTA[[#This Row],[JUMLAH]]="","",NOTA[[#This Row],[JUMLAH]]*NOTA[[#This Row],[DISC 1]])</f>
        <v>336000.00000000006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336000.00000000006</v>
      </c>
      <c r="AC401" s="50">
        <f>IF(NOTA[[#This Row],[JUMLAH]]="","",NOTA[[#This Row],[JUMLAH]]-NOTA[[#This Row],[DISC]])</f>
        <v>4464000</v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1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01" s="50">
        <f>IF(OR(NOTA[[#This Row],[QTY]]="",NOTA[[#This Row],[HARGA SATUAN]]="",),"",NOTA[[#This Row],[QTY]]*NOTA[[#This Row],[HARGA SATUAN]])</f>
        <v>4800000</v>
      </c>
      <c r="AH401" s="39">
        <f ca="1">IF(NOTA[ID_H]="","",INDEX(NOTA[TANGGAL],MATCH(,INDIRECT(ADDRESS(ROW(NOTA[TANGGAL]),COLUMN(NOTA[TANGGAL]))&amp;":"&amp;ADDRESS(ROW(),COLUMN(NOTA[TANGGAL]))),-1)))</f>
        <v>45189</v>
      </c>
      <c r="AI401" s="41" t="str">
        <f ca="1">IF(NOTA[[#This Row],[NAMA BARANG]]="","",INDEX(NOTA[SUPPLIER],MATCH(,INDIRECT(ADDRESS(ROW(NOTA[ID]),COLUMN(NOTA[ID]))&amp;":"&amp;ADDRESS(ROW(),COLUMN(NOTA[ID]))),-1)))</f>
        <v>SAMUDERA ANGKASA JAYA</v>
      </c>
      <c r="AJ401" s="41" t="str">
        <f ca="1">IF(NOTA[[#This Row],[ID_H]]="","",IF(NOTA[[#This Row],[FAKTUR]]="",INDIRECT(ADDRESS(ROW()-1,COLUMN())),NOTA[[#This Row],[FAKTUR]]))</f>
        <v>ARTO MORO</v>
      </c>
      <c r="AK401" s="38" t="str">
        <f ca="1">IF(NOTA[[#This Row],[ID]]="","",COUNTIF(NOTA[ID_H],NOTA[[#This Row],[ID_H]]))</f>
        <v/>
      </c>
      <c r="AL401" s="38">
        <f ca="1">IF(NOTA[[#This Row],[TGL.NOTA]]="",IF(NOTA[[#This Row],[SUPPLIER_H]]="","",AL400),MONTH(NOTA[[#This Row],[TGL.NOTA]]))</f>
        <v>9</v>
      </c>
      <c r="AM401" s="38" t="str">
        <f>LOWER(SUBSTITUTE(SUBSTITUTE(SUBSTITUTE(SUBSTITUTE(SUBSTITUTE(SUBSTITUTE(SUBSTITUTE(SUBSTITUTE(SUBSTITUTE(NOTA[NAMA BARANG]," ",),".",""),"-",""),"(",""),")",""),",",""),"/",""),"""",""),"+",""))</f>
        <v>bukuspiral0162180la5pvc</v>
      </c>
      <c r="AN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bukuspiral0162180la5pvc16000000.07</v>
      </c>
      <c r="AO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bukuspiral0162180la5pvc16000000.07</v>
      </c>
      <c r="AP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38" t="str">
        <f>IF(NOTA[[#This Row],[CONCAT4]]="","",_xlfn.IFNA(MATCH(NOTA[[#This Row],[CONCAT4]],[2]!RAW[CONCAT_H],0),FALSE))</f>
        <v/>
      </c>
      <c r="AR401" s="38">
        <f>IF(NOTA[[#This Row],[CONCAT1]]="","",MATCH(NOTA[[#This Row],[CONCAT1]],[3]!db[NB NOTA_C],0))</f>
        <v>465</v>
      </c>
      <c r="AS401" s="38" t="b">
        <f>IF(NOTA[[#This Row],[QTY/ CTN]]="","",TRUE)</f>
        <v>1</v>
      </c>
      <c r="AT401" s="38" t="str">
        <f ca="1">IF(NOTA[[#This Row],[ID_H]]="","",IF(NOTA[[#This Row],[Column3]]=TRUE,NOTA[[#This Row],[QTY/ CTN]],INDEX([3]!db[QTY/ CTN],NOTA[[#This Row],[//DB]])))</f>
        <v>160 PCS</v>
      </c>
      <c r="AU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bukuspiral0162180la5pvc160pcsartomoro</v>
      </c>
      <c r="AV401" s="38" t="e">
        <f ca="1">IF(NOTA[[#This Row],[ID_H]]="","",MATCH(NOTA[[#This Row],[NB NOTA_C_QTY]],[4]!db[NB NOTA_C_QTY+F],0))</f>
        <v>#REF!</v>
      </c>
      <c r="AW401" s="53">
        <f ca="1">IF(NOTA[[#This Row],[NB NOTA_C_QTY]]="","",ROW()-2)</f>
        <v>399</v>
      </c>
    </row>
    <row r="402" spans="1:49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67</v>
      </c>
      <c r="E402" s="46"/>
      <c r="F402" s="37"/>
      <c r="G402" s="37"/>
      <c r="H402" s="47"/>
      <c r="I402" s="37"/>
      <c r="J402" s="39"/>
      <c r="K402" s="37"/>
      <c r="L402" s="37" t="s">
        <v>519</v>
      </c>
      <c r="M402" s="40">
        <v>5</v>
      </c>
      <c r="N402" s="38">
        <v>720</v>
      </c>
      <c r="O402" s="37" t="s">
        <v>138</v>
      </c>
      <c r="P402" s="41">
        <v>8500</v>
      </c>
      <c r="Q402" s="42"/>
      <c r="R402" s="48" t="s">
        <v>216</v>
      </c>
      <c r="S402" s="49">
        <v>7.0000000000000007E-2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6120000</v>
      </c>
      <c r="Y402" s="50">
        <f>IF(NOTA[[#This Row],[JUMLAH]]="","",NOTA[[#This Row],[JUMLAH]]*NOTA[[#This Row],[DISC 1]])</f>
        <v>428400.00000000006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428400.00000000006</v>
      </c>
      <c r="AC402" s="50">
        <f>IF(NOTA[[#This Row],[JUMLAH]]="","",NOTA[[#This Row],[JUMLAH]]-NOTA[[#This Row],[DISC]])</f>
        <v>5691600</v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2" s="4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G402" s="50">
        <f>IF(OR(NOTA[[#This Row],[QTY]]="",NOTA[[#This Row],[HARGA SATUAN]]="",),"",NOTA[[#This Row],[QTY]]*NOTA[[#This Row],[HARGA SATUAN]])</f>
        <v>6120000</v>
      </c>
      <c r="AH402" s="39">
        <f ca="1">IF(NOTA[ID_H]="","",INDEX(NOTA[TANGGAL],MATCH(,INDIRECT(ADDRESS(ROW(NOTA[TANGGAL]),COLUMN(NOTA[TANGGAL]))&amp;":"&amp;ADDRESS(ROW(),COLUMN(NOTA[TANGGAL]))),-1)))</f>
        <v>45189</v>
      </c>
      <c r="AI402" s="41" t="str">
        <f ca="1">IF(NOTA[[#This Row],[NAMA BARANG]]="","",INDEX(NOTA[SUPPLIER],MATCH(,INDIRECT(ADDRESS(ROW(NOTA[ID]),COLUMN(NOTA[ID]))&amp;":"&amp;ADDRESS(ROW(),COLUMN(NOTA[ID]))),-1)))</f>
        <v>SAMUDERA ANGKASA JAYA</v>
      </c>
      <c r="AJ402" s="41" t="str">
        <f ca="1">IF(NOTA[[#This Row],[ID_H]]="","",IF(NOTA[[#This Row],[FAKTUR]]="",INDIRECT(ADDRESS(ROW()-1,COLUMN())),NOTA[[#This Row],[FAKTUR]]))</f>
        <v>ARTO MORO</v>
      </c>
      <c r="AK402" s="38" t="str">
        <f ca="1">IF(NOTA[[#This Row],[ID]]="","",COUNTIF(NOTA[ID_H],NOTA[[#This Row],[ID_H]]))</f>
        <v/>
      </c>
      <c r="AL402" s="38">
        <f ca="1">IF(NOTA[[#This Row],[TGL.NOTA]]="",IF(NOTA[[#This Row],[SUPPLIER_H]]="","",AL401),MONTH(NOTA[[#This Row],[TGL.NOTA]]))</f>
        <v>9</v>
      </c>
      <c r="AM402" s="38" t="str">
        <f>LOWER(SUBSTITUTE(SUBSTITUTE(SUBSTITUTE(SUBSTITUTE(SUBSTITUTE(SUBSTITUTE(SUBSTITUTE(SUBSTITUTE(SUBSTITUTE(NOTA[NAMA BARANG]," ",),".",""),"-",""),"(",""),")",""),",",""),"/",""),"""",""),"+",""))</f>
        <v>gelpenipenvc8100vanco</v>
      </c>
      <c r="AN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gelpenipenvc8100vanco12240000.07</v>
      </c>
      <c r="AO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gelpenipenvc8100vanco12240000.07</v>
      </c>
      <c r="AP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38" t="str">
        <f>IF(NOTA[[#This Row],[CONCAT4]]="","",_xlfn.IFNA(MATCH(NOTA[[#This Row],[CONCAT4]],[2]!RAW[CONCAT_H],0),FALSE))</f>
        <v/>
      </c>
      <c r="AR402" s="38">
        <f>IF(NOTA[[#This Row],[CONCAT1]]="","",MATCH(NOTA[[#This Row],[CONCAT1]],[3]!db[NB NOTA_C],0))</f>
        <v>912</v>
      </c>
      <c r="AS402" s="38" t="b">
        <f>IF(NOTA[[#This Row],[QTY/ CTN]]="","",TRUE)</f>
        <v>1</v>
      </c>
      <c r="AT402" s="38" t="str">
        <f ca="1">IF(NOTA[[#This Row],[ID_H]]="","",IF(NOTA[[#This Row],[Column3]]=TRUE,NOTA[[#This Row],[QTY/ CTN]],INDEX([3]!db[QTY/ CTN],NOTA[[#This Row],[//DB]])))</f>
        <v>144 LSN</v>
      </c>
      <c r="AU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gelpenipenvc8100vanco144lsnartomoro</v>
      </c>
      <c r="AV402" s="38" t="e">
        <f ca="1">IF(NOTA[[#This Row],[ID_H]]="","",MATCH(NOTA[[#This Row],[NB NOTA_C_QTY]],[4]!db[NB NOTA_C_QTY+F],0))</f>
        <v>#REF!</v>
      </c>
      <c r="AW402" s="53">
        <f ca="1">IF(NOTA[[#This Row],[NB NOTA_C_QTY]]="","",ROW()-2)</f>
        <v>400</v>
      </c>
    </row>
    <row r="403" spans="1:49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67</v>
      </c>
      <c r="E403" s="46"/>
      <c r="F403" s="37"/>
      <c r="G403" s="37"/>
      <c r="H403" s="47"/>
      <c r="I403" s="37"/>
      <c r="J403" s="39"/>
      <c r="K403" s="37"/>
      <c r="L403" s="37" t="s">
        <v>520</v>
      </c>
      <c r="M403" s="40">
        <v>5</v>
      </c>
      <c r="N403" s="38">
        <v>720</v>
      </c>
      <c r="O403" s="37" t="s">
        <v>138</v>
      </c>
      <c r="P403" s="41">
        <v>21000</v>
      </c>
      <c r="Q403" s="42"/>
      <c r="R403" s="48" t="s">
        <v>216</v>
      </c>
      <c r="S403" s="49">
        <v>7.0000000000000007E-2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15120000</v>
      </c>
      <c r="Y403" s="50">
        <f>IF(NOTA[[#This Row],[JUMLAH]]="","",NOTA[[#This Row],[JUMLAH]]*NOTA[[#This Row],[DISC 1]])</f>
        <v>1058400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1058400</v>
      </c>
      <c r="AC403" s="50">
        <f>IF(NOTA[[#This Row],[JUMLAH]]="","",NOTA[[#This Row],[JUMLAH]]-NOTA[[#This Row],[DISC]])</f>
        <v>14061600</v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3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403" s="50">
        <f>IF(OR(NOTA[[#This Row],[QTY]]="",NOTA[[#This Row],[HARGA SATUAN]]="",),"",NOTA[[#This Row],[QTY]]*NOTA[[#This Row],[HARGA SATUAN]])</f>
        <v>15120000</v>
      </c>
      <c r="AH403" s="39">
        <f ca="1">IF(NOTA[ID_H]="","",INDEX(NOTA[TANGGAL],MATCH(,INDIRECT(ADDRESS(ROW(NOTA[TANGGAL]),COLUMN(NOTA[TANGGAL]))&amp;":"&amp;ADDRESS(ROW(),COLUMN(NOTA[TANGGAL]))),-1)))</f>
        <v>45189</v>
      </c>
      <c r="AI403" s="41" t="str">
        <f ca="1">IF(NOTA[[#This Row],[NAMA BARANG]]="","",INDEX(NOTA[SUPPLIER],MATCH(,INDIRECT(ADDRESS(ROW(NOTA[ID]),COLUMN(NOTA[ID]))&amp;":"&amp;ADDRESS(ROW(),COLUMN(NOTA[ID]))),-1)))</f>
        <v>SAMUDERA ANGKASA JAYA</v>
      </c>
      <c r="AJ403" s="41" t="str">
        <f ca="1">IF(NOTA[[#This Row],[ID_H]]="","",IF(NOTA[[#This Row],[FAKTUR]]="",INDIRECT(ADDRESS(ROW()-1,COLUMN())),NOTA[[#This Row],[FAKTUR]]))</f>
        <v>ARTO MORO</v>
      </c>
      <c r="AK403" s="38" t="str">
        <f ca="1">IF(NOTA[[#This Row],[ID]]="","",COUNTIF(NOTA[ID_H],NOTA[[#This Row],[ID_H]]))</f>
        <v/>
      </c>
      <c r="AL403" s="38">
        <f ca="1">IF(NOTA[[#This Row],[TGL.NOTA]]="",IF(NOTA[[#This Row],[SUPPLIER_H]]="","",AL402),MONTH(NOTA[[#This Row],[TGL.NOTA]]))</f>
        <v>9</v>
      </c>
      <c r="AM403" s="38" t="str">
        <f>LOWER(SUBSTITUTE(SUBSTITUTE(SUBSTITUTE(SUBSTITUTE(SUBSTITUTE(SUBSTITUTE(SUBSTITUTE(SUBSTITUTE(SUBSTITUTE(NOTA[NAMA BARANG]," ",),".",""),"-",""),"(",""),")",""),",",""),"/",""),"""",""),"+",""))</f>
        <v>pen4wvc6201vanco</v>
      </c>
      <c r="AN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pen4wvc6201vanco30240000.07</v>
      </c>
      <c r="AO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pen4wvc6201vanco30240000.07</v>
      </c>
      <c r="AP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3" s="38" t="str">
        <f>IF(NOTA[[#This Row],[CONCAT4]]="","",_xlfn.IFNA(MATCH(NOTA[[#This Row],[CONCAT4]],[2]!RAW[CONCAT_H],0),FALSE))</f>
        <v/>
      </c>
      <c r="AR403" s="38">
        <f>IF(NOTA[[#This Row],[CONCAT1]]="","",MATCH(NOTA[[#This Row],[CONCAT1]],[3]!db[NB NOTA_C],0))</f>
        <v>2114</v>
      </c>
      <c r="AS403" s="38" t="b">
        <f>IF(NOTA[[#This Row],[QTY/ CTN]]="","",TRUE)</f>
        <v>1</v>
      </c>
      <c r="AT403" s="38" t="str">
        <f ca="1">IF(NOTA[[#This Row],[ID_H]]="","",IF(NOTA[[#This Row],[Column3]]=TRUE,NOTA[[#This Row],[QTY/ CTN]],INDEX([3]!db[QTY/ CTN],NOTA[[#This Row],[//DB]])))</f>
        <v>144 LSN</v>
      </c>
      <c r="AU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pen4wvc6201vanco144lsnartomoro</v>
      </c>
      <c r="AV403" s="38" t="e">
        <f ca="1">IF(NOTA[[#This Row],[ID_H]]="","",MATCH(NOTA[[#This Row],[NB NOTA_C_QTY]],[4]!db[NB NOTA_C_QTY+F],0))</f>
        <v>#REF!</v>
      </c>
      <c r="AW403" s="53">
        <f ca="1">IF(NOTA[[#This Row],[NB NOTA_C_QTY]]="","",ROW()-2)</f>
        <v>401</v>
      </c>
    </row>
    <row r="404" spans="1:49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67</v>
      </c>
      <c r="E404" s="46"/>
      <c r="F404" s="37"/>
      <c r="G404" s="37"/>
      <c r="H404" s="47"/>
      <c r="I404" s="37"/>
      <c r="J404" s="39"/>
      <c r="K404" s="37"/>
      <c r="L404" s="37" t="s">
        <v>521</v>
      </c>
      <c r="M404" s="40">
        <v>1</v>
      </c>
      <c r="N404" s="38">
        <v>256</v>
      </c>
      <c r="O404" s="37" t="s">
        <v>132</v>
      </c>
      <c r="P404" s="41">
        <v>14500</v>
      </c>
      <c r="Q404" s="42"/>
      <c r="R404" s="48" t="s">
        <v>522</v>
      </c>
      <c r="S404" s="49">
        <v>7.0000000000000007E-2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3712000</v>
      </c>
      <c r="Y404" s="50">
        <f>IF(NOTA[[#This Row],[JUMLAH]]="","",NOTA[[#This Row],[JUMLAH]]*NOTA[[#This Row],[DISC 1]])</f>
        <v>259840.00000000003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259840.00000000003</v>
      </c>
      <c r="AC404" s="50">
        <f>IF(NOTA[[#This Row],[JUMLAH]]="","",NOTA[[#This Row],[JUMLAH]]-NOTA[[#This Row],[DISC]])</f>
        <v>3452160</v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4" s="41">
        <f>IF(NOTA[[#This Row],[NAMA BARANG]]="","",IF(NOTA[[#This Row],[JUMLAH_H]]="",NOTA[[#This Row],[HARGA/ CTN]],NOTA[[#This Row],[QTY]]*NOTA[[#This Row],[HARGA SATUAN]]/IF(ISNUMBER(NOTA[[#This Row],[C]]),NOTA[[#This Row],[C]],1)))</f>
        <v>3712000</v>
      </c>
      <c r="AG404" s="50">
        <f>IF(OR(NOTA[[#This Row],[QTY]]="",NOTA[[#This Row],[HARGA SATUAN]]="",),"",NOTA[[#This Row],[QTY]]*NOTA[[#This Row],[HARGA SATUAN]])</f>
        <v>3712000</v>
      </c>
      <c r="AH404" s="39">
        <f ca="1">IF(NOTA[ID_H]="","",INDEX(NOTA[TANGGAL],MATCH(,INDIRECT(ADDRESS(ROW(NOTA[TANGGAL]),COLUMN(NOTA[TANGGAL]))&amp;":"&amp;ADDRESS(ROW(),COLUMN(NOTA[TANGGAL]))),-1)))</f>
        <v>45189</v>
      </c>
      <c r="AI404" s="41" t="str">
        <f ca="1">IF(NOTA[[#This Row],[NAMA BARANG]]="","",INDEX(NOTA[SUPPLIER],MATCH(,INDIRECT(ADDRESS(ROW(NOTA[ID]),COLUMN(NOTA[ID]))&amp;":"&amp;ADDRESS(ROW(),COLUMN(NOTA[ID]))),-1)))</f>
        <v>SAMUDERA ANGKASA JAYA</v>
      </c>
      <c r="AJ404" s="41" t="str">
        <f ca="1">IF(NOTA[[#This Row],[ID_H]]="","",IF(NOTA[[#This Row],[FAKTUR]]="",INDIRECT(ADDRESS(ROW()-1,COLUMN())),NOTA[[#This Row],[FAKTUR]]))</f>
        <v>ARTO MORO</v>
      </c>
      <c r="AK404" s="38" t="str">
        <f ca="1">IF(NOTA[[#This Row],[ID]]="","",COUNTIF(NOTA[ID_H],NOTA[[#This Row],[ID_H]]))</f>
        <v/>
      </c>
      <c r="AL404" s="38">
        <f ca="1">IF(NOTA[[#This Row],[TGL.NOTA]]="",IF(NOTA[[#This Row],[SUPPLIER_H]]="","",AL403),MONTH(NOTA[[#This Row],[TGL.NOTA]]))</f>
        <v>9</v>
      </c>
      <c r="AM404" s="38" t="str">
        <f>LOWER(SUBSTITUTE(SUBSTITUTE(SUBSTITUTE(SUBSTITUTE(SUBSTITUTE(SUBSTITUTE(SUBSTITUTE(SUBSTITUTE(SUBSTITUTE(NOTA[NAMA BARANG]," ",),".",""),"-",""),"(",""),")",""),",",""),"/",""),"""",""),"+",""))</f>
        <v>gelpenklikgp961299wpvc</v>
      </c>
      <c r="AN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gelpenklikgp961299wpvc37120000.07</v>
      </c>
      <c r="AO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gelpenklikgp961299wpvc37120000.07</v>
      </c>
      <c r="AP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38" t="str">
        <f>IF(NOTA[[#This Row],[CONCAT4]]="","",_xlfn.IFNA(MATCH(NOTA[[#This Row],[CONCAT4]],[2]!RAW[CONCAT_H],0),FALSE))</f>
        <v/>
      </c>
      <c r="AR404" s="38">
        <f>IF(NOTA[[#This Row],[CONCAT1]]="","",MATCH(NOTA[[#This Row],[CONCAT1]],[3]!db[NB NOTA_C],0))</f>
        <v>916</v>
      </c>
      <c r="AS404" s="38" t="b">
        <f>IF(NOTA[[#This Row],[QTY/ CTN]]="","",TRUE)</f>
        <v>1</v>
      </c>
      <c r="AT404" s="38" t="str">
        <f ca="1">IF(NOTA[[#This Row],[ID_H]]="","",IF(NOTA[[#This Row],[Column3]]=TRUE,NOTA[[#This Row],[QTY/ CTN]],INDEX([3]!db[QTY/ CTN],NOTA[[#This Row],[//DB]])))</f>
        <v>256 SET</v>
      </c>
      <c r="AU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gelpenklikgp961299wpvc256setartomoro</v>
      </c>
      <c r="AV404" s="38" t="e">
        <f ca="1">IF(NOTA[[#This Row],[ID_H]]="","",MATCH(NOTA[[#This Row],[NB NOTA_C_QTY]],[4]!db[NB NOTA_C_QTY+F],0))</f>
        <v>#REF!</v>
      </c>
      <c r="AW404" s="53">
        <f ca="1">IF(NOTA[[#This Row],[NB NOTA_C_QTY]]="","",ROW()-2)</f>
        <v>402</v>
      </c>
    </row>
    <row r="405" spans="1:49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67</v>
      </c>
      <c r="E405" s="46"/>
      <c r="F405" s="37"/>
      <c r="G405" s="37"/>
      <c r="H405" s="47"/>
      <c r="I405" s="37"/>
      <c r="J405" s="39"/>
      <c r="K405" s="37"/>
      <c r="L405" s="37" t="s">
        <v>526</v>
      </c>
      <c r="M405" s="40">
        <v>3</v>
      </c>
      <c r="N405" s="38">
        <v>288</v>
      </c>
      <c r="O405" s="37" t="s">
        <v>126</v>
      </c>
      <c r="P405" s="41">
        <v>16500</v>
      </c>
      <c r="Q405" s="42"/>
      <c r="R405" s="48" t="s">
        <v>523</v>
      </c>
      <c r="S405" s="49">
        <v>7.0000000000000007E-2</v>
      </c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4752000</v>
      </c>
      <c r="Y405" s="50">
        <f>IF(NOTA[[#This Row],[JUMLAH]]="","",NOTA[[#This Row],[JUMLAH]]*NOTA[[#This Row],[DISC 1]])</f>
        <v>332640.00000000006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332640.00000000006</v>
      </c>
      <c r="AC405" s="50">
        <f>IF(NOTA[[#This Row],[JUMLAH]]="","",NOTA[[#This Row],[JUMLAH]]-NOTA[[#This Row],[DISC]])</f>
        <v>4419360</v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5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405" s="50">
        <f>IF(OR(NOTA[[#This Row],[QTY]]="",NOTA[[#This Row],[HARGA SATUAN]]="",),"",NOTA[[#This Row],[QTY]]*NOTA[[#This Row],[HARGA SATUAN]])</f>
        <v>4752000</v>
      </c>
      <c r="AH405" s="39">
        <f ca="1">IF(NOTA[ID_H]="","",INDEX(NOTA[TANGGAL],MATCH(,INDIRECT(ADDRESS(ROW(NOTA[TANGGAL]),COLUMN(NOTA[TANGGAL]))&amp;":"&amp;ADDRESS(ROW(),COLUMN(NOTA[TANGGAL]))),-1)))</f>
        <v>45189</v>
      </c>
      <c r="AI405" s="41" t="str">
        <f ca="1">IF(NOTA[[#This Row],[NAMA BARANG]]="","",INDEX(NOTA[SUPPLIER],MATCH(,INDIRECT(ADDRESS(ROW(NOTA[ID]),COLUMN(NOTA[ID]))&amp;":"&amp;ADDRESS(ROW(),COLUMN(NOTA[ID]))),-1)))</f>
        <v>SAMUDERA ANGKASA JAYA</v>
      </c>
      <c r="AJ405" s="41" t="str">
        <f ca="1">IF(NOTA[[#This Row],[ID_H]]="","",IF(NOTA[[#This Row],[FAKTUR]]="",INDIRECT(ADDRESS(ROW()-1,COLUMN())),NOTA[[#This Row],[FAKTUR]]))</f>
        <v>ARTO MORO</v>
      </c>
      <c r="AK405" s="38" t="str">
        <f ca="1">IF(NOTA[[#This Row],[ID]]="","",COUNTIF(NOTA[ID_H],NOTA[[#This Row],[ID_H]]))</f>
        <v/>
      </c>
      <c r="AL405" s="38">
        <f ca="1">IF(NOTA[[#This Row],[TGL.NOTA]]="",IF(NOTA[[#This Row],[SUPPLIER_H]]="","",AL404),MONTH(NOTA[[#This Row],[TGL.NOTA]]))</f>
        <v>9</v>
      </c>
      <c r="AM405" s="38" t="str">
        <f>LOWER(SUBSTITUTE(SUBSTITUTE(SUBSTITUTE(SUBSTITUTE(SUBSTITUTE(SUBSTITUTE(SUBSTITUTE(SUBSTITUTE(SUBSTITUTE(NOTA[NAMA BARANG]," ",),".",""),"-",""),"(",""),")",""),",",""),"/",""),"""",""),"+",""))</f>
        <v>bkkancing32k100822a5</v>
      </c>
      <c r="AN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bkkancing32k100822a515840000.07</v>
      </c>
      <c r="AO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bkkancing32k100822a515840000.07</v>
      </c>
      <c r="AP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38" t="str">
        <f>IF(NOTA[[#This Row],[CONCAT4]]="","",_xlfn.IFNA(MATCH(NOTA[[#This Row],[CONCAT4]],[2]!RAW[CONCAT_H],0),FALSE))</f>
        <v/>
      </c>
      <c r="AR405" s="38">
        <f>IF(NOTA[[#This Row],[CONCAT1]]="","",MATCH(NOTA[[#This Row],[CONCAT1]],[3]!db[NB NOTA_C],0))</f>
        <v>327</v>
      </c>
      <c r="AS405" s="38" t="b">
        <f>IF(NOTA[[#This Row],[QTY/ CTN]]="","",TRUE)</f>
        <v>1</v>
      </c>
      <c r="AT405" s="38" t="str">
        <f ca="1">IF(NOTA[[#This Row],[ID_H]]="","",IF(NOTA[[#This Row],[Column3]]=TRUE,NOTA[[#This Row],[QTY/ CTN]],INDEX([3]!db[QTY/ CTN],NOTA[[#This Row],[//DB]])))</f>
        <v>96 PCS</v>
      </c>
      <c r="AU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bkkancing32k100822a596pcsartomoro</v>
      </c>
      <c r="AV405" s="38" t="e">
        <f ca="1">IF(NOTA[[#This Row],[ID_H]]="","",MATCH(NOTA[[#This Row],[NB NOTA_C_QTY]],[4]!db[NB NOTA_C_QTY+F],0))</f>
        <v>#REF!</v>
      </c>
      <c r="AW405" s="53">
        <f ca="1">IF(NOTA[[#This Row],[NB NOTA_C_QTY]]="","",ROW()-2)</f>
        <v>403</v>
      </c>
    </row>
    <row r="406" spans="1:49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67</v>
      </c>
      <c r="E406" s="46"/>
      <c r="F406" s="37"/>
      <c r="G406" s="37"/>
      <c r="H406" s="47"/>
      <c r="I406" s="37"/>
      <c r="J406" s="39"/>
      <c r="K406" s="37"/>
      <c r="L406" s="37" t="s">
        <v>524</v>
      </c>
      <c r="M406" s="40">
        <v>3</v>
      </c>
      <c r="N406" s="38">
        <v>288</v>
      </c>
      <c r="O406" s="37" t="s">
        <v>126</v>
      </c>
      <c r="P406" s="41">
        <v>16500</v>
      </c>
      <c r="Q406" s="42"/>
      <c r="R406" s="48" t="s">
        <v>523</v>
      </c>
      <c r="S406" s="49">
        <v>7.0000000000000007E-2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4752000</v>
      </c>
      <c r="Y406" s="50">
        <f>IF(NOTA[[#This Row],[JUMLAH]]="","",NOTA[[#This Row],[JUMLAH]]*NOTA[[#This Row],[DISC 1]])</f>
        <v>332640.00000000006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332640.00000000006</v>
      </c>
      <c r="AC406" s="50">
        <f>IF(NOTA[[#This Row],[JUMLAH]]="","",NOTA[[#This Row],[JUMLAH]]-NOTA[[#This Row],[DISC]])</f>
        <v>4419360</v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G406" s="50">
        <f>IF(OR(NOTA[[#This Row],[QTY]]="",NOTA[[#This Row],[HARGA SATUAN]]="",),"",NOTA[[#This Row],[QTY]]*NOTA[[#This Row],[HARGA SATUAN]])</f>
        <v>4752000</v>
      </c>
      <c r="AH406" s="39">
        <f ca="1">IF(NOTA[ID_H]="","",INDEX(NOTA[TANGGAL],MATCH(,INDIRECT(ADDRESS(ROW(NOTA[TANGGAL]),COLUMN(NOTA[TANGGAL]))&amp;":"&amp;ADDRESS(ROW(),COLUMN(NOTA[TANGGAL]))),-1)))</f>
        <v>45189</v>
      </c>
      <c r="AI406" s="41" t="str">
        <f ca="1">IF(NOTA[[#This Row],[NAMA BARANG]]="","",INDEX(NOTA[SUPPLIER],MATCH(,INDIRECT(ADDRESS(ROW(NOTA[ID]),COLUMN(NOTA[ID]))&amp;":"&amp;ADDRESS(ROW(),COLUMN(NOTA[ID]))),-1)))</f>
        <v>SAMUDERA ANGKASA JAYA</v>
      </c>
      <c r="AJ406" s="41" t="str">
        <f ca="1">IF(NOTA[[#This Row],[ID_H]]="","",IF(NOTA[[#This Row],[FAKTUR]]="",INDIRECT(ADDRESS(ROW()-1,COLUMN())),NOTA[[#This Row],[FAKTUR]]))</f>
        <v>ARTO MORO</v>
      </c>
      <c r="AK406" s="38" t="str">
        <f ca="1">IF(NOTA[[#This Row],[ID]]="","",COUNTIF(NOTA[ID_H],NOTA[[#This Row],[ID_H]]))</f>
        <v/>
      </c>
      <c r="AL406" s="38">
        <f ca="1">IF(NOTA[[#This Row],[TGL.NOTA]]="",IF(NOTA[[#This Row],[SUPPLIER_H]]="","",AL405),MONTH(NOTA[[#This Row],[TGL.NOTA]]))</f>
        <v>9</v>
      </c>
      <c r="AM406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N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bkkancing32k100821a515840000.07</v>
      </c>
      <c r="AO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bkkancing32k100821a515840000.07</v>
      </c>
      <c r="AP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38" t="str">
        <f>IF(NOTA[[#This Row],[CONCAT4]]="","",_xlfn.IFNA(MATCH(NOTA[[#This Row],[CONCAT4]],[2]!RAW[CONCAT_H],0),FALSE))</f>
        <v/>
      </c>
      <c r="AR406" s="38">
        <f>IF(NOTA[[#This Row],[CONCAT1]]="","",MATCH(NOTA[[#This Row],[CONCAT1]],[3]!db[NB NOTA_C],0))</f>
        <v>326</v>
      </c>
      <c r="AS406" s="38" t="b">
        <f>IF(NOTA[[#This Row],[QTY/ CTN]]="","",TRUE)</f>
        <v>1</v>
      </c>
      <c r="AT406" s="38" t="str">
        <f ca="1">IF(NOTA[[#This Row],[ID_H]]="","",IF(NOTA[[#This Row],[Column3]]=TRUE,NOTA[[#This Row],[QTY/ CTN]],INDEX([3]!db[QTY/ CTN],NOTA[[#This Row],[//DB]])))</f>
        <v>96 PCS</v>
      </c>
      <c r="AU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V406" s="38" t="e">
        <f ca="1">IF(NOTA[[#This Row],[ID_H]]="","",MATCH(NOTA[[#This Row],[NB NOTA_C_QTY]],[4]!db[NB NOTA_C_QTY+F],0))</f>
        <v>#REF!</v>
      </c>
      <c r="AW406" s="53">
        <f ca="1">IF(NOTA[[#This Row],[NB NOTA_C_QTY]]="","",ROW()-2)</f>
        <v>404</v>
      </c>
    </row>
    <row r="407" spans="1:49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67</v>
      </c>
      <c r="E407" s="46"/>
      <c r="F407" s="37"/>
      <c r="G407" s="37"/>
      <c r="H407" s="47"/>
      <c r="I407" s="37"/>
      <c r="J407" s="39"/>
      <c r="K407" s="37"/>
      <c r="L407" s="37" t="s">
        <v>525</v>
      </c>
      <c r="M407" s="40">
        <v>3</v>
      </c>
      <c r="N407" s="38">
        <v>480</v>
      </c>
      <c r="O407" s="37" t="s">
        <v>126</v>
      </c>
      <c r="P407" s="41">
        <v>10000</v>
      </c>
      <c r="Q407" s="42"/>
      <c r="R407" s="48" t="s">
        <v>516</v>
      </c>
      <c r="S407" s="49">
        <v>7.0000000000000007E-2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4800000</v>
      </c>
      <c r="Y407" s="50">
        <f>IF(NOTA[[#This Row],[JUMLAH]]="","",NOTA[[#This Row],[JUMLAH]]*NOTA[[#This Row],[DISC 1]])</f>
        <v>336000.00000000006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336000.00000000006</v>
      </c>
      <c r="AC407" s="50">
        <f>IF(NOTA[[#This Row],[JUMLAH]]="","",NOTA[[#This Row],[JUMLAH]]-NOTA[[#This Row],[DISC]])</f>
        <v>4464000</v>
      </c>
      <c r="AD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3419920</v>
      </c>
      <c r="AE4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45436080</v>
      </c>
      <c r="AF407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07" s="50">
        <f>IF(OR(NOTA[[#This Row],[QTY]]="",NOTA[[#This Row],[HARGA SATUAN]]="",),"",NOTA[[#This Row],[QTY]]*NOTA[[#This Row],[HARGA SATUAN]])</f>
        <v>4800000</v>
      </c>
      <c r="AH407" s="39">
        <f ca="1">IF(NOTA[ID_H]="","",INDEX(NOTA[TANGGAL],MATCH(,INDIRECT(ADDRESS(ROW(NOTA[TANGGAL]),COLUMN(NOTA[TANGGAL]))&amp;":"&amp;ADDRESS(ROW(),COLUMN(NOTA[TANGGAL]))),-1)))</f>
        <v>45189</v>
      </c>
      <c r="AI407" s="41" t="str">
        <f ca="1">IF(NOTA[[#This Row],[NAMA BARANG]]="","",INDEX(NOTA[SUPPLIER],MATCH(,INDIRECT(ADDRESS(ROW(NOTA[ID]),COLUMN(NOTA[ID]))&amp;":"&amp;ADDRESS(ROW(),COLUMN(NOTA[ID]))),-1)))</f>
        <v>SAMUDERA ANGKASA JAYA</v>
      </c>
      <c r="AJ407" s="41" t="str">
        <f ca="1">IF(NOTA[[#This Row],[ID_H]]="","",IF(NOTA[[#This Row],[FAKTUR]]="",INDIRECT(ADDRESS(ROW()-1,COLUMN())),NOTA[[#This Row],[FAKTUR]]))</f>
        <v>ARTO MORO</v>
      </c>
      <c r="AK407" s="38" t="str">
        <f ca="1">IF(NOTA[[#This Row],[ID]]="","",COUNTIF(NOTA[ID_H],NOTA[[#This Row],[ID_H]]))</f>
        <v/>
      </c>
      <c r="AL407" s="38">
        <f ca="1">IF(NOTA[[#This Row],[TGL.NOTA]]="",IF(NOTA[[#This Row],[SUPPLIER_H]]="","",AL406),MONTH(NOTA[[#This Row],[TGL.NOTA]]))</f>
        <v>9</v>
      </c>
      <c r="AM407" s="38" t="str">
        <f>LOWER(SUBSTITUTE(SUBSTITUTE(SUBSTITUTE(SUBSTITUTE(SUBSTITUTE(SUBSTITUTE(SUBSTITUTE(SUBSTITUTE(SUBSTITUTE(NOTA[NAMA BARANG]," ",),".",""),"-",""),"(",""),")",""),",",""),"/",""),"""",""),"+",""))</f>
        <v>bukuspiral0162080la5</v>
      </c>
      <c r="AN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bukuspiral0162080la516000000.07</v>
      </c>
      <c r="AO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bukuspiral0162080la516000000.07</v>
      </c>
      <c r="AP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38" t="str">
        <f>IF(NOTA[[#This Row],[CONCAT4]]="","",_xlfn.IFNA(MATCH(NOTA[[#This Row],[CONCAT4]],[2]!RAW[CONCAT_H],0),FALSE))</f>
        <v/>
      </c>
      <c r="AR407" s="38">
        <f>IF(NOTA[[#This Row],[CONCAT1]]="","",MATCH(NOTA[[#This Row],[CONCAT1]],[3]!db[NB NOTA_C],0))</f>
        <v>464</v>
      </c>
      <c r="AS407" s="38" t="b">
        <f>IF(NOTA[[#This Row],[QTY/ CTN]]="","",TRUE)</f>
        <v>1</v>
      </c>
      <c r="AT407" s="38" t="str">
        <f ca="1">IF(NOTA[[#This Row],[ID_H]]="","",IF(NOTA[[#This Row],[Column3]]=TRUE,NOTA[[#This Row],[QTY/ CTN]],INDEX([3]!db[QTY/ CTN],NOTA[[#This Row],[//DB]])))</f>
        <v>160 PCS</v>
      </c>
      <c r="AU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bukuspiral0162080la5160pcsartomoro</v>
      </c>
      <c r="AV407" s="38" t="e">
        <f ca="1">IF(NOTA[[#This Row],[ID_H]]="","",MATCH(NOTA[[#This Row],[NB NOTA_C_QTY]],[4]!db[NB NOTA_C_QTY+F],0))</f>
        <v>#REF!</v>
      </c>
      <c r="AW407" s="53">
        <f ca="1">IF(NOTA[[#This Row],[NB NOTA_C_QTY]]="","",ROW()-2)</f>
        <v>405</v>
      </c>
    </row>
    <row r="408" spans="1:49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08" s="50" t="str">
        <f>IF(OR(NOTA[[#This Row],[QTY]]="",NOTA[[#This Row],[HARGA SATUAN]]="",),"",NOTA[[#This Row],[QTY]]*NOTA[[#This Row],[HARGA SATUAN]])</f>
        <v/>
      </c>
      <c r="AH408" s="39" t="str">
        <f ca="1">IF(NOTA[ID_H]="","",INDEX(NOTA[TANGGAL],MATCH(,INDIRECT(ADDRESS(ROW(NOTA[TANGGAL]),COLUMN(NOTA[TANGGAL]))&amp;":"&amp;ADDRESS(ROW(),COLUMN(NOTA[TANGGAL]))),-1)))</f>
        <v/>
      </c>
      <c r="AI408" s="41" t="str">
        <f ca="1">IF(NOTA[[#This Row],[NAMA BARANG]]="","",INDEX(NOTA[SUPPLIER],MATCH(,INDIRECT(ADDRESS(ROW(NOTA[ID]),COLUMN(NOTA[ID]))&amp;":"&amp;ADDRESS(ROW(),COLUMN(NOTA[ID]))),-1)))</f>
        <v/>
      </c>
      <c r="AJ408" s="41" t="str">
        <f ca="1">IF(NOTA[[#This Row],[ID_H]]="","",IF(NOTA[[#This Row],[FAKTUR]]="",INDIRECT(ADDRESS(ROW()-1,COLUMN())),NOTA[[#This Row],[FAKTUR]]))</f>
        <v/>
      </c>
      <c r="AK408" s="38" t="str">
        <f ca="1">IF(NOTA[[#This Row],[ID]]="","",COUNTIF(NOTA[ID_H],NOTA[[#This Row],[ID_H]]))</f>
        <v/>
      </c>
      <c r="AL408" s="38" t="str">
        <f ca="1">IF(NOTA[[#This Row],[TGL.NOTA]]="",IF(NOTA[[#This Row],[SUPPLIER_H]]="","",AL407),MONTH(NOTA[[#This Row],[TGL.NOTA]]))</f>
        <v/>
      </c>
      <c r="AM408" s="38" t="str">
        <f>LOWER(SUBSTITUTE(SUBSTITUTE(SUBSTITUTE(SUBSTITUTE(SUBSTITUTE(SUBSTITUTE(SUBSTITUTE(SUBSTITUTE(SUBSTITUTE(NOTA[NAMA BARANG]," ",),".",""),"-",""),"(",""),")",""),",",""),"/",""),"""",""),"+",""))</f>
        <v/>
      </c>
      <c r="AN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8" s="38" t="str">
        <f>IF(NOTA[[#This Row],[CONCAT4]]="","",_xlfn.IFNA(MATCH(NOTA[[#This Row],[CONCAT4]],[2]!RAW[CONCAT_H],0),FALSE))</f>
        <v/>
      </c>
      <c r="AR408" s="38" t="str">
        <f>IF(NOTA[[#This Row],[CONCAT1]]="","",MATCH(NOTA[[#This Row],[CONCAT1]],[3]!db[NB NOTA_C],0))</f>
        <v/>
      </c>
      <c r="AS408" s="38" t="str">
        <f>IF(NOTA[[#This Row],[QTY/ CTN]]="","",TRUE)</f>
        <v/>
      </c>
      <c r="AT408" s="38" t="str">
        <f ca="1">IF(NOTA[[#This Row],[ID_H]]="","",IF(NOTA[[#This Row],[Column3]]=TRUE,NOTA[[#This Row],[QTY/ CTN]],INDEX([3]!db[QTY/ CTN],NOTA[[#This Row],[//DB]])))</f>
        <v/>
      </c>
      <c r="AU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08" s="38" t="str">
        <f ca="1">IF(NOTA[[#This Row],[ID_H]]="","",MATCH(NOTA[[#This Row],[NB NOTA_C_QTY]],[4]!db[NB NOTA_C_QTY+F],0))</f>
        <v/>
      </c>
      <c r="AW408" s="53" t="str">
        <f ca="1">IF(NOTA[[#This Row],[NB NOTA_C_QTY]]="","",ROW()-2)</f>
        <v/>
      </c>
    </row>
    <row r="409" spans="1:49" s="38" customFormat="1" ht="20.100000000000001" customHeight="1" x14ac:dyDescent="0.25">
      <c r="A40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BIN_2109_317-1</v>
      </c>
      <c r="C409" s="38" t="e">
        <f ca="1">IF(NOTA[[#This Row],[ID_P]]="","",MATCH(NOTA[[#This Row],[ID_P]],[1]!B_MSK[N_ID],0))</f>
        <v>#REF!</v>
      </c>
      <c r="D409" s="38">
        <f ca="1">IF(NOTA[[#This Row],[NAMA BARANG]]="","",INDEX(NOTA[ID],MATCH(,INDIRECT(ADDRESS(ROW(NOTA[ID]),COLUMN(NOTA[ID]))&amp;":"&amp;ADDRESS(ROW(),COLUMN(NOTA[ID]))),-1)))</f>
        <v>68</v>
      </c>
      <c r="E409" s="46">
        <v>45190</v>
      </c>
      <c r="F409" s="37" t="s">
        <v>419</v>
      </c>
      <c r="G409" s="37" t="s">
        <v>123</v>
      </c>
      <c r="H409" s="47" t="s">
        <v>527</v>
      </c>
      <c r="I409" s="37"/>
      <c r="J409" s="39">
        <v>45185</v>
      </c>
      <c r="K409" s="37"/>
      <c r="L409" s="37" t="s">
        <v>528</v>
      </c>
      <c r="M409" s="40">
        <v>2</v>
      </c>
      <c r="N409" s="38">
        <v>144</v>
      </c>
      <c r="O409" s="37" t="s">
        <v>126</v>
      </c>
      <c r="P409" s="41">
        <v>17500</v>
      </c>
      <c r="Q409" s="42"/>
      <c r="R409" s="48" t="s">
        <v>217</v>
      </c>
      <c r="S409" s="49">
        <v>0.05</v>
      </c>
      <c r="T409" s="44">
        <v>0.05</v>
      </c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2520000</v>
      </c>
      <c r="Y409" s="50">
        <f>IF(NOTA[[#This Row],[JUMLAH]]="","",NOTA[[#This Row],[JUMLAH]]*NOTA[[#This Row],[DISC 1]])</f>
        <v>126000</v>
      </c>
      <c r="Z409" s="50">
        <f>IF(NOTA[[#This Row],[JUMLAH]]="","",(NOTA[[#This Row],[JUMLAH]]-NOTA[[#This Row],[DISC 1-]])*NOTA[[#This Row],[DISC 2]])</f>
        <v>119700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245700</v>
      </c>
      <c r="AC409" s="50">
        <f>IF(NOTA[[#This Row],[JUMLAH]]="","",NOTA[[#This Row],[JUMLAH]]-NOTA[[#This Row],[DISC]])</f>
        <v>2274300</v>
      </c>
      <c r="AD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245700</v>
      </c>
      <c r="AE4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2274300</v>
      </c>
      <c r="AF409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G409" s="50">
        <f>IF(OR(NOTA[[#This Row],[QTY]]="",NOTA[[#This Row],[HARGA SATUAN]]="",),"",NOTA[[#This Row],[QTY]]*NOTA[[#This Row],[HARGA SATUAN]])</f>
        <v>2520000</v>
      </c>
      <c r="AH409" s="39">
        <f ca="1">IF(NOTA[ID_H]="","",INDEX(NOTA[TANGGAL],MATCH(,INDIRECT(ADDRESS(ROW(NOTA[TANGGAL]),COLUMN(NOTA[TANGGAL]))&amp;":"&amp;ADDRESS(ROW(),COLUMN(NOTA[TANGGAL]))),-1)))</f>
        <v>45190</v>
      </c>
      <c r="AI409" s="41" t="str">
        <f ca="1">IF(NOTA[[#This Row],[NAMA BARANG]]="","",INDEX(NOTA[SUPPLIER],MATCH(,INDIRECT(ADDRESS(ROW(NOTA[ID]),COLUMN(NOTA[ID]))&amp;":"&amp;ADDRESS(ROW(),COLUMN(NOTA[ID]))),-1)))</f>
        <v>BINTANG SAUDARA</v>
      </c>
      <c r="AJ409" s="41" t="str">
        <f ca="1">IF(NOTA[[#This Row],[ID_H]]="","",IF(NOTA[[#This Row],[FAKTUR]]="",INDIRECT(ADDRESS(ROW()-1,COLUMN())),NOTA[[#This Row],[FAKTUR]]))</f>
        <v>UNTANA</v>
      </c>
      <c r="AK409" s="38">
        <f ca="1">IF(NOTA[[#This Row],[ID]]="","",COUNTIF(NOTA[ID_H],NOTA[[#This Row],[ID_H]]))</f>
        <v>1</v>
      </c>
      <c r="AL409" s="38">
        <f>IF(NOTA[[#This Row],[TGL.NOTA]]="",IF(NOTA[[#This Row],[SUPPLIER_H]]="","",AL408),MONTH(NOTA[[#This Row],[TGL.NOTA]]))</f>
        <v>9</v>
      </c>
      <c r="AM409" s="38" t="str">
        <f>LOWER(SUBSTITUTE(SUBSTITUTE(SUBSTITUTE(SUBSTITUTE(SUBSTITUTE(SUBSTITUTE(SUBSTITUTE(SUBSTITUTE(SUBSTITUTE(NOTA[NAMA BARANG]," ",),".",""),"-",""),"(",""),")",""),",",""),"/",""),"""",""),"+",""))</f>
        <v>bindernotea5abstrakbn1726</v>
      </c>
      <c r="AN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bindernotea5abstrakbn172612600000.050.05</v>
      </c>
      <c r="AO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bindernotea5abstrakbn172612600000.050.05</v>
      </c>
      <c r="AP40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SAUDARAUNTANASO202309008231745185bindernotea5abstrakbn1726</v>
      </c>
      <c r="AQ409" s="38" t="e">
        <f>IF(NOTA[[#This Row],[CONCAT4]]="","",_xlfn.IFNA(MATCH(NOTA[[#This Row],[CONCAT4]],[2]!RAW[CONCAT_H],0),FALSE))</f>
        <v>#REF!</v>
      </c>
      <c r="AR409" s="38" t="e">
        <f>IF(NOTA[[#This Row],[CONCAT1]]="","",MATCH(NOTA[[#This Row],[CONCAT1]],[3]!db[NB NOTA_C],0))</f>
        <v>#N/A</v>
      </c>
      <c r="AS409" s="38" t="b">
        <f>IF(NOTA[[#This Row],[QTY/ CTN]]="","",TRUE)</f>
        <v>1</v>
      </c>
      <c r="AT409" s="38" t="str">
        <f ca="1">IF(NOTA[[#This Row],[ID_H]]="","",IF(NOTA[[#This Row],[Column3]]=TRUE,NOTA[[#This Row],[QTY/ CTN]],INDEX([3]!db[QTY/ CTN],NOTA[[#This Row],[//DB]])))</f>
        <v>72 PCS</v>
      </c>
      <c r="AU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bindernotea5abstrakbn172672pcsuntana</v>
      </c>
      <c r="AV409" s="38" t="e">
        <f ca="1">IF(NOTA[[#This Row],[ID_H]]="","",MATCH(NOTA[[#This Row],[NB NOTA_C_QTY]],[4]!db[NB NOTA_C_QTY+F],0))</f>
        <v>#REF!</v>
      </c>
      <c r="AW409" s="53">
        <f ca="1">IF(NOTA[[#This Row],[NB NOTA_C_QTY]]="","",ROW()-2)</f>
        <v>407</v>
      </c>
    </row>
    <row r="410" spans="1:49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0" s="50" t="str">
        <f>IF(OR(NOTA[[#This Row],[QTY]]="",NOTA[[#This Row],[HARGA SATUAN]]="",),"",NOTA[[#This Row],[QTY]]*NOTA[[#This Row],[HARGA SATUAN]])</f>
        <v/>
      </c>
      <c r="AH410" s="39" t="str">
        <f ca="1">IF(NOTA[ID_H]="","",INDEX(NOTA[TANGGAL],MATCH(,INDIRECT(ADDRESS(ROW(NOTA[TANGGAL]),COLUMN(NOTA[TANGGAL]))&amp;":"&amp;ADDRESS(ROW(),COLUMN(NOTA[TANGGAL]))),-1)))</f>
        <v/>
      </c>
      <c r="AI410" s="41" t="str">
        <f ca="1">IF(NOTA[[#This Row],[NAMA BARANG]]="","",INDEX(NOTA[SUPPLIER],MATCH(,INDIRECT(ADDRESS(ROW(NOTA[ID]),COLUMN(NOTA[ID]))&amp;":"&amp;ADDRESS(ROW(),COLUMN(NOTA[ID]))),-1)))</f>
        <v/>
      </c>
      <c r="AJ410" s="41" t="str">
        <f ca="1">IF(NOTA[[#This Row],[ID_H]]="","",IF(NOTA[[#This Row],[FAKTUR]]="",INDIRECT(ADDRESS(ROW()-1,COLUMN())),NOTA[[#This Row],[FAKTUR]]))</f>
        <v/>
      </c>
      <c r="AK410" s="38" t="str">
        <f ca="1">IF(NOTA[[#This Row],[ID]]="","",COUNTIF(NOTA[ID_H],NOTA[[#This Row],[ID_H]]))</f>
        <v/>
      </c>
      <c r="AL410" s="38" t="str">
        <f ca="1">IF(NOTA[[#This Row],[TGL.NOTA]]="",IF(NOTA[[#This Row],[SUPPLIER_H]]="","",AL409),MONTH(NOTA[[#This Row],[TGL.NOTA]]))</f>
        <v/>
      </c>
      <c r="AM410" s="38" t="str">
        <f>LOWER(SUBSTITUTE(SUBSTITUTE(SUBSTITUTE(SUBSTITUTE(SUBSTITUTE(SUBSTITUTE(SUBSTITUTE(SUBSTITUTE(SUBSTITUTE(NOTA[NAMA BARANG]," ",),".",""),"-",""),"(",""),")",""),",",""),"/",""),"""",""),"+",""))</f>
        <v/>
      </c>
      <c r="AN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38" t="str">
        <f>IF(NOTA[[#This Row],[CONCAT4]]="","",_xlfn.IFNA(MATCH(NOTA[[#This Row],[CONCAT4]],[2]!RAW[CONCAT_H],0),FALSE))</f>
        <v/>
      </c>
      <c r="AR410" s="38" t="str">
        <f>IF(NOTA[[#This Row],[CONCAT1]]="","",MATCH(NOTA[[#This Row],[CONCAT1]],[3]!db[NB NOTA_C],0))</f>
        <v/>
      </c>
      <c r="AS410" s="38" t="str">
        <f>IF(NOTA[[#This Row],[QTY/ CTN]]="","",TRUE)</f>
        <v/>
      </c>
      <c r="AT410" s="38" t="str">
        <f ca="1">IF(NOTA[[#This Row],[ID_H]]="","",IF(NOTA[[#This Row],[Column3]]=TRUE,NOTA[[#This Row],[QTY/ CTN]],INDEX([3]!db[QTY/ CTN],NOTA[[#This Row],[//DB]])))</f>
        <v/>
      </c>
      <c r="AU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0" s="38" t="str">
        <f ca="1">IF(NOTA[[#This Row],[ID_H]]="","",MATCH(NOTA[[#This Row],[NB NOTA_C_QTY]],[4]!db[NB NOTA_C_QTY+F],0))</f>
        <v/>
      </c>
      <c r="AW410" s="53" t="str">
        <f ca="1">IF(NOTA[[#This Row],[NB NOTA_C_QTY]]="","",ROW()-2)</f>
        <v/>
      </c>
    </row>
    <row r="411" spans="1:49" s="38" customFormat="1" ht="20.100000000000001" customHeight="1" x14ac:dyDescent="0.25">
      <c r="A411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DBS_2109_223-1</v>
      </c>
      <c r="C411" s="38" t="e">
        <f ca="1">IF(NOTA[[#This Row],[ID_P]]="","",MATCH(NOTA[[#This Row],[ID_P]],[1]!B_MSK[N_ID],0))</f>
        <v>#REF!</v>
      </c>
      <c r="D411" s="38">
        <f ca="1">IF(NOTA[[#This Row],[NAMA BARANG]]="","",INDEX(NOTA[ID],MATCH(,INDIRECT(ADDRESS(ROW(NOTA[ID]),COLUMN(NOTA[ID]))&amp;":"&amp;ADDRESS(ROW(),COLUMN(NOTA[ID]))),-1)))</f>
        <v>69</v>
      </c>
      <c r="E411" s="46">
        <v>45190</v>
      </c>
      <c r="F411" s="37" t="s">
        <v>297</v>
      </c>
      <c r="G411" s="37" t="s">
        <v>123</v>
      </c>
      <c r="H411" s="47" t="s">
        <v>529</v>
      </c>
      <c r="I411" s="37"/>
      <c r="J411" s="39">
        <v>45194</v>
      </c>
      <c r="K411" s="37"/>
      <c r="L411" s="37" t="s">
        <v>530</v>
      </c>
      <c r="M411" s="40">
        <v>1</v>
      </c>
      <c r="N411" s="38">
        <v>96</v>
      </c>
      <c r="O411" s="37" t="s">
        <v>138</v>
      </c>
      <c r="P411" s="41">
        <v>29000</v>
      </c>
      <c r="Q411" s="42"/>
      <c r="R411" s="48" t="s">
        <v>300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2784000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2784000</v>
      </c>
      <c r="AD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2784000</v>
      </c>
      <c r="AF411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11" s="50">
        <f>IF(OR(NOTA[[#This Row],[QTY]]="",NOTA[[#This Row],[HARGA SATUAN]]="",),"",NOTA[[#This Row],[QTY]]*NOTA[[#This Row],[HARGA SATUAN]])</f>
        <v>2784000</v>
      </c>
      <c r="AH411" s="39">
        <f ca="1">IF(NOTA[ID_H]="","",INDEX(NOTA[TANGGAL],MATCH(,INDIRECT(ADDRESS(ROW(NOTA[TANGGAL]),COLUMN(NOTA[TANGGAL]))&amp;":"&amp;ADDRESS(ROW(),COLUMN(NOTA[TANGGAL]))),-1)))</f>
        <v>45190</v>
      </c>
      <c r="AI411" s="41" t="str">
        <f ca="1">IF(NOTA[[#This Row],[NAMA BARANG]]="","",INDEX(NOTA[SUPPLIER],MATCH(,INDIRECT(ADDRESS(ROW(NOTA[ID]),COLUMN(NOTA[ID]))&amp;":"&amp;ADDRESS(ROW(),COLUMN(NOTA[ID]))),-1)))</f>
        <v>DB STATIONERY</v>
      </c>
      <c r="AJ411" s="41" t="str">
        <f ca="1">IF(NOTA[[#This Row],[ID_H]]="","",IF(NOTA[[#This Row],[FAKTUR]]="",INDIRECT(ADDRESS(ROW()-1,COLUMN())),NOTA[[#This Row],[FAKTUR]]))</f>
        <v>UNTANA</v>
      </c>
      <c r="AK411" s="38">
        <f ca="1">IF(NOTA[[#This Row],[ID]]="","",COUNTIF(NOTA[ID_H],NOTA[[#This Row],[ID_H]]))</f>
        <v>1</v>
      </c>
      <c r="AL411" s="38">
        <f>IF(NOTA[[#This Row],[TGL.NOTA]]="",IF(NOTA[[#This Row],[SUPPLIER_H]]="","",AL410),MONTH(NOTA[[#This Row],[TGL.NOTA]]))</f>
        <v>9</v>
      </c>
      <c r="AM411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N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1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STATIONERYUNTANAJUI272/2345194mektizo20tm030c</v>
      </c>
      <c r="AQ411" s="38" t="e">
        <f>IF(NOTA[[#This Row],[CONCAT4]]="","",_xlfn.IFNA(MATCH(NOTA[[#This Row],[CONCAT4]],[2]!RAW[CONCAT_H],0),FALSE))</f>
        <v>#REF!</v>
      </c>
      <c r="AR411" s="38">
        <f>IF(NOTA[[#This Row],[CONCAT1]]="","",MATCH(NOTA[[#This Row],[CONCAT1]],[3]!db[NB NOTA_C],0))</f>
        <v>1842</v>
      </c>
      <c r="AS411" s="38" t="b">
        <f>IF(NOTA[[#This Row],[QTY/ CTN]]="","",TRUE)</f>
        <v>1</v>
      </c>
      <c r="AT411" s="38" t="str">
        <f ca="1">IF(NOTA[[#This Row],[ID_H]]="","",IF(NOTA[[#This Row],[Column3]]=TRUE,NOTA[[#This Row],[QTY/ CTN]],INDEX([3]!db[QTY/ CTN],NOTA[[#This Row],[//DB]])))</f>
        <v>96 LSN</v>
      </c>
      <c r="AU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V411" s="38" t="e">
        <f ca="1">IF(NOTA[[#This Row],[ID_H]]="","",MATCH(NOTA[[#This Row],[NB NOTA_C_QTY]],[4]!db[NB NOTA_C_QTY+F],0))</f>
        <v>#REF!</v>
      </c>
      <c r="AW411" s="53">
        <f ca="1">IF(NOTA[[#This Row],[NB NOTA_C_QTY]]="","",ROW()-2)</f>
        <v>409</v>
      </c>
    </row>
    <row r="412" spans="1:49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2" s="50" t="str">
        <f>IF(OR(NOTA[[#This Row],[QTY]]="",NOTA[[#This Row],[HARGA SATUAN]]="",),"",NOTA[[#This Row],[QTY]]*NOTA[[#This Row],[HARGA SATUAN]])</f>
        <v/>
      </c>
      <c r="AH412" s="39" t="str">
        <f ca="1">IF(NOTA[ID_H]="","",INDEX(NOTA[TANGGAL],MATCH(,INDIRECT(ADDRESS(ROW(NOTA[TANGGAL]),COLUMN(NOTA[TANGGAL]))&amp;":"&amp;ADDRESS(ROW(),COLUMN(NOTA[TANGGAL]))),-1)))</f>
        <v/>
      </c>
      <c r="AI412" s="41" t="str">
        <f ca="1">IF(NOTA[[#This Row],[NAMA BARANG]]="","",INDEX(NOTA[SUPPLIER],MATCH(,INDIRECT(ADDRESS(ROW(NOTA[ID]),COLUMN(NOTA[ID]))&amp;":"&amp;ADDRESS(ROW(),COLUMN(NOTA[ID]))),-1)))</f>
        <v/>
      </c>
      <c r="AJ412" s="41" t="str">
        <f ca="1">IF(NOTA[[#This Row],[ID_H]]="","",IF(NOTA[[#This Row],[FAKTUR]]="",INDIRECT(ADDRESS(ROW()-1,COLUMN())),NOTA[[#This Row],[FAKTUR]]))</f>
        <v/>
      </c>
      <c r="AK412" s="38" t="str">
        <f ca="1">IF(NOTA[[#This Row],[ID]]="","",COUNTIF(NOTA[ID_H],NOTA[[#This Row],[ID_H]]))</f>
        <v/>
      </c>
      <c r="AL412" s="38" t="str">
        <f ca="1">IF(NOTA[[#This Row],[TGL.NOTA]]="",IF(NOTA[[#This Row],[SUPPLIER_H]]="","",AL411),MONTH(NOTA[[#This Row],[TGL.NOTA]]))</f>
        <v/>
      </c>
      <c r="AM412" s="38" t="str">
        <f>LOWER(SUBSTITUTE(SUBSTITUTE(SUBSTITUTE(SUBSTITUTE(SUBSTITUTE(SUBSTITUTE(SUBSTITUTE(SUBSTITUTE(SUBSTITUTE(NOTA[NAMA BARANG]," ",),".",""),"-",""),"(",""),")",""),",",""),"/",""),"""",""),"+",""))</f>
        <v/>
      </c>
      <c r="AN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38" t="str">
        <f>IF(NOTA[[#This Row],[CONCAT4]]="","",_xlfn.IFNA(MATCH(NOTA[[#This Row],[CONCAT4]],[2]!RAW[CONCAT_H],0),FALSE))</f>
        <v/>
      </c>
      <c r="AR412" s="38" t="str">
        <f>IF(NOTA[[#This Row],[CONCAT1]]="","",MATCH(NOTA[[#This Row],[CONCAT1]],[3]!db[NB NOTA_C],0))</f>
        <v/>
      </c>
      <c r="AS412" s="38" t="str">
        <f>IF(NOTA[[#This Row],[QTY/ CTN]]="","",TRUE)</f>
        <v/>
      </c>
      <c r="AT412" s="38" t="str">
        <f ca="1">IF(NOTA[[#This Row],[ID_H]]="","",IF(NOTA[[#This Row],[Column3]]=TRUE,NOTA[[#This Row],[QTY/ CTN]],INDEX([3]!db[QTY/ CTN],NOTA[[#This Row],[//DB]])))</f>
        <v/>
      </c>
      <c r="AU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2" s="38" t="str">
        <f ca="1">IF(NOTA[[#This Row],[ID_H]]="","",MATCH(NOTA[[#This Row],[NB NOTA_C_QTY]],[4]!db[NB NOTA_C_QTY+F],0))</f>
        <v/>
      </c>
      <c r="AW412" s="53" t="str">
        <f ca="1">IF(NOTA[[#This Row],[NB NOTA_C_QTY]]="","",ROW()-2)</f>
        <v/>
      </c>
    </row>
    <row r="413" spans="1:49" s="38" customFormat="1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TFS_2109_119-4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70</v>
      </c>
      <c r="E413" s="46">
        <v>45190</v>
      </c>
      <c r="F413" s="37" t="s">
        <v>531</v>
      </c>
      <c r="G413" s="37" t="s">
        <v>123</v>
      </c>
      <c r="H413" s="47" t="s">
        <v>532</v>
      </c>
      <c r="I413" s="37"/>
      <c r="J413" s="39">
        <v>45184</v>
      </c>
      <c r="K413" s="37"/>
      <c r="L413" s="37" t="s">
        <v>533</v>
      </c>
      <c r="M413" s="40"/>
      <c r="N413" s="38">
        <v>30</v>
      </c>
      <c r="O413" s="37" t="s">
        <v>126</v>
      </c>
      <c r="P413" s="41">
        <v>29500</v>
      </c>
      <c r="Q413" s="42"/>
      <c r="R413" s="48"/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885000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885000</v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3" s="50">
        <f>IF(OR(NOTA[[#This Row],[QTY]]="",NOTA[[#This Row],[HARGA SATUAN]]="",),"",NOTA[[#This Row],[QTY]]*NOTA[[#This Row],[HARGA SATUAN]])</f>
        <v>885000</v>
      </c>
      <c r="AH413" s="39">
        <f ca="1">IF(NOTA[ID_H]="","",INDEX(NOTA[TANGGAL],MATCH(,INDIRECT(ADDRESS(ROW(NOTA[TANGGAL]),COLUMN(NOTA[TANGGAL]))&amp;":"&amp;ADDRESS(ROW(),COLUMN(NOTA[TANGGAL]))),-1)))</f>
        <v>45190</v>
      </c>
      <c r="AI413" s="41" t="str">
        <f ca="1">IF(NOTA[[#This Row],[NAMA BARANG]]="","",INDEX(NOTA[SUPPLIER],MATCH(,INDIRECT(ADDRESS(ROW(NOTA[ID]),COLUMN(NOTA[ID]))&amp;":"&amp;ADDRESS(ROW(),COLUMN(NOTA[ID]))),-1)))</f>
        <v>TFS</v>
      </c>
      <c r="AJ413" s="41" t="str">
        <f ca="1">IF(NOTA[[#This Row],[ID_H]]="","",IF(NOTA[[#This Row],[FAKTUR]]="",INDIRECT(ADDRESS(ROW()-1,COLUMN())),NOTA[[#This Row],[FAKTUR]]))</f>
        <v>UNTANA</v>
      </c>
      <c r="AK413" s="38">
        <f ca="1">IF(NOTA[[#This Row],[ID]]="","",COUNTIF(NOTA[ID_H],NOTA[[#This Row],[ID_H]]))</f>
        <v>4</v>
      </c>
      <c r="AL413" s="38">
        <f>IF(NOTA[[#This Row],[TGL.NOTA]]="",IF(NOTA[[#This Row],[SUPPLIER_H]]="","",AL412),MONTH(NOTA[[#This Row],[TGL.NOTA]]))</f>
        <v>9</v>
      </c>
      <c r="AM413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O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413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TFSUNTANAPK-23090011945184zipperfileclearholder55540filegreen</v>
      </c>
      <c r="AQ413" s="38" t="e">
        <f>IF(NOTA[[#This Row],[CONCAT4]]="","",_xlfn.IFNA(MATCH(NOTA[[#This Row],[CONCAT4]],[2]!RAW[CONCAT_H],0),FALSE))</f>
        <v>#REF!</v>
      </c>
      <c r="AR413" s="38">
        <f>IF(NOTA[[#This Row],[CONCAT1]]="","",MATCH(NOTA[[#This Row],[CONCAT1]],[3]!db[NB NOTA_C],0))</f>
        <v>2681</v>
      </c>
      <c r="AS413" s="38" t="str">
        <f>IF(NOTA[[#This Row],[QTY/ CTN]]="","",TRUE)</f>
        <v/>
      </c>
      <c r="AT413" s="38" t="str">
        <f ca="1">IF(NOTA[[#This Row],[ID_H]]="","",IF(NOTA[[#This Row],[Column3]]=TRUE,NOTA[[#This Row],[QTY/ CTN]],INDEX([3]!db[QTY/ CTN],NOTA[[#This Row],[//DB]])))</f>
        <v>60 PCS</v>
      </c>
      <c r="AU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V413" s="38" t="e">
        <f ca="1">IF(NOTA[[#This Row],[ID_H]]="","",MATCH(NOTA[[#This Row],[NB NOTA_C_QTY]],[4]!db[NB NOTA_C_QTY+F],0))</f>
        <v>#REF!</v>
      </c>
      <c r="AW413" s="53">
        <f ca="1">IF(NOTA[[#This Row],[NB NOTA_C_QTY]]="","",ROW()-2)</f>
        <v>411</v>
      </c>
    </row>
    <row r="414" spans="1:49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70</v>
      </c>
      <c r="E414" s="46"/>
      <c r="F414" s="37"/>
      <c r="G414" s="37"/>
      <c r="H414" s="47"/>
      <c r="I414" s="37"/>
      <c r="J414" s="39"/>
      <c r="K414" s="37"/>
      <c r="L414" s="37" t="s">
        <v>534</v>
      </c>
      <c r="M414" s="40"/>
      <c r="N414" s="38">
        <v>30</v>
      </c>
      <c r="O414" s="37" t="s">
        <v>126</v>
      </c>
      <c r="P414" s="41">
        <v>29500</v>
      </c>
      <c r="Q414" s="42"/>
      <c r="R414" s="48"/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885000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885000</v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4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4" s="50">
        <f>IF(OR(NOTA[[#This Row],[QTY]]="",NOTA[[#This Row],[HARGA SATUAN]]="",),"",NOTA[[#This Row],[QTY]]*NOTA[[#This Row],[HARGA SATUAN]])</f>
        <v>885000</v>
      </c>
      <c r="AH414" s="39">
        <f ca="1">IF(NOTA[ID_H]="","",INDEX(NOTA[TANGGAL],MATCH(,INDIRECT(ADDRESS(ROW(NOTA[TANGGAL]),COLUMN(NOTA[TANGGAL]))&amp;":"&amp;ADDRESS(ROW(),COLUMN(NOTA[TANGGAL]))),-1)))</f>
        <v>45190</v>
      </c>
      <c r="AI414" s="41" t="str">
        <f ca="1">IF(NOTA[[#This Row],[NAMA BARANG]]="","",INDEX(NOTA[SUPPLIER],MATCH(,INDIRECT(ADDRESS(ROW(NOTA[ID]),COLUMN(NOTA[ID]))&amp;":"&amp;ADDRESS(ROW(),COLUMN(NOTA[ID]))),-1)))</f>
        <v>TFS</v>
      </c>
      <c r="AJ414" s="41" t="str">
        <f ca="1">IF(NOTA[[#This Row],[ID_H]]="","",IF(NOTA[[#This Row],[FAKTUR]]="",INDIRECT(ADDRESS(ROW()-1,COLUMN())),NOTA[[#This Row],[FAKTUR]]))</f>
        <v>UNTANA</v>
      </c>
      <c r="AK414" s="38" t="str">
        <f ca="1">IF(NOTA[[#This Row],[ID]]="","",COUNTIF(NOTA[ID_H],NOTA[[#This Row],[ID_H]]))</f>
        <v/>
      </c>
      <c r="AL414" s="38">
        <f ca="1">IF(NOTA[[#This Row],[TGL.NOTA]]="",IF(NOTA[[#This Row],[SUPPLIER_H]]="","",AL413),MONTH(NOTA[[#This Row],[TGL.NOTA]]))</f>
        <v>9</v>
      </c>
      <c r="AM414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O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38" t="str">
        <f>IF(NOTA[[#This Row],[CONCAT4]]="","",_xlfn.IFNA(MATCH(NOTA[[#This Row],[CONCAT4]],[2]!RAW[CONCAT_H],0),FALSE))</f>
        <v/>
      </c>
      <c r="AR414" s="38">
        <f>IF(NOTA[[#This Row],[CONCAT1]]="","",MATCH(NOTA[[#This Row],[CONCAT1]],[3]!db[NB NOTA_C],0))</f>
        <v>2682</v>
      </c>
      <c r="AS414" s="38" t="str">
        <f>IF(NOTA[[#This Row],[QTY/ CTN]]="","",TRUE)</f>
        <v/>
      </c>
      <c r="AT414" s="38" t="str">
        <f ca="1">IF(NOTA[[#This Row],[ID_H]]="","",IF(NOTA[[#This Row],[Column3]]=TRUE,NOTA[[#This Row],[QTY/ CTN]],INDEX([3]!db[QTY/ CTN],NOTA[[#This Row],[//DB]])))</f>
        <v>60 PCS</v>
      </c>
      <c r="AU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V414" s="38" t="e">
        <f ca="1">IF(NOTA[[#This Row],[ID_H]]="","",MATCH(NOTA[[#This Row],[NB NOTA_C_QTY]],[4]!db[NB NOTA_C_QTY+F],0))</f>
        <v>#REF!</v>
      </c>
      <c r="AW414" s="53">
        <f ca="1">IF(NOTA[[#This Row],[NB NOTA_C_QTY]]="","",ROW()-2)</f>
        <v>412</v>
      </c>
    </row>
    <row r="415" spans="1:49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70</v>
      </c>
      <c r="E415" s="46"/>
      <c r="F415" s="37"/>
      <c r="G415" s="37"/>
      <c r="H415" s="47"/>
      <c r="I415" s="37"/>
      <c r="J415" s="39"/>
      <c r="K415" s="37"/>
      <c r="L415" s="37" t="s">
        <v>535</v>
      </c>
      <c r="M415" s="40"/>
      <c r="N415" s="38">
        <v>30</v>
      </c>
      <c r="O415" s="37" t="s">
        <v>126</v>
      </c>
      <c r="P415" s="41">
        <v>29500</v>
      </c>
      <c r="Q415" s="42"/>
      <c r="R415" s="48"/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885000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885000</v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5" s="50">
        <f>IF(OR(NOTA[[#This Row],[QTY]]="",NOTA[[#This Row],[HARGA SATUAN]]="",),"",NOTA[[#This Row],[QTY]]*NOTA[[#This Row],[HARGA SATUAN]])</f>
        <v>885000</v>
      </c>
      <c r="AH415" s="39">
        <f ca="1">IF(NOTA[ID_H]="","",INDEX(NOTA[TANGGAL],MATCH(,INDIRECT(ADDRESS(ROW(NOTA[TANGGAL]),COLUMN(NOTA[TANGGAL]))&amp;":"&amp;ADDRESS(ROW(),COLUMN(NOTA[TANGGAL]))),-1)))</f>
        <v>45190</v>
      </c>
      <c r="AI415" s="41" t="str">
        <f ca="1">IF(NOTA[[#This Row],[NAMA BARANG]]="","",INDEX(NOTA[SUPPLIER],MATCH(,INDIRECT(ADDRESS(ROW(NOTA[ID]),COLUMN(NOTA[ID]))&amp;":"&amp;ADDRESS(ROW(),COLUMN(NOTA[ID]))),-1)))</f>
        <v>TFS</v>
      </c>
      <c r="AJ415" s="41" t="str">
        <f ca="1">IF(NOTA[[#This Row],[ID_H]]="","",IF(NOTA[[#This Row],[FAKTUR]]="",INDIRECT(ADDRESS(ROW()-1,COLUMN())),NOTA[[#This Row],[FAKTUR]]))</f>
        <v>UNTANA</v>
      </c>
      <c r="AK415" s="38" t="str">
        <f ca="1">IF(NOTA[[#This Row],[ID]]="","",COUNTIF(NOTA[ID_H],NOTA[[#This Row],[ID_H]]))</f>
        <v/>
      </c>
      <c r="AL415" s="38">
        <f ca="1">IF(NOTA[[#This Row],[TGL.NOTA]]="",IF(NOTA[[#This Row],[SUPPLIER_H]]="","",AL414),MONTH(NOTA[[#This Row],[TGL.NOTA]]))</f>
        <v>9</v>
      </c>
      <c r="AM415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O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5" s="38" t="str">
        <f>IF(NOTA[[#This Row],[CONCAT4]]="","",_xlfn.IFNA(MATCH(NOTA[[#This Row],[CONCAT4]],[2]!RAW[CONCAT_H],0),FALSE))</f>
        <v/>
      </c>
      <c r="AR415" s="38">
        <f>IF(NOTA[[#This Row],[CONCAT1]]="","",MATCH(NOTA[[#This Row],[CONCAT1]],[3]!db[NB NOTA_C],0))</f>
        <v>2683</v>
      </c>
      <c r="AS415" s="38" t="str">
        <f>IF(NOTA[[#This Row],[QTY/ CTN]]="","",TRUE)</f>
        <v/>
      </c>
      <c r="AT415" s="38" t="str">
        <f ca="1">IF(NOTA[[#This Row],[ID_H]]="","",IF(NOTA[[#This Row],[Column3]]=TRUE,NOTA[[#This Row],[QTY/ CTN]],INDEX([3]!db[QTY/ CTN],NOTA[[#This Row],[//DB]])))</f>
        <v>60 PCS</v>
      </c>
      <c r="AU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V415" s="38" t="e">
        <f ca="1">IF(NOTA[[#This Row],[ID_H]]="","",MATCH(NOTA[[#This Row],[NB NOTA_C_QTY]],[4]!db[NB NOTA_C_QTY+F],0))</f>
        <v>#REF!</v>
      </c>
      <c r="AW415" s="53">
        <f ca="1">IF(NOTA[[#This Row],[NB NOTA_C_QTY]]="","",ROW()-2)</f>
        <v>413</v>
      </c>
    </row>
    <row r="416" spans="1:49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70</v>
      </c>
      <c r="E416" s="46"/>
      <c r="F416" s="37"/>
      <c r="G416" s="37"/>
      <c r="H416" s="47"/>
      <c r="I416" s="37"/>
      <c r="J416" s="39"/>
      <c r="K416" s="37"/>
      <c r="L416" s="37" t="s">
        <v>536</v>
      </c>
      <c r="M416" s="40"/>
      <c r="N416" s="38">
        <v>30</v>
      </c>
      <c r="O416" s="37" t="s">
        <v>126</v>
      </c>
      <c r="P416" s="41">
        <v>29500</v>
      </c>
      <c r="Q416" s="42"/>
      <c r="R416" s="48"/>
      <c r="S416" s="49"/>
      <c r="T416" s="44"/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885000</v>
      </c>
      <c r="Y416" s="50">
        <f>IF(NOTA[[#This Row],[JUMLAH]]="","",NOTA[[#This Row],[JUMLAH]]*NOTA[[#This Row],[DISC 1]])</f>
        <v>0</v>
      </c>
      <c r="Z416" s="50">
        <f>IF(NOTA[[#This Row],[JUMLAH]]="","",(NOTA[[#This Row],[JUMLAH]]-NOTA[[#This Row],[DISC 1-]])*NOTA[[#This Row],[DISC 2]])</f>
        <v>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0</v>
      </c>
      <c r="AC416" s="50">
        <f>IF(NOTA[[#This Row],[JUMLAH]]="","",NOTA[[#This Row],[JUMLAH]]-NOTA[[#This Row],[DISC]])</f>
        <v>885000</v>
      </c>
      <c r="AD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3540000</v>
      </c>
      <c r="AF41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G416" s="50">
        <f>IF(OR(NOTA[[#This Row],[QTY]]="",NOTA[[#This Row],[HARGA SATUAN]]="",),"",NOTA[[#This Row],[QTY]]*NOTA[[#This Row],[HARGA SATUAN]])</f>
        <v>885000</v>
      </c>
      <c r="AH416" s="39">
        <f ca="1">IF(NOTA[ID_H]="","",INDEX(NOTA[TANGGAL],MATCH(,INDIRECT(ADDRESS(ROW(NOTA[TANGGAL]),COLUMN(NOTA[TANGGAL]))&amp;":"&amp;ADDRESS(ROW(),COLUMN(NOTA[TANGGAL]))),-1)))</f>
        <v>45190</v>
      </c>
      <c r="AI416" s="41" t="str">
        <f ca="1">IF(NOTA[[#This Row],[NAMA BARANG]]="","",INDEX(NOTA[SUPPLIER],MATCH(,INDIRECT(ADDRESS(ROW(NOTA[ID]),COLUMN(NOTA[ID]))&amp;":"&amp;ADDRESS(ROW(),COLUMN(NOTA[ID]))),-1)))</f>
        <v>TFS</v>
      </c>
      <c r="AJ416" s="41" t="str">
        <f ca="1">IF(NOTA[[#This Row],[ID_H]]="","",IF(NOTA[[#This Row],[FAKTUR]]="",INDIRECT(ADDRESS(ROW()-1,COLUMN())),NOTA[[#This Row],[FAKTUR]]))</f>
        <v>UNTANA</v>
      </c>
      <c r="AK416" s="38" t="str">
        <f ca="1">IF(NOTA[[#This Row],[ID]]="","",COUNTIF(NOTA[ID_H],NOTA[[#This Row],[ID_H]]))</f>
        <v/>
      </c>
      <c r="AL416" s="38">
        <f ca="1">IF(NOTA[[#This Row],[TGL.NOTA]]="",IF(NOTA[[#This Row],[SUPPLIER_H]]="","",AL415),MONTH(NOTA[[#This Row],[TGL.NOTA]]))</f>
        <v>9</v>
      </c>
      <c r="AM416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O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38" t="str">
        <f>IF(NOTA[[#This Row],[CONCAT4]]="","",_xlfn.IFNA(MATCH(NOTA[[#This Row],[CONCAT4]],[2]!RAW[CONCAT_H],0),FALSE))</f>
        <v/>
      </c>
      <c r="AR416" s="38">
        <f>IF(NOTA[[#This Row],[CONCAT1]]="","",MATCH(NOTA[[#This Row],[CONCAT1]],[3]!db[NB NOTA_C],0))</f>
        <v>2680</v>
      </c>
      <c r="AS416" s="38" t="str">
        <f>IF(NOTA[[#This Row],[QTY/ CTN]]="","",TRUE)</f>
        <v/>
      </c>
      <c r="AT416" s="38" t="str">
        <f ca="1">IF(NOTA[[#This Row],[ID_H]]="","",IF(NOTA[[#This Row],[Column3]]=TRUE,NOTA[[#This Row],[QTY/ CTN]],INDEX([3]!db[QTY/ CTN],NOTA[[#This Row],[//DB]])))</f>
        <v>60 PCS</v>
      </c>
      <c r="AU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V416" s="38" t="e">
        <f ca="1">IF(NOTA[[#This Row],[ID_H]]="","",MATCH(NOTA[[#This Row],[NB NOTA_C_QTY]],[4]!db[NB NOTA_C_QTY+F],0))</f>
        <v>#REF!</v>
      </c>
      <c r="AW416" s="53">
        <f ca="1">IF(NOTA[[#This Row],[NB NOTA_C_QTY]]="","",ROW()-2)</f>
        <v>414</v>
      </c>
    </row>
    <row r="417" spans="1:49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17" s="50" t="str">
        <f>IF(OR(NOTA[[#This Row],[QTY]]="",NOTA[[#This Row],[HARGA SATUAN]]="",),"",NOTA[[#This Row],[QTY]]*NOTA[[#This Row],[HARGA SATUAN]])</f>
        <v/>
      </c>
      <c r="AH417" s="39" t="str">
        <f ca="1">IF(NOTA[ID_H]="","",INDEX(NOTA[TANGGAL],MATCH(,INDIRECT(ADDRESS(ROW(NOTA[TANGGAL]),COLUMN(NOTA[TANGGAL]))&amp;":"&amp;ADDRESS(ROW(),COLUMN(NOTA[TANGGAL]))),-1)))</f>
        <v/>
      </c>
      <c r="AI417" s="41" t="str">
        <f ca="1">IF(NOTA[[#This Row],[NAMA BARANG]]="","",INDEX(NOTA[SUPPLIER],MATCH(,INDIRECT(ADDRESS(ROW(NOTA[ID]),COLUMN(NOTA[ID]))&amp;":"&amp;ADDRESS(ROW(),COLUMN(NOTA[ID]))),-1)))</f>
        <v/>
      </c>
      <c r="AJ417" s="41" t="str">
        <f ca="1">IF(NOTA[[#This Row],[ID_H]]="","",IF(NOTA[[#This Row],[FAKTUR]]="",INDIRECT(ADDRESS(ROW()-1,COLUMN())),NOTA[[#This Row],[FAKTUR]]))</f>
        <v/>
      </c>
      <c r="AK417" s="38" t="str">
        <f ca="1">IF(NOTA[[#This Row],[ID]]="","",COUNTIF(NOTA[ID_H],NOTA[[#This Row],[ID_H]]))</f>
        <v/>
      </c>
      <c r="AL417" s="38" t="str">
        <f ca="1">IF(NOTA[[#This Row],[TGL.NOTA]]="",IF(NOTA[[#This Row],[SUPPLIER_H]]="","",AL416),MONTH(NOTA[[#This Row],[TGL.NOTA]]))</f>
        <v/>
      </c>
      <c r="AM417" s="38" t="str">
        <f>LOWER(SUBSTITUTE(SUBSTITUTE(SUBSTITUTE(SUBSTITUTE(SUBSTITUTE(SUBSTITUTE(SUBSTITUTE(SUBSTITUTE(SUBSTITUTE(NOTA[NAMA BARANG]," ",),".",""),"-",""),"(",""),")",""),",",""),"/",""),"""",""),"+",""))</f>
        <v/>
      </c>
      <c r="AN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38" t="str">
        <f>IF(NOTA[[#This Row],[CONCAT4]]="","",_xlfn.IFNA(MATCH(NOTA[[#This Row],[CONCAT4]],[2]!RAW[CONCAT_H],0),FALSE))</f>
        <v/>
      </c>
      <c r="AR417" s="38" t="str">
        <f>IF(NOTA[[#This Row],[CONCAT1]]="","",MATCH(NOTA[[#This Row],[CONCAT1]],[3]!db[NB NOTA_C],0))</f>
        <v/>
      </c>
      <c r="AS417" s="38" t="str">
        <f>IF(NOTA[[#This Row],[QTY/ CTN]]="","",TRUE)</f>
        <v/>
      </c>
      <c r="AT417" s="38" t="str">
        <f ca="1">IF(NOTA[[#This Row],[ID_H]]="","",IF(NOTA[[#This Row],[Column3]]=TRUE,NOTA[[#This Row],[QTY/ CTN]],INDEX([3]!db[QTY/ CTN],NOTA[[#This Row],[//DB]])))</f>
        <v/>
      </c>
      <c r="AU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7" s="38" t="str">
        <f ca="1">IF(NOTA[[#This Row],[ID_H]]="","",MATCH(NOTA[[#This Row],[NB NOTA_C_QTY]],[4]!db[NB NOTA_C_QTY+F],0))</f>
        <v/>
      </c>
      <c r="AW417" s="53" t="str">
        <f ca="1">IF(NOTA[[#This Row],[NB NOTA_C_QTY]]="","",ROW()-2)</f>
        <v/>
      </c>
    </row>
    <row r="418" spans="1:49" s="38" customFormat="1" ht="20.100000000000001" customHeight="1" x14ac:dyDescent="0.25">
      <c r="A418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ATA_2109_629-3</v>
      </c>
      <c r="C418" s="38" t="e">
        <f ca="1">IF(NOTA[[#This Row],[ID_P]]="","",MATCH(NOTA[[#This Row],[ID_P]],[1]!B_MSK[N_ID],0))</f>
        <v>#REF!</v>
      </c>
      <c r="D418" s="38">
        <f ca="1">IF(NOTA[[#This Row],[NAMA BARANG]]="","",INDEX(NOTA[ID],MATCH(,INDIRECT(ADDRESS(ROW(NOTA[ID]),COLUMN(NOTA[ID]))&amp;":"&amp;ADDRESS(ROW(),COLUMN(NOTA[ID]))),-1)))</f>
        <v>71</v>
      </c>
      <c r="E418" s="46">
        <v>45190</v>
      </c>
      <c r="F418" s="37" t="s">
        <v>24</v>
      </c>
      <c r="G418" s="37" t="s">
        <v>23</v>
      </c>
      <c r="H418" s="47" t="s">
        <v>537</v>
      </c>
      <c r="I418" s="37"/>
      <c r="J418" s="39">
        <v>45187</v>
      </c>
      <c r="K418" s="37"/>
      <c r="L418" s="37" t="s">
        <v>220</v>
      </c>
      <c r="M418" s="40">
        <v>1</v>
      </c>
      <c r="N418" s="38">
        <v>30</v>
      </c>
      <c r="O418" s="37" t="s">
        <v>212</v>
      </c>
      <c r="P418" s="41">
        <v>104400</v>
      </c>
      <c r="Q418" s="42"/>
      <c r="R418" s="48" t="s">
        <v>472</v>
      </c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3132000</v>
      </c>
      <c r="Y418" s="50">
        <f>IF(NOTA[[#This Row],[JUMLAH]]="","",NOTA[[#This Row],[JUMLAH]]*NOTA[[#This Row],[DISC 1]])</f>
        <v>391500</v>
      </c>
      <c r="Z418" s="50">
        <f>IF(NOTA[[#This Row],[JUMLAH]]="","",(NOTA[[#This Row],[JUMLAH]]-NOTA[[#This Row],[DISC 1-]])*NOTA[[#This Row],[DISC 2]])</f>
        <v>137025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528525</v>
      </c>
      <c r="AC418" s="50">
        <f>IF(NOTA[[#This Row],[JUMLAH]]="","",NOTA[[#This Row],[JUMLAH]]-NOTA[[#This Row],[DISC]])</f>
        <v>2603475</v>
      </c>
      <c r="AD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418" s="50">
        <f>IF(OR(NOTA[[#This Row],[QTY]]="",NOTA[[#This Row],[HARGA SATUAN]]="",),"",NOTA[[#This Row],[QTY]]*NOTA[[#This Row],[HARGA SATUAN]])</f>
        <v>3132000</v>
      </c>
      <c r="AH418" s="39">
        <f ca="1">IF(NOTA[ID_H]="","",INDEX(NOTA[TANGGAL],MATCH(,INDIRECT(ADDRESS(ROW(NOTA[TANGGAL]),COLUMN(NOTA[TANGGAL]))&amp;":"&amp;ADDRESS(ROW(),COLUMN(NOTA[TANGGAL]))),-1)))</f>
        <v>45190</v>
      </c>
      <c r="AI418" s="41" t="str">
        <f ca="1">IF(NOTA[[#This Row],[NAMA BARANG]]="","",INDEX(NOTA[SUPPLIER],MATCH(,INDIRECT(ADDRESS(ROW(NOTA[ID]),COLUMN(NOTA[ID]))&amp;":"&amp;ADDRESS(ROW(),COLUMN(NOTA[ID]))),-1)))</f>
        <v>ATALI MAKMUR</v>
      </c>
      <c r="AJ418" s="41" t="str">
        <f ca="1">IF(NOTA[[#This Row],[ID_H]]="","",IF(NOTA[[#This Row],[FAKTUR]]="",INDIRECT(ADDRESS(ROW()-1,COLUMN())),NOTA[[#This Row],[FAKTUR]]))</f>
        <v>ARTO MORO</v>
      </c>
      <c r="AK418" s="38">
        <f ca="1">IF(NOTA[[#This Row],[ID]]="","",COUNTIF(NOTA[ID_H],NOTA[[#This Row],[ID_H]]))</f>
        <v>3</v>
      </c>
      <c r="AL418" s="38">
        <f>IF(NOTA[[#This Row],[TGL.NOTA]]="",IF(NOTA[[#This Row],[SUPPLIER_H]]="","",AL417),MONTH(NOTA[[#This Row],[TGL.NOTA]]))</f>
        <v>9</v>
      </c>
      <c r="AM41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4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MOROSA23091662945187pencilp882bjk</v>
      </c>
      <c r="AQ418" s="38" t="e">
        <f>IF(NOTA[[#This Row],[CONCAT4]]="","",_xlfn.IFNA(MATCH(NOTA[[#This Row],[CONCAT4]],[2]!RAW[CONCAT_H],0),FALSE))</f>
        <v>#REF!</v>
      </c>
      <c r="AR418" s="38">
        <f>IF(NOTA[[#This Row],[CONCAT1]]="","",MATCH(NOTA[[#This Row],[CONCAT1]],[3]!db[NB NOTA_C],0))</f>
        <v>2174</v>
      </c>
      <c r="AS418" s="38" t="b">
        <f>IF(NOTA[[#This Row],[QTY/ CTN]]="","",TRUE)</f>
        <v>1</v>
      </c>
      <c r="AT418" s="38" t="str">
        <f ca="1">IF(NOTA[[#This Row],[ID_H]]="","",IF(NOTA[[#This Row],[Column3]]=TRUE,NOTA[[#This Row],[QTY/ CTN]],INDEX([3]!db[QTY/ CTN],NOTA[[#This Row],[//DB]])))</f>
        <v xml:space="preserve">30 GRS </v>
      </c>
      <c r="AU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418" s="38" t="e">
        <f ca="1">IF(NOTA[[#This Row],[ID_H]]="","",MATCH(NOTA[[#This Row],[NB NOTA_C_QTY]],[4]!db[NB NOTA_C_QTY+F],0))</f>
        <v>#REF!</v>
      </c>
      <c r="AW418" s="53">
        <f ca="1">IF(NOTA[[#This Row],[NB NOTA_C_QTY]]="","",ROW()-2)</f>
        <v>416</v>
      </c>
    </row>
    <row r="419" spans="1:49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71</v>
      </c>
      <c r="E419" s="46"/>
      <c r="F419" s="37"/>
      <c r="G419" s="37"/>
      <c r="H419" s="47"/>
      <c r="I419" s="37"/>
      <c r="J419" s="39"/>
      <c r="K419" s="37"/>
      <c r="L419" s="37" t="s">
        <v>538</v>
      </c>
      <c r="M419" s="40">
        <v>1</v>
      </c>
      <c r="N419" s="38">
        <v>144</v>
      </c>
      <c r="O419" s="37" t="s">
        <v>132</v>
      </c>
      <c r="P419" s="41">
        <v>10600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1526400</v>
      </c>
      <c r="Y419" s="50">
        <f>IF(NOTA[[#This Row],[JUMLAH]]="","",NOTA[[#This Row],[JUMLAH]]*NOTA[[#This Row],[DISC 1]])</f>
        <v>190800</v>
      </c>
      <c r="Z419" s="50">
        <f>IF(NOTA[[#This Row],[JUMLAH]]="","",(NOTA[[#This Row],[JUMLAH]]-NOTA[[#This Row],[DISC 1-]])*NOTA[[#This Row],[DISC 2]])</f>
        <v>66780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257580</v>
      </c>
      <c r="AC419" s="50">
        <f>IF(NOTA[[#This Row],[JUMLAH]]="","",NOTA[[#This Row],[JUMLAH]]-NOTA[[#This Row],[DISC]])</f>
        <v>1268820</v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19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419" s="50">
        <f>IF(OR(NOTA[[#This Row],[QTY]]="",NOTA[[#This Row],[HARGA SATUAN]]="",),"",NOTA[[#This Row],[QTY]]*NOTA[[#This Row],[HARGA SATUAN]])</f>
        <v>1526400</v>
      </c>
      <c r="AH419" s="39">
        <f ca="1">IF(NOTA[ID_H]="","",INDEX(NOTA[TANGGAL],MATCH(,INDIRECT(ADDRESS(ROW(NOTA[TANGGAL]),COLUMN(NOTA[TANGGAL]))&amp;":"&amp;ADDRESS(ROW(),COLUMN(NOTA[TANGGAL]))),-1)))</f>
        <v>45190</v>
      </c>
      <c r="AI419" s="41" t="str">
        <f ca="1">IF(NOTA[[#This Row],[NAMA BARANG]]="","",INDEX(NOTA[SUPPLIER],MATCH(,INDIRECT(ADDRESS(ROW(NOTA[ID]),COLUMN(NOTA[ID]))&amp;":"&amp;ADDRESS(ROW(),COLUMN(NOTA[ID]))),-1)))</f>
        <v>ATALI MAKMUR</v>
      </c>
      <c r="AJ419" s="41" t="str">
        <f ca="1">IF(NOTA[[#This Row],[ID_H]]="","",IF(NOTA[[#This Row],[FAKTUR]]="",INDIRECT(ADDRESS(ROW()-1,COLUMN())),NOTA[[#This Row],[FAKTUR]]))</f>
        <v>ARTO MORO</v>
      </c>
      <c r="AK419" s="38" t="str">
        <f ca="1">IF(NOTA[[#This Row],[ID]]="","",COUNTIF(NOTA[ID_H],NOTA[[#This Row],[ID_H]]))</f>
        <v/>
      </c>
      <c r="AL419" s="38">
        <f ca="1">IF(NOTA[[#This Row],[TGL.NOTA]]="",IF(NOTA[[#This Row],[SUPPLIER_H]]="","",AL418),MONTH(NOTA[[#This Row],[TGL.NOTA]]))</f>
        <v>9</v>
      </c>
      <c r="AM419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38" t="str">
        <f>IF(NOTA[[#This Row],[CONCAT4]]="","",_xlfn.IFNA(MATCH(NOTA[[#This Row],[CONCAT4]],[2]!RAW[CONCAT_H],0),FALSE))</f>
        <v/>
      </c>
      <c r="AR419" s="38">
        <f>IF(NOTA[[#This Row],[CONCAT1]]="","",MATCH(NOTA[[#This Row],[CONCAT1]],[3]!db[NB NOTA_C],0))</f>
        <v>591</v>
      </c>
      <c r="AS419" s="38" t="str">
        <f>IF(NOTA[[#This Row],[QTY/ CTN]]="","",TRUE)</f>
        <v/>
      </c>
      <c r="AT419" s="38" t="str">
        <f ca="1">IF(NOTA[[#This Row],[ID_H]]="","",IF(NOTA[[#This Row],[Column3]]=TRUE,NOTA[[#This Row],[QTY/ CTN]],INDEX([3]!db[QTY/ CTN],NOTA[[#This Row],[//DB]])))</f>
        <v>12 LSN</v>
      </c>
      <c r="AU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419" s="38" t="e">
        <f ca="1">IF(NOTA[[#This Row],[ID_H]]="","",MATCH(NOTA[[#This Row],[NB NOTA_C_QTY]],[4]!db[NB NOTA_C_QTY+F],0))</f>
        <v>#REF!</v>
      </c>
      <c r="AW419" s="53">
        <f ca="1">IF(NOTA[[#This Row],[NB NOTA_C_QTY]]="","",ROW()-2)</f>
        <v>417</v>
      </c>
    </row>
    <row r="420" spans="1:49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71</v>
      </c>
      <c r="E420" s="46"/>
      <c r="F420" s="37"/>
      <c r="G420" s="37"/>
      <c r="H420" s="47"/>
      <c r="I420" s="37"/>
      <c r="J420" s="39"/>
      <c r="K420" s="37"/>
      <c r="L420" s="37" t="s">
        <v>389</v>
      </c>
      <c r="M420" s="40">
        <v>2</v>
      </c>
      <c r="N420" s="38">
        <v>288</v>
      </c>
      <c r="O420" s="37" t="s">
        <v>132</v>
      </c>
      <c r="P420" s="41">
        <v>11900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3427200</v>
      </c>
      <c r="Y420" s="50">
        <f>IF(NOTA[[#This Row],[JUMLAH]]="","",NOTA[[#This Row],[JUMLAH]]*NOTA[[#This Row],[DISC 1]])</f>
        <v>428400</v>
      </c>
      <c r="Z420" s="50">
        <f>IF(NOTA[[#This Row],[JUMLAH]]="","",(NOTA[[#This Row],[JUMLAH]]-NOTA[[#This Row],[DISC 1-]])*NOTA[[#This Row],[DISC 2]])</f>
        <v>149940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578340</v>
      </c>
      <c r="AC420" s="50">
        <f>IF(NOTA[[#This Row],[JUMLAH]]="","",NOTA[[#This Row],[JUMLAH]]-NOTA[[#This Row],[DISC]])</f>
        <v>2848860</v>
      </c>
      <c r="AD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1364445</v>
      </c>
      <c r="AE4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6721155</v>
      </c>
      <c r="AF420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420" s="50">
        <f>IF(OR(NOTA[[#This Row],[QTY]]="",NOTA[[#This Row],[HARGA SATUAN]]="",),"",NOTA[[#This Row],[QTY]]*NOTA[[#This Row],[HARGA SATUAN]])</f>
        <v>3427200</v>
      </c>
      <c r="AH420" s="39">
        <f ca="1">IF(NOTA[ID_H]="","",INDEX(NOTA[TANGGAL],MATCH(,INDIRECT(ADDRESS(ROW(NOTA[TANGGAL]),COLUMN(NOTA[TANGGAL]))&amp;":"&amp;ADDRESS(ROW(),COLUMN(NOTA[TANGGAL]))),-1)))</f>
        <v>45190</v>
      </c>
      <c r="AI420" s="41" t="str">
        <f ca="1">IF(NOTA[[#This Row],[NAMA BARANG]]="","",INDEX(NOTA[SUPPLIER],MATCH(,INDIRECT(ADDRESS(ROW(NOTA[ID]),COLUMN(NOTA[ID]))&amp;":"&amp;ADDRESS(ROW(),COLUMN(NOTA[ID]))),-1)))</f>
        <v>ATALI MAKMUR</v>
      </c>
      <c r="AJ420" s="41" t="str">
        <f ca="1">IF(NOTA[[#This Row],[ID_H]]="","",IF(NOTA[[#This Row],[FAKTUR]]="",INDIRECT(ADDRESS(ROW()-1,COLUMN())),NOTA[[#This Row],[FAKTUR]]))</f>
        <v>ARTO MORO</v>
      </c>
      <c r="AK420" s="38" t="str">
        <f ca="1">IF(NOTA[[#This Row],[ID]]="","",COUNTIF(NOTA[ID_H],NOTA[[#This Row],[ID_H]]))</f>
        <v/>
      </c>
      <c r="AL420" s="38">
        <f ca="1">IF(NOTA[[#This Row],[TGL.NOTA]]="",IF(NOTA[[#This Row],[SUPPLIER_H]]="","",AL419),MONTH(NOTA[[#This Row],[TGL.NOTA]]))</f>
        <v>9</v>
      </c>
      <c r="AM420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38" t="str">
        <f>IF(NOTA[[#This Row],[CONCAT4]]="","",_xlfn.IFNA(MATCH(NOTA[[#This Row],[CONCAT4]],[2]!RAW[CONCAT_H],0),FALSE))</f>
        <v/>
      </c>
      <c r="AR420" s="38">
        <f>IF(NOTA[[#This Row],[CONCAT1]]="","",MATCH(NOTA[[#This Row],[CONCAT1]],[3]!db[NB NOTA_C],0))</f>
        <v>1895</v>
      </c>
      <c r="AS420" s="38" t="str">
        <f>IF(NOTA[[#This Row],[QTY/ CTN]]="","",TRUE)</f>
        <v/>
      </c>
      <c r="AT420" s="38" t="str">
        <f ca="1">IF(NOTA[[#This Row],[ID_H]]="","",IF(NOTA[[#This Row],[Column3]]=TRUE,NOTA[[#This Row],[QTY/ CTN]],INDEX([3]!db[QTY/ CTN],NOTA[[#This Row],[//DB]])))</f>
        <v>12 LSN</v>
      </c>
      <c r="AU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420" s="38" t="e">
        <f ca="1">IF(NOTA[[#This Row],[ID_H]]="","",MATCH(NOTA[[#This Row],[NB NOTA_C_QTY]],[4]!db[NB NOTA_C_QTY+F],0))</f>
        <v>#REF!</v>
      </c>
      <c r="AW420" s="53">
        <f ca="1">IF(NOTA[[#This Row],[NB NOTA_C_QTY]]="","",ROW()-2)</f>
        <v>418</v>
      </c>
    </row>
    <row r="421" spans="1:49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21" s="50" t="str">
        <f>IF(OR(NOTA[[#This Row],[QTY]]="",NOTA[[#This Row],[HARGA SATUAN]]="",),"",NOTA[[#This Row],[QTY]]*NOTA[[#This Row],[HARGA SATUAN]])</f>
        <v/>
      </c>
      <c r="AH421" s="39" t="str">
        <f ca="1">IF(NOTA[ID_H]="","",INDEX(NOTA[TANGGAL],MATCH(,INDIRECT(ADDRESS(ROW(NOTA[TANGGAL]),COLUMN(NOTA[TANGGAL]))&amp;":"&amp;ADDRESS(ROW(),COLUMN(NOTA[TANGGAL]))),-1)))</f>
        <v/>
      </c>
      <c r="AI421" s="41" t="str">
        <f ca="1">IF(NOTA[[#This Row],[NAMA BARANG]]="","",INDEX(NOTA[SUPPLIER],MATCH(,INDIRECT(ADDRESS(ROW(NOTA[ID]),COLUMN(NOTA[ID]))&amp;":"&amp;ADDRESS(ROW(),COLUMN(NOTA[ID]))),-1)))</f>
        <v/>
      </c>
      <c r="AJ421" s="41" t="str">
        <f ca="1">IF(NOTA[[#This Row],[ID_H]]="","",IF(NOTA[[#This Row],[FAKTUR]]="",INDIRECT(ADDRESS(ROW()-1,COLUMN())),NOTA[[#This Row],[FAKTUR]]))</f>
        <v/>
      </c>
      <c r="AK421" s="38" t="str">
        <f ca="1">IF(NOTA[[#This Row],[ID]]="","",COUNTIF(NOTA[ID_H],NOTA[[#This Row],[ID_H]]))</f>
        <v/>
      </c>
      <c r="AL421" s="38" t="str">
        <f ca="1">IF(NOTA[[#This Row],[TGL.NOTA]]="",IF(NOTA[[#This Row],[SUPPLIER_H]]="","",AL420),MONTH(NOTA[[#This Row],[TGL.NOTA]]))</f>
        <v/>
      </c>
      <c r="AM421" s="38" t="str">
        <f>LOWER(SUBSTITUTE(SUBSTITUTE(SUBSTITUTE(SUBSTITUTE(SUBSTITUTE(SUBSTITUTE(SUBSTITUTE(SUBSTITUTE(SUBSTITUTE(NOTA[NAMA BARANG]," ",),".",""),"-",""),"(",""),")",""),",",""),"/",""),"""",""),"+",""))</f>
        <v/>
      </c>
      <c r="AN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1" s="38" t="str">
        <f>IF(NOTA[[#This Row],[CONCAT4]]="","",_xlfn.IFNA(MATCH(NOTA[[#This Row],[CONCAT4]],[2]!RAW[CONCAT_H],0),FALSE))</f>
        <v/>
      </c>
      <c r="AR421" s="38" t="str">
        <f>IF(NOTA[[#This Row],[CONCAT1]]="","",MATCH(NOTA[[#This Row],[CONCAT1]],[3]!db[NB NOTA_C],0))</f>
        <v/>
      </c>
      <c r="AS421" s="38" t="str">
        <f>IF(NOTA[[#This Row],[QTY/ CTN]]="","",TRUE)</f>
        <v/>
      </c>
      <c r="AT421" s="38" t="str">
        <f ca="1">IF(NOTA[[#This Row],[ID_H]]="","",IF(NOTA[[#This Row],[Column3]]=TRUE,NOTA[[#This Row],[QTY/ CTN]],INDEX([3]!db[QTY/ CTN],NOTA[[#This Row],[//DB]])))</f>
        <v/>
      </c>
      <c r="AU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21" s="38" t="str">
        <f ca="1">IF(NOTA[[#This Row],[ID_H]]="","",MATCH(NOTA[[#This Row],[NB NOTA_C_QTY]],[4]!db[NB NOTA_C_QTY+F],0))</f>
        <v/>
      </c>
      <c r="AW421" s="53" t="str">
        <f ca="1">IF(NOTA[[#This Row],[NB NOTA_C_QTY]]="","",ROW()-2)</f>
        <v/>
      </c>
    </row>
    <row r="422" spans="1:49" s="38" customFormat="1" ht="20.100000000000001" customHeight="1" x14ac:dyDescent="0.25">
      <c r="A42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ATA_2109_590-7</v>
      </c>
      <c r="C422" s="38" t="e">
        <f ca="1">IF(NOTA[[#This Row],[ID_P]]="","",MATCH(NOTA[[#This Row],[ID_P]],[1]!B_MSK[N_ID],0))</f>
        <v>#REF!</v>
      </c>
      <c r="D422" s="38">
        <f ca="1">IF(NOTA[[#This Row],[NAMA BARANG]]="","",INDEX(NOTA[ID],MATCH(,INDIRECT(ADDRESS(ROW(NOTA[ID]),COLUMN(NOTA[ID]))&amp;":"&amp;ADDRESS(ROW(),COLUMN(NOTA[ID]))),-1)))</f>
        <v>72</v>
      </c>
      <c r="E422" s="46">
        <v>45190</v>
      </c>
      <c r="F422" s="37" t="s">
        <v>24</v>
      </c>
      <c r="G422" s="37" t="s">
        <v>23</v>
      </c>
      <c r="H422" s="47" t="s">
        <v>539</v>
      </c>
      <c r="I422" s="37"/>
      <c r="J422" s="39">
        <v>45187</v>
      </c>
      <c r="K422" s="37"/>
      <c r="L422" s="37" t="s">
        <v>392</v>
      </c>
      <c r="M422" s="40">
        <v>1</v>
      </c>
      <c r="N422" s="38">
        <v>36</v>
      </c>
      <c r="O422" s="37" t="s">
        <v>138</v>
      </c>
      <c r="P422" s="41">
        <v>41400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1490400</v>
      </c>
      <c r="Y422" s="50">
        <f>IF(NOTA[[#This Row],[JUMLAH]]="","",NOTA[[#This Row],[JUMLAH]]*NOTA[[#This Row],[DISC 1]])</f>
        <v>186300</v>
      </c>
      <c r="Z422" s="50">
        <f>IF(NOTA[[#This Row],[JUMLAH]]="","",(NOTA[[#This Row],[JUMLAH]]-NOTA[[#This Row],[DISC 1-]])*NOTA[[#This Row],[DISC 2]])</f>
        <v>65205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251505</v>
      </c>
      <c r="AC422" s="50">
        <f>IF(NOTA[[#This Row],[JUMLAH]]="","",NOTA[[#This Row],[JUMLAH]]-NOTA[[#This Row],[DISC]])</f>
        <v>1238895</v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2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G422" s="50">
        <f>IF(OR(NOTA[[#This Row],[QTY]]="",NOTA[[#This Row],[HARGA SATUAN]]="",),"",NOTA[[#This Row],[QTY]]*NOTA[[#This Row],[HARGA SATUAN]])</f>
        <v>1490400</v>
      </c>
      <c r="AH422" s="39">
        <f ca="1">IF(NOTA[ID_H]="","",INDEX(NOTA[TANGGAL],MATCH(,INDIRECT(ADDRESS(ROW(NOTA[TANGGAL]),COLUMN(NOTA[TANGGAL]))&amp;":"&amp;ADDRESS(ROW(),COLUMN(NOTA[TANGGAL]))),-1)))</f>
        <v>45190</v>
      </c>
      <c r="AI422" s="41" t="str">
        <f ca="1">IF(NOTA[[#This Row],[NAMA BARANG]]="","",INDEX(NOTA[SUPPLIER],MATCH(,INDIRECT(ADDRESS(ROW(NOTA[ID]),COLUMN(NOTA[ID]))&amp;":"&amp;ADDRESS(ROW(),COLUMN(NOTA[ID]))),-1)))</f>
        <v>ATALI MAKMUR</v>
      </c>
      <c r="AJ422" s="41" t="str">
        <f ca="1">IF(NOTA[[#This Row],[ID_H]]="","",IF(NOTA[[#This Row],[FAKTUR]]="",INDIRECT(ADDRESS(ROW()-1,COLUMN())),NOTA[[#This Row],[FAKTUR]]))</f>
        <v>ARTO MORO</v>
      </c>
      <c r="AK422" s="38">
        <f ca="1">IF(NOTA[[#This Row],[ID]]="","",COUNTIF(NOTA[ID_H],NOTA[[#This Row],[ID_H]]))</f>
        <v>7</v>
      </c>
      <c r="AL422" s="38">
        <f>IF(NOTA[[#This Row],[TGL.NOTA]]="",IF(NOTA[[#This Row],[SUPPLIER_H]]="","",AL421),MONTH(NOTA[[#This Row],[TGL.NOTA]]))</f>
        <v>9</v>
      </c>
      <c r="AM422" s="38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4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MOROSA23091659045187correctionfluidcfs209ajk</v>
      </c>
      <c r="AQ422" s="38" t="e">
        <f>IF(NOTA[[#This Row],[CONCAT4]]="","",_xlfn.IFNA(MATCH(NOTA[[#This Row],[CONCAT4]],[2]!RAW[CONCAT_H],0),FALSE))</f>
        <v>#REF!</v>
      </c>
      <c r="AR422" s="38">
        <f>IF(NOTA[[#This Row],[CONCAT1]]="","",MATCH(NOTA[[#This Row],[CONCAT1]],[3]!db[NB NOTA_C],0))</f>
        <v>614</v>
      </c>
      <c r="AS422" s="38" t="str">
        <f>IF(NOTA[[#This Row],[QTY/ CTN]]="","",TRUE)</f>
        <v/>
      </c>
      <c r="AT422" s="38" t="str">
        <f ca="1">IF(NOTA[[#This Row],[ID_H]]="","",IF(NOTA[[#This Row],[Column3]]=TRUE,NOTA[[#This Row],[QTY/ CTN]],INDEX([3]!db[QTY/ CTN],NOTA[[#This Row],[//DB]])))</f>
        <v>36 LSN</v>
      </c>
      <c r="AU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correctionfluidcfs209ajk36lsnartomoro</v>
      </c>
      <c r="AV422" s="38" t="e">
        <f ca="1">IF(NOTA[[#This Row],[ID_H]]="","",MATCH(NOTA[[#This Row],[NB NOTA_C_QTY]],[4]!db[NB NOTA_C_QTY+F],0))</f>
        <v>#REF!</v>
      </c>
      <c r="AW422" s="53">
        <f ca="1">IF(NOTA[[#This Row],[NB NOTA_C_QTY]]="","",ROW()-2)</f>
        <v>420</v>
      </c>
    </row>
    <row r="423" spans="1:49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72</v>
      </c>
      <c r="E423" s="46"/>
      <c r="F423" s="37"/>
      <c r="G423" s="37"/>
      <c r="H423" s="47"/>
      <c r="I423" s="37"/>
      <c r="J423" s="39"/>
      <c r="K423" s="37"/>
      <c r="L423" s="37" t="s">
        <v>464</v>
      </c>
      <c r="M423" s="40">
        <v>2</v>
      </c>
      <c r="N423" s="38">
        <v>96</v>
      </c>
      <c r="O423" s="37" t="s">
        <v>138</v>
      </c>
      <c r="P423" s="41">
        <v>36000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3456000</v>
      </c>
      <c r="Y423" s="50">
        <f>IF(NOTA[[#This Row],[JUMLAH]]="","",NOTA[[#This Row],[JUMLAH]]*NOTA[[#This Row],[DISC 1]])</f>
        <v>432000</v>
      </c>
      <c r="Z423" s="50">
        <f>IF(NOTA[[#This Row],[JUMLAH]]="","",(NOTA[[#This Row],[JUMLAH]]-NOTA[[#This Row],[DISC 1-]])*NOTA[[#This Row],[DISC 2]])</f>
        <v>151200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583200</v>
      </c>
      <c r="AC423" s="50">
        <f>IF(NOTA[[#This Row],[JUMLAH]]="","",NOTA[[#This Row],[JUMLAH]]-NOTA[[#This Row],[DISC]])</f>
        <v>2872800</v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3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G423" s="50">
        <f>IF(OR(NOTA[[#This Row],[QTY]]="",NOTA[[#This Row],[HARGA SATUAN]]="",),"",NOTA[[#This Row],[QTY]]*NOTA[[#This Row],[HARGA SATUAN]])</f>
        <v>3456000</v>
      </c>
      <c r="AH423" s="39">
        <f ca="1">IF(NOTA[ID_H]="","",INDEX(NOTA[TANGGAL],MATCH(,INDIRECT(ADDRESS(ROW(NOTA[TANGGAL]),COLUMN(NOTA[TANGGAL]))&amp;":"&amp;ADDRESS(ROW(),COLUMN(NOTA[TANGGAL]))),-1)))</f>
        <v>45190</v>
      </c>
      <c r="AI423" s="41" t="str">
        <f ca="1">IF(NOTA[[#This Row],[NAMA BARANG]]="","",INDEX(NOTA[SUPPLIER],MATCH(,INDIRECT(ADDRESS(ROW(NOTA[ID]),COLUMN(NOTA[ID]))&amp;":"&amp;ADDRESS(ROW(),COLUMN(NOTA[ID]))),-1)))</f>
        <v>ATALI MAKMUR</v>
      </c>
      <c r="AJ423" s="41" t="str">
        <f ca="1">IF(NOTA[[#This Row],[ID_H]]="","",IF(NOTA[[#This Row],[FAKTUR]]="",INDIRECT(ADDRESS(ROW()-1,COLUMN())),NOTA[[#This Row],[FAKTUR]]))</f>
        <v>ARTO MORO</v>
      </c>
      <c r="AK423" s="38" t="str">
        <f ca="1">IF(NOTA[[#This Row],[ID]]="","",COUNTIF(NOTA[ID_H],NOTA[[#This Row],[ID_H]]))</f>
        <v/>
      </c>
      <c r="AL423" s="38">
        <f ca="1">IF(NOTA[[#This Row],[TGL.NOTA]]="",IF(NOTA[[#This Row],[SUPPLIER_H]]="","",AL422),MONTH(NOTA[[#This Row],[TGL.NOTA]]))</f>
        <v>9</v>
      </c>
      <c r="AM423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38" t="str">
        <f>IF(NOTA[[#This Row],[CONCAT4]]="","",_xlfn.IFNA(MATCH(NOTA[[#This Row],[CONCAT4]],[2]!RAW[CONCAT_H],0),FALSE))</f>
        <v/>
      </c>
      <c r="AR423" s="38">
        <f>IF(NOTA[[#This Row],[CONCAT1]]="","",MATCH(NOTA[[#This Row],[CONCAT1]],[3]!db[NB NOTA_C],0))</f>
        <v>622</v>
      </c>
      <c r="AS423" s="38" t="str">
        <f>IF(NOTA[[#This Row],[QTY/ CTN]]="","",TRUE)</f>
        <v/>
      </c>
      <c r="AT423" s="38" t="str">
        <f ca="1">IF(NOTA[[#This Row],[ID_H]]="","",IF(NOTA[[#This Row],[Column3]]=TRUE,NOTA[[#This Row],[QTY/ CTN]],INDEX([3]!db[QTY/ CTN],NOTA[[#This Row],[//DB]])))</f>
        <v>48 LSN</v>
      </c>
      <c r="AU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V423" s="38" t="e">
        <f ca="1">IF(NOTA[[#This Row],[ID_H]]="","",MATCH(NOTA[[#This Row],[NB NOTA_C_QTY]],[4]!db[NB NOTA_C_QTY+F],0))</f>
        <v>#REF!</v>
      </c>
      <c r="AW423" s="53">
        <f ca="1">IF(NOTA[[#This Row],[NB NOTA_C_QTY]]="","",ROW()-2)</f>
        <v>421</v>
      </c>
    </row>
    <row r="424" spans="1:49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72</v>
      </c>
      <c r="E424" s="46"/>
      <c r="F424" s="37"/>
      <c r="G424" s="37"/>
      <c r="H424" s="47"/>
      <c r="I424" s="37"/>
      <c r="J424" s="39"/>
      <c r="K424" s="37"/>
      <c r="L424" s="37" t="s">
        <v>662</v>
      </c>
      <c r="M424" s="40"/>
      <c r="N424" s="38">
        <v>12</v>
      </c>
      <c r="O424" s="37" t="s">
        <v>138</v>
      </c>
      <c r="P424" s="41">
        <v>13200</v>
      </c>
      <c r="Q424" s="42"/>
      <c r="R424" s="48"/>
      <c r="S424" s="49">
        <v>0.1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158400</v>
      </c>
      <c r="Y424" s="50">
        <f>IF(NOTA[[#This Row],[JUMLAH]]="","",NOTA[[#This Row],[JUMLAH]]*NOTA[[#This Row],[DISC 1]])</f>
        <v>15840</v>
      </c>
      <c r="Z424" s="50">
        <f>IF(NOTA[[#This Row],[JUMLAH]]="","",(NOTA[[#This Row],[JUMLAH]]-NOTA[[#This Row],[DISC 1-]])*NOTA[[#This Row],[DISC 2]])</f>
        <v>7128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22968</v>
      </c>
      <c r="AC424" s="50">
        <f>IF(NOTA[[#This Row],[JUMLAH]]="","",NOTA[[#This Row],[JUMLAH]]-NOTA[[#This Row],[DISC]])</f>
        <v>135432</v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4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G424" s="50">
        <f>IF(OR(NOTA[[#This Row],[QTY]]="",NOTA[[#This Row],[HARGA SATUAN]]="",),"",NOTA[[#This Row],[QTY]]*NOTA[[#This Row],[HARGA SATUAN]])</f>
        <v>158400</v>
      </c>
      <c r="AH424" s="39">
        <f ca="1">IF(NOTA[ID_H]="","",INDEX(NOTA[TANGGAL],MATCH(,INDIRECT(ADDRESS(ROW(NOTA[TANGGAL]),COLUMN(NOTA[TANGGAL]))&amp;":"&amp;ADDRESS(ROW(),COLUMN(NOTA[TANGGAL]))),-1)))</f>
        <v>45190</v>
      </c>
      <c r="AI424" s="41" t="str">
        <f ca="1">IF(NOTA[[#This Row],[NAMA BARANG]]="","",INDEX(NOTA[SUPPLIER],MATCH(,INDIRECT(ADDRESS(ROW(NOTA[ID]),COLUMN(NOTA[ID]))&amp;":"&amp;ADDRESS(ROW(),COLUMN(NOTA[ID]))),-1)))</f>
        <v>ATALI MAKMUR</v>
      </c>
      <c r="AJ424" s="41" t="str">
        <f ca="1">IF(NOTA[[#This Row],[ID_H]]="","",IF(NOTA[[#This Row],[FAKTUR]]="",INDIRECT(ADDRESS(ROW()-1,COLUMN())),NOTA[[#This Row],[FAKTUR]]))</f>
        <v>ARTO MORO</v>
      </c>
      <c r="AK424" s="38" t="str">
        <f ca="1">IF(NOTA[[#This Row],[ID]]="","",COUNTIF(NOTA[ID_H],NOTA[[#This Row],[ID_H]]))</f>
        <v/>
      </c>
      <c r="AL424" s="38">
        <f ca="1">IF(NOTA[[#This Row],[TGL.NOTA]]="",IF(NOTA[[#This Row],[SUPPLIER_H]]="","",AL423),MONTH(NOTA[[#This Row],[TGL.NOTA]]))</f>
        <v>9</v>
      </c>
      <c r="AM424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38" t="str">
        <f>IF(NOTA[[#This Row],[CONCAT4]]="","",_xlfn.IFNA(MATCH(NOTA[[#This Row],[CONCAT4]],[2]!RAW[CONCAT_H],0),FALSE))</f>
        <v/>
      </c>
      <c r="AR424" s="38">
        <f>IF(NOTA[[#This Row],[CONCAT1]]="","",MATCH(NOTA[[#This Row],[CONCAT1]],[3]!db[NB NOTA_C],0))</f>
        <v>101</v>
      </c>
      <c r="AS424" s="38" t="str">
        <f>IF(NOTA[[#This Row],[QTY/ CTN]]="","",TRUE)</f>
        <v/>
      </c>
      <c r="AT424" s="38" t="str">
        <f ca="1">IF(NOTA[[#This Row],[ID_H]]="","",IF(NOTA[[#This Row],[Column3]]=TRUE,NOTA[[#This Row],[QTY/ CTN]],INDEX([3]!db[QTY/ CTN],NOTA[[#This Row],[//DB]])))</f>
        <v>144 LSN</v>
      </c>
      <c r="AU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V424" s="38" t="e">
        <f ca="1">IF(NOTA[[#This Row],[ID_H]]="","",MATCH(NOTA[[#This Row],[NB NOTA_C_QTY]],[4]!db[NB NOTA_C_QTY+F],0))</f>
        <v>#REF!</v>
      </c>
      <c r="AW424" s="53">
        <f ca="1">IF(NOTA[[#This Row],[NB NOTA_C_QTY]]="","",ROW()-2)</f>
        <v>422</v>
      </c>
    </row>
    <row r="425" spans="1:49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72</v>
      </c>
      <c r="E425" s="46"/>
      <c r="F425" s="37"/>
      <c r="G425" s="37"/>
      <c r="H425" s="47"/>
      <c r="I425" s="37"/>
      <c r="J425" s="39"/>
      <c r="K425" s="37"/>
      <c r="L425" s="37" t="s">
        <v>397</v>
      </c>
      <c r="M425" s="40">
        <v>1</v>
      </c>
      <c r="N425" s="38">
        <v>500</v>
      </c>
      <c r="O425" s="37" t="s">
        <v>239</v>
      </c>
      <c r="P425" s="41">
        <v>3050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1525000</v>
      </c>
      <c r="Y425" s="50">
        <f>IF(NOTA[[#This Row],[JUMLAH]]="","",NOTA[[#This Row],[JUMLAH]]*NOTA[[#This Row],[DISC 1]])</f>
        <v>190625</v>
      </c>
      <c r="Z425" s="50">
        <f>IF(NOTA[[#This Row],[JUMLAH]]="","",(NOTA[[#This Row],[JUMLAH]]-NOTA[[#This Row],[DISC 1-]])*NOTA[[#This Row],[DISC 2]])</f>
        <v>66718.75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257343.75</v>
      </c>
      <c r="AC425" s="50">
        <f>IF(NOTA[[#This Row],[JUMLAH]]="","",NOTA[[#This Row],[JUMLAH]]-NOTA[[#This Row],[DISC]])</f>
        <v>1267656.25</v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5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425" s="50">
        <f>IF(OR(NOTA[[#This Row],[QTY]]="",NOTA[[#This Row],[HARGA SATUAN]]="",),"",NOTA[[#This Row],[QTY]]*NOTA[[#This Row],[HARGA SATUAN]])</f>
        <v>1525000</v>
      </c>
      <c r="AH425" s="39">
        <f ca="1">IF(NOTA[ID_H]="","",INDEX(NOTA[TANGGAL],MATCH(,INDIRECT(ADDRESS(ROW(NOTA[TANGGAL]),COLUMN(NOTA[TANGGAL]))&amp;":"&amp;ADDRESS(ROW(),COLUMN(NOTA[TANGGAL]))),-1)))</f>
        <v>45190</v>
      </c>
      <c r="AI425" s="41" t="str">
        <f ca="1">IF(NOTA[[#This Row],[NAMA BARANG]]="","",INDEX(NOTA[SUPPLIER],MATCH(,INDIRECT(ADDRESS(ROW(NOTA[ID]),COLUMN(NOTA[ID]))&amp;":"&amp;ADDRESS(ROW(),COLUMN(NOTA[ID]))),-1)))</f>
        <v>ATALI MAKMUR</v>
      </c>
      <c r="AJ425" s="41" t="str">
        <f ca="1">IF(NOTA[[#This Row],[ID_H]]="","",IF(NOTA[[#This Row],[FAKTUR]]="",INDIRECT(ADDRESS(ROW()-1,COLUMN())),NOTA[[#This Row],[FAKTUR]]))</f>
        <v>ARTO MORO</v>
      </c>
      <c r="AK425" s="38" t="str">
        <f ca="1">IF(NOTA[[#This Row],[ID]]="","",COUNTIF(NOTA[ID_H],NOTA[[#This Row],[ID_H]]))</f>
        <v/>
      </c>
      <c r="AL425" s="38">
        <f ca="1">IF(NOTA[[#This Row],[TGL.NOTA]]="",IF(NOTA[[#This Row],[SUPPLIER_H]]="","",AL424),MONTH(NOTA[[#This Row],[TGL.NOTA]]))</f>
        <v>9</v>
      </c>
      <c r="AM425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38" t="str">
        <f>IF(NOTA[[#This Row],[CONCAT4]]="","",_xlfn.IFNA(MATCH(NOTA[[#This Row],[CONCAT4]],[2]!RAW[CONCAT_H],0),FALSE))</f>
        <v/>
      </c>
      <c r="AR425" s="38">
        <f>IF(NOTA[[#This Row],[CONCAT1]]="","",MATCH(NOTA[[#This Row],[CONCAT1]],[3]!db[NB NOTA_C],0))</f>
        <v>1629</v>
      </c>
      <c r="AS425" s="38" t="str">
        <f>IF(NOTA[[#This Row],[QTY/ CTN]]="","",TRUE)</f>
        <v/>
      </c>
      <c r="AT425" s="38" t="str">
        <f ca="1">IF(NOTA[[#This Row],[ID_H]]="","",IF(NOTA[[#This Row],[Column3]]=TRUE,NOTA[[#This Row],[QTY/ CTN]],INDEX([3]!db[QTY/ CTN],NOTA[[#This Row],[//DB]])))</f>
        <v>50 PAK (10 ROL)</v>
      </c>
      <c r="AU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425" s="38" t="e">
        <f ca="1">IF(NOTA[[#This Row],[ID_H]]="","",MATCH(NOTA[[#This Row],[NB NOTA_C_QTY]],[4]!db[NB NOTA_C_QTY+F],0))</f>
        <v>#REF!</v>
      </c>
      <c r="AW425" s="53">
        <f ca="1">IF(NOTA[[#This Row],[NB NOTA_C_QTY]]="","",ROW()-2)</f>
        <v>423</v>
      </c>
    </row>
    <row r="426" spans="1:49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72</v>
      </c>
      <c r="E426" s="46"/>
      <c r="F426" s="37"/>
      <c r="G426" s="37"/>
      <c r="H426" s="47"/>
      <c r="I426" s="37"/>
      <c r="J426" s="39"/>
      <c r="K426" s="37"/>
      <c r="L426" s="37" t="s">
        <v>401</v>
      </c>
      <c r="M426" s="40">
        <v>1</v>
      </c>
      <c r="N426" s="38">
        <v>50</v>
      </c>
      <c r="O426" s="37" t="s">
        <v>183</v>
      </c>
      <c r="P426" s="41">
        <v>34100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1705000</v>
      </c>
      <c r="Y426" s="50">
        <f>IF(NOTA[[#This Row],[JUMLAH]]="","",NOTA[[#This Row],[JUMLAH]]*NOTA[[#This Row],[DISC 1]])</f>
        <v>213125</v>
      </c>
      <c r="Z426" s="50">
        <f>IF(NOTA[[#This Row],[JUMLAH]]="","",(NOTA[[#This Row],[JUMLAH]]-NOTA[[#This Row],[DISC 1-]])*NOTA[[#This Row],[DISC 2]])</f>
        <v>74593.75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287718.75</v>
      </c>
      <c r="AC426" s="50">
        <f>IF(NOTA[[#This Row],[JUMLAH]]="","",NOTA[[#This Row],[JUMLAH]]-NOTA[[#This Row],[DISC]])</f>
        <v>1417281.25</v>
      </c>
      <c r="AD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426" s="50">
        <f>IF(OR(NOTA[[#This Row],[QTY]]="",NOTA[[#This Row],[HARGA SATUAN]]="",),"",NOTA[[#This Row],[QTY]]*NOTA[[#This Row],[HARGA SATUAN]])</f>
        <v>1705000</v>
      </c>
      <c r="AH426" s="39">
        <f ca="1">IF(NOTA[ID_H]="","",INDEX(NOTA[TANGGAL],MATCH(,INDIRECT(ADDRESS(ROW(NOTA[TANGGAL]),COLUMN(NOTA[TANGGAL]))&amp;":"&amp;ADDRESS(ROW(),COLUMN(NOTA[TANGGAL]))),-1)))</f>
        <v>45190</v>
      </c>
      <c r="AI426" s="41" t="str">
        <f ca="1">IF(NOTA[[#This Row],[NAMA BARANG]]="","",INDEX(NOTA[SUPPLIER],MATCH(,INDIRECT(ADDRESS(ROW(NOTA[ID]),COLUMN(NOTA[ID]))&amp;":"&amp;ADDRESS(ROW(),COLUMN(NOTA[ID]))),-1)))</f>
        <v>ATALI MAKMUR</v>
      </c>
      <c r="AJ426" s="41" t="str">
        <f ca="1">IF(NOTA[[#This Row],[ID_H]]="","",IF(NOTA[[#This Row],[FAKTUR]]="",INDIRECT(ADDRESS(ROW()-1,COLUMN())),NOTA[[#This Row],[FAKTUR]]))</f>
        <v>ARTO MORO</v>
      </c>
      <c r="AK426" s="38" t="str">
        <f ca="1">IF(NOTA[[#This Row],[ID]]="","",COUNTIF(NOTA[ID_H],NOTA[[#This Row],[ID_H]]))</f>
        <v/>
      </c>
      <c r="AL426" s="38">
        <f ca="1">IF(NOTA[[#This Row],[TGL.NOTA]]="",IF(NOTA[[#This Row],[SUPPLIER_H]]="","",AL425),MONTH(NOTA[[#This Row],[TGL.NOTA]]))</f>
        <v>9</v>
      </c>
      <c r="AM426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N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38" t="str">
        <f>IF(NOTA[[#This Row],[CONCAT4]]="","",_xlfn.IFNA(MATCH(NOTA[[#This Row],[CONCAT4]],[2]!RAW[CONCAT_H],0),FALSE))</f>
        <v/>
      </c>
      <c r="AR426" s="38">
        <f>IF(NOTA[[#This Row],[CONCAT1]]="","",MATCH(NOTA[[#This Row],[CONCAT1]],[3]!db[NB NOTA_C],0))</f>
        <v>831</v>
      </c>
      <c r="AS426" s="38" t="str">
        <f>IF(NOTA[[#This Row],[QTY/ CTN]]="","",TRUE)</f>
        <v/>
      </c>
      <c r="AT426" s="38" t="str">
        <f ca="1">IF(NOTA[[#This Row],[ID_H]]="","",IF(NOTA[[#This Row],[Column3]]=TRUE,NOTA[[#This Row],[QTY/ CTN]],INDEX([3]!db[QTY/ CTN],NOTA[[#This Row],[//DB]])))</f>
        <v>50 BOX (20 PCS)</v>
      </c>
      <c r="AU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V426" s="38" t="e">
        <f ca="1">IF(NOTA[[#This Row],[ID_H]]="","",MATCH(NOTA[[#This Row],[NB NOTA_C_QTY]],[4]!db[NB NOTA_C_QTY+F],0))</f>
        <v>#REF!</v>
      </c>
      <c r="AW426" s="53">
        <f ca="1">IF(NOTA[[#This Row],[NB NOTA_C_QTY]]="","",ROW()-2)</f>
        <v>424</v>
      </c>
    </row>
    <row r="427" spans="1:49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72</v>
      </c>
      <c r="E427" s="46"/>
      <c r="F427" s="37"/>
      <c r="G427" s="37"/>
      <c r="H427" s="47"/>
      <c r="I427" s="37"/>
      <c r="J427" s="39"/>
      <c r="K427" s="37"/>
      <c r="L427" s="37" t="s">
        <v>540</v>
      </c>
      <c r="M427" s="40">
        <v>1</v>
      </c>
      <c r="N427" s="38">
        <v>50</v>
      </c>
      <c r="O427" s="37" t="s">
        <v>183</v>
      </c>
      <c r="P427" s="41">
        <v>34100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1705000</v>
      </c>
      <c r="Y427" s="50">
        <f>IF(NOTA[[#This Row],[JUMLAH]]="","",NOTA[[#This Row],[JUMLAH]]*NOTA[[#This Row],[DISC 1]])</f>
        <v>213125</v>
      </c>
      <c r="Z427" s="50">
        <f>IF(NOTA[[#This Row],[JUMLAH]]="","",(NOTA[[#This Row],[JUMLAH]]-NOTA[[#This Row],[DISC 1-]])*NOTA[[#This Row],[DISC 2]])</f>
        <v>74593.75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287718.75</v>
      </c>
      <c r="AC427" s="50">
        <f>IF(NOTA[[#This Row],[JUMLAH]]="","",NOTA[[#This Row],[JUMLAH]]-NOTA[[#This Row],[DISC]])</f>
        <v>1417281.25</v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G427" s="50">
        <f>IF(OR(NOTA[[#This Row],[QTY]]="",NOTA[[#This Row],[HARGA SATUAN]]="",),"",NOTA[[#This Row],[QTY]]*NOTA[[#This Row],[HARGA SATUAN]])</f>
        <v>1705000</v>
      </c>
      <c r="AH427" s="39">
        <f ca="1">IF(NOTA[ID_H]="","",INDEX(NOTA[TANGGAL],MATCH(,INDIRECT(ADDRESS(ROW(NOTA[TANGGAL]),COLUMN(NOTA[TANGGAL]))&amp;":"&amp;ADDRESS(ROW(),COLUMN(NOTA[TANGGAL]))),-1)))</f>
        <v>45190</v>
      </c>
      <c r="AI427" s="41" t="str">
        <f ca="1">IF(NOTA[[#This Row],[NAMA BARANG]]="","",INDEX(NOTA[SUPPLIER],MATCH(,INDIRECT(ADDRESS(ROW(NOTA[ID]),COLUMN(NOTA[ID]))&amp;":"&amp;ADDRESS(ROW(),COLUMN(NOTA[ID]))),-1)))</f>
        <v>ATALI MAKMUR</v>
      </c>
      <c r="AJ427" s="41" t="str">
        <f ca="1">IF(NOTA[[#This Row],[ID_H]]="","",IF(NOTA[[#This Row],[FAKTUR]]="",INDIRECT(ADDRESS(ROW()-1,COLUMN())),NOTA[[#This Row],[FAKTUR]]))</f>
        <v>ARTO MORO</v>
      </c>
      <c r="AK427" s="38" t="str">
        <f ca="1">IF(NOTA[[#This Row],[ID]]="","",COUNTIF(NOTA[ID_H],NOTA[[#This Row],[ID_H]]))</f>
        <v/>
      </c>
      <c r="AL427" s="38">
        <f ca="1">IF(NOTA[[#This Row],[TGL.NOTA]]="",IF(NOTA[[#This Row],[SUPPLIER_H]]="","",AL426),MONTH(NOTA[[#This Row],[TGL.NOTA]]))</f>
        <v>9</v>
      </c>
      <c r="AM42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N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38" t="str">
        <f>IF(NOTA[[#This Row],[CONCAT4]]="","",_xlfn.IFNA(MATCH(NOTA[[#This Row],[CONCAT4]],[2]!RAW[CONCAT_H],0),FALSE))</f>
        <v/>
      </c>
      <c r="AR427" s="38">
        <f>IF(NOTA[[#This Row],[CONCAT1]]="","",MATCH(NOTA[[#This Row],[CONCAT1]],[3]!db[NB NOTA_C],0))</f>
        <v>842</v>
      </c>
      <c r="AS427" s="38" t="str">
        <f>IF(NOTA[[#This Row],[QTY/ CTN]]="","",TRUE)</f>
        <v/>
      </c>
      <c r="AT427" s="38" t="str">
        <f ca="1">IF(NOTA[[#This Row],[ID_H]]="","",IF(NOTA[[#This Row],[Column3]]=TRUE,NOTA[[#This Row],[QTY/ CTN]],INDEX([3]!db[QTY/ CTN],NOTA[[#This Row],[//DB]])))</f>
        <v>50 BOX (20 PCS)</v>
      </c>
      <c r="AU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V427" s="38" t="e">
        <f ca="1">IF(NOTA[[#This Row],[ID_H]]="","",MATCH(NOTA[[#This Row],[NB NOTA_C_QTY]],[4]!db[NB NOTA_C_QTY+F],0))</f>
        <v>#REF!</v>
      </c>
      <c r="AW427" s="53">
        <f ca="1">IF(NOTA[[#This Row],[NB NOTA_C_QTY]]="","",ROW()-2)</f>
        <v>425</v>
      </c>
    </row>
    <row r="428" spans="1:49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72</v>
      </c>
      <c r="E428" s="46"/>
      <c r="F428" s="37"/>
      <c r="G428" s="37"/>
      <c r="H428" s="47"/>
      <c r="I428" s="37"/>
      <c r="J428" s="39"/>
      <c r="K428" s="37"/>
      <c r="L428" s="37" t="s">
        <v>227</v>
      </c>
      <c r="M428" s="40">
        <v>1</v>
      </c>
      <c r="N428" s="38">
        <v>768</v>
      </c>
      <c r="O428" s="37" t="s">
        <v>126</v>
      </c>
      <c r="P428" s="41">
        <v>2100</v>
      </c>
      <c r="Q428" s="42"/>
      <c r="R428" s="48"/>
      <c r="S428" s="49">
        <v>0.125</v>
      </c>
      <c r="T428" s="44">
        <v>0.05</v>
      </c>
      <c r="U428" s="44"/>
      <c r="V428" s="50">
        <v>135432</v>
      </c>
      <c r="W428" s="45"/>
      <c r="X428" s="50">
        <f>IF(NOTA[[#This Row],[HARGA/ CTN]]="",NOTA[[#This Row],[JUMLAH_H]],NOTA[[#This Row],[HARGA/ CTN]]*IF(NOTA[[#This Row],[C]]="",0,NOTA[[#This Row],[C]]))</f>
        <v>1612800</v>
      </c>
      <c r="Y428" s="50">
        <f>IF(NOTA[[#This Row],[JUMLAH]]="","",NOTA[[#This Row],[JUMLAH]]*NOTA[[#This Row],[DISC 1]])</f>
        <v>201600</v>
      </c>
      <c r="Z428" s="50">
        <f>IF(NOTA[[#This Row],[JUMLAH]]="","",(NOTA[[#This Row],[JUMLAH]]-NOTA[[#This Row],[DISC 1-]])*NOTA[[#This Row],[DISC 2]])</f>
        <v>70560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272160</v>
      </c>
      <c r="AC428" s="50">
        <f>IF(NOTA[[#This Row],[JUMLAH]]="","",NOTA[[#This Row],[JUMLAH]]-NOTA[[#This Row],[DISC]])</f>
        <v>1340640</v>
      </c>
      <c r="AD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2098046.25</v>
      </c>
      <c r="AE4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9554553.75</v>
      </c>
      <c r="AF428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G428" s="50">
        <f>IF(OR(NOTA[[#This Row],[QTY]]="",NOTA[[#This Row],[HARGA SATUAN]]="",),"",NOTA[[#This Row],[QTY]]*NOTA[[#This Row],[HARGA SATUAN]])</f>
        <v>1612800</v>
      </c>
      <c r="AH428" s="39">
        <f ca="1">IF(NOTA[ID_H]="","",INDEX(NOTA[TANGGAL],MATCH(,INDIRECT(ADDRESS(ROW(NOTA[TANGGAL]),COLUMN(NOTA[TANGGAL]))&amp;":"&amp;ADDRESS(ROW(),COLUMN(NOTA[TANGGAL]))),-1)))</f>
        <v>45190</v>
      </c>
      <c r="AI428" s="41" t="str">
        <f ca="1">IF(NOTA[[#This Row],[NAMA BARANG]]="","",INDEX(NOTA[SUPPLIER],MATCH(,INDIRECT(ADDRESS(ROW(NOTA[ID]),COLUMN(NOTA[ID]))&amp;":"&amp;ADDRESS(ROW(),COLUMN(NOTA[ID]))),-1)))</f>
        <v>ATALI MAKMUR</v>
      </c>
      <c r="AJ428" s="41" t="str">
        <f ca="1">IF(NOTA[[#This Row],[ID_H]]="","",IF(NOTA[[#This Row],[FAKTUR]]="",INDIRECT(ADDRESS(ROW()-1,COLUMN())),NOTA[[#This Row],[FAKTUR]]))</f>
        <v>ARTO MORO</v>
      </c>
      <c r="AK428" s="38" t="str">
        <f ca="1">IF(NOTA[[#This Row],[ID]]="","",COUNTIF(NOTA[ID_H],NOTA[[#This Row],[ID_H]]))</f>
        <v/>
      </c>
      <c r="AL428" s="38">
        <f ca="1">IF(NOTA[[#This Row],[TGL.NOTA]]="",IF(NOTA[[#This Row],[SUPPLIER_H]]="","",AL427),MONTH(NOTA[[#This Row],[TGL.NOTA]]))</f>
        <v>9</v>
      </c>
      <c r="AM428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38" t="str">
        <f>IF(NOTA[[#This Row],[CONCAT4]]="","",_xlfn.IFNA(MATCH(NOTA[[#This Row],[CONCAT4]],[2]!RAW[CONCAT_H],0),FALSE))</f>
        <v/>
      </c>
      <c r="AR428" s="38">
        <f>IF(NOTA[[#This Row],[CONCAT1]]="","",MATCH(NOTA[[#This Row],[CONCAT1]],[3]!db[NB NOTA_C],0))</f>
        <v>1135</v>
      </c>
      <c r="AS428" s="38" t="str">
        <f>IF(NOTA[[#This Row],[QTY/ CTN]]="","",TRUE)</f>
        <v/>
      </c>
      <c r="AT428" s="38" t="str">
        <f ca="1">IF(NOTA[[#This Row],[ID_H]]="","",IF(NOTA[[#This Row],[Column3]]=TRUE,NOTA[[#This Row],[QTY/ CTN]],INDEX([3]!db[QTY/ CTN],NOTA[[#This Row],[//DB]])))</f>
        <v>64 LSN</v>
      </c>
      <c r="AU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428" s="38" t="e">
        <f ca="1">IF(NOTA[[#This Row],[ID_H]]="","",MATCH(NOTA[[#This Row],[NB NOTA_C_QTY]],[4]!db[NB NOTA_C_QTY+F],0))</f>
        <v>#REF!</v>
      </c>
      <c r="AW428" s="53">
        <f ca="1">IF(NOTA[[#This Row],[NB NOTA_C_QTY]]="","",ROW()-2)</f>
        <v>426</v>
      </c>
    </row>
    <row r="429" spans="1:49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54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29" s="50" t="str">
        <f>IF(OR(NOTA[[#This Row],[QTY]]="",NOTA[[#This Row],[HARGA SATUAN]]="",),"",NOTA[[#This Row],[QTY]]*NOTA[[#This Row],[HARGA SATUAN]])</f>
        <v/>
      </c>
      <c r="AH429" s="39" t="str">
        <f ca="1">IF(NOTA[ID_H]="","",INDEX(NOTA[TANGGAL],MATCH(,INDIRECT(ADDRESS(ROW(NOTA[TANGGAL]),COLUMN(NOTA[TANGGAL]))&amp;":"&amp;ADDRESS(ROW(),COLUMN(NOTA[TANGGAL]))),-1)))</f>
        <v/>
      </c>
      <c r="AI429" s="41" t="str">
        <f ca="1">IF(NOTA[[#This Row],[NAMA BARANG]]="","",INDEX(NOTA[SUPPLIER],MATCH(,INDIRECT(ADDRESS(ROW(NOTA[ID]),COLUMN(NOTA[ID]))&amp;":"&amp;ADDRESS(ROW(),COLUMN(NOTA[ID]))),-1)))</f>
        <v/>
      </c>
      <c r="AJ429" s="41" t="str">
        <f ca="1">IF(NOTA[[#This Row],[ID_H]]="","",IF(NOTA[[#This Row],[FAKTUR]]="",INDIRECT(ADDRESS(ROW()-1,COLUMN())),NOTA[[#This Row],[FAKTUR]]))</f>
        <v/>
      </c>
      <c r="AK429" s="38" t="str">
        <f ca="1">IF(NOTA[[#This Row],[ID]]="","",COUNTIF(NOTA[ID_H],NOTA[[#This Row],[ID_H]]))</f>
        <v/>
      </c>
      <c r="AL429" s="38" t="str">
        <f ca="1">IF(NOTA[[#This Row],[TGL.NOTA]]="",IF(NOTA[[#This Row],[SUPPLIER_H]]="","",AL428),MONTH(NOTA[[#This Row],[TGL.NOTA]]))</f>
        <v/>
      </c>
      <c r="AM429" s="38" t="str">
        <f>LOWER(SUBSTITUTE(SUBSTITUTE(SUBSTITUTE(SUBSTITUTE(SUBSTITUTE(SUBSTITUTE(SUBSTITUTE(SUBSTITUTE(SUBSTITUTE(NOTA[NAMA BARANG]," ",),".",""),"-",""),"(",""),")",""),",",""),"/",""),"""",""),"+",""))</f>
        <v/>
      </c>
      <c r="AN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38" t="str">
        <f>IF(NOTA[[#This Row],[CONCAT4]]="","",_xlfn.IFNA(MATCH(NOTA[[#This Row],[CONCAT4]],[2]!RAW[CONCAT_H],0),FALSE))</f>
        <v/>
      </c>
      <c r="AR429" s="38" t="str">
        <f>IF(NOTA[[#This Row],[CONCAT1]]="","",MATCH(NOTA[[#This Row],[CONCAT1]],[3]!db[NB NOTA_C],0))</f>
        <v/>
      </c>
      <c r="AS429" s="38" t="str">
        <f>IF(NOTA[[#This Row],[QTY/ CTN]]="","",TRUE)</f>
        <v/>
      </c>
      <c r="AT429" s="38" t="str">
        <f ca="1">IF(NOTA[[#This Row],[ID_H]]="","",IF(NOTA[[#This Row],[Column3]]=TRUE,NOTA[[#This Row],[QTY/ CTN]],INDEX([3]!db[QTY/ CTN],NOTA[[#This Row],[//DB]])))</f>
        <v/>
      </c>
      <c r="AU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29" s="38" t="str">
        <f ca="1">IF(NOTA[[#This Row],[ID_H]]="","",MATCH(NOTA[[#This Row],[NB NOTA_C_QTY]],[4]!db[NB NOTA_C_QTY+F],0))</f>
        <v/>
      </c>
      <c r="AW429" s="53" t="str">
        <f ca="1">IF(NOTA[[#This Row],[NB NOTA_C_QTY]]="","",ROW()-2)</f>
        <v/>
      </c>
    </row>
    <row r="430" spans="1:49" s="38" customFormat="1" ht="20.100000000000001" customHeight="1" x14ac:dyDescent="0.25">
      <c r="A430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KEN_2109_564-2</v>
      </c>
      <c r="C430" s="38" t="e">
        <f ca="1">IF(NOTA[[#This Row],[ID_P]]="","",MATCH(NOTA[[#This Row],[ID_P]],[1]!B_MSK[N_ID],0))</f>
        <v>#REF!</v>
      </c>
      <c r="D430" s="38">
        <f ca="1">IF(NOTA[[#This Row],[NAMA BARANG]]="","",INDEX(NOTA[ID],MATCH(,INDIRECT(ADDRESS(ROW(NOTA[ID]),COLUMN(NOTA[ID]))&amp;":"&amp;ADDRESS(ROW(),COLUMN(NOTA[ID]))),-1)))</f>
        <v>73</v>
      </c>
      <c r="E430" s="46">
        <v>45190</v>
      </c>
      <c r="F430" s="37" t="s">
        <v>22</v>
      </c>
      <c r="G430" s="37" t="s">
        <v>23</v>
      </c>
      <c r="H430" s="47" t="s">
        <v>541</v>
      </c>
      <c r="I430" s="37"/>
      <c r="J430" s="39">
        <v>45187</v>
      </c>
      <c r="K430" s="37"/>
      <c r="L430" s="37" t="s">
        <v>187</v>
      </c>
      <c r="M430" s="40">
        <v>1</v>
      </c>
      <c r="O430" s="37"/>
      <c r="P430" s="41"/>
      <c r="Q430" s="42">
        <v>1069200</v>
      </c>
      <c r="R430" s="48"/>
      <c r="S430" s="49">
        <v>0.17</v>
      </c>
      <c r="T430" s="44"/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1069200</v>
      </c>
      <c r="Y430" s="50">
        <f>IF(NOTA[[#This Row],[JUMLAH]]="","",NOTA[[#This Row],[JUMLAH]]*NOTA[[#This Row],[DISC 1]])</f>
        <v>181764</v>
      </c>
      <c r="Z430" s="50">
        <f>IF(NOTA[[#This Row],[JUMLAH]]="","",(NOTA[[#This Row],[JUMLAH]]-NOTA[[#This Row],[DISC 1-]])*NOTA[[#This Row],[DISC 2]])</f>
        <v>0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181764</v>
      </c>
      <c r="AC430" s="50">
        <f>IF(NOTA[[#This Row],[JUMLAH]]="","",NOTA[[#This Row],[JUMLAH]]-NOTA[[#This Row],[DISC]])</f>
        <v>887436</v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0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G430" s="50" t="str">
        <f>IF(OR(NOTA[[#This Row],[QTY]]="",NOTA[[#This Row],[HARGA SATUAN]]="",),"",NOTA[[#This Row],[QTY]]*NOTA[[#This Row],[HARGA SATUAN]])</f>
        <v/>
      </c>
      <c r="AH430" s="39">
        <f ca="1">IF(NOTA[ID_H]="","",INDEX(NOTA[TANGGAL],MATCH(,INDIRECT(ADDRESS(ROW(NOTA[TANGGAL]),COLUMN(NOTA[TANGGAL]))&amp;":"&amp;ADDRESS(ROW(),COLUMN(NOTA[TANGGAL]))),-1)))</f>
        <v>45190</v>
      </c>
      <c r="AI430" s="41" t="str">
        <f ca="1">IF(NOTA[[#This Row],[NAMA BARANG]]="","",INDEX(NOTA[SUPPLIER],MATCH(,INDIRECT(ADDRESS(ROW(NOTA[ID]),COLUMN(NOTA[ID]))&amp;":"&amp;ADDRESS(ROW(),COLUMN(NOTA[ID]))),-1)))</f>
        <v>KENKO SINAR INDONESIA</v>
      </c>
      <c r="AJ430" s="41" t="str">
        <f ca="1">IF(NOTA[[#This Row],[ID_H]]="","",IF(NOTA[[#This Row],[FAKTUR]]="",INDIRECT(ADDRESS(ROW()-1,COLUMN())),NOTA[[#This Row],[FAKTUR]]))</f>
        <v>ARTO MORO</v>
      </c>
      <c r="AK430" s="38">
        <f ca="1">IF(NOTA[[#This Row],[ID]]="","",COUNTIF(NOTA[ID_H],NOTA[[#This Row],[ID_H]]))</f>
        <v>2</v>
      </c>
      <c r="AL430" s="38">
        <f>IF(NOTA[[#This Row],[TGL.NOTA]]="",IF(NOTA[[#This Row],[SUPPLIER_H]]="","",AL429),MONTH(NOTA[[#This Row],[TGL.NOTA]]))</f>
        <v>9</v>
      </c>
      <c r="AM430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N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O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P4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MORO2309156445187kenkostamppadno0</v>
      </c>
      <c r="AQ430" s="38" t="e">
        <f>IF(NOTA[[#This Row],[CONCAT4]]="","",_xlfn.IFNA(MATCH(NOTA[[#This Row],[CONCAT4]],[2]!RAW[CONCAT_H],0),FALSE))</f>
        <v>#REF!</v>
      </c>
      <c r="AR430" s="38">
        <f>IF(NOTA[[#This Row],[CONCAT1]]="","",MATCH(NOTA[[#This Row],[CONCAT1]],[3]!db[NB NOTA_C],0))</f>
        <v>1554</v>
      </c>
      <c r="AS430" s="38" t="str">
        <f>IF(NOTA[[#This Row],[QTY/ CTN]]="","",TRUE)</f>
        <v/>
      </c>
      <c r="AT430" s="38" t="str">
        <f ca="1">IF(NOTA[[#This Row],[ID_H]]="","",IF(NOTA[[#This Row],[Column3]]=TRUE,NOTA[[#This Row],[QTY/ CTN]],INDEX([3]!db[QTY/ CTN],NOTA[[#This Row],[//DB]])))</f>
        <v>18 LSN</v>
      </c>
      <c r="AU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V430" s="38" t="e">
        <f ca="1">IF(NOTA[[#This Row],[ID_H]]="","",MATCH(NOTA[[#This Row],[NB NOTA_C_QTY]],[4]!db[NB NOTA_C_QTY+F],0))</f>
        <v>#REF!</v>
      </c>
      <c r="AW430" s="53">
        <f ca="1">IF(NOTA[[#This Row],[NB NOTA_C_QTY]]="","",ROW()-2)</f>
        <v>428</v>
      </c>
    </row>
    <row r="431" spans="1:49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73</v>
      </c>
      <c r="E431" s="46"/>
      <c r="F431" s="37"/>
      <c r="G431" s="37"/>
      <c r="H431" s="47"/>
      <c r="I431" s="37"/>
      <c r="J431" s="39"/>
      <c r="K431" s="37"/>
      <c r="L431" s="37" t="s">
        <v>542</v>
      </c>
      <c r="M431" s="40">
        <v>2</v>
      </c>
      <c r="O431" s="37"/>
      <c r="P431" s="41"/>
      <c r="Q431" s="42">
        <v>5616000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11232000</v>
      </c>
      <c r="Y431" s="50">
        <f>IF(NOTA[[#This Row],[JUMLAH]]="","",NOTA[[#This Row],[JUMLAH]]*NOTA[[#This Row],[DISC 1]])</f>
        <v>1909440.0000000002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1909440.0000000002</v>
      </c>
      <c r="AC431" s="50">
        <f>IF(NOTA[[#This Row],[JUMLAH]]="","",NOTA[[#This Row],[JUMLAH]]-NOTA[[#This Row],[DISC]])</f>
        <v>9322560</v>
      </c>
      <c r="AD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2091204.0000000002</v>
      </c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10209996</v>
      </c>
      <c r="AF431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431" s="50" t="str">
        <f>IF(OR(NOTA[[#This Row],[QTY]]="",NOTA[[#This Row],[HARGA SATUAN]]="",),"",NOTA[[#This Row],[QTY]]*NOTA[[#This Row],[HARGA SATUAN]])</f>
        <v/>
      </c>
      <c r="AH431" s="39">
        <f ca="1">IF(NOTA[ID_H]="","",INDEX(NOTA[TANGGAL],MATCH(,INDIRECT(ADDRESS(ROW(NOTA[TANGGAL]),COLUMN(NOTA[TANGGAL]))&amp;":"&amp;ADDRESS(ROW(),COLUMN(NOTA[TANGGAL]))),-1)))</f>
        <v>45190</v>
      </c>
      <c r="AI431" s="41" t="str">
        <f ca="1">IF(NOTA[[#This Row],[NAMA BARANG]]="","",INDEX(NOTA[SUPPLIER],MATCH(,INDIRECT(ADDRESS(ROW(NOTA[ID]),COLUMN(NOTA[ID]))&amp;":"&amp;ADDRESS(ROW(),COLUMN(NOTA[ID]))),-1)))</f>
        <v>KENKO SINAR INDONESIA</v>
      </c>
      <c r="AJ431" s="41" t="str">
        <f ca="1">IF(NOTA[[#This Row],[ID_H]]="","",IF(NOTA[[#This Row],[FAKTUR]]="",INDIRECT(ADDRESS(ROW()-1,COLUMN())),NOTA[[#This Row],[FAKTUR]]))</f>
        <v>ARTO MORO</v>
      </c>
      <c r="AK431" s="38" t="str">
        <f ca="1">IF(NOTA[[#This Row],[ID]]="","",COUNTIF(NOTA[ID_H],NOTA[[#This Row],[ID_H]]))</f>
        <v/>
      </c>
      <c r="AL431" s="38">
        <f ca="1">IF(NOTA[[#This Row],[TGL.NOTA]]="",IF(NOTA[[#This Row],[SUPPLIER_H]]="","",AL430),MONTH(NOTA[[#This Row],[TGL.NOTA]]))</f>
        <v>9</v>
      </c>
      <c r="AM431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38" t="str">
        <f>IF(NOTA[[#This Row],[CONCAT4]]="","",_xlfn.IFNA(MATCH(NOTA[[#This Row],[CONCAT4]],[2]!RAW[CONCAT_H],0),FALSE))</f>
        <v/>
      </c>
      <c r="AR431" s="38">
        <f>IF(NOTA[[#This Row],[CONCAT1]]="","",MATCH(NOTA[[#This Row],[CONCAT1]],[3]!db[NB NOTA_C],0))</f>
        <v>1406</v>
      </c>
      <c r="AS431" s="38" t="str">
        <f>IF(NOTA[[#This Row],[QTY/ CTN]]="","",TRUE)</f>
        <v/>
      </c>
      <c r="AT431" s="38" t="str">
        <f ca="1">IF(NOTA[[#This Row],[ID_H]]="","",IF(NOTA[[#This Row],[Column3]]=TRUE,NOTA[[#This Row],[QTY/ CTN]],INDEX([3]!db[QTY/ CTN],NOTA[[#This Row],[//DB]])))</f>
        <v>144 LSN</v>
      </c>
      <c r="AU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431" s="38" t="e">
        <f ca="1">IF(NOTA[[#This Row],[ID_H]]="","",MATCH(NOTA[[#This Row],[NB NOTA_C_QTY]],[4]!db[NB NOTA_C_QTY+F],0))</f>
        <v>#REF!</v>
      </c>
      <c r="AW431" s="53">
        <f ca="1">IF(NOTA[[#This Row],[NB NOTA_C_QTY]]="","",ROW()-2)</f>
        <v>429</v>
      </c>
    </row>
    <row r="432" spans="1:49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32" s="50" t="str">
        <f>IF(OR(NOTA[[#This Row],[QTY]]="",NOTA[[#This Row],[HARGA SATUAN]]="",),"",NOTA[[#This Row],[QTY]]*NOTA[[#This Row],[HARGA SATUAN]])</f>
        <v/>
      </c>
      <c r="AH432" s="39" t="str">
        <f ca="1">IF(NOTA[ID_H]="","",INDEX(NOTA[TANGGAL],MATCH(,INDIRECT(ADDRESS(ROW(NOTA[TANGGAL]),COLUMN(NOTA[TANGGAL]))&amp;":"&amp;ADDRESS(ROW(),COLUMN(NOTA[TANGGAL]))),-1)))</f>
        <v/>
      </c>
      <c r="AI432" s="41" t="str">
        <f ca="1">IF(NOTA[[#This Row],[NAMA BARANG]]="","",INDEX(NOTA[SUPPLIER],MATCH(,INDIRECT(ADDRESS(ROW(NOTA[ID]),COLUMN(NOTA[ID]))&amp;":"&amp;ADDRESS(ROW(),COLUMN(NOTA[ID]))),-1)))</f>
        <v/>
      </c>
      <c r="AJ432" s="41" t="str">
        <f ca="1">IF(NOTA[[#This Row],[ID_H]]="","",IF(NOTA[[#This Row],[FAKTUR]]="",INDIRECT(ADDRESS(ROW()-1,COLUMN())),NOTA[[#This Row],[FAKTUR]]))</f>
        <v/>
      </c>
      <c r="AK432" s="38" t="str">
        <f ca="1">IF(NOTA[[#This Row],[ID]]="","",COUNTIF(NOTA[ID_H],NOTA[[#This Row],[ID_H]]))</f>
        <v/>
      </c>
      <c r="AL432" s="38" t="str">
        <f ca="1">IF(NOTA[[#This Row],[TGL.NOTA]]="",IF(NOTA[[#This Row],[SUPPLIER_H]]="","",AL431),MONTH(NOTA[[#This Row],[TGL.NOTA]]))</f>
        <v/>
      </c>
      <c r="AM432" s="38" t="str">
        <f>LOWER(SUBSTITUTE(SUBSTITUTE(SUBSTITUTE(SUBSTITUTE(SUBSTITUTE(SUBSTITUTE(SUBSTITUTE(SUBSTITUTE(SUBSTITUTE(NOTA[NAMA BARANG]," ",),".",""),"-",""),"(",""),")",""),",",""),"/",""),"""",""),"+",""))</f>
        <v/>
      </c>
      <c r="AN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38" t="str">
        <f>IF(NOTA[[#This Row],[CONCAT4]]="","",_xlfn.IFNA(MATCH(NOTA[[#This Row],[CONCAT4]],[2]!RAW[CONCAT_H],0),FALSE))</f>
        <v/>
      </c>
      <c r="AR432" s="38" t="str">
        <f>IF(NOTA[[#This Row],[CONCAT1]]="","",MATCH(NOTA[[#This Row],[CONCAT1]],[3]!db[NB NOTA_C],0))</f>
        <v/>
      </c>
      <c r="AS432" s="38" t="str">
        <f>IF(NOTA[[#This Row],[QTY/ CTN]]="","",TRUE)</f>
        <v/>
      </c>
      <c r="AT432" s="38" t="str">
        <f ca="1">IF(NOTA[[#This Row],[ID_H]]="","",IF(NOTA[[#This Row],[Column3]]=TRUE,NOTA[[#This Row],[QTY/ CTN]],INDEX([3]!db[QTY/ CTN],NOTA[[#This Row],[//DB]])))</f>
        <v/>
      </c>
      <c r="AU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32" s="38" t="str">
        <f ca="1">IF(NOTA[[#This Row],[ID_H]]="","",MATCH(NOTA[[#This Row],[NB NOTA_C_QTY]],[4]!db[NB NOTA_C_QTY+F],0))</f>
        <v/>
      </c>
      <c r="AW432" s="53" t="str">
        <f ca="1">IF(NOTA[[#This Row],[NB NOTA_C_QTY]]="","",ROW()-2)</f>
        <v/>
      </c>
    </row>
    <row r="433" spans="1:49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KEN_2109_884-4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74</v>
      </c>
      <c r="E433" s="46" t="s">
        <v>549</v>
      </c>
      <c r="F433" s="37" t="s">
        <v>22</v>
      </c>
      <c r="G433" s="37" t="s">
        <v>23</v>
      </c>
      <c r="H433" s="47" t="s">
        <v>550</v>
      </c>
      <c r="I433" s="37"/>
      <c r="J433" s="39">
        <v>45190</v>
      </c>
      <c r="K433" s="37"/>
      <c r="L433" s="54" t="s">
        <v>553</v>
      </c>
      <c r="M433" s="40">
        <v>2</v>
      </c>
      <c r="O433" s="37"/>
      <c r="P433" s="41"/>
      <c r="Q433" s="42">
        <v>1710000</v>
      </c>
      <c r="R433" s="48"/>
      <c r="S433" s="49">
        <v>0.17</v>
      </c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3420000</v>
      </c>
      <c r="Y433" s="50">
        <f>IF(NOTA[[#This Row],[JUMLAH]]="","",NOTA[[#This Row],[JUMLAH]]*NOTA[[#This Row],[DISC 1]])</f>
        <v>581400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581400</v>
      </c>
      <c r="AC433" s="50">
        <f>IF(NOTA[[#This Row],[JUMLAH]]="","",NOTA[[#This Row],[JUMLAH]]-NOTA[[#This Row],[DISC]])</f>
        <v>2838600</v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3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433" s="50" t="str">
        <f>IF(OR(NOTA[[#This Row],[QTY]]="",NOTA[[#This Row],[HARGA SATUAN]]="",),"",NOTA[[#This Row],[QTY]]*NOTA[[#This Row],[HARGA SATUAN]])</f>
        <v/>
      </c>
      <c r="AH433" s="39">
        <f ca="1">IF(NOTA[ID_H]="","",INDEX(NOTA[TANGGAL],MATCH(,INDIRECT(ADDRESS(ROW(NOTA[TANGGAL]),COLUMN(NOTA[TANGGAL]))&amp;":"&amp;ADDRESS(ROW(),COLUMN(NOTA[TANGGAL]))),-1)))</f>
        <v>45190</v>
      </c>
      <c r="AI433" s="41" t="str">
        <f ca="1">IF(NOTA[[#This Row],[NAMA BARANG]]="","",INDEX(NOTA[SUPPLIER],MATCH(,INDIRECT(ADDRESS(ROW(NOTA[ID]),COLUMN(NOTA[ID]))&amp;":"&amp;ADDRESS(ROW(),COLUMN(NOTA[ID]))),-1)))</f>
        <v>KENKO SINAR INDONESIA</v>
      </c>
      <c r="AJ433" s="41" t="str">
        <f ca="1">IF(NOTA[[#This Row],[ID_H]]="","",IF(NOTA[[#This Row],[FAKTUR]]="",INDIRECT(ADDRESS(ROW()-1,COLUMN())),NOTA[[#This Row],[FAKTUR]]))</f>
        <v>ARTO MORO</v>
      </c>
      <c r="AK433" s="38">
        <f ca="1">IF(NOTA[[#This Row],[ID]]="","",COUNTIF(NOTA[ID_H],NOTA[[#This Row],[ID_H]]))</f>
        <v>4</v>
      </c>
      <c r="AL433" s="38">
        <f>IF(NOTA[[#This Row],[TGL.NOTA]]="",IF(NOTA[[#This Row],[SUPPLIER_H]]="","",AL431),MONTH(NOTA[[#This Row],[TGL.NOTA]]))</f>
        <v>9</v>
      </c>
      <c r="AM433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N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O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P4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MORO2309188445190kenkocuttera3009mmblade</v>
      </c>
      <c r="AQ433" s="38" t="e">
        <f>IF(NOTA[[#This Row],[CONCAT4]]="","",_xlfn.IFNA(MATCH(NOTA[[#This Row],[CONCAT4]],[2]!RAW[CONCAT_H],0),FALSE))</f>
        <v>#REF!</v>
      </c>
      <c r="AR433" s="38">
        <f>IF(NOTA[[#This Row],[CONCAT1]]="","",MATCH(NOTA[[#This Row],[CONCAT1]],[3]!db[NB NOTA_C],0))</f>
        <v>1380</v>
      </c>
      <c r="AS433" s="38" t="str">
        <f>IF(NOTA[[#This Row],[QTY/ CTN]]="","",TRUE)</f>
        <v/>
      </c>
      <c r="AT433" s="38" t="str">
        <f ca="1">IF(NOTA[[#This Row],[ID_H]]="","",IF(NOTA[[#This Row],[Column3]]=TRUE,NOTA[[#This Row],[QTY/ CTN]],INDEX([3]!db[QTY/ CTN],NOTA[[#This Row],[//DB]])))</f>
        <v>30 LSN</v>
      </c>
      <c r="AU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V433" s="38" t="e">
        <f ca="1">IF(NOTA[[#This Row],[ID_H]]="","",MATCH(NOTA[[#This Row],[NB NOTA_C_QTY]],[4]!db[NB NOTA_C_QTY+F],0))</f>
        <v>#REF!</v>
      </c>
      <c r="AW433" s="53">
        <f ca="1">IF(NOTA[[#This Row],[NB NOTA_C_QTY]]="","",ROW()-2)</f>
        <v>431</v>
      </c>
    </row>
    <row r="434" spans="1:49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74</v>
      </c>
      <c r="E434" s="46"/>
      <c r="F434" s="37"/>
      <c r="G434" s="37"/>
      <c r="H434" s="47"/>
      <c r="I434" s="37"/>
      <c r="J434" s="39"/>
      <c r="K434" s="37"/>
      <c r="L434" s="37" t="s">
        <v>551</v>
      </c>
      <c r="M434" s="40">
        <v>2</v>
      </c>
      <c r="O434" s="37"/>
      <c r="P434" s="41"/>
      <c r="Q434" s="42">
        <v>1548000</v>
      </c>
      <c r="R434" s="48"/>
      <c r="S434" s="49">
        <v>0.17</v>
      </c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3096000</v>
      </c>
      <c r="Y434" s="50">
        <f>IF(NOTA[[#This Row],[JUMLAH]]="","",NOTA[[#This Row],[JUMLAH]]*NOTA[[#This Row],[DISC 1]])</f>
        <v>526320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526320</v>
      </c>
      <c r="AC434" s="50">
        <f>IF(NOTA[[#This Row],[JUMLAH]]="","",NOTA[[#This Row],[JUMLAH]]-NOTA[[#This Row],[DISC]])</f>
        <v>2569680</v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4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G434" s="50" t="str">
        <f>IF(OR(NOTA[[#This Row],[QTY]]="",NOTA[[#This Row],[HARGA SATUAN]]="",),"",NOTA[[#This Row],[QTY]]*NOTA[[#This Row],[HARGA SATUAN]])</f>
        <v/>
      </c>
      <c r="AH434" s="39">
        <f ca="1">IF(NOTA[ID_H]="","",INDEX(NOTA[TANGGAL],MATCH(,INDIRECT(ADDRESS(ROW(NOTA[TANGGAL]),COLUMN(NOTA[TANGGAL]))&amp;":"&amp;ADDRESS(ROW(),COLUMN(NOTA[TANGGAL]))),-1)))</f>
        <v>45190</v>
      </c>
      <c r="AI434" s="41" t="str">
        <f ca="1">IF(NOTA[[#This Row],[NAMA BARANG]]="","",INDEX(NOTA[SUPPLIER],MATCH(,INDIRECT(ADDRESS(ROW(NOTA[ID]),COLUMN(NOTA[ID]))&amp;":"&amp;ADDRESS(ROW(),COLUMN(NOTA[ID]))),-1)))</f>
        <v>KENKO SINAR INDONESIA</v>
      </c>
      <c r="AJ434" s="41" t="str">
        <f ca="1">IF(NOTA[[#This Row],[ID_H]]="","",IF(NOTA[[#This Row],[FAKTUR]]="",INDIRECT(ADDRESS(ROW()-1,COLUMN())),NOTA[[#This Row],[FAKTUR]]))</f>
        <v>ARTO MORO</v>
      </c>
      <c r="AK434" s="38" t="str">
        <f ca="1">IF(NOTA[[#This Row],[ID]]="","",COUNTIF(NOTA[ID_H],NOTA[[#This Row],[ID_H]]))</f>
        <v/>
      </c>
      <c r="AL434" s="38">
        <f ca="1">IF(NOTA[[#This Row],[TGL.NOTA]]="",IF(NOTA[[#This Row],[SUPPLIER_H]]="","",AL433),MONTH(NOTA[[#This Row],[TGL.NOTA]]))</f>
        <v>9</v>
      </c>
      <c r="AM434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38" t="str">
        <f>IF(NOTA[[#This Row],[CONCAT4]]="","",_xlfn.IFNA(MATCH(NOTA[[#This Row],[CONCAT4]],[2]!RAW[CONCAT_H],0),FALSE))</f>
        <v/>
      </c>
      <c r="AR434" s="38">
        <f>IF(NOTA[[#This Row],[CONCAT1]]="","",MATCH(NOTA[[#This Row],[CONCAT1]],[3]!db[NB NOTA_C],0))</f>
        <v>1289</v>
      </c>
      <c r="AS434" s="38" t="str">
        <f>IF(NOTA[[#This Row],[QTY/ CTN]]="","",TRUE)</f>
        <v/>
      </c>
      <c r="AT434" s="38" t="str">
        <f ca="1">IF(NOTA[[#This Row],[ID_H]]="","",IF(NOTA[[#This Row],[Column3]]=TRUE,NOTA[[#This Row],[QTY/ CTN]],INDEX([3]!db[QTY/ CTN],NOTA[[#This Row],[//DB]])))</f>
        <v>72 BOX (6 PCS)</v>
      </c>
      <c r="AU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V434" s="38" t="e">
        <f ca="1">IF(NOTA[[#This Row],[ID_H]]="","",MATCH(NOTA[[#This Row],[NB NOTA_C_QTY]],[4]!db[NB NOTA_C_QTY+F],0))</f>
        <v>#REF!</v>
      </c>
      <c r="AW434" s="53">
        <f ca="1">IF(NOTA[[#This Row],[NB NOTA_C_QTY]]="","",ROW()-2)</f>
        <v>432</v>
      </c>
    </row>
    <row r="435" spans="1:49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74</v>
      </c>
      <c r="E435" s="46"/>
      <c r="F435" s="37"/>
      <c r="G435" s="37"/>
      <c r="H435" s="47"/>
      <c r="I435" s="37"/>
      <c r="J435" s="39"/>
      <c r="K435" s="37"/>
      <c r="L435" s="37" t="s">
        <v>552</v>
      </c>
      <c r="M435" s="40">
        <v>1</v>
      </c>
      <c r="O435" s="37"/>
      <c r="P435" s="41"/>
      <c r="Q435" s="42">
        <v>2995200</v>
      </c>
      <c r="R435" s="48"/>
      <c r="S435" s="49">
        <v>0.17</v>
      </c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2995200</v>
      </c>
      <c r="Y435" s="50">
        <f>IF(NOTA[[#This Row],[JUMLAH]]="","",NOTA[[#This Row],[JUMLAH]]*NOTA[[#This Row],[DISC 1]])</f>
        <v>509184.00000000006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509184.00000000006</v>
      </c>
      <c r="AC435" s="50">
        <f>IF(NOTA[[#This Row],[JUMLAH]]="","",NOTA[[#This Row],[JUMLAH]]-NOTA[[#This Row],[DISC]])</f>
        <v>2486016</v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5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G435" s="50" t="str">
        <f>IF(OR(NOTA[[#This Row],[QTY]]="",NOTA[[#This Row],[HARGA SATUAN]]="",),"",NOTA[[#This Row],[QTY]]*NOTA[[#This Row],[HARGA SATUAN]])</f>
        <v/>
      </c>
      <c r="AH435" s="39">
        <f ca="1">IF(NOTA[ID_H]="","",INDEX(NOTA[TANGGAL],MATCH(,INDIRECT(ADDRESS(ROW(NOTA[TANGGAL]),COLUMN(NOTA[TANGGAL]))&amp;":"&amp;ADDRESS(ROW(),COLUMN(NOTA[TANGGAL]))),-1)))</f>
        <v>45190</v>
      </c>
      <c r="AI435" s="41" t="str">
        <f ca="1">IF(NOTA[[#This Row],[NAMA BARANG]]="","",INDEX(NOTA[SUPPLIER],MATCH(,INDIRECT(ADDRESS(ROW(NOTA[ID]),COLUMN(NOTA[ID]))&amp;":"&amp;ADDRESS(ROW(),COLUMN(NOTA[ID]))),-1)))</f>
        <v>KENKO SINAR INDONESIA</v>
      </c>
      <c r="AJ435" s="41" t="str">
        <f ca="1">IF(NOTA[[#This Row],[ID_H]]="","",IF(NOTA[[#This Row],[FAKTUR]]="",INDIRECT(ADDRESS(ROW()-1,COLUMN())),NOTA[[#This Row],[FAKTUR]]))</f>
        <v>ARTO MORO</v>
      </c>
      <c r="AK435" s="38" t="str">
        <f ca="1">IF(NOTA[[#This Row],[ID]]="","",COUNTIF(NOTA[ID_H],NOTA[[#This Row],[ID_H]]))</f>
        <v/>
      </c>
      <c r="AL435" s="38">
        <f ca="1">IF(NOTA[[#This Row],[TGL.NOTA]]="",IF(NOTA[[#This Row],[SUPPLIER_H]]="","",AL434),MONTH(NOTA[[#This Row],[TGL.NOTA]]))</f>
        <v>9</v>
      </c>
      <c r="AM435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N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38" t="str">
        <f>IF(NOTA[[#This Row],[CONCAT4]]="","",_xlfn.IFNA(MATCH(NOTA[[#This Row],[CONCAT4]],[2]!RAW[CONCAT_H],0),FALSE))</f>
        <v/>
      </c>
      <c r="AR435" s="38">
        <f>IF(NOTA[[#This Row],[CONCAT1]]="","",MATCH(NOTA[[#This Row],[CONCAT1]],[3]!db[NB NOTA_C],0))</f>
        <v>1377</v>
      </c>
      <c r="AS435" s="38" t="str">
        <f>IF(NOTA[[#This Row],[QTY/ CTN]]="","",TRUE)</f>
        <v/>
      </c>
      <c r="AT435" s="38" t="str">
        <f ca="1">IF(NOTA[[#This Row],[ID_H]]="","",IF(NOTA[[#This Row],[Column3]]=TRUE,NOTA[[#This Row],[QTY/ CTN]],INDEX([3]!db[QTY/ CTN],NOTA[[#This Row],[//DB]])))</f>
        <v>48 LSN</v>
      </c>
      <c r="AU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V435" s="38" t="e">
        <f ca="1">IF(NOTA[[#This Row],[ID_H]]="","",MATCH(NOTA[[#This Row],[NB NOTA_C_QTY]],[4]!db[NB NOTA_C_QTY+F],0))</f>
        <v>#REF!</v>
      </c>
      <c r="AW435" s="53">
        <f ca="1">IF(NOTA[[#This Row],[NB NOTA_C_QTY]]="","",ROW()-2)</f>
        <v>433</v>
      </c>
    </row>
    <row r="436" spans="1:49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74</v>
      </c>
      <c r="E436" s="46"/>
      <c r="F436" s="37"/>
      <c r="G436" s="37"/>
      <c r="H436" s="47"/>
      <c r="I436" s="37"/>
      <c r="J436" s="39"/>
      <c r="K436" s="37"/>
      <c r="L436" s="37" t="s">
        <v>102</v>
      </c>
      <c r="M436" s="40">
        <v>2</v>
      </c>
      <c r="O436" s="37"/>
      <c r="P436" s="41"/>
      <c r="Q436" s="42">
        <v>2952000</v>
      </c>
      <c r="R436" s="48"/>
      <c r="S436" s="49">
        <v>0.17</v>
      </c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5904000</v>
      </c>
      <c r="Y436" s="50">
        <f>IF(NOTA[[#This Row],[JUMLAH]]="","",NOTA[[#This Row],[JUMLAH]]*NOTA[[#This Row],[DISC 1]])</f>
        <v>1003680.0000000001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1003680.0000000001</v>
      </c>
      <c r="AC436" s="50">
        <f>IF(NOTA[[#This Row],[JUMLAH]]="","",NOTA[[#This Row],[JUMLAH]]-NOTA[[#This Row],[DISC]])</f>
        <v>4900320</v>
      </c>
      <c r="AD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2620584</v>
      </c>
      <c r="AE4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12794616</v>
      </c>
      <c r="AF436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436" s="50" t="str">
        <f>IF(OR(NOTA[[#This Row],[QTY]]="",NOTA[[#This Row],[HARGA SATUAN]]="",),"",NOTA[[#This Row],[QTY]]*NOTA[[#This Row],[HARGA SATUAN]])</f>
        <v/>
      </c>
      <c r="AH436" s="39">
        <f ca="1">IF(NOTA[ID_H]="","",INDEX(NOTA[TANGGAL],MATCH(,INDIRECT(ADDRESS(ROW(NOTA[TANGGAL]),COLUMN(NOTA[TANGGAL]))&amp;":"&amp;ADDRESS(ROW(),COLUMN(NOTA[TANGGAL]))),-1)))</f>
        <v>45190</v>
      </c>
      <c r="AI436" s="41" t="str">
        <f ca="1">IF(NOTA[[#This Row],[NAMA BARANG]]="","",INDEX(NOTA[SUPPLIER],MATCH(,INDIRECT(ADDRESS(ROW(NOTA[ID]),COLUMN(NOTA[ID]))&amp;":"&amp;ADDRESS(ROW(),COLUMN(NOTA[ID]))),-1)))</f>
        <v>KENKO SINAR INDONESIA</v>
      </c>
      <c r="AJ436" s="41" t="str">
        <f ca="1">IF(NOTA[[#This Row],[ID_H]]="","",IF(NOTA[[#This Row],[FAKTUR]]="",INDIRECT(ADDRESS(ROW()-1,COLUMN())),NOTA[[#This Row],[FAKTUR]]))</f>
        <v>ARTO MORO</v>
      </c>
      <c r="AK436" s="38" t="str">
        <f ca="1">IF(NOTA[[#This Row],[ID]]="","",COUNTIF(NOTA[ID_H],NOTA[[#This Row],[ID_H]]))</f>
        <v/>
      </c>
      <c r="AL436" s="38">
        <f ca="1">IF(NOTA[[#This Row],[TGL.NOTA]]="",IF(NOTA[[#This Row],[SUPPLIER_H]]="","",AL435),MONTH(NOTA[[#This Row],[TGL.NOTA]]))</f>
        <v>9</v>
      </c>
      <c r="AM436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38" t="str">
        <f>IF(NOTA[[#This Row],[CONCAT4]]="","",_xlfn.IFNA(MATCH(NOTA[[#This Row],[CONCAT4]],[2]!RAW[CONCAT_H],0),FALSE))</f>
        <v/>
      </c>
      <c r="AR436" s="38">
        <f>IF(NOTA[[#This Row],[CONCAT1]]="","",MATCH(NOTA[[#This Row],[CONCAT1]],[3]!db[NB NOTA_C],0))</f>
        <v>1385</v>
      </c>
      <c r="AS436" s="38" t="str">
        <f>IF(NOTA[[#This Row],[QTY/ CTN]]="","",TRUE)</f>
        <v/>
      </c>
      <c r="AT436" s="38" t="str">
        <f ca="1">IF(NOTA[[#This Row],[ID_H]]="","",IF(NOTA[[#This Row],[Column3]]=TRUE,NOTA[[#This Row],[QTY/ CTN]],INDEX([3]!db[QTY/ CTN],NOTA[[#This Row],[//DB]])))</f>
        <v>20 LSN</v>
      </c>
      <c r="AU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V436" s="38" t="e">
        <f ca="1">IF(NOTA[[#This Row],[ID_H]]="","",MATCH(NOTA[[#This Row],[NB NOTA_C_QTY]],[4]!db[NB NOTA_C_QTY+F],0))</f>
        <v>#REF!</v>
      </c>
      <c r="AW436" s="53">
        <f ca="1">IF(NOTA[[#This Row],[NB NOTA_C_QTY]]="","",ROW()-2)</f>
        <v>434</v>
      </c>
    </row>
    <row r="437" spans="1:49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37" s="50" t="str">
        <f>IF(OR(NOTA[[#This Row],[QTY]]="",NOTA[[#This Row],[HARGA SATUAN]]="",),"",NOTA[[#This Row],[QTY]]*NOTA[[#This Row],[HARGA SATUAN]])</f>
        <v/>
      </c>
      <c r="AH437" s="39" t="str">
        <f ca="1">IF(NOTA[ID_H]="","",INDEX(NOTA[TANGGAL],MATCH(,INDIRECT(ADDRESS(ROW(NOTA[TANGGAL]),COLUMN(NOTA[TANGGAL]))&amp;":"&amp;ADDRESS(ROW(),COLUMN(NOTA[TANGGAL]))),-1)))</f>
        <v/>
      </c>
      <c r="AI437" s="41" t="str">
        <f ca="1">IF(NOTA[[#This Row],[NAMA BARANG]]="","",INDEX(NOTA[SUPPLIER],MATCH(,INDIRECT(ADDRESS(ROW(NOTA[ID]),COLUMN(NOTA[ID]))&amp;":"&amp;ADDRESS(ROW(),COLUMN(NOTA[ID]))),-1)))</f>
        <v/>
      </c>
      <c r="AJ437" s="41" t="str">
        <f ca="1">IF(NOTA[[#This Row],[ID_H]]="","",IF(NOTA[[#This Row],[FAKTUR]]="",INDIRECT(ADDRESS(ROW()-1,COLUMN())),NOTA[[#This Row],[FAKTUR]]))</f>
        <v/>
      </c>
      <c r="AK437" s="38" t="str">
        <f ca="1">IF(NOTA[[#This Row],[ID]]="","",COUNTIF(NOTA[ID_H],NOTA[[#This Row],[ID_H]]))</f>
        <v/>
      </c>
      <c r="AL437" s="38" t="str">
        <f ca="1">IF(NOTA[[#This Row],[TGL.NOTA]]="",IF(NOTA[[#This Row],[SUPPLIER_H]]="","",AL436),MONTH(NOTA[[#This Row],[TGL.NOTA]]))</f>
        <v/>
      </c>
      <c r="AM437" s="38" t="str">
        <f>LOWER(SUBSTITUTE(SUBSTITUTE(SUBSTITUTE(SUBSTITUTE(SUBSTITUTE(SUBSTITUTE(SUBSTITUTE(SUBSTITUTE(SUBSTITUTE(NOTA[NAMA BARANG]," ",),".",""),"-",""),"(",""),")",""),",",""),"/",""),"""",""),"+",""))</f>
        <v/>
      </c>
      <c r="AN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38" t="str">
        <f>IF(NOTA[[#This Row],[CONCAT4]]="","",_xlfn.IFNA(MATCH(NOTA[[#This Row],[CONCAT4]],[2]!RAW[CONCAT_H],0),FALSE))</f>
        <v/>
      </c>
      <c r="AR437" s="38" t="str">
        <f>IF(NOTA[[#This Row],[CONCAT1]]="","",MATCH(NOTA[[#This Row],[CONCAT1]],[3]!db[NB NOTA_C],0))</f>
        <v/>
      </c>
      <c r="AS437" s="38" t="str">
        <f>IF(NOTA[[#This Row],[QTY/ CTN]]="","",TRUE)</f>
        <v/>
      </c>
      <c r="AT437" s="38" t="str">
        <f ca="1">IF(NOTA[[#This Row],[ID_H]]="","",IF(NOTA[[#This Row],[Column3]]=TRUE,NOTA[[#This Row],[QTY/ CTN]],INDEX([3]!db[QTY/ CTN],NOTA[[#This Row],[//DB]])))</f>
        <v/>
      </c>
      <c r="AU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37" s="38" t="str">
        <f ca="1">IF(NOTA[[#This Row],[ID_H]]="","",MATCH(NOTA[[#This Row],[NB NOTA_C_QTY]],[4]!db[NB NOTA_C_QTY+F],0))</f>
        <v/>
      </c>
      <c r="AW437" s="53" t="str">
        <f ca="1">IF(NOTA[[#This Row],[NB NOTA_C_QTY]]="","",ROW()-2)</f>
        <v/>
      </c>
    </row>
    <row r="438" spans="1:49" s="38" customFormat="1" ht="20.100000000000001" customHeight="1" x14ac:dyDescent="0.25">
      <c r="A43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KEN_2109_769-2</v>
      </c>
      <c r="C438" s="38" t="e">
        <f ca="1">IF(NOTA[[#This Row],[ID_P]]="","",MATCH(NOTA[[#This Row],[ID_P]],[1]!B_MSK[N_ID],0))</f>
        <v>#REF!</v>
      </c>
      <c r="D438" s="38">
        <f ca="1">IF(NOTA[[#This Row],[NAMA BARANG]]="","",INDEX(NOTA[ID],MATCH(,INDIRECT(ADDRESS(ROW(NOTA[ID]),COLUMN(NOTA[ID]))&amp;":"&amp;ADDRESS(ROW(),COLUMN(NOTA[ID]))),-1)))</f>
        <v>75</v>
      </c>
      <c r="E438" s="46"/>
      <c r="F438" s="37" t="s">
        <v>22</v>
      </c>
      <c r="G438" s="37" t="s">
        <v>23</v>
      </c>
      <c r="H438" s="47" t="s">
        <v>554</v>
      </c>
      <c r="I438" s="37"/>
      <c r="J438" s="39">
        <v>45189</v>
      </c>
      <c r="K438" s="37"/>
      <c r="L438" s="37" t="s">
        <v>552</v>
      </c>
      <c r="M438" s="40">
        <v>1</v>
      </c>
      <c r="O438" s="37"/>
      <c r="P438" s="41"/>
      <c r="Q438" s="42">
        <v>2995200</v>
      </c>
      <c r="R438" s="48"/>
      <c r="S438" s="49">
        <v>0.17</v>
      </c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2995200</v>
      </c>
      <c r="Y438" s="50">
        <f>IF(NOTA[[#This Row],[JUMLAH]]="","",NOTA[[#This Row],[JUMLAH]]*NOTA[[#This Row],[DISC 1]])</f>
        <v>509184.00000000006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509184.00000000006</v>
      </c>
      <c r="AC438" s="50">
        <f>IF(NOTA[[#This Row],[JUMLAH]]="","",NOTA[[#This Row],[JUMLAH]]-NOTA[[#This Row],[DISC]])</f>
        <v>2486016</v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38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G438" s="50" t="str">
        <f>IF(OR(NOTA[[#This Row],[QTY]]="",NOTA[[#This Row],[HARGA SATUAN]]="",),"",NOTA[[#This Row],[QTY]]*NOTA[[#This Row],[HARGA SATUAN]])</f>
        <v/>
      </c>
      <c r="AH438" s="39">
        <f ca="1">IF(NOTA[ID_H]="","",INDEX(NOTA[TANGGAL],MATCH(,INDIRECT(ADDRESS(ROW(NOTA[TANGGAL]),COLUMN(NOTA[TANGGAL]))&amp;":"&amp;ADDRESS(ROW(),COLUMN(NOTA[TANGGAL]))),-1)))</f>
        <v>45190</v>
      </c>
      <c r="AI438" s="41" t="str">
        <f ca="1">IF(NOTA[[#This Row],[NAMA BARANG]]="","",INDEX(NOTA[SUPPLIER],MATCH(,INDIRECT(ADDRESS(ROW(NOTA[ID]),COLUMN(NOTA[ID]))&amp;":"&amp;ADDRESS(ROW(),COLUMN(NOTA[ID]))),-1)))</f>
        <v>KENKO SINAR INDONESIA</v>
      </c>
      <c r="AJ438" s="41" t="str">
        <f ca="1">IF(NOTA[[#This Row],[ID_H]]="","",IF(NOTA[[#This Row],[FAKTUR]]="",INDIRECT(ADDRESS(ROW()-1,COLUMN())),NOTA[[#This Row],[FAKTUR]]))</f>
        <v>ARTO MORO</v>
      </c>
      <c r="AK438" s="38">
        <f ca="1">IF(NOTA[[#This Row],[ID]]="","",COUNTIF(NOTA[ID_H],NOTA[[#This Row],[ID_H]]))</f>
        <v>2</v>
      </c>
      <c r="AL438" s="38">
        <f>IF(NOTA[[#This Row],[TGL.NOTA]]="",IF(NOTA[[#This Row],[SUPPLIER_H]]="","",AL437),MONTH(NOTA[[#This Row],[TGL.NOTA]]))</f>
        <v>9</v>
      </c>
      <c r="AM438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N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3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MORO2309176945189kenkocorrectiontapect90612mx5mm</v>
      </c>
      <c r="AQ438" s="38" t="e">
        <f>IF(NOTA[[#This Row],[CONCAT4]]="","",_xlfn.IFNA(MATCH(NOTA[[#This Row],[CONCAT4]],[2]!RAW[CONCAT_H],0),FALSE))</f>
        <v>#REF!</v>
      </c>
      <c r="AR438" s="38">
        <f>IF(NOTA[[#This Row],[CONCAT1]]="","",MATCH(NOTA[[#This Row],[CONCAT1]],[3]!db[NB NOTA_C],0))</f>
        <v>1377</v>
      </c>
      <c r="AS438" s="38" t="str">
        <f>IF(NOTA[[#This Row],[QTY/ CTN]]="","",TRUE)</f>
        <v/>
      </c>
      <c r="AT438" s="38" t="str">
        <f ca="1">IF(NOTA[[#This Row],[ID_H]]="","",IF(NOTA[[#This Row],[Column3]]=TRUE,NOTA[[#This Row],[QTY/ CTN]],INDEX([3]!db[QTY/ CTN],NOTA[[#This Row],[//DB]])))</f>
        <v>48 LSN</v>
      </c>
      <c r="AU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V438" s="38" t="e">
        <f ca="1">IF(NOTA[[#This Row],[ID_H]]="","",MATCH(NOTA[[#This Row],[NB NOTA_C_QTY]],[4]!db[NB NOTA_C_QTY+F],0))</f>
        <v>#REF!</v>
      </c>
      <c r="AW438" s="53">
        <f ca="1">IF(NOTA[[#This Row],[NB NOTA_C_QTY]]="","",ROW()-2)</f>
        <v>436</v>
      </c>
    </row>
    <row r="439" spans="1:49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75</v>
      </c>
      <c r="E439" s="46"/>
      <c r="F439" s="37"/>
      <c r="G439" s="37"/>
      <c r="H439" s="47"/>
      <c r="I439" s="37"/>
      <c r="J439" s="39"/>
      <c r="K439" s="37"/>
      <c r="L439" s="37" t="s">
        <v>555</v>
      </c>
      <c r="M439" s="40">
        <v>2</v>
      </c>
      <c r="O439" s="37"/>
      <c r="P439" s="41"/>
      <c r="Q439" s="42">
        <v>2208000</v>
      </c>
      <c r="R439" s="48"/>
      <c r="S439" s="49">
        <v>0.17</v>
      </c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4416000</v>
      </c>
      <c r="Y439" s="50">
        <f>IF(NOTA[[#This Row],[JUMLAH]]="","",NOTA[[#This Row],[JUMLAH]]*NOTA[[#This Row],[DISC 1]])</f>
        <v>750720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750720</v>
      </c>
      <c r="AC439" s="50">
        <f>IF(NOTA[[#This Row],[JUMLAH]]="","",NOTA[[#This Row],[JUMLAH]]-NOTA[[#This Row],[DISC]])</f>
        <v>3665280</v>
      </c>
      <c r="AD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1259904</v>
      </c>
      <c r="AE4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6151296</v>
      </c>
      <c r="AF439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G439" s="50" t="str">
        <f>IF(OR(NOTA[[#This Row],[QTY]]="",NOTA[[#This Row],[HARGA SATUAN]]="",),"",NOTA[[#This Row],[QTY]]*NOTA[[#This Row],[HARGA SATUAN]])</f>
        <v/>
      </c>
      <c r="AH439" s="39">
        <f ca="1">IF(NOTA[ID_H]="","",INDEX(NOTA[TANGGAL],MATCH(,INDIRECT(ADDRESS(ROW(NOTA[TANGGAL]),COLUMN(NOTA[TANGGAL]))&amp;":"&amp;ADDRESS(ROW(),COLUMN(NOTA[TANGGAL]))),-1)))</f>
        <v>45190</v>
      </c>
      <c r="AI439" s="41" t="str">
        <f ca="1">IF(NOTA[[#This Row],[NAMA BARANG]]="","",INDEX(NOTA[SUPPLIER],MATCH(,INDIRECT(ADDRESS(ROW(NOTA[ID]),COLUMN(NOTA[ID]))&amp;":"&amp;ADDRESS(ROW(),COLUMN(NOTA[ID]))),-1)))</f>
        <v>KENKO SINAR INDONESIA</v>
      </c>
      <c r="AJ439" s="41" t="str">
        <f ca="1">IF(NOTA[[#This Row],[ID_H]]="","",IF(NOTA[[#This Row],[FAKTUR]]="",INDIRECT(ADDRESS(ROW()-1,COLUMN())),NOTA[[#This Row],[FAKTUR]]))</f>
        <v>ARTO MORO</v>
      </c>
      <c r="AK439" s="38" t="str">
        <f ca="1">IF(NOTA[[#This Row],[ID]]="","",COUNTIF(NOTA[ID_H],NOTA[[#This Row],[ID_H]]))</f>
        <v/>
      </c>
      <c r="AL439" s="38">
        <f ca="1">IF(NOTA[[#This Row],[TGL.NOTA]]="",IF(NOTA[[#This Row],[SUPPLIER_H]]="","",AL438),MONTH(NOTA[[#This Row],[TGL.NOTA]]))</f>
        <v>9</v>
      </c>
      <c r="AM439" s="38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38" t="str">
        <f>IF(NOTA[[#This Row],[CONCAT4]]="","",_xlfn.IFNA(MATCH(NOTA[[#This Row],[CONCAT4]],[2]!RAW[CONCAT_H],0),FALSE))</f>
        <v/>
      </c>
      <c r="AR439" s="38">
        <f>IF(NOTA[[#This Row],[CONCAT1]]="","",MATCH(NOTA[[#This Row],[CONCAT1]],[3]!db[NB NOTA_C],0))</f>
        <v>1500</v>
      </c>
      <c r="AS439" s="38" t="str">
        <f>IF(NOTA[[#This Row],[QTY/ CTN]]="","",TRUE)</f>
        <v/>
      </c>
      <c r="AT439" s="38" t="str">
        <f ca="1">IF(NOTA[[#This Row],[ID_H]]="","",IF(NOTA[[#This Row],[Column3]]=TRUE,NOTA[[#This Row],[QTY/ CTN]],INDEX([3]!db[QTY/ CTN],NOTA[[#This Row],[//DB]])))</f>
        <v>20 GRS</v>
      </c>
      <c r="AU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kenkopencil2b6191hijaucaphitam20grsartomoro</v>
      </c>
      <c r="AV439" s="38" t="e">
        <f ca="1">IF(NOTA[[#This Row],[ID_H]]="","",MATCH(NOTA[[#This Row],[NB NOTA_C_QTY]],[4]!db[NB NOTA_C_QTY+F],0))</f>
        <v>#REF!</v>
      </c>
      <c r="AW439" s="53">
        <f ca="1">IF(NOTA[[#This Row],[NB NOTA_C_QTY]]="","",ROW()-2)</f>
        <v>437</v>
      </c>
    </row>
    <row r="440" spans="1:49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40" s="50" t="str">
        <f>IF(OR(NOTA[[#This Row],[QTY]]="",NOTA[[#This Row],[HARGA SATUAN]]="",),"",NOTA[[#This Row],[QTY]]*NOTA[[#This Row],[HARGA SATUAN]])</f>
        <v/>
      </c>
      <c r="AH440" s="39" t="str">
        <f ca="1">IF(NOTA[ID_H]="","",INDEX(NOTA[TANGGAL],MATCH(,INDIRECT(ADDRESS(ROW(NOTA[TANGGAL]),COLUMN(NOTA[TANGGAL]))&amp;":"&amp;ADDRESS(ROW(),COLUMN(NOTA[TANGGAL]))),-1)))</f>
        <v/>
      </c>
      <c r="AI440" s="41" t="str">
        <f ca="1">IF(NOTA[[#This Row],[NAMA BARANG]]="","",INDEX(NOTA[SUPPLIER],MATCH(,INDIRECT(ADDRESS(ROW(NOTA[ID]),COLUMN(NOTA[ID]))&amp;":"&amp;ADDRESS(ROW(),COLUMN(NOTA[ID]))),-1)))</f>
        <v/>
      </c>
      <c r="AJ440" s="41" t="str">
        <f ca="1">IF(NOTA[[#This Row],[ID_H]]="","",IF(NOTA[[#This Row],[FAKTUR]]="",INDIRECT(ADDRESS(ROW()-1,COLUMN())),NOTA[[#This Row],[FAKTUR]]))</f>
        <v/>
      </c>
      <c r="AK440" s="38" t="str">
        <f ca="1">IF(NOTA[[#This Row],[ID]]="","",COUNTIF(NOTA[ID_H],NOTA[[#This Row],[ID_H]]))</f>
        <v/>
      </c>
      <c r="AL440" s="38" t="str">
        <f ca="1">IF(NOTA[[#This Row],[TGL.NOTA]]="",IF(NOTA[[#This Row],[SUPPLIER_H]]="","",AL439),MONTH(NOTA[[#This Row],[TGL.NOTA]]))</f>
        <v/>
      </c>
      <c r="AM440" s="38" t="str">
        <f>LOWER(SUBSTITUTE(SUBSTITUTE(SUBSTITUTE(SUBSTITUTE(SUBSTITUTE(SUBSTITUTE(SUBSTITUTE(SUBSTITUTE(SUBSTITUTE(NOTA[NAMA BARANG]," ",),".",""),"-",""),"(",""),")",""),",",""),"/",""),"""",""),"+",""))</f>
        <v/>
      </c>
      <c r="AN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0" s="38" t="str">
        <f>IF(NOTA[[#This Row],[CONCAT4]]="","",_xlfn.IFNA(MATCH(NOTA[[#This Row],[CONCAT4]],[2]!RAW[CONCAT_H],0),FALSE))</f>
        <v/>
      </c>
      <c r="AR440" s="38" t="str">
        <f>IF(NOTA[[#This Row],[CONCAT1]]="","",MATCH(NOTA[[#This Row],[CONCAT1]],[3]!db[NB NOTA_C],0))</f>
        <v/>
      </c>
      <c r="AS440" s="38" t="str">
        <f>IF(NOTA[[#This Row],[QTY/ CTN]]="","",TRUE)</f>
        <v/>
      </c>
      <c r="AT440" s="38" t="str">
        <f ca="1">IF(NOTA[[#This Row],[ID_H]]="","",IF(NOTA[[#This Row],[Column3]]=TRUE,NOTA[[#This Row],[QTY/ CTN]],INDEX([3]!db[QTY/ CTN],NOTA[[#This Row],[//DB]])))</f>
        <v/>
      </c>
      <c r="AU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40" s="38" t="str">
        <f ca="1">IF(NOTA[[#This Row],[ID_H]]="","",MATCH(NOTA[[#This Row],[NB NOTA_C_QTY]],[4]!db[NB NOTA_C_QTY+F],0))</f>
        <v/>
      </c>
      <c r="AW440" s="53" t="str">
        <f ca="1">IF(NOTA[[#This Row],[NB NOTA_C_QTY]]="","",ROW()-2)</f>
        <v/>
      </c>
    </row>
    <row r="441" spans="1:49" s="38" customFormat="1" ht="20.100000000000001" customHeight="1" x14ac:dyDescent="0.25">
      <c r="A441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ATA_2109_668-11</v>
      </c>
      <c r="C441" s="38" t="e">
        <f ca="1">IF(NOTA[[#This Row],[ID_P]]="","",MATCH(NOTA[[#This Row],[ID_P]],[1]!B_MSK[N_ID],0))</f>
        <v>#REF!</v>
      </c>
      <c r="D441" s="38">
        <f ca="1">IF(NOTA[[#This Row],[NAMA BARANG]]="","",INDEX(NOTA[ID],MATCH(,INDIRECT(ADDRESS(ROW(NOTA[ID]),COLUMN(NOTA[ID]))&amp;":"&amp;ADDRESS(ROW(),COLUMN(NOTA[ID]))),-1)))</f>
        <v>76</v>
      </c>
      <c r="E441" s="46"/>
      <c r="F441" s="37" t="s">
        <v>24</v>
      </c>
      <c r="G441" s="37" t="s">
        <v>23</v>
      </c>
      <c r="H441" s="47" t="s">
        <v>556</v>
      </c>
      <c r="I441" s="37"/>
      <c r="J441" s="39">
        <v>45188</v>
      </c>
      <c r="K441" s="37"/>
      <c r="L441" s="37" t="s">
        <v>451</v>
      </c>
      <c r="M441" s="40">
        <v>3</v>
      </c>
      <c r="N441" s="38">
        <v>216</v>
      </c>
      <c r="O441" s="37" t="s">
        <v>132</v>
      </c>
      <c r="P441" s="41">
        <v>21200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4579200</v>
      </c>
      <c r="Y441" s="50">
        <f>IF(NOTA[[#This Row],[JUMLAH]]="","",NOTA[[#This Row],[JUMLAH]]*NOTA[[#This Row],[DISC 1]])</f>
        <v>572400</v>
      </c>
      <c r="Z441" s="50">
        <f>IF(NOTA[[#This Row],[JUMLAH]]="","",(NOTA[[#This Row],[JUMLAH]]-NOTA[[#This Row],[DISC 1-]])*NOTA[[#This Row],[DISC 2]])</f>
        <v>200340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772740</v>
      </c>
      <c r="AC441" s="50">
        <f>IF(NOTA[[#This Row],[JUMLAH]]="","",NOTA[[#This Row],[JUMLAH]]-NOTA[[#This Row],[DISC]])</f>
        <v>3806460</v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1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441" s="50">
        <f>IF(OR(NOTA[[#This Row],[QTY]]="",NOTA[[#This Row],[HARGA SATUAN]]="",),"",NOTA[[#This Row],[QTY]]*NOTA[[#This Row],[HARGA SATUAN]])</f>
        <v>4579200</v>
      </c>
      <c r="AH441" s="39">
        <f ca="1">IF(NOTA[ID_H]="","",INDEX(NOTA[TANGGAL],MATCH(,INDIRECT(ADDRESS(ROW(NOTA[TANGGAL]),COLUMN(NOTA[TANGGAL]))&amp;":"&amp;ADDRESS(ROW(),COLUMN(NOTA[TANGGAL]))),-1)))</f>
        <v>45190</v>
      </c>
      <c r="AI441" s="41" t="str">
        <f ca="1">IF(NOTA[[#This Row],[NAMA BARANG]]="","",INDEX(NOTA[SUPPLIER],MATCH(,INDIRECT(ADDRESS(ROW(NOTA[ID]),COLUMN(NOTA[ID]))&amp;":"&amp;ADDRESS(ROW(),COLUMN(NOTA[ID]))),-1)))</f>
        <v>ATALI MAKMUR</v>
      </c>
      <c r="AJ441" s="41" t="str">
        <f ca="1">IF(NOTA[[#This Row],[ID_H]]="","",IF(NOTA[[#This Row],[FAKTUR]]="",INDIRECT(ADDRESS(ROW()-1,COLUMN())),NOTA[[#This Row],[FAKTUR]]))</f>
        <v>ARTO MORO</v>
      </c>
      <c r="AK441" s="38">
        <f ca="1">IF(NOTA[[#This Row],[ID]]="","",COUNTIF(NOTA[ID_H],NOTA[[#This Row],[ID_H]]))</f>
        <v>11</v>
      </c>
      <c r="AL441" s="38">
        <f>IF(NOTA[[#This Row],[TGL.NOTA]]="",IF(NOTA[[#This Row],[SUPPLIER_H]]="","",AL440),MONTH(NOTA[[#This Row],[TGL.NOTA]]))</f>
        <v>9</v>
      </c>
      <c r="AM441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4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MOROSA23091666845188colorpencilcp24pbjk</v>
      </c>
      <c r="AQ441" s="38" t="e">
        <f>IF(NOTA[[#This Row],[CONCAT4]]="","",_xlfn.IFNA(MATCH(NOTA[[#This Row],[CONCAT4]],[2]!RAW[CONCAT_H],0),FALSE))</f>
        <v>#REF!</v>
      </c>
      <c r="AR441" s="38">
        <f>IF(NOTA[[#This Row],[CONCAT1]]="","",MATCH(NOTA[[#This Row],[CONCAT1]],[3]!db[NB NOTA_C],0))</f>
        <v>593</v>
      </c>
      <c r="AS441" s="38" t="str">
        <f>IF(NOTA[[#This Row],[QTY/ CTN]]="","",TRUE)</f>
        <v/>
      </c>
      <c r="AT441" s="38" t="str">
        <f ca="1">IF(NOTA[[#This Row],[ID_H]]="","",IF(NOTA[[#This Row],[Column3]]=TRUE,NOTA[[#This Row],[QTY/ CTN]],INDEX([3]!db[QTY/ CTN],NOTA[[#This Row],[//DB]])))</f>
        <v>12 BOX (6 SET)</v>
      </c>
      <c r="AU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441" s="38" t="e">
        <f ca="1">IF(NOTA[[#This Row],[ID_H]]="","",MATCH(NOTA[[#This Row],[NB NOTA_C_QTY]],[4]!db[NB NOTA_C_QTY+F],0))</f>
        <v>#REF!</v>
      </c>
      <c r="AW441" s="53">
        <f ca="1">IF(NOTA[[#This Row],[NB NOTA_C_QTY]]="","",ROW()-2)</f>
        <v>439</v>
      </c>
    </row>
    <row r="442" spans="1:49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76</v>
      </c>
      <c r="E442" s="46"/>
      <c r="F442" s="37"/>
      <c r="G442" s="37"/>
      <c r="H442" s="47"/>
      <c r="I442" s="37"/>
      <c r="J442" s="39"/>
      <c r="K442" s="37"/>
      <c r="L442" s="37" t="s">
        <v>463</v>
      </c>
      <c r="M442" s="40">
        <v>2</v>
      </c>
      <c r="N442" s="38">
        <v>240</v>
      </c>
      <c r="O442" s="37" t="s">
        <v>126</v>
      </c>
      <c r="P442" s="41">
        <v>18700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4488000</v>
      </c>
      <c r="Y442" s="50">
        <f>IF(NOTA[[#This Row],[JUMLAH]]="","",NOTA[[#This Row],[JUMLAH]]*NOTA[[#This Row],[DISC 1]])</f>
        <v>561000</v>
      </c>
      <c r="Z442" s="50">
        <f>IF(NOTA[[#This Row],[JUMLAH]]="","",(NOTA[[#This Row],[JUMLAH]]-NOTA[[#This Row],[DISC 1-]])*NOTA[[#This Row],[DISC 2]])</f>
        <v>196350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757350</v>
      </c>
      <c r="AC442" s="50">
        <f>IF(NOTA[[#This Row],[JUMLAH]]="","",NOTA[[#This Row],[JUMLAH]]-NOTA[[#This Row],[DISC]])</f>
        <v>3730650</v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2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G442" s="50">
        <f>IF(OR(NOTA[[#This Row],[QTY]]="",NOTA[[#This Row],[HARGA SATUAN]]="",),"",NOTA[[#This Row],[QTY]]*NOTA[[#This Row],[HARGA SATUAN]])</f>
        <v>4488000</v>
      </c>
      <c r="AH442" s="39">
        <f ca="1">IF(NOTA[ID_H]="","",INDEX(NOTA[TANGGAL],MATCH(,INDIRECT(ADDRESS(ROW(NOTA[TANGGAL]),COLUMN(NOTA[TANGGAL]))&amp;":"&amp;ADDRESS(ROW(),COLUMN(NOTA[TANGGAL]))),-1)))</f>
        <v>45190</v>
      </c>
      <c r="AI442" s="41" t="str">
        <f ca="1">IF(NOTA[[#This Row],[NAMA BARANG]]="","",INDEX(NOTA[SUPPLIER],MATCH(,INDIRECT(ADDRESS(ROW(NOTA[ID]),COLUMN(NOTA[ID]))&amp;":"&amp;ADDRESS(ROW(),COLUMN(NOTA[ID]))),-1)))</f>
        <v>ATALI MAKMUR</v>
      </c>
      <c r="AJ442" s="41" t="str">
        <f ca="1">IF(NOTA[[#This Row],[ID_H]]="","",IF(NOTA[[#This Row],[FAKTUR]]="",INDIRECT(ADDRESS(ROW()-1,COLUMN())),NOTA[[#This Row],[FAKTUR]]))</f>
        <v>ARTO MORO</v>
      </c>
      <c r="AK442" s="38" t="str">
        <f ca="1">IF(NOTA[[#This Row],[ID]]="","",COUNTIF(NOTA[ID_H],NOTA[[#This Row],[ID_H]]))</f>
        <v/>
      </c>
      <c r="AL442" s="38">
        <f ca="1">IF(NOTA[[#This Row],[TGL.NOTA]]="",IF(NOTA[[#This Row],[SUPPLIER_H]]="","",AL441),MONTH(NOTA[[#This Row],[TGL.NOTA]]))</f>
        <v>9</v>
      </c>
      <c r="AM442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N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O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P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2" s="38" t="str">
        <f>IF(NOTA[[#This Row],[CONCAT4]]="","",_xlfn.IFNA(MATCH(NOTA[[#This Row],[CONCAT4]],[2]!RAW[CONCAT_H],0),FALSE))</f>
        <v/>
      </c>
      <c r="AR442" s="38">
        <f>IF(NOTA[[#This Row],[CONCAT1]]="","",MATCH(NOTA[[#This Row],[CONCAT1]],[3]!db[NB NOTA_C],0))</f>
        <v>2477</v>
      </c>
      <c r="AS442" s="38" t="str">
        <f>IF(NOTA[[#This Row],[QTY/ CTN]]="","",TRUE)</f>
        <v/>
      </c>
      <c r="AT442" s="38" t="str">
        <f ca="1">IF(NOTA[[#This Row],[ID_H]]="","",IF(NOTA[[#This Row],[Column3]]=TRUE,NOTA[[#This Row],[QTY/ CTN]],INDEX([3]!db[QTY/ CTN],NOTA[[#This Row],[//DB]])))</f>
        <v>20 BOX (6 PCS)</v>
      </c>
      <c r="AU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V442" s="38" t="e">
        <f ca="1">IF(NOTA[[#This Row],[ID_H]]="","",MATCH(NOTA[[#This Row],[NB NOTA_C_QTY]],[4]!db[NB NOTA_C_QTY+F],0))</f>
        <v>#REF!</v>
      </c>
      <c r="AW442" s="53">
        <f ca="1">IF(NOTA[[#This Row],[NB NOTA_C_QTY]]="","",ROW()-2)</f>
        <v>440</v>
      </c>
    </row>
    <row r="443" spans="1:49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76</v>
      </c>
      <c r="E443" s="46"/>
      <c r="F443" s="37"/>
      <c r="G443" s="37"/>
      <c r="H443" s="47"/>
      <c r="I443" s="37"/>
      <c r="J443" s="39"/>
      <c r="K443" s="37"/>
      <c r="L443" s="37" t="s">
        <v>557</v>
      </c>
      <c r="M443" s="40">
        <v>1</v>
      </c>
      <c r="N443" s="38">
        <v>30</v>
      </c>
      <c r="O443" s="37" t="s">
        <v>212</v>
      </c>
      <c r="P443" s="41">
        <v>104400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3132000</v>
      </c>
      <c r="Y443" s="50">
        <f>IF(NOTA[[#This Row],[JUMLAH]]="","",NOTA[[#This Row],[JUMLAH]]*NOTA[[#This Row],[DISC 1]])</f>
        <v>391500</v>
      </c>
      <c r="Z443" s="50">
        <f>IF(NOTA[[#This Row],[JUMLAH]]="","",(NOTA[[#This Row],[JUMLAH]]-NOTA[[#This Row],[DISC 1-]])*NOTA[[#This Row],[DISC 2]])</f>
        <v>137025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528525</v>
      </c>
      <c r="AC443" s="50">
        <f>IF(NOTA[[#This Row],[JUMLAH]]="","",NOTA[[#This Row],[JUMLAH]]-NOTA[[#This Row],[DISC]])</f>
        <v>2603475</v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3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G443" s="50">
        <f>IF(OR(NOTA[[#This Row],[QTY]]="",NOTA[[#This Row],[HARGA SATUAN]]="",),"",NOTA[[#This Row],[QTY]]*NOTA[[#This Row],[HARGA SATUAN]])</f>
        <v>3132000</v>
      </c>
      <c r="AH443" s="39">
        <f ca="1">IF(NOTA[ID_H]="","",INDEX(NOTA[TANGGAL],MATCH(,INDIRECT(ADDRESS(ROW(NOTA[TANGGAL]),COLUMN(NOTA[TANGGAL]))&amp;":"&amp;ADDRESS(ROW(),COLUMN(NOTA[TANGGAL]))),-1)))</f>
        <v>45190</v>
      </c>
      <c r="AI443" s="41" t="str">
        <f ca="1">IF(NOTA[[#This Row],[NAMA BARANG]]="","",INDEX(NOTA[SUPPLIER],MATCH(,INDIRECT(ADDRESS(ROW(NOTA[ID]),COLUMN(NOTA[ID]))&amp;":"&amp;ADDRESS(ROW(),COLUMN(NOTA[ID]))),-1)))</f>
        <v>ATALI MAKMUR</v>
      </c>
      <c r="AJ443" s="41" t="str">
        <f ca="1">IF(NOTA[[#This Row],[ID_H]]="","",IF(NOTA[[#This Row],[FAKTUR]]="",INDIRECT(ADDRESS(ROW()-1,COLUMN())),NOTA[[#This Row],[FAKTUR]]))</f>
        <v>ARTO MORO</v>
      </c>
      <c r="AK443" s="38" t="str">
        <f ca="1">IF(NOTA[[#This Row],[ID]]="","",COUNTIF(NOTA[ID_H],NOTA[[#This Row],[ID_H]]))</f>
        <v/>
      </c>
      <c r="AL443" s="38">
        <f ca="1">IF(NOTA[[#This Row],[TGL.NOTA]]="",IF(NOTA[[#This Row],[SUPPLIER_H]]="","",AL442),MONTH(NOTA[[#This Row],[TGL.NOTA]]))</f>
        <v>9</v>
      </c>
      <c r="AM443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38" t="str">
        <f>IF(NOTA[[#This Row],[CONCAT4]]="","",_xlfn.IFNA(MATCH(NOTA[[#This Row],[CONCAT4]],[2]!RAW[CONCAT_H],0),FALSE))</f>
        <v/>
      </c>
      <c r="AR443" s="38">
        <f>IF(NOTA[[#This Row],[CONCAT1]]="","",MATCH(NOTA[[#This Row],[CONCAT1]],[3]!db[NB NOTA_C],0))</f>
        <v>2174</v>
      </c>
      <c r="AS443" s="38" t="str">
        <f>IF(NOTA[[#This Row],[QTY/ CTN]]="","",TRUE)</f>
        <v/>
      </c>
      <c r="AT443" s="38" t="str">
        <f ca="1">IF(NOTA[[#This Row],[ID_H]]="","",IF(NOTA[[#This Row],[Column3]]=TRUE,NOTA[[#This Row],[QTY/ CTN]],INDEX([3]!db[QTY/ CTN],NOTA[[#This Row],[//DB]])))</f>
        <v>30 GRS</v>
      </c>
      <c r="AU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443" s="38" t="e">
        <f ca="1">IF(NOTA[[#This Row],[ID_H]]="","",MATCH(NOTA[[#This Row],[NB NOTA_C_QTY]],[4]!db[NB NOTA_C_QTY+F],0))</f>
        <v>#REF!</v>
      </c>
      <c r="AW443" s="53">
        <f ca="1">IF(NOTA[[#This Row],[NB NOTA_C_QTY]]="","",ROW()-2)</f>
        <v>441</v>
      </c>
    </row>
    <row r="444" spans="1:49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76</v>
      </c>
      <c r="E444" s="46"/>
      <c r="F444" s="37"/>
      <c r="G444" s="37"/>
      <c r="H444" s="47"/>
      <c r="I444" s="37"/>
      <c r="J444" s="39"/>
      <c r="K444" s="37"/>
      <c r="L444" s="37" t="s">
        <v>389</v>
      </c>
      <c r="M444" s="40">
        <v>3</v>
      </c>
      <c r="N444" s="38">
        <v>432</v>
      </c>
      <c r="O444" s="37" t="s">
        <v>132</v>
      </c>
      <c r="P444" s="41">
        <v>11900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5140800</v>
      </c>
      <c r="Y444" s="50">
        <f>IF(NOTA[[#This Row],[JUMLAH]]="","",NOTA[[#This Row],[JUMLAH]]*NOTA[[#This Row],[DISC 1]])</f>
        <v>642600</v>
      </c>
      <c r="Z444" s="50">
        <f>IF(NOTA[[#This Row],[JUMLAH]]="","",(NOTA[[#This Row],[JUMLAH]]-NOTA[[#This Row],[DISC 1-]])*NOTA[[#This Row],[DISC 2]])</f>
        <v>224910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867510</v>
      </c>
      <c r="AC444" s="50">
        <f>IF(NOTA[[#This Row],[JUMLAH]]="","",NOTA[[#This Row],[JUMLAH]]-NOTA[[#This Row],[DISC]])</f>
        <v>4273290</v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444" s="50">
        <f>IF(OR(NOTA[[#This Row],[QTY]]="",NOTA[[#This Row],[HARGA SATUAN]]="",),"",NOTA[[#This Row],[QTY]]*NOTA[[#This Row],[HARGA SATUAN]])</f>
        <v>5140800</v>
      </c>
      <c r="AH444" s="39">
        <f ca="1">IF(NOTA[ID_H]="","",INDEX(NOTA[TANGGAL],MATCH(,INDIRECT(ADDRESS(ROW(NOTA[TANGGAL]),COLUMN(NOTA[TANGGAL]))&amp;":"&amp;ADDRESS(ROW(),COLUMN(NOTA[TANGGAL]))),-1)))</f>
        <v>45190</v>
      </c>
      <c r="AI444" s="41" t="str">
        <f ca="1">IF(NOTA[[#This Row],[NAMA BARANG]]="","",INDEX(NOTA[SUPPLIER],MATCH(,INDIRECT(ADDRESS(ROW(NOTA[ID]),COLUMN(NOTA[ID]))&amp;":"&amp;ADDRESS(ROW(),COLUMN(NOTA[ID]))),-1)))</f>
        <v>ATALI MAKMUR</v>
      </c>
      <c r="AJ444" s="41" t="str">
        <f ca="1">IF(NOTA[[#This Row],[ID_H]]="","",IF(NOTA[[#This Row],[FAKTUR]]="",INDIRECT(ADDRESS(ROW()-1,COLUMN())),NOTA[[#This Row],[FAKTUR]]))</f>
        <v>ARTO MORO</v>
      </c>
      <c r="AK444" s="38" t="str">
        <f ca="1">IF(NOTA[[#This Row],[ID]]="","",COUNTIF(NOTA[ID_H],NOTA[[#This Row],[ID_H]]))</f>
        <v/>
      </c>
      <c r="AL444" s="38">
        <f ca="1">IF(NOTA[[#This Row],[TGL.NOTA]]="",IF(NOTA[[#This Row],[SUPPLIER_H]]="","",AL443),MONTH(NOTA[[#This Row],[TGL.NOTA]]))</f>
        <v>9</v>
      </c>
      <c r="AM44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38" t="str">
        <f>IF(NOTA[[#This Row],[CONCAT4]]="","",_xlfn.IFNA(MATCH(NOTA[[#This Row],[CONCAT4]],[2]!RAW[CONCAT_H],0),FALSE))</f>
        <v/>
      </c>
      <c r="AR444" s="38">
        <f>IF(NOTA[[#This Row],[CONCAT1]]="","",MATCH(NOTA[[#This Row],[CONCAT1]],[3]!db[NB NOTA_C],0))</f>
        <v>1895</v>
      </c>
      <c r="AS444" s="38" t="str">
        <f>IF(NOTA[[#This Row],[QTY/ CTN]]="","",TRUE)</f>
        <v/>
      </c>
      <c r="AT444" s="38" t="str">
        <f ca="1">IF(NOTA[[#This Row],[ID_H]]="","",IF(NOTA[[#This Row],[Column3]]=TRUE,NOTA[[#This Row],[QTY/ CTN]],INDEX([3]!db[QTY/ CTN],NOTA[[#This Row],[//DB]])))</f>
        <v>12 LSN</v>
      </c>
      <c r="AU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444" s="38" t="e">
        <f ca="1">IF(NOTA[[#This Row],[ID_H]]="","",MATCH(NOTA[[#This Row],[NB NOTA_C_QTY]],[4]!db[NB NOTA_C_QTY+F],0))</f>
        <v>#REF!</v>
      </c>
      <c r="AW444" s="53">
        <f ca="1">IF(NOTA[[#This Row],[NB NOTA_C_QTY]]="","",ROW()-2)</f>
        <v>442</v>
      </c>
    </row>
    <row r="445" spans="1:49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76</v>
      </c>
      <c r="E445" s="46"/>
      <c r="F445" s="37"/>
      <c r="G445" s="37"/>
      <c r="H445" s="47"/>
      <c r="I445" s="37"/>
      <c r="J445" s="39"/>
      <c r="K445" s="37"/>
      <c r="L445" s="37" t="s">
        <v>471</v>
      </c>
      <c r="M445" s="40">
        <v>1</v>
      </c>
      <c r="N445" s="38">
        <v>48</v>
      </c>
      <c r="O445" s="37" t="s">
        <v>132</v>
      </c>
      <c r="P445" s="41">
        <v>29600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1420800</v>
      </c>
      <c r="Y445" s="50">
        <f>IF(NOTA[[#This Row],[JUMLAH]]="","",NOTA[[#This Row],[JUMLAH]]*NOTA[[#This Row],[DISC 1]])</f>
        <v>177600</v>
      </c>
      <c r="Z445" s="50">
        <f>IF(NOTA[[#This Row],[JUMLAH]]="","",(NOTA[[#This Row],[JUMLAH]]-NOTA[[#This Row],[DISC 1-]])*NOTA[[#This Row],[DISC 2]])</f>
        <v>62160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239760</v>
      </c>
      <c r="AC445" s="50">
        <f>IF(NOTA[[#This Row],[JUMLAH]]="","",NOTA[[#This Row],[JUMLAH]]-NOTA[[#This Row],[DISC]])</f>
        <v>1181040</v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445" s="50">
        <f>IF(OR(NOTA[[#This Row],[QTY]]="",NOTA[[#This Row],[HARGA SATUAN]]="",),"",NOTA[[#This Row],[QTY]]*NOTA[[#This Row],[HARGA SATUAN]])</f>
        <v>1420800</v>
      </c>
      <c r="AH445" s="39">
        <f ca="1">IF(NOTA[ID_H]="","",INDEX(NOTA[TANGGAL],MATCH(,INDIRECT(ADDRESS(ROW(NOTA[TANGGAL]),COLUMN(NOTA[TANGGAL]))&amp;":"&amp;ADDRESS(ROW(),COLUMN(NOTA[TANGGAL]))),-1)))</f>
        <v>45190</v>
      </c>
      <c r="AI445" s="41" t="str">
        <f ca="1">IF(NOTA[[#This Row],[NAMA BARANG]]="","",INDEX(NOTA[SUPPLIER],MATCH(,INDIRECT(ADDRESS(ROW(NOTA[ID]),COLUMN(NOTA[ID]))&amp;":"&amp;ADDRESS(ROW(),COLUMN(NOTA[ID]))),-1)))</f>
        <v>ATALI MAKMUR</v>
      </c>
      <c r="AJ445" s="41" t="str">
        <f ca="1">IF(NOTA[[#This Row],[ID_H]]="","",IF(NOTA[[#This Row],[FAKTUR]]="",INDIRECT(ADDRESS(ROW()-1,COLUMN())),NOTA[[#This Row],[FAKTUR]]))</f>
        <v>ARTO MORO</v>
      </c>
      <c r="AK445" s="38" t="str">
        <f ca="1">IF(NOTA[[#This Row],[ID]]="","",COUNTIF(NOTA[ID_H],NOTA[[#This Row],[ID_H]]))</f>
        <v/>
      </c>
      <c r="AL445" s="38">
        <f ca="1">IF(NOTA[[#This Row],[TGL.NOTA]]="",IF(NOTA[[#This Row],[SUPPLIER_H]]="","",AL444),MONTH(NOTA[[#This Row],[TGL.NOTA]]))</f>
        <v>9</v>
      </c>
      <c r="AM44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5" s="38" t="str">
        <f>IF(NOTA[[#This Row],[CONCAT4]]="","",_xlfn.IFNA(MATCH(NOTA[[#This Row],[CONCAT4]],[2]!RAW[CONCAT_H],0),FALSE))</f>
        <v/>
      </c>
      <c r="AR445" s="38">
        <f>IF(NOTA[[#This Row],[CONCAT1]]="","",MATCH(NOTA[[#This Row],[CONCAT1]],[3]!db[NB NOTA_C],0))</f>
        <v>1897</v>
      </c>
      <c r="AS445" s="38" t="str">
        <f>IF(NOTA[[#This Row],[QTY/ CTN]]="","",TRUE)</f>
        <v/>
      </c>
      <c r="AT445" s="38" t="str">
        <f ca="1">IF(NOTA[[#This Row],[ID_H]]="","",IF(NOTA[[#This Row],[Column3]]=TRUE,NOTA[[#This Row],[QTY/ CTN]],INDEX([3]!db[QTY/ CTN],NOTA[[#This Row],[//DB]])))</f>
        <v>8 BOX (6 SET)</v>
      </c>
      <c r="AU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445" s="38" t="e">
        <f ca="1">IF(NOTA[[#This Row],[ID_H]]="","",MATCH(NOTA[[#This Row],[NB NOTA_C_QTY]],[4]!db[NB NOTA_C_QTY+F],0))</f>
        <v>#REF!</v>
      </c>
      <c r="AW445" s="53">
        <f ca="1">IF(NOTA[[#This Row],[NB NOTA_C_QTY]]="","",ROW()-2)</f>
        <v>443</v>
      </c>
    </row>
    <row r="446" spans="1:49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76</v>
      </c>
      <c r="E446" s="46"/>
      <c r="F446" s="37"/>
      <c r="G446" s="37"/>
      <c r="H446" s="47"/>
      <c r="I446" s="37"/>
      <c r="J446" s="39"/>
      <c r="K446" s="37"/>
      <c r="L446" s="37" t="s">
        <v>558</v>
      </c>
      <c r="M446" s="40"/>
      <c r="N446" s="38">
        <v>72</v>
      </c>
      <c r="O446" s="37" t="s">
        <v>126</v>
      </c>
      <c r="P446" s="41">
        <v>4800</v>
      </c>
      <c r="Q446" s="42"/>
      <c r="R446" s="48"/>
      <c r="S446" s="49">
        <v>0.125</v>
      </c>
      <c r="T446" s="44">
        <v>0.05</v>
      </c>
      <c r="U446" s="44"/>
      <c r="V446" s="50"/>
      <c r="W446" s="45"/>
      <c r="X446" s="50">
        <f>IF(NOTA[[#This Row],[HARGA/ CTN]]="",NOTA[[#This Row],[JUMLAH_H]],NOTA[[#This Row],[HARGA/ CTN]]*IF(NOTA[[#This Row],[C]]="",0,NOTA[[#This Row],[C]]))</f>
        <v>345600</v>
      </c>
      <c r="Y446" s="50">
        <f>IF(NOTA[[#This Row],[JUMLAH]]="","",NOTA[[#This Row],[JUMLAH]]*NOTA[[#This Row],[DISC 1]])</f>
        <v>43200</v>
      </c>
      <c r="Z446" s="50">
        <f>IF(NOTA[[#This Row],[JUMLAH]]="","",(NOTA[[#This Row],[JUMLAH]]-NOTA[[#This Row],[DISC 1-]])*NOTA[[#This Row],[DISC 2]])</f>
        <v>15120</v>
      </c>
      <c r="AA446" s="50">
        <f>IF(NOTA[[#This Row],[JUMLAH]]="","",(NOTA[[#This Row],[JUMLAH]]-NOTA[[#This Row],[DISC 1-]]-NOTA[[#This Row],[DISC 2-]])*NOTA[[#This Row],[DISC 3]])</f>
        <v>0</v>
      </c>
      <c r="AB446" s="50">
        <f>IF(NOTA[[#This Row],[JUMLAH]]="","",NOTA[[#This Row],[DISC 1-]]+NOTA[[#This Row],[DISC 2-]]+NOTA[[#This Row],[DISC 3-]])</f>
        <v>58320</v>
      </c>
      <c r="AC446" s="50">
        <f>IF(NOTA[[#This Row],[JUMLAH]]="","",NOTA[[#This Row],[JUMLAH]]-NOTA[[#This Row],[DISC]])</f>
        <v>287280</v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6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6" s="50">
        <f>IF(OR(NOTA[[#This Row],[QTY]]="",NOTA[[#This Row],[HARGA SATUAN]]="",),"",NOTA[[#This Row],[QTY]]*NOTA[[#This Row],[HARGA SATUAN]])</f>
        <v>345600</v>
      </c>
      <c r="AH446" s="39">
        <f ca="1">IF(NOTA[ID_H]="","",INDEX(NOTA[TANGGAL],MATCH(,INDIRECT(ADDRESS(ROW(NOTA[TANGGAL]),COLUMN(NOTA[TANGGAL]))&amp;":"&amp;ADDRESS(ROW(),COLUMN(NOTA[TANGGAL]))),-1)))</f>
        <v>45190</v>
      </c>
      <c r="AI446" s="41" t="str">
        <f ca="1">IF(NOTA[[#This Row],[NAMA BARANG]]="","",INDEX(NOTA[SUPPLIER],MATCH(,INDIRECT(ADDRESS(ROW(NOTA[ID]),COLUMN(NOTA[ID]))&amp;":"&amp;ADDRESS(ROW(),COLUMN(NOTA[ID]))),-1)))</f>
        <v>ATALI MAKMUR</v>
      </c>
      <c r="AJ446" s="41" t="str">
        <f ca="1">IF(NOTA[[#This Row],[ID_H]]="","",IF(NOTA[[#This Row],[FAKTUR]]="",INDIRECT(ADDRESS(ROW()-1,COLUMN())),NOTA[[#This Row],[FAKTUR]]))</f>
        <v>ARTO MORO</v>
      </c>
      <c r="AK446" s="38" t="str">
        <f ca="1">IF(NOTA[[#This Row],[ID]]="","",COUNTIF(NOTA[ID_H],NOTA[[#This Row],[ID_H]]))</f>
        <v/>
      </c>
      <c r="AL446" s="38">
        <f ca="1">IF(NOTA[[#This Row],[TGL.NOTA]]="",IF(NOTA[[#This Row],[SUPPLIER_H]]="","",AL445),MONTH(NOTA[[#This Row],[TGL.NOTA]]))</f>
        <v>9</v>
      </c>
      <c r="AM446" s="3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N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O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P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38" t="str">
        <f>IF(NOTA[[#This Row],[CONCAT4]]="","",_xlfn.IFNA(MATCH(NOTA[[#This Row],[CONCAT4]],[2]!RAW[CONCAT_H],0),FALSE))</f>
        <v/>
      </c>
      <c r="AR446" s="38">
        <f>IF(NOTA[[#This Row],[CONCAT1]]="","",MATCH(NOTA[[#This Row],[CONCAT1]],[3]!db[NB NOTA_C],0))</f>
        <v>2154</v>
      </c>
      <c r="AS446" s="38" t="str">
        <f>IF(NOTA[[#This Row],[QTY/ CTN]]="","",TRUE)</f>
        <v/>
      </c>
      <c r="AT446" s="38" t="str">
        <f ca="1">IF(NOTA[[#This Row],[ID_H]]="","",IF(NOTA[[#This Row],[Column3]]=TRUE,NOTA[[#This Row],[QTY/ CTN]],INDEX([3]!db[QTY/ CTN],NOTA[[#This Row],[//DB]])))</f>
        <v>288 PCS</v>
      </c>
      <c r="AU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V446" s="38" t="e">
        <f ca="1">IF(NOTA[[#This Row],[ID_H]]="","",MATCH(NOTA[[#This Row],[NB NOTA_C_QTY]],[4]!db[NB NOTA_C_QTY+F],0))</f>
        <v>#REF!</v>
      </c>
      <c r="AW446" s="53">
        <f ca="1">IF(NOTA[[#This Row],[NB NOTA_C_QTY]]="","",ROW()-2)</f>
        <v>444</v>
      </c>
    </row>
    <row r="447" spans="1:49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76</v>
      </c>
      <c r="E447" s="46"/>
      <c r="F447" s="37"/>
      <c r="G447" s="37"/>
      <c r="H447" s="47"/>
      <c r="I447" s="37"/>
      <c r="J447" s="39"/>
      <c r="K447" s="37"/>
      <c r="L447" s="37" t="s">
        <v>559</v>
      </c>
      <c r="M447" s="40"/>
      <c r="N447" s="38">
        <v>72</v>
      </c>
      <c r="O447" s="37" t="s">
        <v>126</v>
      </c>
      <c r="P447" s="41">
        <v>4800</v>
      </c>
      <c r="Q447" s="42"/>
      <c r="R447" s="48"/>
      <c r="S447" s="49">
        <v>0.125</v>
      </c>
      <c r="T447" s="44">
        <v>0.05</v>
      </c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345600</v>
      </c>
      <c r="Y447" s="50">
        <f>IF(NOTA[[#This Row],[JUMLAH]]="","",NOTA[[#This Row],[JUMLAH]]*NOTA[[#This Row],[DISC 1]])</f>
        <v>43200</v>
      </c>
      <c r="Z447" s="50">
        <f>IF(NOTA[[#This Row],[JUMLAH]]="","",(NOTA[[#This Row],[JUMLAH]]-NOTA[[#This Row],[DISC 1-]])*NOTA[[#This Row],[DISC 2]])</f>
        <v>15120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58320</v>
      </c>
      <c r="AC447" s="50">
        <f>IF(NOTA[[#This Row],[JUMLAH]]="","",NOTA[[#This Row],[JUMLAH]]-NOTA[[#This Row],[DISC]])</f>
        <v>287280</v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7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7" s="50">
        <f>IF(OR(NOTA[[#This Row],[QTY]]="",NOTA[[#This Row],[HARGA SATUAN]]="",),"",NOTA[[#This Row],[QTY]]*NOTA[[#This Row],[HARGA SATUAN]])</f>
        <v>345600</v>
      </c>
      <c r="AH447" s="39">
        <f ca="1">IF(NOTA[ID_H]="","",INDEX(NOTA[TANGGAL],MATCH(,INDIRECT(ADDRESS(ROW(NOTA[TANGGAL]),COLUMN(NOTA[TANGGAL]))&amp;":"&amp;ADDRESS(ROW(),COLUMN(NOTA[TANGGAL]))),-1)))</f>
        <v>45190</v>
      </c>
      <c r="AI447" s="41" t="str">
        <f ca="1">IF(NOTA[[#This Row],[NAMA BARANG]]="","",INDEX(NOTA[SUPPLIER],MATCH(,INDIRECT(ADDRESS(ROW(NOTA[ID]),COLUMN(NOTA[ID]))&amp;":"&amp;ADDRESS(ROW(),COLUMN(NOTA[ID]))),-1)))</f>
        <v>ATALI MAKMUR</v>
      </c>
      <c r="AJ447" s="41" t="str">
        <f ca="1">IF(NOTA[[#This Row],[ID_H]]="","",IF(NOTA[[#This Row],[FAKTUR]]="",INDIRECT(ADDRESS(ROW()-1,COLUMN())),NOTA[[#This Row],[FAKTUR]]))</f>
        <v>ARTO MORO</v>
      </c>
      <c r="AK447" s="38" t="str">
        <f ca="1">IF(NOTA[[#This Row],[ID]]="","",COUNTIF(NOTA[ID_H],NOTA[[#This Row],[ID_H]]))</f>
        <v/>
      </c>
      <c r="AL447" s="38">
        <f ca="1">IF(NOTA[[#This Row],[TGL.NOTA]]="",IF(NOTA[[#This Row],[SUPPLIER_H]]="","",AL446),MONTH(NOTA[[#This Row],[TGL.NOTA]]))</f>
        <v>9</v>
      </c>
      <c r="AM447" s="3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N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O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P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7" s="38" t="str">
        <f>IF(NOTA[[#This Row],[CONCAT4]]="","",_xlfn.IFNA(MATCH(NOTA[[#This Row],[CONCAT4]],[2]!RAW[CONCAT_H],0),FALSE))</f>
        <v/>
      </c>
      <c r="AR447" s="38">
        <f>IF(NOTA[[#This Row],[CONCAT1]]="","",MATCH(NOTA[[#This Row],[CONCAT1]],[3]!db[NB NOTA_C],0))</f>
        <v>2155</v>
      </c>
      <c r="AS447" s="38" t="str">
        <f>IF(NOTA[[#This Row],[QTY/ CTN]]="","",TRUE)</f>
        <v/>
      </c>
      <c r="AT447" s="38" t="str">
        <f ca="1">IF(NOTA[[#This Row],[ID_H]]="","",IF(NOTA[[#This Row],[Column3]]=TRUE,NOTA[[#This Row],[QTY/ CTN]],INDEX([3]!db[QTY/ CTN],NOTA[[#This Row],[//DB]])))</f>
        <v>288 PCS</v>
      </c>
      <c r="AU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V447" s="38" t="e">
        <f ca="1">IF(NOTA[[#This Row],[ID_H]]="","",MATCH(NOTA[[#This Row],[NB NOTA_C_QTY]],[4]!db[NB NOTA_C_QTY+F],0))</f>
        <v>#REF!</v>
      </c>
      <c r="AW447" s="53">
        <f ca="1">IF(NOTA[[#This Row],[NB NOTA_C_QTY]]="","",ROW()-2)</f>
        <v>445</v>
      </c>
    </row>
    <row r="448" spans="1:49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76</v>
      </c>
      <c r="E448" s="46"/>
      <c r="F448" s="37"/>
      <c r="G448" s="37"/>
      <c r="H448" s="47"/>
      <c r="I448" s="37"/>
      <c r="J448" s="39"/>
      <c r="K448" s="37"/>
      <c r="L448" s="37" t="s">
        <v>560</v>
      </c>
      <c r="M448" s="40"/>
      <c r="N448" s="38">
        <v>72</v>
      </c>
      <c r="O448" s="37" t="s">
        <v>126</v>
      </c>
      <c r="P448" s="41">
        <v>4800</v>
      </c>
      <c r="Q448" s="42"/>
      <c r="R448" s="48"/>
      <c r="S448" s="49">
        <v>0.125</v>
      </c>
      <c r="T448" s="44">
        <v>0.05</v>
      </c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345600</v>
      </c>
      <c r="Y448" s="50">
        <f>IF(NOTA[[#This Row],[JUMLAH]]="","",NOTA[[#This Row],[JUMLAH]]*NOTA[[#This Row],[DISC 1]])</f>
        <v>43200</v>
      </c>
      <c r="Z448" s="50">
        <f>IF(NOTA[[#This Row],[JUMLAH]]="","",(NOTA[[#This Row],[JUMLAH]]-NOTA[[#This Row],[DISC 1-]])*NOTA[[#This Row],[DISC 2]])</f>
        <v>15120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58320</v>
      </c>
      <c r="AC448" s="50">
        <f>IF(NOTA[[#This Row],[JUMLAH]]="","",NOTA[[#This Row],[JUMLAH]]-NOTA[[#This Row],[DISC]])</f>
        <v>287280</v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8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8" s="50">
        <f>IF(OR(NOTA[[#This Row],[QTY]]="",NOTA[[#This Row],[HARGA SATUAN]]="",),"",NOTA[[#This Row],[QTY]]*NOTA[[#This Row],[HARGA SATUAN]])</f>
        <v>345600</v>
      </c>
      <c r="AH448" s="39">
        <f ca="1">IF(NOTA[ID_H]="","",INDEX(NOTA[TANGGAL],MATCH(,INDIRECT(ADDRESS(ROW(NOTA[TANGGAL]),COLUMN(NOTA[TANGGAL]))&amp;":"&amp;ADDRESS(ROW(),COLUMN(NOTA[TANGGAL]))),-1)))</f>
        <v>45190</v>
      </c>
      <c r="AI448" s="41" t="str">
        <f ca="1">IF(NOTA[[#This Row],[NAMA BARANG]]="","",INDEX(NOTA[SUPPLIER],MATCH(,INDIRECT(ADDRESS(ROW(NOTA[ID]),COLUMN(NOTA[ID]))&amp;":"&amp;ADDRESS(ROW(),COLUMN(NOTA[ID]))),-1)))</f>
        <v>ATALI MAKMUR</v>
      </c>
      <c r="AJ448" s="41" t="str">
        <f ca="1">IF(NOTA[[#This Row],[ID_H]]="","",IF(NOTA[[#This Row],[FAKTUR]]="",INDIRECT(ADDRESS(ROW()-1,COLUMN())),NOTA[[#This Row],[FAKTUR]]))</f>
        <v>ARTO MORO</v>
      </c>
      <c r="AK448" s="38" t="str">
        <f ca="1">IF(NOTA[[#This Row],[ID]]="","",COUNTIF(NOTA[ID_H],NOTA[[#This Row],[ID_H]]))</f>
        <v/>
      </c>
      <c r="AL448" s="38">
        <f ca="1">IF(NOTA[[#This Row],[TGL.NOTA]]="",IF(NOTA[[#This Row],[SUPPLIER_H]]="","",AL447),MONTH(NOTA[[#This Row],[TGL.NOTA]]))</f>
        <v>9</v>
      </c>
      <c r="AM448" s="3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N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O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P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38" t="str">
        <f>IF(NOTA[[#This Row],[CONCAT4]]="","",_xlfn.IFNA(MATCH(NOTA[[#This Row],[CONCAT4]],[2]!RAW[CONCAT_H],0),FALSE))</f>
        <v/>
      </c>
      <c r="AR448" s="38">
        <f>IF(NOTA[[#This Row],[CONCAT1]]="","",MATCH(NOTA[[#This Row],[CONCAT1]],[3]!db[NB NOTA_C],0))</f>
        <v>2156</v>
      </c>
      <c r="AS448" s="38" t="str">
        <f>IF(NOTA[[#This Row],[QTY/ CTN]]="","",TRUE)</f>
        <v/>
      </c>
      <c r="AT448" s="38" t="str">
        <f ca="1">IF(NOTA[[#This Row],[ID_H]]="","",IF(NOTA[[#This Row],[Column3]]=TRUE,NOTA[[#This Row],[QTY/ CTN]],INDEX([3]!db[QTY/ CTN],NOTA[[#This Row],[//DB]])))</f>
        <v>288 PCS</v>
      </c>
      <c r="AU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V448" s="38" t="e">
        <f ca="1">IF(NOTA[[#This Row],[ID_H]]="","",MATCH(NOTA[[#This Row],[NB NOTA_C_QTY]],[4]!db[NB NOTA_C_QTY+F],0))</f>
        <v>#REF!</v>
      </c>
      <c r="AW448" s="53">
        <f ca="1">IF(NOTA[[#This Row],[NB NOTA_C_QTY]]="","",ROW()-2)</f>
        <v>446</v>
      </c>
    </row>
    <row r="449" spans="1:49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76</v>
      </c>
      <c r="E449" s="46"/>
      <c r="F449" s="37"/>
      <c r="G449" s="37"/>
      <c r="H449" s="47"/>
      <c r="I449" s="37"/>
      <c r="J449" s="39"/>
      <c r="K449" s="37"/>
      <c r="L449" s="37" t="s">
        <v>561</v>
      </c>
      <c r="M449" s="40"/>
      <c r="N449" s="38">
        <v>72</v>
      </c>
      <c r="O449" s="37" t="s">
        <v>126</v>
      </c>
      <c r="P449" s="41">
        <v>4800</v>
      </c>
      <c r="Q449" s="42"/>
      <c r="R449" s="48"/>
      <c r="S449" s="49">
        <v>0.125</v>
      </c>
      <c r="T449" s="44">
        <v>0.05</v>
      </c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345600</v>
      </c>
      <c r="Y449" s="50">
        <f>IF(NOTA[[#This Row],[JUMLAH]]="","",NOTA[[#This Row],[JUMLAH]]*NOTA[[#This Row],[DISC 1]])</f>
        <v>43200</v>
      </c>
      <c r="Z449" s="50">
        <f>IF(NOTA[[#This Row],[JUMLAH]]="","",(NOTA[[#This Row],[JUMLAH]]-NOTA[[#This Row],[DISC 1-]])*NOTA[[#This Row],[DISC 2]])</f>
        <v>15120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58320</v>
      </c>
      <c r="AC449" s="50">
        <f>IF(NOTA[[#This Row],[JUMLAH]]="","",NOTA[[#This Row],[JUMLAH]]-NOTA[[#This Row],[DISC]])</f>
        <v>287280</v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49" s="4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G449" s="50">
        <f>IF(OR(NOTA[[#This Row],[QTY]]="",NOTA[[#This Row],[HARGA SATUAN]]="",),"",NOTA[[#This Row],[QTY]]*NOTA[[#This Row],[HARGA SATUAN]])</f>
        <v>345600</v>
      </c>
      <c r="AH449" s="39">
        <f ca="1">IF(NOTA[ID_H]="","",INDEX(NOTA[TANGGAL],MATCH(,INDIRECT(ADDRESS(ROW(NOTA[TANGGAL]),COLUMN(NOTA[TANGGAL]))&amp;":"&amp;ADDRESS(ROW(),COLUMN(NOTA[TANGGAL]))),-1)))</f>
        <v>45190</v>
      </c>
      <c r="AI449" s="41" t="str">
        <f ca="1">IF(NOTA[[#This Row],[NAMA BARANG]]="","",INDEX(NOTA[SUPPLIER],MATCH(,INDIRECT(ADDRESS(ROW(NOTA[ID]),COLUMN(NOTA[ID]))&amp;":"&amp;ADDRESS(ROW(),COLUMN(NOTA[ID]))),-1)))</f>
        <v>ATALI MAKMUR</v>
      </c>
      <c r="AJ449" s="41" t="str">
        <f ca="1">IF(NOTA[[#This Row],[ID_H]]="","",IF(NOTA[[#This Row],[FAKTUR]]="",INDIRECT(ADDRESS(ROW()-1,COLUMN())),NOTA[[#This Row],[FAKTUR]]))</f>
        <v>ARTO MORO</v>
      </c>
      <c r="AK449" s="38" t="str">
        <f ca="1">IF(NOTA[[#This Row],[ID]]="","",COUNTIF(NOTA[ID_H],NOTA[[#This Row],[ID_H]]))</f>
        <v/>
      </c>
      <c r="AL449" s="38">
        <f ca="1">IF(NOTA[[#This Row],[TGL.NOTA]]="",IF(NOTA[[#This Row],[SUPPLIER_H]]="","",AL448),MONTH(NOTA[[#This Row],[TGL.NOTA]]))</f>
        <v>9</v>
      </c>
      <c r="AM449" s="3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N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O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P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38" t="str">
        <f>IF(NOTA[[#This Row],[CONCAT4]]="","",_xlfn.IFNA(MATCH(NOTA[[#This Row],[CONCAT4]],[2]!RAW[CONCAT_H],0),FALSE))</f>
        <v/>
      </c>
      <c r="AR449" s="38">
        <f>IF(NOTA[[#This Row],[CONCAT1]]="","",MATCH(NOTA[[#This Row],[CONCAT1]],[3]!db[NB NOTA_C],0))</f>
        <v>2157</v>
      </c>
      <c r="AS449" s="38" t="str">
        <f>IF(NOTA[[#This Row],[QTY/ CTN]]="","",TRUE)</f>
        <v/>
      </c>
      <c r="AT449" s="38" t="str">
        <f ca="1">IF(NOTA[[#This Row],[ID_H]]="","",IF(NOTA[[#This Row],[Column3]]=TRUE,NOTA[[#This Row],[QTY/ CTN]],INDEX([3]!db[QTY/ CTN],NOTA[[#This Row],[//DB]])))</f>
        <v>288 PCS</v>
      </c>
      <c r="AU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V449" s="38" t="e">
        <f ca="1">IF(NOTA[[#This Row],[ID_H]]="","",MATCH(NOTA[[#This Row],[NB NOTA_C_QTY]],[4]!db[NB NOTA_C_QTY+F],0))</f>
        <v>#REF!</v>
      </c>
      <c r="AW449" s="53">
        <f ca="1">IF(NOTA[[#This Row],[NB NOTA_C_QTY]]="","",ROW()-2)</f>
        <v>447</v>
      </c>
    </row>
    <row r="450" spans="1:49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76</v>
      </c>
      <c r="E450" s="46"/>
      <c r="F450" s="37"/>
      <c r="G450" s="37"/>
      <c r="H450" s="47"/>
      <c r="I450" s="37"/>
      <c r="J450" s="39"/>
      <c r="K450" s="37"/>
      <c r="L450" s="37" t="s">
        <v>562</v>
      </c>
      <c r="M450" s="40"/>
      <c r="N450" s="38">
        <v>144</v>
      </c>
      <c r="O450" s="37" t="s">
        <v>126</v>
      </c>
      <c r="P450" s="41">
        <v>4800</v>
      </c>
      <c r="Q450" s="42"/>
      <c r="R450" s="48"/>
      <c r="S450" s="49">
        <v>0.125</v>
      </c>
      <c r="T450" s="44">
        <v>0.05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691200</v>
      </c>
      <c r="Y450" s="50">
        <f>IF(NOTA[[#This Row],[JUMLAH]]="","",NOTA[[#This Row],[JUMLAH]]*NOTA[[#This Row],[DISC 1]])</f>
        <v>86400</v>
      </c>
      <c r="Z450" s="50">
        <f>IF(NOTA[[#This Row],[JUMLAH]]="","",(NOTA[[#This Row],[JUMLAH]]-NOTA[[#This Row],[DISC 1-]])*NOTA[[#This Row],[DISC 2]])</f>
        <v>30240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116640</v>
      </c>
      <c r="AC450" s="50">
        <f>IF(NOTA[[#This Row],[JUMLAH]]="","",NOTA[[#This Row],[JUMLAH]]-NOTA[[#This Row],[DISC]])</f>
        <v>574560</v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0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G450" s="50">
        <f>IF(OR(NOTA[[#This Row],[QTY]]="",NOTA[[#This Row],[HARGA SATUAN]]="",),"",NOTA[[#This Row],[QTY]]*NOTA[[#This Row],[HARGA SATUAN]])</f>
        <v>691200</v>
      </c>
      <c r="AH450" s="39">
        <f ca="1">IF(NOTA[ID_H]="","",INDEX(NOTA[TANGGAL],MATCH(,INDIRECT(ADDRESS(ROW(NOTA[TANGGAL]),COLUMN(NOTA[TANGGAL]))&amp;":"&amp;ADDRESS(ROW(),COLUMN(NOTA[TANGGAL]))),-1)))</f>
        <v>45190</v>
      </c>
      <c r="AI450" s="41" t="str">
        <f ca="1">IF(NOTA[[#This Row],[NAMA BARANG]]="","",INDEX(NOTA[SUPPLIER],MATCH(,INDIRECT(ADDRESS(ROW(NOTA[ID]),COLUMN(NOTA[ID]))&amp;":"&amp;ADDRESS(ROW(),COLUMN(NOTA[ID]))),-1)))</f>
        <v>ATALI MAKMUR</v>
      </c>
      <c r="AJ450" s="41" t="str">
        <f ca="1">IF(NOTA[[#This Row],[ID_H]]="","",IF(NOTA[[#This Row],[FAKTUR]]="",INDIRECT(ADDRESS(ROW()-1,COLUMN())),NOTA[[#This Row],[FAKTUR]]))</f>
        <v>ARTO MORO</v>
      </c>
      <c r="AK450" s="38" t="str">
        <f ca="1">IF(NOTA[[#This Row],[ID]]="","",COUNTIF(NOTA[ID_H],NOTA[[#This Row],[ID_H]]))</f>
        <v/>
      </c>
      <c r="AL450" s="38">
        <f ca="1">IF(NOTA[[#This Row],[TGL.NOTA]]="",IF(NOTA[[#This Row],[SUPPLIER_H]]="","",AL449),MONTH(NOTA[[#This Row],[TGL.NOTA]]))</f>
        <v>9</v>
      </c>
      <c r="AM450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38" t="str">
        <f>IF(NOTA[[#This Row],[CONCAT4]]="","",_xlfn.IFNA(MATCH(NOTA[[#This Row],[CONCAT4]],[2]!RAW[CONCAT_H],0),FALSE))</f>
        <v/>
      </c>
      <c r="AR450" s="38">
        <f>IF(NOTA[[#This Row],[CONCAT1]]="","",MATCH(NOTA[[#This Row],[CONCAT1]],[3]!db[NB NOTA_C],0))</f>
        <v>2151</v>
      </c>
      <c r="AS450" s="38" t="str">
        <f>IF(NOTA[[#This Row],[QTY/ CTN]]="","",TRUE)</f>
        <v/>
      </c>
      <c r="AT450" s="38" t="str">
        <f ca="1">IF(NOTA[[#This Row],[ID_H]]="","",IF(NOTA[[#This Row],[Column3]]=TRUE,NOTA[[#This Row],[QTY/ CTN]],INDEX([3]!db[QTY/ CTN],NOTA[[#This Row],[//DB]])))</f>
        <v>288 PCS</v>
      </c>
      <c r="AU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V450" s="38" t="e">
        <f ca="1">IF(NOTA[[#This Row],[ID_H]]="","",MATCH(NOTA[[#This Row],[NB NOTA_C_QTY]],[4]!db[NB NOTA_C_QTY+F],0))</f>
        <v>#REF!</v>
      </c>
      <c r="AW450" s="53">
        <f ca="1">IF(NOTA[[#This Row],[NB NOTA_C_QTY]]="","",ROW()-2)</f>
        <v>448</v>
      </c>
    </row>
    <row r="451" spans="1:49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76</v>
      </c>
      <c r="E451" s="46"/>
      <c r="F451" s="37"/>
      <c r="G451" s="37"/>
      <c r="H451" s="47"/>
      <c r="I451" s="37"/>
      <c r="J451" s="39"/>
      <c r="K451" s="37"/>
      <c r="L451" s="37" t="s">
        <v>563</v>
      </c>
      <c r="M451" s="40"/>
      <c r="N451" s="38">
        <v>144</v>
      </c>
      <c r="O451" s="37" t="s">
        <v>126</v>
      </c>
      <c r="P451" s="41">
        <v>4800</v>
      </c>
      <c r="Q451" s="42"/>
      <c r="R451" s="48"/>
      <c r="S451" s="49">
        <v>0.125</v>
      </c>
      <c r="T451" s="44">
        <v>0.05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691200</v>
      </c>
      <c r="Y451" s="50">
        <f>IF(NOTA[[#This Row],[JUMLAH]]="","",NOTA[[#This Row],[JUMLAH]]*NOTA[[#This Row],[DISC 1]])</f>
        <v>86400</v>
      </c>
      <c r="Z451" s="50">
        <f>IF(NOTA[[#This Row],[JUMLAH]]="","",(NOTA[[#This Row],[JUMLAH]]-NOTA[[#This Row],[DISC 1-]])*NOTA[[#This Row],[DISC 2]])</f>
        <v>30240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116640</v>
      </c>
      <c r="AC451" s="50">
        <f>IF(NOTA[[#This Row],[JUMLAH]]="","",NOTA[[#This Row],[JUMLAH]]-NOTA[[#This Row],[DISC]])</f>
        <v>574560</v>
      </c>
      <c r="AD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3632445</v>
      </c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17893155</v>
      </c>
      <c r="AF451" s="4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G451" s="50">
        <f>IF(OR(NOTA[[#This Row],[QTY]]="",NOTA[[#This Row],[HARGA SATUAN]]="",),"",NOTA[[#This Row],[QTY]]*NOTA[[#This Row],[HARGA SATUAN]])</f>
        <v>691200</v>
      </c>
      <c r="AH451" s="39">
        <f ca="1">IF(NOTA[ID_H]="","",INDEX(NOTA[TANGGAL],MATCH(,INDIRECT(ADDRESS(ROW(NOTA[TANGGAL]),COLUMN(NOTA[TANGGAL]))&amp;":"&amp;ADDRESS(ROW(),COLUMN(NOTA[TANGGAL]))),-1)))</f>
        <v>45190</v>
      </c>
      <c r="AI451" s="41" t="str">
        <f ca="1">IF(NOTA[[#This Row],[NAMA BARANG]]="","",INDEX(NOTA[SUPPLIER],MATCH(,INDIRECT(ADDRESS(ROW(NOTA[ID]),COLUMN(NOTA[ID]))&amp;":"&amp;ADDRESS(ROW(),COLUMN(NOTA[ID]))),-1)))</f>
        <v>ATALI MAKMUR</v>
      </c>
      <c r="AJ451" s="41" t="str">
        <f ca="1">IF(NOTA[[#This Row],[ID_H]]="","",IF(NOTA[[#This Row],[FAKTUR]]="",INDIRECT(ADDRESS(ROW()-1,COLUMN())),NOTA[[#This Row],[FAKTUR]]))</f>
        <v>ARTO MORO</v>
      </c>
      <c r="AK451" s="38" t="str">
        <f ca="1">IF(NOTA[[#This Row],[ID]]="","",COUNTIF(NOTA[ID_H],NOTA[[#This Row],[ID_H]]))</f>
        <v/>
      </c>
      <c r="AL451" s="38">
        <f ca="1">IF(NOTA[[#This Row],[TGL.NOTA]]="",IF(NOTA[[#This Row],[SUPPLIER_H]]="","",AL450),MONTH(NOTA[[#This Row],[TGL.NOTA]]))</f>
        <v>9</v>
      </c>
      <c r="AM451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38" t="str">
        <f>IF(NOTA[[#This Row],[CONCAT4]]="","",_xlfn.IFNA(MATCH(NOTA[[#This Row],[CONCAT4]],[2]!RAW[CONCAT_H],0),FALSE))</f>
        <v/>
      </c>
      <c r="AR451" s="38">
        <f>IF(NOTA[[#This Row],[CONCAT1]]="","",MATCH(NOTA[[#This Row],[CONCAT1]],[3]!db[NB NOTA_C],0))</f>
        <v>2163</v>
      </c>
      <c r="AS451" s="38" t="str">
        <f>IF(NOTA[[#This Row],[QTY/ CTN]]="","",TRUE)</f>
        <v/>
      </c>
      <c r="AT451" s="38" t="str">
        <f ca="1">IF(NOTA[[#This Row],[ID_H]]="","",IF(NOTA[[#This Row],[Column3]]=TRUE,NOTA[[#This Row],[QTY/ CTN]],INDEX([3]!db[QTY/ CTN],NOTA[[#This Row],[//DB]])))</f>
        <v>288 PCS</v>
      </c>
      <c r="AU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V451" s="38" t="e">
        <f ca="1">IF(NOTA[[#This Row],[ID_H]]="","",MATCH(NOTA[[#This Row],[NB NOTA_C_QTY]],[4]!db[NB NOTA_C_QTY+F],0))</f>
        <v>#REF!</v>
      </c>
      <c r="AW451" s="53">
        <f ca="1">IF(NOTA[[#This Row],[NB NOTA_C_QTY]]="","",ROW()-2)</f>
        <v>449</v>
      </c>
    </row>
    <row r="452" spans="1:49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52" s="50" t="str">
        <f>IF(OR(NOTA[[#This Row],[QTY]]="",NOTA[[#This Row],[HARGA SATUAN]]="",),"",NOTA[[#This Row],[QTY]]*NOTA[[#This Row],[HARGA SATUAN]])</f>
        <v/>
      </c>
      <c r="AH452" s="39" t="str">
        <f ca="1">IF(NOTA[ID_H]="","",INDEX(NOTA[TANGGAL],MATCH(,INDIRECT(ADDRESS(ROW(NOTA[TANGGAL]),COLUMN(NOTA[TANGGAL]))&amp;":"&amp;ADDRESS(ROW(),COLUMN(NOTA[TANGGAL]))),-1)))</f>
        <v/>
      </c>
      <c r="AI452" s="41" t="str">
        <f ca="1">IF(NOTA[[#This Row],[NAMA BARANG]]="","",INDEX(NOTA[SUPPLIER],MATCH(,INDIRECT(ADDRESS(ROW(NOTA[ID]),COLUMN(NOTA[ID]))&amp;":"&amp;ADDRESS(ROW(),COLUMN(NOTA[ID]))),-1)))</f>
        <v/>
      </c>
      <c r="AJ452" s="41" t="str">
        <f ca="1">IF(NOTA[[#This Row],[ID_H]]="","",IF(NOTA[[#This Row],[FAKTUR]]="",INDIRECT(ADDRESS(ROW()-1,COLUMN())),NOTA[[#This Row],[FAKTUR]]))</f>
        <v/>
      </c>
      <c r="AK452" s="38" t="str">
        <f ca="1">IF(NOTA[[#This Row],[ID]]="","",COUNTIF(NOTA[ID_H],NOTA[[#This Row],[ID_H]]))</f>
        <v/>
      </c>
      <c r="AL452" s="38" t="str">
        <f ca="1">IF(NOTA[[#This Row],[TGL.NOTA]]="",IF(NOTA[[#This Row],[SUPPLIER_H]]="","",AL451),MONTH(NOTA[[#This Row],[TGL.NOTA]]))</f>
        <v/>
      </c>
      <c r="AM452" s="38" t="str">
        <f>LOWER(SUBSTITUTE(SUBSTITUTE(SUBSTITUTE(SUBSTITUTE(SUBSTITUTE(SUBSTITUTE(SUBSTITUTE(SUBSTITUTE(SUBSTITUTE(NOTA[NAMA BARANG]," ",),".",""),"-",""),"(",""),")",""),",",""),"/",""),"""",""),"+",""))</f>
        <v/>
      </c>
      <c r="AN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38" t="str">
        <f>IF(NOTA[[#This Row],[CONCAT4]]="","",_xlfn.IFNA(MATCH(NOTA[[#This Row],[CONCAT4]],[2]!RAW[CONCAT_H],0),FALSE))</f>
        <v/>
      </c>
      <c r="AR452" s="38" t="str">
        <f>IF(NOTA[[#This Row],[CONCAT1]]="","",MATCH(NOTA[[#This Row],[CONCAT1]],[3]!db[NB NOTA_C],0))</f>
        <v/>
      </c>
      <c r="AS452" s="38" t="str">
        <f>IF(NOTA[[#This Row],[QTY/ CTN]]="","",TRUE)</f>
        <v/>
      </c>
      <c r="AT452" s="38" t="str">
        <f ca="1">IF(NOTA[[#This Row],[ID_H]]="","",IF(NOTA[[#This Row],[Column3]]=TRUE,NOTA[[#This Row],[QTY/ CTN]],INDEX([3]!db[QTY/ CTN],NOTA[[#This Row],[//DB]])))</f>
        <v/>
      </c>
      <c r="AU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52" s="38" t="str">
        <f ca="1">IF(NOTA[[#This Row],[ID_H]]="","",MATCH(NOTA[[#This Row],[NB NOTA_C_QTY]],[4]!db[NB NOTA_C_QTY+F],0))</f>
        <v/>
      </c>
      <c r="AW452" s="53" t="str">
        <f ca="1">IF(NOTA[[#This Row],[NB NOTA_C_QTY]]="","",ROW()-2)</f>
        <v/>
      </c>
    </row>
    <row r="453" spans="1:49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KAL_2109_177-10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77</v>
      </c>
      <c r="E453" s="46"/>
      <c r="F453" s="37" t="s">
        <v>51</v>
      </c>
      <c r="G453" s="37" t="s">
        <v>23</v>
      </c>
      <c r="H453" s="47" t="s">
        <v>564</v>
      </c>
      <c r="I453" s="37"/>
      <c r="J453" s="39">
        <v>45189</v>
      </c>
      <c r="K453" s="37"/>
      <c r="L453" s="37" t="s">
        <v>565</v>
      </c>
      <c r="M453" s="40">
        <v>1</v>
      </c>
      <c r="N453" s="38">
        <v>160</v>
      </c>
      <c r="O453" s="37" t="s">
        <v>126</v>
      </c>
      <c r="P453" s="41">
        <v>32000</v>
      </c>
      <c r="Q453" s="42"/>
      <c r="R453" s="48"/>
      <c r="S453" s="49">
        <v>0.125</v>
      </c>
      <c r="T453" s="44">
        <v>0.05</v>
      </c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5120000</v>
      </c>
      <c r="Y453" s="50">
        <f>IF(NOTA[[#This Row],[JUMLAH]]="","",NOTA[[#This Row],[JUMLAH]]*NOTA[[#This Row],[DISC 1]])</f>
        <v>640000</v>
      </c>
      <c r="Z453" s="50">
        <f>IF(NOTA[[#This Row],[JUMLAH]]="","",(NOTA[[#This Row],[JUMLAH]]-NOTA[[#This Row],[DISC 1-]])*NOTA[[#This Row],[DISC 2]])</f>
        <v>224000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864000</v>
      </c>
      <c r="AC453" s="50">
        <f>IF(NOTA[[#This Row],[JUMLAH]]="","",NOTA[[#This Row],[JUMLAH]]-NOTA[[#This Row],[DISC]])</f>
        <v>4256000</v>
      </c>
      <c r="AD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3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G453" s="50">
        <f>IF(OR(NOTA[[#This Row],[QTY]]="",NOTA[[#This Row],[HARGA SATUAN]]="",),"",NOTA[[#This Row],[QTY]]*NOTA[[#This Row],[HARGA SATUAN]])</f>
        <v>5120000</v>
      </c>
      <c r="AH453" s="39">
        <f ca="1">IF(NOTA[ID_H]="","",INDEX(NOTA[TANGGAL],MATCH(,INDIRECT(ADDRESS(ROW(NOTA[TANGGAL]),COLUMN(NOTA[TANGGAL]))&amp;":"&amp;ADDRESS(ROW(),COLUMN(NOTA[TANGGAL]))),-1)))</f>
        <v>45190</v>
      </c>
      <c r="AI453" s="41" t="str">
        <f ca="1">IF(NOTA[[#This Row],[NAMA BARANG]]="","",INDEX(NOTA[SUPPLIER],MATCH(,INDIRECT(ADDRESS(ROW(NOTA[ID]),COLUMN(NOTA[ID]))&amp;":"&amp;ADDRESS(ROW(),COLUMN(NOTA[ID]))),-1)))</f>
        <v>KALINDO SUKSES</v>
      </c>
      <c r="AJ453" s="41" t="str">
        <f ca="1">IF(NOTA[[#This Row],[ID_H]]="","",IF(NOTA[[#This Row],[FAKTUR]]="",INDIRECT(ADDRESS(ROW()-1,COLUMN())),NOTA[[#This Row],[FAKTUR]]))</f>
        <v>ARTO MORO</v>
      </c>
      <c r="AK453" s="38">
        <f ca="1">IF(NOTA[[#This Row],[ID]]="","",COUNTIF(NOTA[ID_H],NOTA[[#This Row],[ID_H]]))</f>
        <v>10</v>
      </c>
      <c r="AL453" s="38">
        <f>IF(NOTA[[#This Row],[TGL.NOTA]]="",IF(NOTA[[#This Row],[SUPPLIER_H]]="","",AL452),MONTH(NOTA[[#This Row],[TGL.NOTA]]))</f>
        <v>9</v>
      </c>
      <c r="AM453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53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MOROSN2309217745189calculatorjoykocc37</v>
      </c>
      <c r="AQ453" s="38" t="e">
        <f>IF(NOTA[[#This Row],[CONCAT4]]="","",_xlfn.IFNA(MATCH(NOTA[[#This Row],[CONCAT4]],[2]!RAW[CONCAT_H],0),FALSE))</f>
        <v>#REF!</v>
      </c>
      <c r="AR453" s="38">
        <f>IF(NOTA[[#This Row],[CONCAT1]]="","",MATCH(NOTA[[#This Row],[CONCAT1]],[3]!db[NB NOTA_C],0))</f>
        <v>503</v>
      </c>
      <c r="AS453" s="38" t="str">
        <f>IF(NOTA[[#This Row],[QTY/ CTN]]="","",TRUE)</f>
        <v/>
      </c>
      <c r="AT453" s="38" t="str">
        <f ca="1">IF(NOTA[[#This Row],[ID_H]]="","",IF(NOTA[[#This Row],[Column3]]=TRUE,NOTA[[#This Row],[QTY/ CTN]],INDEX([3]!db[QTY/ CTN],NOTA[[#This Row],[//DB]])))</f>
        <v>160 PCS</v>
      </c>
      <c r="AU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V453" s="38" t="e">
        <f ca="1">IF(NOTA[[#This Row],[ID_H]]="","",MATCH(NOTA[[#This Row],[NB NOTA_C_QTY]],[4]!db[NB NOTA_C_QTY+F],0))</f>
        <v>#REF!</v>
      </c>
      <c r="AW453" s="53">
        <f ca="1">IF(NOTA[[#This Row],[NB NOTA_C_QTY]]="","",ROW()-2)</f>
        <v>451</v>
      </c>
    </row>
    <row r="454" spans="1:49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77</v>
      </c>
      <c r="E454" s="46"/>
      <c r="F454" s="37"/>
      <c r="G454" s="37"/>
      <c r="H454" s="47"/>
      <c r="I454" s="37"/>
      <c r="J454" s="39"/>
      <c r="K454" s="37"/>
      <c r="L454" s="37" t="s">
        <v>566</v>
      </c>
      <c r="M454" s="40">
        <v>1</v>
      </c>
      <c r="N454" s="38">
        <v>160</v>
      </c>
      <c r="O454" s="37" t="s">
        <v>126</v>
      </c>
      <c r="P454" s="41">
        <v>27500</v>
      </c>
      <c r="Q454" s="42"/>
      <c r="R454" s="48"/>
      <c r="S454" s="49">
        <v>0.125</v>
      </c>
      <c r="T454" s="44">
        <v>0.05</v>
      </c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4400000</v>
      </c>
      <c r="Y454" s="50">
        <f>IF(NOTA[[#This Row],[JUMLAH]]="","",NOTA[[#This Row],[JUMLAH]]*NOTA[[#This Row],[DISC 1]])</f>
        <v>550000</v>
      </c>
      <c r="Z454" s="50">
        <f>IF(NOTA[[#This Row],[JUMLAH]]="","",(NOTA[[#This Row],[JUMLAH]]-NOTA[[#This Row],[DISC 1-]])*NOTA[[#This Row],[DISC 2]])</f>
        <v>192500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742500</v>
      </c>
      <c r="AC454" s="50">
        <f>IF(NOTA[[#This Row],[JUMLAH]]="","",NOTA[[#This Row],[JUMLAH]]-NOTA[[#This Row],[DISC]])</f>
        <v>3657500</v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4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G454" s="50">
        <f>IF(OR(NOTA[[#This Row],[QTY]]="",NOTA[[#This Row],[HARGA SATUAN]]="",),"",NOTA[[#This Row],[QTY]]*NOTA[[#This Row],[HARGA SATUAN]])</f>
        <v>4400000</v>
      </c>
      <c r="AH454" s="39">
        <f ca="1">IF(NOTA[ID_H]="","",INDEX(NOTA[TANGGAL],MATCH(,INDIRECT(ADDRESS(ROW(NOTA[TANGGAL]),COLUMN(NOTA[TANGGAL]))&amp;":"&amp;ADDRESS(ROW(),COLUMN(NOTA[TANGGAL]))),-1)))</f>
        <v>45190</v>
      </c>
      <c r="AI454" s="41" t="str">
        <f ca="1">IF(NOTA[[#This Row],[NAMA BARANG]]="","",INDEX(NOTA[SUPPLIER],MATCH(,INDIRECT(ADDRESS(ROW(NOTA[ID]),COLUMN(NOTA[ID]))&amp;":"&amp;ADDRESS(ROW(),COLUMN(NOTA[ID]))),-1)))</f>
        <v>KALINDO SUKSES</v>
      </c>
      <c r="AJ454" s="41" t="str">
        <f ca="1">IF(NOTA[[#This Row],[ID_H]]="","",IF(NOTA[[#This Row],[FAKTUR]]="",INDIRECT(ADDRESS(ROW()-1,COLUMN())),NOTA[[#This Row],[FAKTUR]]))</f>
        <v>ARTO MORO</v>
      </c>
      <c r="AK454" s="38" t="str">
        <f ca="1">IF(NOTA[[#This Row],[ID]]="","",COUNTIF(NOTA[ID_H],NOTA[[#This Row],[ID_H]]))</f>
        <v/>
      </c>
      <c r="AL454" s="38">
        <f ca="1">IF(NOTA[[#This Row],[TGL.NOTA]]="",IF(NOTA[[#This Row],[SUPPLIER_H]]="","",AL453),MONTH(NOTA[[#This Row],[TGL.NOTA]]))</f>
        <v>9</v>
      </c>
      <c r="AM454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N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O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P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38" t="str">
        <f>IF(NOTA[[#This Row],[CONCAT4]]="","",_xlfn.IFNA(MATCH(NOTA[[#This Row],[CONCAT4]],[2]!RAW[CONCAT_H],0),FALSE))</f>
        <v/>
      </c>
      <c r="AR454" s="38">
        <f>IF(NOTA[[#This Row],[CONCAT1]]="","",MATCH(NOTA[[#This Row],[CONCAT1]],[3]!db[NB NOTA_C],0))</f>
        <v>504</v>
      </c>
      <c r="AS454" s="38" t="str">
        <f>IF(NOTA[[#This Row],[QTY/ CTN]]="","",TRUE)</f>
        <v/>
      </c>
      <c r="AT454" s="38" t="str">
        <f ca="1">IF(NOTA[[#This Row],[ID_H]]="","",IF(NOTA[[#This Row],[Column3]]=TRUE,NOTA[[#This Row],[QTY/ CTN]],INDEX([3]!db[QTY/ CTN],NOTA[[#This Row],[//DB]])))</f>
        <v>160 PCS</v>
      </c>
      <c r="AU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V454" s="38" t="e">
        <f ca="1">IF(NOTA[[#This Row],[ID_H]]="","",MATCH(NOTA[[#This Row],[NB NOTA_C_QTY]],[4]!db[NB NOTA_C_QTY+F],0))</f>
        <v>#REF!</v>
      </c>
      <c r="AW454" s="53">
        <f ca="1">IF(NOTA[[#This Row],[NB NOTA_C_QTY]]="","",ROW()-2)</f>
        <v>452</v>
      </c>
    </row>
    <row r="455" spans="1:49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77</v>
      </c>
      <c r="E455" s="46"/>
      <c r="F455" s="37"/>
      <c r="G455" s="37"/>
      <c r="H455" s="47"/>
      <c r="I455" s="37"/>
      <c r="J455" s="39"/>
      <c r="K455" s="37"/>
      <c r="L455" s="37" t="s">
        <v>567</v>
      </c>
      <c r="M455" s="40">
        <v>1</v>
      </c>
      <c r="N455" s="38">
        <v>60</v>
      </c>
      <c r="O455" s="37" t="s">
        <v>126</v>
      </c>
      <c r="P455" s="41">
        <v>79000</v>
      </c>
      <c r="Q455" s="42"/>
      <c r="R455" s="48"/>
      <c r="S455" s="49">
        <v>0.125</v>
      </c>
      <c r="T455" s="44">
        <v>0.05</v>
      </c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4740000</v>
      </c>
      <c r="Y455" s="50">
        <f>IF(NOTA[[#This Row],[JUMLAH]]="","",NOTA[[#This Row],[JUMLAH]]*NOTA[[#This Row],[DISC 1]])</f>
        <v>592500</v>
      </c>
      <c r="Z455" s="50">
        <f>IF(NOTA[[#This Row],[JUMLAH]]="","",(NOTA[[#This Row],[JUMLAH]]-NOTA[[#This Row],[DISC 1-]])*NOTA[[#This Row],[DISC 2]])</f>
        <v>207375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799875</v>
      </c>
      <c r="AC455" s="50">
        <f>IF(NOTA[[#This Row],[JUMLAH]]="","",NOTA[[#This Row],[JUMLAH]]-NOTA[[#This Row],[DISC]])</f>
        <v>3940125</v>
      </c>
      <c r="AD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5" s="41">
        <f>IF(NOTA[[#This Row],[NAMA BARANG]]="","",IF(NOTA[[#This Row],[JUMLAH_H]]="",NOTA[[#This Row],[HARGA/ CTN]],NOTA[[#This Row],[QTY]]*NOTA[[#This Row],[HARGA SATUAN]]/IF(ISNUMBER(NOTA[[#This Row],[C]]),NOTA[[#This Row],[C]],1)))</f>
        <v>4740000</v>
      </c>
      <c r="AG455" s="50">
        <f>IF(OR(NOTA[[#This Row],[QTY]]="",NOTA[[#This Row],[HARGA SATUAN]]="",),"",NOTA[[#This Row],[QTY]]*NOTA[[#This Row],[HARGA SATUAN]])</f>
        <v>4740000</v>
      </c>
      <c r="AH455" s="39">
        <f ca="1">IF(NOTA[ID_H]="","",INDEX(NOTA[TANGGAL],MATCH(,INDIRECT(ADDRESS(ROW(NOTA[TANGGAL]),COLUMN(NOTA[TANGGAL]))&amp;":"&amp;ADDRESS(ROW(),COLUMN(NOTA[TANGGAL]))),-1)))</f>
        <v>45190</v>
      </c>
      <c r="AI455" s="41" t="str">
        <f ca="1">IF(NOTA[[#This Row],[NAMA BARANG]]="","",INDEX(NOTA[SUPPLIER],MATCH(,INDIRECT(ADDRESS(ROW(NOTA[ID]),COLUMN(NOTA[ID]))&amp;":"&amp;ADDRESS(ROW(),COLUMN(NOTA[ID]))),-1)))</f>
        <v>KALINDO SUKSES</v>
      </c>
      <c r="AJ455" s="41" t="str">
        <f ca="1">IF(NOTA[[#This Row],[ID_H]]="","",IF(NOTA[[#This Row],[FAKTUR]]="",INDIRECT(ADDRESS(ROW()-1,COLUMN())),NOTA[[#This Row],[FAKTUR]]))</f>
        <v>ARTO MORO</v>
      </c>
      <c r="AK455" s="38" t="str">
        <f ca="1">IF(NOTA[[#This Row],[ID]]="","",COUNTIF(NOTA[ID_H],NOTA[[#This Row],[ID_H]]))</f>
        <v/>
      </c>
      <c r="AL455" s="38">
        <f ca="1">IF(NOTA[[#This Row],[TGL.NOTA]]="",IF(NOTA[[#This Row],[SUPPLIER_H]]="","",AL454),MONTH(NOTA[[#This Row],[TGL.NOTA]]))</f>
        <v>9</v>
      </c>
      <c r="AM455" s="38" t="str">
        <f>LOWER(SUBSTITUTE(SUBSTITUTE(SUBSTITUTE(SUBSTITUTE(SUBSTITUTE(SUBSTITUTE(SUBSTITUTE(SUBSTITUTE(SUBSTITUTE(NOTA[NAMA BARANG]," ",),".",""),"-",""),"(",""),")",""),",",""),"/",""),"""",""),"+",""))</f>
        <v>calculatorjoykocc800ch</v>
      </c>
      <c r="AN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calculatorjoykocc800ch47400000.1250.05</v>
      </c>
      <c r="AO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calculatorjoykocc800ch47400000.1250.05</v>
      </c>
      <c r="AP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38" t="str">
        <f>IF(NOTA[[#This Row],[CONCAT4]]="","",_xlfn.IFNA(MATCH(NOTA[[#This Row],[CONCAT4]],[2]!RAW[CONCAT_H],0),FALSE))</f>
        <v/>
      </c>
      <c r="AR455" s="38">
        <f>IF(NOTA[[#This Row],[CONCAT1]]="","",MATCH(NOTA[[#This Row],[CONCAT1]],[3]!db[NB NOTA_C],0))</f>
        <v>519</v>
      </c>
      <c r="AS455" s="38" t="str">
        <f>IF(NOTA[[#This Row],[QTY/ CTN]]="","",TRUE)</f>
        <v/>
      </c>
      <c r="AT455" s="38" t="str">
        <f ca="1">IF(NOTA[[#This Row],[ID_H]]="","",IF(NOTA[[#This Row],[Column3]]=TRUE,NOTA[[#This Row],[QTY/ CTN]],INDEX([3]!db[QTY/ CTN],NOTA[[#This Row],[//DB]])))</f>
        <v>60 PCS</v>
      </c>
      <c r="AU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calculatorjoykocc800ch60pcsartomoro</v>
      </c>
      <c r="AV455" s="38" t="e">
        <f ca="1">IF(NOTA[[#This Row],[ID_H]]="","",MATCH(NOTA[[#This Row],[NB NOTA_C_QTY]],[4]!db[NB NOTA_C_QTY+F],0))</f>
        <v>#REF!</v>
      </c>
      <c r="AW455" s="53">
        <f ca="1">IF(NOTA[[#This Row],[NB NOTA_C_QTY]]="","",ROW()-2)</f>
        <v>453</v>
      </c>
    </row>
    <row r="456" spans="1:49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77</v>
      </c>
      <c r="E456" s="46"/>
      <c r="F456" s="37"/>
      <c r="G456" s="37"/>
      <c r="H456" s="47"/>
      <c r="I456" s="37"/>
      <c r="J456" s="39"/>
      <c r="K456" s="37"/>
      <c r="L456" s="37" t="s">
        <v>568</v>
      </c>
      <c r="M456" s="40">
        <v>1</v>
      </c>
      <c r="N456" s="38">
        <v>60</v>
      </c>
      <c r="O456" s="37" t="s">
        <v>126</v>
      </c>
      <c r="P456" s="41">
        <v>82000</v>
      </c>
      <c r="Q456" s="42"/>
      <c r="R456" s="48"/>
      <c r="S456" s="49">
        <v>0.125</v>
      </c>
      <c r="T456" s="44">
        <v>0.05</v>
      </c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4920000</v>
      </c>
      <c r="Y456" s="50">
        <f>IF(NOTA[[#This Row],[JUMLAH]]="","",NOTA[[#This Row],[JUMLAH]]*NOTA[[#This Row],[DISC 1]])</f>
        <v>615000</v>
      </c>
      <c r="Z456" s="50">
        <f>IF(NOTA[[#This Row],[JUMLAH]]="","",(NOTA[[#This Row],[JUMLAH]]-NOTA[[#This Row],[DISC 1-]])*NOTA[[#This Row],[DISC 2]])</f>
        <v>215250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830250</v>
      </c>
      <c r="AC456" s="50">
        <f>IF(NOTA[[#This Row],[JUMLAH]]="","",NOTA[[#This Row],[JUMLAH]]-NOTA[[#This Row],[DISC]])</f>
        <v>4089750</v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6" s="4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G456" s="50">
        <f>IF(OR(NOTA[[#This Row],[QTY]]="",NOTA[[#This Row],[HARGA SATUAN]]="",),"",NOTA[[#This Row],[QTY]]*NOTA[[#This Row],[HARGA SATUAN]])</f>
        <v>4920000</v>
      </c>
      <c r="AH456" s="39">
        <f ca="1">IF(NOTA[ID_H]="","",INDEX(NOTA[TANGGAL],MATCH(,INDIRECT(ADDRESS(ROW(NOTA[TANGGAL]),COLUMN(NOTA[TANGGAL]))&amp;":"&amp;ADDRESS(ROW(),COLUMN(NOTA[TANGGAL]))),-1)))</f>
        <v>45190</v>
      </c>
      <c r="AI456" s="41" t="str">
        <f ca="1">IF(NOTA[[#This Row],[NAMA BARANG]]="","",INDEX(NOTA[SUPPLIER],MATCH(,INDIRECT(ADDRESS(ROW(NOTA[ID]),COLUMN(NOTA[ID]))&amp;":"&amp;ADDRESS(ROW(),COLUMN(NOTA[ID]))),-1)))</f>
        <v>KALINDO SUKSES</v>
      </c>
      <c r="AJ456" s="41" t="str">
        <f ca="1">IF(NOTA[[#This Row],[ID_H]]="","",IF(NOTA[[#This Row],[FAKTUR]]="",INDIRECT(ADDRESS(ROW()-1,COLUMN())),NOTA[[#This Row],[FAKTUR]]))</f>
        <v>ARTO MORO</v>
      </c>
      <c r="AK456" s="38" t="str">
        <f ca="1">IF(NOTA[[#This Row],[ID]]="","",COUNTIF(NOTA[ID_H],NOTA[[#This Row],[ID_H]]))</f>
        <v/>
      </c>
      <c r="AL456" s="38">
        <f ca="1">IF(NOTA[[#This Row],[TGL.NOTA]]="",IF(NOTA[[#This Row],[SUPPLIER_H]]="","",AL455),MONTH(NOTA[[#This Row],[TGL.NOTA]]))</f>
        <v>9</v>
      </c>
      <c r="AM456" s="38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38" t="str">
        <f>IF(NOTA[[#This Row],[CONCAT4]]="","",_xlfn.IFNA(MATCH(NOTA[[#This Row],[CONCAT4]],[2]!RAW[CONCAT_H],0),FALSE))</f>
        <v/>
      </c>
      <c r="AR456" s="38">
        <f>IF(NOTA[[#This Row],[CONCAT1]]="","",MATCH(NOTA[[#This Row],[CONCAT1]],[3]!db[NB NOTA_C],0))</f>
        <v>520</v>
      </c>
      <c r="AS456" s="38" t="str">
        <f>IF(NOTA[[#This Row],[QTY/ CTN]]="","",TRUE)</f>
        <v/>
      </c>
      <c r="AT456" s="38" t="str">
        <f ca="1">IF(NOTA[[#This Row],[ID_H]]="","",IF(NOTA[[#This Row],[Column3]]=TRUE,NOTA[[#This Row],[QTY/ CTN]],INDEX([3]!db[QTY/ CTN],NOTA[[#This Row],[//DB]])))</f>
        <v>60 PCS</v>
      </c>
      <c r="AU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calculatorjoykocc810ch60pcsartomoro</v>
      </c>
      <c r="AV456" s="38" t="e">
        <f ca="1">IF(NOTA[[#This Row],[ID_H]]="","",MATCH(NOTA[[#This Row],[NB NOTA_C_QTY]],[4]!db[NB NOTA_C_QTY+F],0))</f>
        <v>#REF!</v>
      </c>
      <c r="AW456" s="53">
        <f ca="1">IF(NOTA[[#This Row],[NB NOTA_C_QTY]]="","",ROW()-2)</f>
        <v>454</v>
      </c>
    </row>
    <row r="457" spans="1:49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77</v>
      </c>
      <c r="E457" s="46"/>
      <c r="F457" s="37"/>
      <c r="G457" s="37"/>
      <c r="H457" s="47"/>
      <c r="I457" s="37"/>
      <c r="J457" s="39"/>
      <c r="K457" s="37"/>
      <c r="L457" s="37" t="s">
        <v>569</v>
      </c>
      <c r="M457" s="40">
        <v>1</v>
      </c>
      <c r="N457" s="38">
        <v>120</v>
      </c>
      <c r="O457" s="37" t="s">
        <v>126</v>
      </c>
      <c r="P457" s="41">
        <v>47000</v>
      </c>
      <c r="Q457" s="42"/>
      <c r="R457" s="48"/>
      <c r="S457" s="49">
        <v>0.125</v>
      </c>
      <c r="T457" s="44">
        <v>0.05</v>
      </c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5640000</v>
      </c>
      <c r="Y457" s="50">
        <f>IF(NOTA[[#This Row],[JUMLAH]]="","",NOTA[[#This Row],[JUMLAH]]*NOTA[[#This Row],[DISC 1]])</f>
        <v>705000</v>
      </c>
      <c r="Z457" s="50">
        <f>IF(NOTA[[#This Row],[JUMLAH]]="","",(NOTA[[#This Row],[JUMLAH]]-NOTA[[#This Row],[DISC 1-]])*NOTA[[#This Row],[DISC 2]])</f>
        <v>246750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951750</v>
      </c>
      <c r="AC457" s="50">
        <f>IF(NOTA[[#This Row],[JUMLAH]]="","",NOTA[[#This Row],[JUMLAH]]-NOTA[[#This Row],[DISC]])</f>
        <v>4688250</v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7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G457" s="50">
        <f>IF(OR(NOTA[[#This Row],[QTY]]="",NOTA[[#This Row],[HARGA SATUAN]]="",),"",NOTA[[#This Row],[QTY]]*NOTA[[#This Row],[HARGA SATUAN]])</f>
        <v>5640000</v>
      </c>
      <c r="AH457" s="39">
        <f ca="1">IF(NOTA[ID_H]="","",INDEX(NOTA[TANGGAL],MATCH(,INDIRECT(ADDRESS(ROW(NOTA[TANGGAL]),COLUMN(NOTA[TANGGAL]))&amp;":"&amp;ADDRESS(ROW(),COLUMN(NOTA[TANGGAL]))),-1)))</f>
        <v>45190</v>
      </c>
      <c r="AI457" s="41" t="str">
        <f ca="1">IF(NOTA[[#This Row],[NAMA BARANG]]="","",INDEX(NOTA[SUPPLIER],MATCH(,INDIRECT(ADDRESS(ROW(NOTA[ID]),COLUMN(NOTA[ID]))&amp;":"&amp;ADDRESS(ROW(),COLUMN(NOTA[ID]))),-1)))</f>
        <v>KALINDO SUKSES</v>
      </c>
      <c r="AJ457" s="41" t="str">
        <f ca="1">IF(NOTA[[#This Row],[ID_H]]="","",IF(NOTA[[#This Row],[FAKTUR]]="",INDIRECT(ADDRESS(ROW()-1,COLUMN())),NOTA[[#This Row],[FAKTUR]]))</f>
        <v>ARTO MORO</v>
      </c>
      <c r="AK457" s="38" t="str">
        <f ca="1">IF(NOTA[[#This Row],[ID]]="","",COUNTIF(NOTA[ID_H],NOTA[[#This Row],[ID_H]]))</f>
        <v/>
      </c>
      <c r="AL457" s="38">
        <f ca="1">IF(NOTA[[#This Row],[TGL.NOTA]]="",IF(NOTA[[#This Row],[SUPPLIER_H]]="","",AL456),MONTH(NOTA[[#This Row],[TGL.NOTA]]))</f>
        <v>9</v>
      </c>
      <c r="AM457" s="38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7" s="38" t="str">
        <f>IF(NOTA[[#This Row],[CONCAT4]]="","",_xlfn.IFNA(MATCH(NOTA[[#This Row],[CONCAT4]],[2]!RAW[CONCAT_H],0),FALSE))</f>
        <v/>
      </c>
      <c r="AR457" s="38">
        <f>IF(NOTA[[#This Row],[CONCAT1]]="","",MATCH(NOTA[[#This Row],[CONCAT1]],[3]!db[NB NOTA_C],0))</f>
        <v>524</v>
      </c>
      <c r="AS457" s="38" t="str">
        <f>IF(NOTA[[#This Row],[QTY/ CTN]]="","",TRUE)</f>
        <v/>
      </c>
      <c r="AT457" s="38" t="str">
        <f ca="1">IF(NOTA[[#This Row],[ID_H]]="","",IF(NOTA[[#This Row],[Column3]]=TRUE,NOTA[[#This Row],[QTY/ CTN]],INDEX([3]!db[QTY/ CTN],NOTA[[#This Row],[//DB]])))</f>
        <v>120 PCS</v>
      </c>
      <c r="AU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calculatorjoykocc8a120pcsartomoro</v>
      </c>
      <c r="AV457" s="38" t="e">
        <f ca="1">IF(NOTA[[#This Row],[ID_H]]="","",MATCH(NOTA[[#This Row],[NB NOTA_C_QTY]],[4]!db[NB NOTA_C_QTY+F],0))</f>
        <v>#REF!</v>
      </c>
      <c r="AW457" s="53">
        <f ca="1">IF(NOTA[[#This Row],[NB NOTA_C_QTY]]="","",ROW()-2)</f>
        <v>455</v>
      </c>
    </row>
    <row r="458" spans="1:49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77</v>
      </c>
      <c r="E458" s="46"/>
      <c r="F458" s="37"/>
      <c r="G458" s="37"/>
      <c r="H458" s="47"/>
      <c r="I458" s="37"/>
      <c r="J458" s="39"/>
      <c r="K458" s="37"/>
      <c r="L458" s="37" t="s">
        <v>570</v>
      </c>
      <c r="M458" s="40">
        <v>1</v>
      </c>
      <c r="N458" s="38">
        <v>120</v>
      </c>
      <c r="O458" s="37" t="s">
        <v>126</v>
      </c>
      <c r="P458" s="41">
        <v>47000</v>
      </c>
      <c r="Q458" s="42"/>
      <c r="R458" s="48"/>
      <c r="S458" s="49">
        <v>0.125</v>
      </c>
      <c r="T458" s="44">
        <v>0.05</v>
      </c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5640000</v>
      </c>
      <c r="Y458" s="50">
        <f>IF(NOTA[[#This Row],[JUMLAH]]="","",NOTA[[#This Row],[JUMLAH]]*NOTA[[#This Row],[DISC 1]])</f>
        <v>705000</v>
      </c>
      <c r="Z458" s="50">
        <f>IF(NOTA[[#This Row],[JUMLAH]]="","",(NOTA[[#This Row],[JUMLAH]]-NOTA[[#This Row],[DISC 1-]])*NOTA[[#This Row],[DISC 2]])</f>
        <v>246750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951750</v>
      </c>
      <c r="AC458" s="50">
        <f>IF(NOTA[[#This Row],[JUMLAH]]="","",NOTA[[#This Row],[JUMLAH]]-NOTA[[#This Row],[DISC]])</f>
        <v>4688250</v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8" s="4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G458" s="50">
        <f>IF(OR(NOTA[[#This Row],[QTY]]="",NOTA[[#This Row],[HARGA SATUAN]]="",),"",NOTA[[#This Row],[QTY]]*NOTA[[#This Row],[HARGA SATUAN]])</f>
        <v>5640000</v>
      </c>
      <c r="AH458" s="39">
        <f ca="1">IF(NOTA[ID_H]="","",INDEX(NOTA[TANGGAL],MATCH(,INDIRECT(ADDRESS(ROW(NOTA[TANGGAL]),COLUMN(NOTA[TANGGAL]))&amp;":"&amp;ADDRESS(ROW(),COLUMN(NOTA[TANGGAL]))),-1)))</f>
        <v>45190</v>
      </c>
      <c r="AI458" s="41" t="str">
        <f ca="1">IF(NOTA[[#This Row],[NAMA BARANG]]="","",INDEX(NOTA[SUPPLIER],MATCH(,INDIRECT(ADDRESS(ROW(NOTA[ID]),COLUMN(NOTA[ID]))&amp;":"&amp;ADDRESS(ROW(),COLUMN(NOTA[ID]))),-1)))</f>
        <v>KALINDO SUKSES</v>
      </c>
      <c r="AJ458" s="41" t="str">
        <f ca="1">IF(NOTA[[#This Row],[ID_H]]="","",IF(NOTA[[#This Row],[FAKTUR]]="",INDIRECT(ADDRESS(ROW()-1,COLUMN())),NOTA[[#This Row],[FAKTUR]]))</f>
        <v>ARTO MORO</v>
      </c>
      <c r="AK458" s="38" t="str">
        <f ca="1">IF(NOTA[[#This Row],[ID]]="","",COUNTIF(NOTA[ID_H],NOTA[[#This Row],[ID_H]]))</f>
        <v/>
      </c>
      <c r="AL458" s="38">
        <f ca="1">IF(NOTA[[#This Row],[TGL.NOTA]]="",IF(NOTA[[#This Row],[SUPPLIER_H]]="","",AL457),MONTH(NOTA[[#This Row],[TGL.NOTA]]))</f>
        <v>9</v>
      </c>
      <c r="AM458" s="38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38" t="str">
        <f>IF(NOTA[[#This Row],[CONCAT4]]="","",_xlfn.IFNA(MATCH(NOTA[[#This Row],[CONCAT4]],[2]!RAW[CONCAT_H],0),FALSE))</f>
        <v/>
      </c>
      <c r="AR458" s="38">
        <f>IF(NOTA[[#This Row],[CONCAT1]]="","",MATCH(NOTA[[#This Row],[CONCAT1]],[3]!db[NB NOTA_C],0))</f>
        <v>486</v>
      </c>
      <c r="AS458" s="38" t="str">
        <f>IF(NOTA[[#This Row],[QTY/ CTN]]="","",TRUE)</f>
        <v/>
      </c>
      <c r="AT458" s="38" t="str">
        <f ca="1">IF(NOTA[[#This Row],[ID_H]]="","",IF(NOTA[[#This Row],[Column3]]=TRUE,NOTA[[#This Row],[QTY/ CTN]],INDEX([3]!db[QTY/ CTN],NOTA[[#This Row],[//DB]])))</f>
        <v>120 PCS</v>
      </c>
      <c r="AU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calculatorjoykocc15a120pcsartomoro</v>
      </c>
      <c r="AV458" s="38" t="e">
        <f ca="1">IF(NOTA[[#This Row],[ID_H]]="","",MATCH(NOTA[[#This Row],[NB NOTA_C_QTY]],[4]!db[NB NOTA_C_QTY+F],0))</f>
        <v>#REF!</v>
      </c>
      <c r="AW458" s="53">
        <f ca="1">IF(NOTA[[#This Row],[NB NOTA_C_QTY]]="","",ROW()-2)</f>
        <v>456</v>
      </c>
    </row>
    <row r="459" spans="1:49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77</v>
      </c>
      <c r="E459" s="46"/>
      <c r="F459" s="37"/>
      <c r="G459" s="37"/>
      <c r="H459" s="47"/>
      <c r="I459" s="37"/>
      <c r="J459" s="39"/>
      <c r="K459" s="37"/>
      <c r="L459" s="54" t="s">
        <v>571</v>
      </c>
      <c r="M459" s="40">
        <v>1</v>
      </c>
      <c r="N459" s="38">
        <v>60</v>
      </c>
      <c r="O459" s="37" t="s">
        <v>126</v>
      </c>
      <c r="P459" s="41">
        <v>74000</v>
      </c>
      <c r="Q459" s="42"/>
      <c r="R459" s="48"/>
      <c r="S459" s="49">
        <v>0.125</v>
      </c>
      <c r="T459" s="44">
        <v>0.05</v>
      </c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4440000</v>
      </c>
      <c r="Y459" s="50">
        <f>IF(NOTA[[#This Row],[JUMLAH]]="","",NOTA[[#This Row],[JUMLAH]]*NOTA[[#This Row],[DISC 1]])</f>
        <v>555000</v>
      </c>
      <c r="Z459" s="50">
        <f>IF(NOTA[[#This Row],[JUMLAH]]="","",(NOTA[[#This Row],[JUMLAH]]-NOTA[[#This Row],[DISC 1-]])*NOTA[[#This Row],[DISC 2]])</f>
        <v>194250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749250</v>
      </c>
      <c r="AC459" s="50">
        <f>IF(NOTA[[#This Row],[JUMLAH]]="","",NOTA[[#This Row],[JUMLAH]]-NOTA[[#This Row],[DISC]])</f>
        <v>3690750</v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59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G459" s="50">
        <f>IF(OR(NOTA[[#This Row],[QTY]]="",NOTA[[#This Row],[HARGA SATUAN]]="",),"",NOTA[[#This Row],[QTY]]*NOTA[[#This Row],[HARGA SATUAN]])</f>
        <v>4440000</v>
      </c>
      <c r="AH459" s="39">
        <f ca="1">IF(NOTA[ID_H]="","",INDEX(NOTA[TANGGAL],MATCH(,INDIRECT(ADDRESS(ROW(NOTA[TANGGAL]),COLUMN(NOTA[TANGGAL]))&amp;":"&amp;ADDRESS(ROW(),COLUMN(NOTA[TANGGAL]))),-1)))</f>
        <v>45190</v>
      </c>
      <c r="AI459" s="41" t="str">
        <f ca="1">IF(NOTA[[#This Row],[NAMA BARANG]]="","",INDEX(NOTA[SUPPLIER],MATCH(,INDIRECT(ADDRESS(ROW(NOTA[ID]),COLUMN(NOTA[ID]))&amp;":"&amp;ADDRESS(ROW(),COLUMN(NOTA[ID]))),-1)))</f>
        <v>KALINDO SUKSES</v>
      </c>
      <c r="AJ459" s="41" t="str">
        <f ca="1">IF(NOTA[[#This Row],[ID_H]]="","",IF(NOTA[[#This Row],[FAKTUR]]="",INDIRECT(ADDRESS(ROW()-1,COLUMN())),NOTA[[#This Row],[FAKTUR]]))</f>
        <v>ARTO MORO</v>
      </c>
      <c r="AK459" s="38" t="str">
        <f ca="1">IF(NOTA[[#This Row],[ID]]="","",COUNTIF(NOTA[ID_H],NOTA[[#This Row],[ID_H]]))</f>
        <v/>
      </c>
      <c r="AL459" s="38">
        <f ca="1">IF(NOTA[[#This Row],[TGL.NOTA]]="",IF(NOTA[[#This Row],[SUPPLIER_H]]="","",AL458),MONTH(NOTA[[#This Row],[TGL.NOTA]]))</f>
        <v>9</v>
      </c>
      <c r="AM459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N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O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P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38" t="str">
        <f>IF(NOTA[[#This Row],[CONCAT4]]="","",_xlfn.IFNA(MATCH(NOTA[[#This Row],[CONCAT4]],[2]!RAW[CONCAT_H],0),FALSE))</f>
        <v/>
      </c>
      <c r="AR459" s="38">
        <f>IF(NOTA[[#This Row],[CONCAT1]]="","",MATCH(NOTA[[#This Row],[CONCAT1]],[3]!db[NB NOTA_C],0))</f>
        <v>506</v>
      </c>
      <c r="AS459" s="38" t="str">
        <f>IF(NOTA[[#This Row],[QTY/ CTN]]="","",TRUE)</f>
        <v/>
      </c>
      <c r="AT459" s="38" t="str">
        <f ca="1">IF(NOTA[[#This Row],[ID_H]]="","",IF(NOTA[[#This Row],[Column3]]=TRUE,NOTA[[#This Row],[QTY/ CTN]],INDEX([3]!db[QTY/ CTN],NOTA[[#This Row],[//DB]])))</f>
        <v>60 PCS</v>
      </c>
      <c r="AU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V459" s="38" t="e">
        <f ca="1">IF(NOTA[[#This Row],[ID_H]]="","",MATCH(NOTA[[#This Row],[NB NOTA_C_QTY]],[4]!db[NB NOTA_C_QTY+F],0))</f>
        <v>#REF!</v>
      </c>
      <c r="AW459" s="53">
        <f ca="1">IF(NOTA[[#This Row],[NB NOTA_C_QTY]]="","",ROW()-2)</f>
        <v>457</v>
      </c>
    </row>
    <row r="460" spans="1:49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77</v>
      </c>
      <c r="E460" s="46"/>
      <c r="F460" s="37"/>
      <c r="G460" s="37"/>
      <c r="H460" s="47"/>
      <c r="I460" s="37"/>
      <c r="J460" s="39"/>
      <c r="K460" s="37"/>
      <c r="L460" s="54" t="s">
        <v>572</v>
      </c>
      <c r="M460" s="40"/>
      <c r="N460" s="38">
        <v>40</v>
      </c>
      <c r="O460" s="37" t="s">
        <v>126</v>
      </c>
      <c r="P460" s="41">
        <v>47000</v>
      </c>
      <c r="Q460" s="42"/>
      <c r="R460" s="48"/>
      <c r="S460" s="49">
        <v>0.125</v>
      </c>
      <c r="T460" s="44">
        <v>0.05</v>
      </c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1880000</v>
      </c>
      <c r="Y460" s="50">
        <f>IF(NOTA[[#This Row],[JUMLAH]]="","",NOTA[[#This Row],[JUMLAH]]*NOTA[[#This Row],[DISC 1]])</f>
        <v>235000</v>
      </c>
      <c r="Z460" s="50">
        <f>IF(NOTA[[#This Row],[JUMLAH]]="","",(NOTA[[#This Row],[JUMLAH]]-NOTA[[#This Row],[DISC 1-]])*NOTA[[#This Row],[DISC 2]])</f>
        <v>82250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317250</v>
      </c>
      <c r="AC460" s="50">
        <f>IF(NOTA[[#This Row],[JUMLAH]]="","",NOTA[[#This Row],[JUMLAH]]-NOTA[[#This Row],[DISC]])</f>
        <v>1562750</v>
      </c>
      <c r="AD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0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G460" s="50">
        <f>IF(OR(NOTA[[#This Row],[QTY]]="",NOTA[[#This Row],[HARGA SATUAN]]="",),"",NOTA[[#This Row],[QTY]]*NOTA[[#This Row],[HARGA SATUAN]])</f>
        <v>1880000</v>
      </c>
      <c r="AH460" s="39">
        <f ca="1">IF(NOTA[ID_H]="","",INDEX(NOTA[TANGGAL],MATCH(,INDIRECT(ADDRESS(ROW(NOTA[TANGGAL]),COLUMN(NOTA[TANGGAL]))&amp;":"&amp;ADDRESS(ROW(),COLUMN(NOTA[TANGGAL]))),-1)))</f>
        <v>45190</v>
      </c>
      <c r="AI460" s="41" t="str">
        <f ca="1">IF(NOTA[[#This Row],[NAMA BARANG]]="","",INDEX(NOTA[SUPPLIER],MATCH(,INDIRECT(ADDRESS(ROW(NOTA[ID]),COLUMN(NOTA[ID]))&amp;":"&amp;ADDRESS(ROW(),COLUMN(NOTA[ID]))),-1)))</f>
        <v>KALINDO SUKSES</v>
      </c>
      <c r="AJ460" s="41" t="str">
        <f ca="1">IF(NOTA[[#This Row],[ID_H]]="","",IF(NOTA[[#This Row],[FAKTUR]]="",INDIRECT(ADDRESS(ROW()-1,COLUMN())),NOTA[[#This Row],[FAKTUR]]))</f>
        <v>ARTO MORO</v>
      </c>
      <c r="AK460" s="38" t="str">
        <f ca="1">IF(NOTA[[#This Row],[ID]]="","",COUNTIF(NOTA[ID_H],NOTA[[#This Row],[ID_H]]))</f>
        <v/>
      </c>
      <c r="AL460" s="38">
        <f ca="1">IF(NOTA[[#This Row],[TGL.NOTA]]="",IF(NOTA[[#This Row],[SUPPLIER_H]]="","",AL459),MONTH(NOTA[[#This Row],[TGL.NOTA]]))</f>
        <v>9</v>
      </c>
      <c r="AM460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38" t="str">
        <f>IF(NOTA[[#This Row],[CONCAT4]]="","",_xlfn.IFNA(MATCH(NOTA[[#This Row],[CONCAT4]],[2]!RAW[CONCAT_H],0),FALSE))</f>
        <v/>
      </c>
      <c r="AR460" s="38">
        <f>IF(NOTA[[#This Row],[CONCAT1]]="","",MATCH(NOTA[[#This Row],[CONCAT1]],[3]!db[NB NOTA_C],0))</f>
        <v>525</v>
      </c>
      <c r="AS460" s="38" t="str">
        <f>IF(NOTA[[#This Row],[QTY/ CTN]]="","",TRUE)</f>
        <v/>
      </c>
      <c r="AT460" s="38" t="str">
        <f ca="1">IF(NOTA[[#This Row],[ID_H]]="","",IF(NOTA[[#This Row],[Column3]]=TRUE,NOTA[[#This Row],[QTY/ CTN]],INDEX([3]!db[QTY/ CTN],NOTA[[#This Row],[//DB]])))</f>
        <v>120 PCS</v>
      </c>
      <c r="AU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V460" s="38" t="e">
        <f ca="1">IF(NOTA[[#This Row],[ID_H]]="","",MATCH(NOTA[[#This Row],[NB NOTA_C_QTY]],[4]!db[NB NOTA_C_QTY+F],0))</f>
        <v>#REF!</v>
      </c>
      <c r="AW460" s="53">
        <f ca="1">IF(NOTA[[#This Row],[NB NOTA_C_QTY]]="","",ROW()-2)</f>
        <v>458</v>
      </c>
    </row>
    <row r="461" spans="1:49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77</v>
      </c>
      <c r="E461" s="46"/>
      <c r="F461" s="37"/>
      <c r="G461" s="37"/>
      <c r="H461" s="47"/>
      <c r="I461" s="37"/>
      <c r="J461" s="39"/>
      <c r="K461" s="37"/>
      <c r="L461" s="54" t="s">
        <v>573</v>
      </c>
      <c r="M461" s="40"/>
      <c r="N461" s="38">
        <v>40</v>
      </c>
      <c r="O461" s="37" t="s">
        <v>126</v>
      </c>
      <c r="P461" s="41">
        <v>47000</v>
      </c>
      <c r="Q461" s="42"/>
      <c r="R461" s="48"/>
      <c r="S461" s="49">
        <v>0.125</v>
      </c>
      <c r="T461" s="44">
        <v>0.05</v>
      </c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1880000</v>
      </c>
      <c r="Y461" s="50">
        <f>IF(NOTA[[#This Row],[JUMLAH]]="","",NOTA[[#This Row],[JUMLAH]]*NOTA[[#This Row],[DISC 1]])</f>
        <v>235000</v>
      </c>
      <c r="Z461" s="50">
        <f>IF(NOTA[[#This Row],[JUMLAH]]="","",(NOTA[[#This Row],[JUMLAH]]-NOTA[[#This Row],[DISC 1-]])*NOTA[[#This Row],[DISC 2]])</f>
        <v>82250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317250</v>
      </c>
      <c r="AC461" s="50">
        <f>IF(NOTA[[#This Row],[JUMLAH]]="","",NOTA[[#This Row],[JUMLAH]]-NOTA[[#This Row],[DISC]])</f>
        <v>1562750</v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1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G461" s="50">
        <f>IF(OR(NOTA[[#This Row],[QTY]]="",NOTA[[#This Row],[HARGA SATUAN]]="",),"",NOTA[[#This Row],[QTY]]*NOTA[[#This Row],[HARGA SATUAN]])</f>
        <v>1880000</v>
      </c>
      <c r="AH461" s="39">
        <f ca="1">IF(NOTA[ID_H]="","",INDEX(NOTA[TANGGAL],MATCH(,INDIRECT(ADDRESS(ROW(NOTA[TANGGAL]),COLUMN(NOTA[TANGGAL]))&amp;":"&amp;ADDRESS(ROW(),COLUMN(NOTA[TANGGAL]))),-1)))</f>
        <v>45190</v>
      </c>
      <c r="AI461" s="41" t="str">
        <f ca="1">IF(NOTA[[#This Row],[NAMA BARANG]]="","",INDEX(NOTA[SUPPLIER],MATCH(,INDIRECT(ADDRESS(ROW(NOTA[ID]),COLUMN(NOTA[ID]))&amp;":"&amp;ADDRESS(ROW(),COLUMN(NOTA[ID]))),-1)))</f>
        <v>KALINDO SUKSES</v>
      </c>
      <c r="AJ461" s="41" t="str">
        <f ca="1">IF(NOTA[[#This Row],[ID_H]]="","",IF(NOTA[[#This Row],[FAKTUR]]="",INDIRECT(ADDRESS(ROW()-1,COLUMN())),NOTA[[#This Row],[FAKTUR]]))</f>
        <v>ARTO MORO</v>
      </c>
      <c r="AK461" s="38" t="str">
        <f ca="1">IF(NOTA[[#This Row],[ID]]="","",COUNTIF(NOTA[ID_H],NOTA[[#This Row],[ID_H]]))</f>
        <v/>
      </c>
      <c r="AL461" s="38">
        <f ca="1">IF(NOTA[[#This Row],[TGL.NOTA]]="",IF(NOTA[[#This Row],[SUPPLIER_H]]="","",AL460),MONTH(NOTA[[#This Row],[TGL.NOTA]]))</f>
        <v>9</v>
      </c>
      <c r="AM461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38" t="str">
        <f>IF(NOTA[[#This Row],[CONCAT4]]="","",_xlfn.IFNA(MATCH(NOTA[[#This Row],[CONCAT4]],[2]!RAW[CONCAT_H],0),FALSE))</f>
        <v/>
      </c>
      <c r="AR461" s="38">
        <f>IF(NOTA[[#This Row],[CONCAT1]]="","",MATCH(NOTA[[#This Row],[CONCAT1]],[3]!db[NB NOTA_C],0))</f>
        <v>517</v>
      </c>
      <c r="AS461" s="38" t="str">
        <f>IF(NOTA[[#This Row],[QTY/ CTN]]="","",TRUE)</f>
        <v/>
      </c>
      <c r="AT461" s="38" t="str">
        <f ca="1">IF(NOTA[[#This Row],[ID_H]]="","",IF(NOTA[[#This Row],[Column3]]=TRUE,NOTA[[#This Row],[QTY/ CTN]],INDEX([3]!db[QTY/ CTN],NOTA[[#This Row],[//DB]])))</f>
        <v>120 PCS</v>
      </c>
      <c r="AU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V461" s="38" t="e">
        <f ca="1">IF(NOTA[[#This Row],[ID_H]]="","",MATCH(NOTA[[#This Row],[NB NOTA_C_QTY]],[4]!db[NB NOTA_C_QTY+F],0))</f>
        <v>#REF!</v>
      </c>
      <c r="AW461" s="53">
        <f ca="1">IF(NOTA[[#This Row],[NB NOTA_C_QTY]]="","",ROW()-2)</f>
        <v>459</v>
      </c>
    </row>
    <row r="462" spans="1:49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77</v>
      </c>
      <c r="E462" s="46"/>
      <c r="F462" s="37"/>
      <c r="G462" s="37"/>
      <c r="H462" s="47"/>
      <c r="I462" s="37"/>
      <c r="J462" s="39"/>
      <c r="K462" s="37"/>
      <c r="L462" s="37" t="s">
        <v>574</v>
      </c>
      <c r="M462" s="40"/>
      <c r="N462" s="38">
        <v>40</v>
      </c>
      <c r="O462" s="37" t="s">
        <v>126</v>
      </c>
      <c r="P462" s="41">
        <v>47000</v>
      </c>
      <c r="Q462" s="42"/>
      <c r="R462" s="48"/>
      <c r="S462" s="49">
        <v>0.125</v>
      </c>
      <c r="T462" s="44">
        <v>0.05</v>
      </c>
      <c r="U462" s="44"/>
      <c r="V462" s="50">
        <v>529595.00190000061</v>
      </c>
      <c r="W462" s="45"/>
      <c r="X462" s="50">
        <f>IF(NOTA[[#This Row],[HARGA/ CTN]]="",NOTA[[#This Row],[JUMLAH_H]],NOTA[[#This Row],[HARGA/ CTN]]*IF(NOTA[[#This Row],[C]]="",0,NOTA[[#This Row],[C]]))</f>
        <v>1880000</v>
      </c>
      <c r="Y462" s="50">
        <f>IF(NOTA[[#This Row],[JUMLAH]]="","",NOTA[[#This Row],[JUMLAH]]*NOTA[[#This Row],[DISC 1]])</f>
        <v>235000</v>
      </c>
      <c r="Z462" s="50">
        <f>IF(NOTA[[#This Row],[JUMLAH]]="","",(NOTA[[#This Row],[JUMLAH]]-NOTA[[#This Row],[DISC 1-]])*NOTA[[#This Row],[DISC 2]])</f>
        <v>82250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317250</v>
      </c>
      <c r="AC462" s="50">
        <f>IF(NOTA[[#This Row],[JUMLAH]]="","",NOTA[[#This Row],[JUMLAH]]-NOTA[[#This Row],[DISC]])</f>
        <v>1562750</v>
      </c>
      <c r="AD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7370720.0019000005</v>
      </c>
      <c r="AE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33169279.998099998</v>
      </c>
      <c r="AF462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G462" s="50">
        <f>IF(OR(NOTA[[#This Row],[QTY]]="",NOTA[[#This Row],[HARGA SATUAN]]="",),"",NOTA[[#This Row],[QTY]]*NOTA[[#This Row],[HARGA SATUAN]])</f>
        <v>1880000</v>
      </c>
      <c r="AH462" s="39">
        <f ca="1">IF(NOTA[ID_H]="","",INDEX(NOTA[TANGGAL],MATCH(,INDIRECT(ADDRESS(ROW(NOTA[TANGGAL]),COLUMN(NOTA[TANGGAL]))&amp;":"&amp;ADDRESS(ROW(),COLUMN(NOTA[TANGGAL]))),-1)))</f>
        <v>45190</v>
      </c>
      <c r="AI462" s="41" t="str">
        <f ca="1">IF(NOTA[[#This Row],[NAMA BARANG]]="","",INDEX(NOTA[SUPPLIER],MATCH(,INDIRECT(ADDRESS(ROW(NOTA[ID]),COLUMN(NOTA[ID]))&amp;":"&amp;ADDRESS(ROW(),COLUMN(NOTA[ID]))),-1)))</f>
        <v>KALINDO SUKSES</v>
      </c>
      <c r="AJ462" s="41" t="str">
        <f ca="1">IF(NOTA[[#This Row],[ID_H]]="","",IF(NOTA[[#This Row],[FAKTUR]]="",INDIRECT(ADDRESS(ROW()-1,COLUMN())),NOTA[[#This Row],[FAKTUR]]))</f>
        <v>ARTO MORO</v>
      </c>
      <c r="AK462" s="38" t="str">
        <f ca="1">IF(NOTA[[#This Row],[ID]]="","",COUNTIF(NOTA[ID_H],NOTA[[#This Row],[ID_H]]))</f>
        <v/>
      </c>
      <c r="AL462" s="38">
        <f ca="1">IF(NOTA[[#This Row],[TGL.NOTA]]="",IF(NOTA[[#This Row],[SUPPLIER_H]]="","",AL461),MONTH(NOTA[[#This Row],[TGL.NOTA]]))</f>
        <v>9</v>
      </c>
      <c r="AM462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2" s="38" t="str">
        <f>IF(NOTA[[#This Row],[CONCAT4]]="","",_xlfn.IFNA(MATCH(NOTA[[#This Row],[CONCAT4]],[2]!RAW[CONCAT_H],0),FALSE))</f>
        <v/>
      </c>
      <c r="AR462" s="38">
        <f>IF(NOTA[[#This Row],[CONCAT1]]="","",MATCH(NOTA[[#This Row],[CONCAT1]],[3]!db[NB NOTA_C],0))</f>
        <v>526</v>
      </c>
      <c r="AS462" s="38" t="str">
        <f>IF(NOTA[[#This Row],[QTY/ CTN]]="","",TRUE)</f>
        <v/>
      </c>
      <c r="AT462" s="38" t="str">
        <f ca="1">IF(NOTA[[#This Row],[ID_H]]="","",IF(NOTA[[#This Row],[Column3]]=TRUE,NOTA[[#This Row],[QTY/ CTN]],INDEX([3]!db[QTY/ CTN],NOTA[[#This Row],[//DB]])))</f>
        <v>120 PCS</v>
      </c>
      <c r="AU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V462" s="38" t="e">
        <f ca="1">IF(NOTA[[#This Row],[ID_H]]="","",MATCH(NOTA[[#This Row],[NB NOTA_C_QTY]],[4]!db[NB NOTA_C_QTY+F],0))</f>
        <v>#REF!</v>
      </c>
      <c r="AW462" s="53">
        <f ca="1">IF(NOTA[[#This Row],[NB NOTA_C_QTY]]="","",ROW()-2)</f>
        <v>460</v>
      </c>
    </row>
    <row r="463" spans="1:49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37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63" s="50" t="str">
        <f>IF(OR(NOTA[[#This Row],[QTY]]="",NOTA[[#This Row],[HARGA SATUAN]]="",),"",NOTA[[#This Row],[QTY]]*NOTA[[#This Row],[HARGA SATUAN]])</f>
        <v/>
      </c>
      <c r="AH463" s="39" t="str">
        <f ca="1">IF(NOTA[ID_H]="","",INDEX(NOTA[TANGGAL],MATCH(,INDIRECT(ADDRESS(ROW(NOTA[TANGGAL]),COLUMN(NOTA[TANGGAL]))&amp;":"&amp;ADDRESS(ROW(),COLUMN(NOTA[TANGGAL]))),-1)))</f>
        <v/>
      </c>
      <c r="AI463" s="41" t="str">
        <f ca="1">IF(NOTA[[#This Row],[NAMA BARANG]]="","",INDEX(NOTA[SUPPLIER],MATCH(,INDIRECT(ADDRESS(ROW(NOTA[ID]),COLUMN(NOTA[ID]))&amp;":"&amp;ADDRESS(ROW(),COLUMN(NOTA[ID]))),-1)))</f>
        <v/>
      </c>
      <c r="AJ463" s="41" t="str">
        <f ca="1">IF(NOTA[[#This Row],[ID_H]]="","",IF(NOTA[[#This Row],[FAKTUR]]="",INDIRECT(ADDRESS(ROW()-1,COLUMN())),NOTA[[#This Row],[FAKTUR]]))</f>
        <v/>
      </c>
      <c r="AK463" s="38" t="str">
        <f ca="1">IF(NOTA[[#This Row],[ID]]="","",COUNTIF(NOTA[ID_H],NOTA[[#This Row],[ID_H]]))</f>
        <v/>
      </c>
      <c r="AL463" s="38" t="str">
        <f ca="1">IF(NOTA[[#This Row],[TGL.NOTA]]="",IF(NOTA[[#This Row],[SUPPLIER_H]]="","",AL462),MONTH(NOTA[[#This Row],[TGL.NOTA]]))</f>
        <v/>
      </c>
      <c r="AM463" s="38" t="str">
        <f>LOWER(SUBSTITUTE(SUBSTITUTE(SUBSTITUTE(SUBSTITUTE(SUBSTITUTE(SUBSTITUTE(SUBSTITUTE(SUBSTITUTE(SUBSTITUTE(NOTA[NAMA BARANG]," ",),".",""),"-",""),"(",""),")",""),",",""),"/",""),"""",""),"+",""))</f>
        <v/>
      </c>
      <c r="AN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38" t="str">
        <f>IF(NOTA[[#This Row],[CONCAT4]]="","",_xlfn.IFNA(MATCH(NOTA[[#This Row],[CONCAT4]],[2]!RAW[CONCAT_H],0),FALSE))</f>
        <v/>
      </c>
      <c r="AR463" s="38" t="str">
        <f>IF(NOTA[[#This Row],[CONCAT1]]="","",MATCH(NOTA[[#This Row],[CONCAT1]],[3]!db[NB NOTA_C],0))</f>
        <v/>
      </c>
      <c r="AS463" s="38" t="str">
        <f>IF(NOTA[[#This Row],[QTY/ CTN]]="","",TRUE)</f>
        <v/>
      </c>
      <c r="AT463" s="38" t="str">
        <f ca="1">IF(NOTA[[#This Row],[ID_H]]="","",IF(NOTA[[#This Row],[Column3]]=TRUE,NOTA[[#This Row],[QTY/ CTN]],INDEX([3]!db[QTY/ CTN],NOTA[[#This Row],[//DB]])))</f>
        <v/>
      </c>
      <c r="AU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3" s="38" t="str">
        <f ca="1">IF(NOTA[[#This Row],[ID_H]]="","",MATCH(NOTA[[#This Row],[NB NOTA_C_QTY]],[4]!db[NB NOTA_C_QTY+F],0))</f>
        <v/>
      </c>
      <c r="AW463" s="53" t="str">
        <f ca="1">IF(NOTA[[#This Row],[NB NOTA_C_QTY]]="","",ROW()-2)</f>
        <v/>
      </c>
    </row>
    <row r="464" spans="1:49" s="38" customFormat="1" ht="20.100000000000001" customHeight="1" x14ac:dyDescent="0.25">
      <c r="A46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ATA_2109_775-3</v>
      </c>
      <c r="C464" s="38" t="e">
        <f ca="1">IF(NOTA[[#This Row],[ID_P]]="","",MATCH(NOTA[[#This Row],[ID_P]],[1]!B_MSK[N_ID],0))</f>
        <v>#REF!</v>
      </c>
      <c r="D464" s="38">
        <f ca="1">IF(NOTA[[#This Row],[NAMA BARANG]]="","",INDEX(NOTA[ID],MATCH(,INDIRECT(ADDRESS(ROW(NOTA[ID]),COLUMN(NOTA[ID]))&amp;":"&amp;ADDRESS(ROW(),COLUMN(NOTA[ID]))),-1)))</f>
        <v>78</v>
      </c>
      <c r="E464" s="46"/>
      <c r="F464" s="37" t="s">
        <v>24</v>
      </c>
      <c r="G464" s="37" t="s">
        <v>23</v>
      </c>
      <c r="H464" s="47" t="s">
        <v>575</v>
      </c>
      <c r="I464" s="37"/>
      <c r="J464" s="39">
        <v>45190</v>
      </c>
      <c r="K464" s="37"/>
      <c r="L464" s="37" t="s">
        <v>389</v>
      </c>
      <c r="M464" s="40">
        <v>1</v>
      </c>
      <c r="N464" s="38">
        <v>144</v>
      </c>
      <c r="O464" s="37" t="s">
        <v>132</v>
      </c>
      <c r="P464" s="41">
        <v>11900</v>
      </c>
      <c r="Q464" s="42"/>
      <c r="R464" s="48"/>
      <c r="S464" s="49">
        <v>0.125</v>
      </c>
      <c r="T464" s="44">
        <v>0.05</v>
      </c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1713600</v>
      </c>
      <c r="Y464" s="50">
        <f>IF(NOTA[[#This Row],[JUMLAH]]="","",NOTA[[#This Row],[JUMLAH]]*NOTA[[#This Row],[DISC 1]])</f>
        <v>214200</v>
      </c>
      <c r="Z464" s="50">
        <f>IF(NOTA[[#This Row],[JUMLAH]]="","",(NOTA[[#This Row],[JUMLAH]]-NOTA[[#This Row],[DISC 1-]])*NOTA[[#This Row],[DISC 2]])</f>
        <v>74970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289170</v>
      </c>
      <c r="AC464" s="50">
        <f>IF(NOTA[[#This Row],[JUMLAH]]="","",NOTA[[#This Row],[JUMLAH]]-NOTA[[#This Row],[DISC]])</f>
        <v>1424430</v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4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464" s="50">
        <f>IF(OR(NOTA[[#This Row],[QTY]]="",NOTA[[#This Row],[HARGA SATUAN]]="",),"",NOTA[[#This Row],[QTY]]*NOTA[[#This Row],[HARGA SATUAN]])</f>
        <v>1713600</v>
      </c>
      <c r="AH464" s="39">
        <f ca="1">IF(NOTA[ID_H]="","",INDEX(NOTA[TANGGAL],MATCH(,INDIRECT(ADDRESS(ROW(NOTA[TANGGAL]),COLUMN(NOTA[TANGGAL]))&amp;":"&amp;ADDRESS(ROW(),COLUMN(NOTA[TANGGAL]))),-1)))</f>
        <v>45190</v>
      </c>
      <c r="AI464" s="41" t="str">
        <f ca="1">IF(NOTA[[#This Row],[NAMA BARANG]]="","",INDEX(NOTA[SUPPLIER],MATCH(,INDIRECT(ADDRESS(ROW(NOTA[ID]),COLUMN(NOTA[ID]))&amp;":"&amp;ADDRESS(ROW(),COLUMN(NOTA[ID]))),-1)))</f>
        <v>ATALI MAKMUR</v>
      </c>
      <c r="AJ464" s="41" t="str">
        <f ca="1">IF(NOTA[[#This Row],[ID_H]]="","",IF(NOTA[[#This Row],[FAKTUR]]="",INDIRECT(ADDRESS(ROW()-1,COLUMN())),NOTA[[#This Row],[FAKTUR]]))</f>
        <v>ARTO MORO</v>
      </c>
      <c r="AK464" s="38">
        <f ca="1">IF(NOTA[[#This Row],[ID]]="","",COUNTIF(NOTA[ID_H],NOTA[[#This Row],[ID_H]]))</f>
        <v>3</v>
      </c>
      <c r="AL464" s="38">
        <f>IF(NOTA[[#This Row],[TGL.NOTA]]="",IF(NOTA[[#This Row],[SUPPLIER_H]]="","",AL463),MONTH(NOTA[[#This Row],[TGL.NOTA]]))</f>
        <v>9</v>
      </c>
      <c r="AM464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4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MOROSA23091677545190oilpastelop12sppcaseseaworldjk</v>
      </c>
      <c r="AQ464" s="38" t="e">
        <f>IF(NOTA[[#This Row],[CONCAT4]]="","",_xlfn.IFNA(MATCH(NOTA[[#This Row],[CONCAT4]],[2]!RAW[CONCAT_H],0),FALSE))</f>
        <v>#REF!</v>
      </c>
      <c r="AR464" s="38">
        <f>IF(NOTA[[#This Row],[CONCAT1]]="","",MATCH(NOTA[[#This Row],[CONCAT1]],[3]!db[NB NOTA_C],0))</f>
        <v>1895</v>
      </c>
      <c r="AS464" s="38" t="str">
        <f>IF(NOTA[[#This Row],[QTY/ CTN]]="","",TRUE)</f>
        <v/>
      </c>
      <c r="AT464" s="38" t="str">
        <f ca="1">IF(NOTA[[#This Row],[ID_H]]="","",IF(NOTA[[#This Row],[Column3]]=TRUE,NOTA[[#This Row],[QTY/ CTN]],INDEX([3]!db[QTY/ CTN],NOTA[[#This Row],[//DB]])))</f>
        <v>12 LSN</v>
      </c>
      <c r="AU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464" s="38" t="e">
        <f ca="1">IF(NOTA[[#This Row],[ID_H]]="","",MATCH(NOTA[[#This Row],[NB NOTA_C_QTY]],[4]!db[NB NOTA_C_QTY+F],0))</f>
        <v>#REF!</v>
      </c>
      <c r="AW464" s="53">
        <f ca="1">IF(NOTA[[#This Row],[NB NOTA_C_QTY]]="","",ROW()-2)</f>
        <v>462</v>
      </c>
    </row>
    <row r="465" spans="1:49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78</v>
      </c>
      <c r="E465" s="46"/>
      <c r="F465" s="37"/>
      <c r="G465" s="37"/>
      <c r="H465" s="47"/>
      <c r="I465" s="37"/>
      <c r="J465" s="39"/>
      <c r="K465" s="37"/>
      <c r="L465" s="37" t="s">
        <v>471</v>
      </c>
      <c r="M465" s="40">
        <v>1</v>
      </c>
      <c r="N465" s="38">
        <v>48</v>
      </c>
      <c r="O465" s="37" t="s">
        <v>132</v>
      </c>
      <c r="P465" s="41">
        <v>29600</v>
      </c>
      <c r="Q465" s="42"/>
      <c r="R465" s="48"/>
      <c r="S465" s="49">
        <v>0.125</v>
      </c>
      <c r="T465" s="44">
        <v>0.05</v>
      </c>
      <c r="U465" s="44"/>
      <c r="V465" s="50"/>
      <c r="W465" s="45"/>
      <c r="X465" s="50">
        <f>IF(NOTA[[#This Row],[HARGA/ CTN]]="",NOTA[[#This Row],[JUMLAH_H]],NOTA[[#This Row],[HARGA/ CTN]]*IF(NOTA[[#This Row],[C]]="",0,NOTA[[#This Row],[C]]))</f>
        <v>1420800</v>
      </c>
      <c r="Y465" s="50">
        <f>IF(NOTA[[#This Row],[JUMLAH]]="","",NOTA[[#This Row],[JUMLAH]]*NOTA[[#This Row],[DISC 1]])</f>
        <v>177600</v>
      </c>
      <c r="Z465" s="50">
        <f>IF(NOTA[[#This Row],[JUMLAH]]="","",(NOTA[[#This Row],[JUMLAH]]-NOTA[[#This Row],[DISC 1-]])*NOTA[[#This Row],[DISC 2]])</f>
        <v>62160</v>
      </c>
      <c r="AA465" s="50">
        <f>IF(NOTA[[#This Row],[JUMLAH]]="","",(NOTA[[#This Row],[JUMLAH]]-NOTA[[#This Row],[DISC 1-]]-NOTA[[#This Row],[DISC 2-]])*NOTA[[#This Row],[DISC 3]])</f>
        <v>0</v>
      </c>
      <c r="AB465" s="50">
        <f>IF(NOTA[[#This Row],[JUMLAH]]="","",NOTA[[#This Row],[DISC 1-]]+NOTA[[#This Row],[DISC 2-]]+NOTA[[#This Row],[DISC 3-]])</f>
        <v>239760</v>
      </c>
      <c r="AC465" s="50">
        <f>IF(NOTA[[#This Row],[JUMLAH]]="","",NOTA[[#This Row],[JUMLAH]]-NOTA[[#This Row],[DISC]])</f>
        <v>1181040</v>
      </c>
      <c r="AD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465" s="50">
        <f>IF(OR(NOTA[[#This Row],[QTY]]="",NOTA[[#This Row],[HARGA SATUAN]]="",),"",NOTA[[#This Row],[QTY]]*NOTA[[#This Row],[HARGA SATUAN]])</f>
        <v>1420800</v>
      </c>
      <c r="AH465" s="39">
        <f ca="1">IF(NOTA[ID_H]="","",INDEX(NOTA[TANGGAL],MATCH(,INDIRECT(ADDRESS(ROW(NOTA[TANGGAL]),COLUMN(NOTA[TANGGAL]))&amp;":"&amp;ADDRESS(ROW(),COLUMN(NOTA[TANGGAL]))),-1)))</f>
        <v>45190</v>
      </c>
      <c r="AI465" s="41" t="str">
        <f ca="1">IF(NOTA[[#This Row],[NAMA BARANG]]="","",INDEX(NOTA[SUPPLIER],MATCH(,INDIRECT(ADDRESS(ROW(NOTA[ID]),COLUMN(NOTA[ID]))&amp;":"&amp;ADDRESS(ROW(),COLUMN(NOTA[ID]))),-1)))</f>
        <v>ATALI MAKMUR</v>
      </c>
      <c r="AJ465" s="41" t="str">
        <f ca="1">IF(NOTA[[#This Row],[ID_H]]="","",IF(NOTA[[#This Row],[FAKTUR]]="",INDIRECT(ADDRESS(ROW()-1,COLUMN())),NOTA[[#This Row],[FAKTUR]]))</f>
        <v>ARTO MORO</v>
      </c>
      <c r="AK465" s="38" t="str">
        <f ca="1">IF(NOTA[[#This Row],[ID]]="","",COUNTIF(NOTA[ID_H],NOTA[[#This Row],[ID_H]]))</f>
        <v/>
      </c>
      <c r="AL465" s="38">
        <f ca="1">IF(NOTA[[#This Row],[TGL.NOTA]]="",IF(NOTA[[#This Row],[SUPPLIER_H]]="","",AL464),MONTH(NOTA[[#This Row],[TGL.NOTA]]))</f>
        <v>9</v>
      </c>
      <c r="AM46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38" t="str">
        <f>IF(NOTA[[#This Row],[CONCAT4]]="","",_xlfn.IFNA(MATCH(NOTA[[#This Row],[CONCAT4]],[2]!RAW[CONCAT_H],0),FALSE))</f>
        <v/>
      </c>
      <c r="AR465" s="38">
        <f>IF(NOTA[[#This Row],[CONCAT1]]="","",MATCH(NOTA[[#This Row],[CONCAT1]],[3]!db[NB NOTA_C],0))</f>
        <v>1897</v>
      </c>
      <c r="AS465" s="38" t="str">
        <f>IF(NOTA[[#This Row],[QTY/ CTN]]="","",TRUE)</f>
        <v/>
      </c>
      <c r="AT465" s="38" t="str">
        <f ca="1">IF(NOTA[[#This Row],[ID_H]]="","",IF(NOTA[[#This Row],[Column3]]=TRUE,NOTA[[#This Row],[QTY/ CTN]],INDEX([3]!db[QTY/ CTN],NOTA[[#This Row],[//DB]])))</f>
        <v>8 BOX (6 SET)</v>
      </c>
      <c r="AU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465" s="38" t="e">
        <f ca="1">IF(NOTA[[#This Row],[ID_H]]="","",MATCH(NOTA[[#This Row],[NB NOTA_C_QTY]],[4]!db[NB NOTA_C_QTY+F],0))</f>
        <v>#REF!</v>
      </c>
      <c r="AW465" s="53">
        <f ca="1">IF(NOTA[[#This Row],[NB NOTA_C_QTY]]="","",ROW()-2)</f>
        <v>463</v>
      </c>
    </row>
    <row r="466" spans="1:49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78</v>
      </c>
      <c r="E466" s="46"/>
      <c r="F466" s="37"/>
      <c r="G466" s="37"/>
      <c r="H466" s="47"/>
      <c r="I466" s="37"/>
      <c r="J466" s="39"/>
      <c r="K466" s="37"/>
      <c r="L466" s="37" t="s">
        <v>576</v>
      </c>
      <c r="M466" s="40">
        <v>1</v>
      </c>
      <c r="N466" s="38">
        <v>500</v>
      </c>
      <c r="O466" s="37" t="s">
        <v>239</v>
      </c>
      <c r="P466" s="41">
        <v>3050</v>
      </c>
      <c r="Q466" s="42"/>
      <c r="R466" s="48"/>
      <c r="S466" s="49">
        <v>0.125</v>
      </c>
      <c r="T466" s="44">
        <v>0.05</v>
      </c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1525000</v>
      </c>
      <c r="Y466" s="50">
        <f>IF(NOTA[[#This Row],[JUMLAH]]="","",NOTA[[#This Row],[JUMLAH]]*NOTA[[#This Row],[DISC 1]])</f>
        <v>190625</v>
      </c>
      <c r="Z466" s="50">
        <f>IF(NOTA[[#This Row],[JUMLAH]]="","",(NOTA[[#This Row],[JUMLAH]]-NOTA[[#This Row],[DISC 1-]])*NOTA[[#This Row],[DISC 2]])</f>
        <v>66718.75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257343.75</v>
      </c>
      <c r="AC466" s="50">
        <f>IF(NOTA[[#This Row],[JUMLAH]]="","",NOTA[[#This Row],[JUMLAH]]-NOTA[[#This Row],[DISC]])</f>
        <v>1267656.25</v>
      </c>
      <c r="AD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786273.75</v>
      </c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3873126.25</v>
      </c>
      <c r="AF466" s="41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G466" s="50">
        <f>IF(OR(NOTA[[#This Row],[QTY]]="",NOTA[[#This Row],[HARGA SATUAN]]="",),"",NOTA[[#This Row],[QTY]]*NOTA[[#This Row],[HARGA SATUAN]])</f>
        <v>1525000</v>
      </c>
      <c r="AH466" s="39">
        <f ca="1">IF(NOTA[ID_H]="","",INDEX(NOTA[TANGGAL],MATCH(,INDIRECT(ADDRESS(ROW(NOTA[TANGGAL]),COLUMN(NOTA[TANGGAL]))&amp;":"&amp;ADDRESS(ROW(),COLUMN(NOTA[TANGGAL]))),-1)))</f>
        <v>45190</v>
      </c>
      <c r="AI466" s="41" t="str">
        <f ca="1">IF(NOTA[[#This Row],[NAMA BARANG]]="","",INDEX(NOTA[SUPPLIER],MATCH(,INDIRECT(ADDRESS(ROW(NOTA[ID]),COLUMN(NOTA[ID]))&amp;":"&amp;ADDRESS(ROW(),COLUMN(NOTA[ID]))),-1)))</f>
        <v>ATALI MAKMUR</v>
      </c>
      <c r="AJ466" s="41" t="str">
        <f ca="1">IF(NOTA[[#This Row],[ID_H]]="","",IF(NOTA[[#This Row],[FAKTUR]]="",INDIRECT(ADDRESS(ROW()-1,COLUMN())),NOTA[[#This Row],[FAKTUR]]))</f>
        <v>ARTO MORO</v>
      </c>
      <c r="AK466" s="38" t="str">
        <f ca="1">IF(NOTA[[#This Row],[ID]]="","",COUNTIF(NOTA[ID_H],NOTA[[#This Row],[ID_H]]))</f>
        <v/>
      </c>
      <c r="AL466" s="38">
        <f ca="1">IF(NOTA[[#This Row],[TGL.NOTA]]="",IF(NOTA[[#This Row],[SUPPLIER_H]]="","",AL465),MONTH(NOTA[[#This Row],[TGL.NOTA]]))</f>
        <v>9</v>
      </c>
      <c r="AM466" s="38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38" t="str">
        <f>IF(NOTA[[#This Row],[CONCAT4]]="","",_xlfn.IFNA(MATCH(NOTA[[#This Row],[CONCAT4]],[2]!RAW[CONCAT_H],0),FALSE))</f>
        <v/>
      </c>
      <c r="AR466" s="38">
        <f>IF(NOTA[[#This Row],[CONCAT1]]="","",MATCH(NOTA[[#This Row],[CONCAT1]],[3]!db[NB NOTA_C],0))</f>
        <v>1629</v>
      </c>
      <c r="AS466" s="38" t="str">
        <f>IF(NOTA[[#This Row],[QTY/ CTN]]="","",TRUE)</f>
        <v/>
      </c>
      <c r="AT466" s="38" t="str">
        <f ca="1">IF(NOTA[[#This Row],[ID_H]]="","",IF(NOTA[[#This Row],[Column3]]=TRUE,NOTA[[#This Row],[QTY/ CTN]],INDEX([3]!db[QTY/ CTN],NOTA[[#This Row],[//DB]])))</f>
        <v>50 PAK (10 ROL)</v>
      </c>
      <c r="AU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V466" s="38" t="e">
        <f ca="1">IF(NOTA[[#This Row],[ID_H]]="","",MATCH(NOTA[[#This Row],[NB NOTA_C_QTY]],[4]!db[NB NOTA_C_QTY+F],0))</f>
        <v>#REF!</v>
      </c>
      <c r="AW466" s="53">
        <f ca="1">IF(NOTA[[#This Row],[NB NOTA_C_QTY]]="","",ROW()-2)</f>
        <v>464</v>
      </c>
    </row>
    <row r="467" spans="1:49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67" s="50" t="str">
        <f>IF(OR(NOTA[[#This Row],[QTY]]="",NOTA[[#This Row],[HARGA SATUAN]]="",),"",NOTA[[#This Row],[QTY]]*NOTA[[#This Row],[HARGA SATUAN]])</f>
        <v/>
      </c>
      <c r="AH467" s="39" t="str">
        <f ca="1">IF(NOTA[ID_H]="","",INDEX(NOTA[TANGGAL],MATCH(,INDIRECT(ADDRESS(ROW(NOTA[TANGGAL]),COLUMN(NOTA[TANGGAL]))&amp;":"&amp;ADDRESS(ROW(),COLUMN(NOTA[TANGGAL]))),-1)))</f>
        <v/>
      </c>
      <c r="AI467" s="41" t="str">
        <f ca="1">IF(NOTA[[#This Row],[NAMA BARANG]]="","",INDEX(NOTA[SUPPLIER],MATCH(,INDIRECT(ADDRESS(ROW(NOTA[ID]),COLUMN(NOTA[ID]))&amp;":"&amp;ADDRESS(ROW(),COLUMN(NOTA[ID]))),-1)))</f>
        <v/>
      </c>
      <c r="AJ467" s="41" t="str">
        <f ca="1">IF(NOTA[[#This Row],[ID_H]]="","",IF(NOTA[[#This Row],[FAKTUR]]="",INDIRECT(ADDRESS(ROW()-1,COLUMN())),NOTA[[#This Row],[FAKTUR]]))</f>
        <v/>
      </c>
      <c r="AK467" s="38" t="str">
        <f ca="1">IF(NOTA[[#This Row],[ID]]="","",COUNTIF(NOTA[ID_H],NOTA[[#This Row],[ID_H]]))</f>
        <v/>
      </c>
      <c r="AL467" s="38" t="str">
        <f ca="1">IF(NOTA[[#This Row],[TGL.NOTA]]="",IF(NOTA[[#This Row],[SUPPLIER_H]]="","",AL466),MONTH(NOTA[[#This Row],[TGL.NOTA]]))</f>
        <v/>
      </c>
      <c r="AM467" s="38" t="str">
        <f>LOWER(SUBSTITUTE(SUBSTITUTE(SUBSTITUTE(SUBSTITUTE(SUBSTITUTE(SUBSTITUTE(SUBSTITUTE(SUBSTITUTE(SUBSTITUTE(NOTA[NAMA BARANG]," ",),".",""),"-",""),"(",""),")",""),",",""),"/",""),"""",""),"+",""))</f>
        <v/>
      </c>
      <c r="AN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38" t="str">
        <f>IF(NOTA[[#This Row],[CONCAT4]]="","",_xlfn.IFNA(MATCH(NOTA[[#This Row],[CONCAT4]],[2]!RAW[CONCAT_H],0),FALSE))</f>
        <v/>
      </c>
      <c r="AR467" s="38" t="str">
        <f>IF(NOTA[[#This Row],[CONCAT1]]="","",MATCH(NOTA[[#This Row],[CONCAT1]],[3]!db[NB NOTA_C],0))</f>
        <v/>
      </c>
      <c r="AS467" s="38" t="str">
        <f>IF(NOTA[[#This Row],[QTY/ CTN]]="","",TRUE)</f>
        <v/>
      </c>
      <c r="AT467" s="38" t="str">
        <f ca="1">IF(NOTA[[#This Row],[ID_H]]="","",IF(NOTA[[#This Row],[Column3]]=TRUE,NOTA[[#This Row],[QTY/ CTN]],INDEX([3]!db[QTY/ CTN],NOTA[[#This Row],[//DB]])))</f>
        <v/>
      </c>
      <c r="AU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7" s="38" t="str">
        <f ca="1">IF(NOTA[[#This Row],[ID_H]]="","",MATCH(NOTA[[#This Row],[NB NOTA_C_QTY]],[4]!db[NB NOTA_C_QTY+F],0))</f>
        <v/>
      </c>
      <c r="AW467" s="53" t="str">
        <f ca="1">IF(NOTA[[#This Row],[NB NOTA_C_QTY]]="","",ROW()-2)</f>
        <v/>
      </c>
    </row>
    <row r="468" spans="1:49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ATA_2109_817-1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79</v>
      </c>
      <c r="E468" s="46"/>
      <c r="F468" s="37" t="s">
        <v>24</v>
      </c>
      <c r="G468" s="37" t="s">
        <v>23</v>
      </c>
      <c r="H468" s="47" t="s">
        <v>577</v>
      </c>
      <c r="I468" s="37"/>
      <c r="J468" s="39">
        <v>45190</v>
      </c>
      <c r="K468" s="37"/>
      <c r="L468" s="37" t="s">
        <v>578</v>
      </c>
      <c r="M468" s="40">
        <v>1</v>
      </c>
      <c r="N468" s="38">
        <v>96</v>
      </c>
      <c r="O468" s="37" t="s">
        <v>132</v>
      </c>
      <c r="P468" s="41">
        <v>26800</v>
      </c>
      <c r="Q468" s="42"/>
      <c r="R468" s="48"/>
      <c r="S468" s="49">
        <v>0.125</v>
      </c>
      <c r="T468" s="44">
        <v>0.05</v>
      </c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2572800</v>
      </c>
      <c r="Y468" s="50">
        <f>IF(NOTA[[#This Row],[JUMLAH]]="","",NOTA[[#This Row],[JUMLAH]]*NOTA[[#This Row],[DISC 1]])</f>
        <v>321600</v>
      </c>
      <c r="Z468" s="50">
        <f>IF(NOTA[[#This Row],[JUMLAH]]="","",(NOTA[[#This Row],[JUMLAH]]-NOTA[[#This Row],[DISC 1-]])*NOTA[[#This Row],[DISC 2]])</f>
        <v>112560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434160</v>
      </c>
      <c r="AC468" s="50">
        <f>IF(NOTA[[#This Row],[JUMLAH]]="","",NOTA[[#This Row],[JUMLAH]]-NOTA[[#This Row],[DISC]])</f>
        <v>2138640</v>
      </c>
      <c r="AD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434160</v>
      </c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2138640</v>
      </c>
      <c r="AF468" s="41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G468" s="50">
        <f>IF(OR(NOTA[[#This Row],[QTY]]="",NOTA[[#This Row],[HARGA SATUAN]]="",),"",NOTA[[#This Row],[QTY]]*NOTA[[#This Row],[HARGA SATUAN]])</f>
        <v>2572800</v>
      </c>
      <c r="AH468" s="39">
        <f ca="1">IF(NOTA[ID_H]="","",INDEX(NOTA[TANGGAL],MATCH(,INDIRECT(ADDRESS(ROW(NOTA[TANGGAL]),COLUMN(NOTA[TANGGAL]))&amp;":"&amp;ADDRESS(ROW(),COLUMN(NOTA[TANGGAL]))),-1)))</f>
        <v>45190</v>
      </c>
      <c r="AI468" s="41" t="str">
        <f ca="1">IF(NOTA[[#This Row],[NAMA BARANG]]="","",INDEX(NOTA[SUPPLIER],MATCH(,INDIRECT(ADDRESS(ROW(NOTA[ID]),COLUMN(NOTA[ID]))&amp;":"&amp;ADDRESS(ROW(),COLUMN(NOTA[ID]))),-1)))</f>
        <v>ATALI MAKMUR</v>
      </c>
      <c r="AJ468" s="41" t="str">
        <f ca="1">IF(NOTA[[#This Row],[ID_H]]="","",IF(NOTA[[#This Row],[FAKTUR]]="",INDIRECT(ADDRESS(ROW()-1,COLUMN())),NOTA[[#This Row],[FAKTUR]]))</f>
        <v>ARTO MORO</v>
      </c>
      <c r="AK468" s="38">
        <f ca="1">IF(NOTA[[#This Row],[ID]]="","",COUNTIF(NOTA[ID_H],NOTA[[#This Row],[ID_H]]))</f>
        <v>1</v>
      </c>
      <c r="AL468" s="38">
        <f>IF(NOTA[[#This Row],[TGL.NOTA]]="",IF(NOTA[[#This Row],[SUPPLIER_H]]="","",AL467),MONTH(NOTA[[#This Row],[TGL.NOTA]]))</f>
        <v>9</v>
      </c>
      <c r="AM468" s="38" t="str">
        <f>LOWER(SUBSTITUTE(SUBSTITUTE(SUBSTITUTE(SUBSTITUTE(SUBSTITUTE(SUBSTITUTE(SUBSTITUTE(SUBSTITUTE(SUBSTITUTE(NOTA[NAMA BARANG]," ",),".",""),"-",""),"(",""),")",""),",",""),"/",""),"""",""),"+",""))</f>
        <v>watercolorwac6ml12screwtypejk</v>
      </c>
      <c r="AN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O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watercolorwac6ml12screwtypejk25728000.1250.05</v>
      </c>
      <c r="AP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MOROSA23091681745190watercolorwac6ml12screwtypejk</v>
      </c>
      <c r="AQ468" s="38" t="e">
        <f>IF(NOTA[[#This Row],[CONCAT4]]="","",_xlfn.IFNA(MATCH(NOTA[[#This Row],[CONCAT4]],[2]!RAW[CONCAT_H],0),FALSE))</f>
        <v>#REF!</v>
      </c>
      <c r="AR468" s="38">
        <f>IF(NOTA[[#This Row],[CONCAT1]]="","",MATCH(NOTA[[#This Row],[CONCAT1]],[3]!db[NB NOTA_C],0))</f>
        <v>2655</v>
      </c>
      <c r="AS468" s="38" t="str">
        <f>IF(NOTA[[#This Row],[QTY/ CTN]]="","",TRUE)</f>
        <v/>
      </c>
      <c r="AT468" s="38" t="str">
        <f ca="1">IF(NOTA[[#This Row],[ID_H]]="","",IF(NOTA[[#This Row],[Column3]]=TRUE,NOTA[[#This Row],[QTY/ CTN]],INDEX([3]!db[QTY/ CTN],NOTA[[#This Row],[//DB]])))</f>
        <v>8 BOX (12 SET)</v>
      </c>
      <c r="AU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watercolorwac6ml12screwtypejk8box12setartomoro</v>
      </c>
      <c r="AV468" s="38" t="e">
        <f ca="1">IF(NOTA[[#This Row],[ID_H]]="","",MATCH(NOTA[[#This Row],[NB NOTA_C_QTY]],[4]!db[NB NOTA_C_QTY+F],0))</f>
        <v>#REF!</v>
      </c>
      <c r="AW468" s="53">
        <f ca="1">IF(NOTA[[#This Row],[NB NOTA_C_QTY]]="","",ROW()-2)</f>
        <v>466</v>
      </c>
    </row>
    <row r="469" spans="1:49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69" s="50" t="str">
        <f>IF(OR(NOTA[[#This Row],[QTY]]="",NOTA[[#This Row],[HARGA SATUAN]]="",),"",NOTA[[#This Row],[QTY]]*NOTA[[#This Row],[HARGA SATUAN]])</f>
        <v/>
      </c>
      <c r="AH469" s="39" t="str">
        <f ca="1">IF(NOTA[ID_H]="","",INDEX(NOTA[TANGGAL],MATCH(,INDIRECT(ADDRESS(ROW(NOTA[TANGGAL]),COLUMN(NOTA[TANGGAL]))&amp;":"&amp;ADDRESS(ROW(),COLUMN(NOTA[TANGGAL]))),-1)))</f>
        <v/>
      </c>
      <c r="AI469" s="41" t="str">
        <f ca="1">IF(NOTA[[#This Row],[NAMA BARANG]]="","",INDEX(NOTA[SUPPLIER],MATCH(,INDIRECT(ADDRESS(ROW(NOTA[ID]),COLUMN(NOTA[ID]))&amp;":"&amp;ADDRESS(ROW(),COLUMN(NOTA[ID]))),-1)))</f>
        <v/>
      </c>
      <c r="AJ469" s="41" t="str">
        <f ca="1">IF(NOTA[[#This Row],[ID_H]]="","",IF(NOTA[[#This Row],[FAKTUR]]="",INDIRECT(ADDRESS(ROW()-1,COLUMN())),NOTA[[#This Row],[FAKTUR]]))</f>
        <v/>
      </c>
      <c r="AK469" s="38" t="str">
        <f ca="1">IF(NOTA[[#This Row],[ID]]="","",COUNTIF(NOTA[ID_H],NOTA[[#This Row],[ID_H]]))</f>
        <v/>
      </c>
      <c r="AL469" s="38" t="str">
        <f ca="1">IF(NOTA[[#This Row],[TGL.NOTA]]="",IF(NOTA[[#This Row],[SUPPLIER_H]]="","",AL468),MONTH(NOTA[[#This Row],[TGL.NOTA]]))</f>
        <v/>
      </c>
      <c r="AM469" s="38" t="str">
        <f>LOWER(SUBSTITUTE(SUBSTITUTE(SUBSTITUTE(SUBSTITUTE(SUBSTITUTE(SUBSTITUTE(SUBSTITUTE(SUBSTITUTE(SUBSTITUTE(NOTA[NAMA BARANG]," ",),".",""),"-",""),"(",""),")",""),",",""),"/",""),"""",""),"+",""))</f>
        <v/>
      </c>
      <c r="AN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38" t="str">
        <f>IF(NOTA[[#This Row],[CONCAT4]]="","",_xlfn.IFNA(MATCH(NOTA[[#This Row],[CONCAT4]],[2]!RAW[CONCAT_H],0),FALSE))</f>
        <v/>
      </c>
      <c r="AR469" s="38" t="str">
        <f>IF(NOTA[[#This Row],[CONCAT1]]="","",MATCH(NOTA[[#This Row],[CONCAT1]],[3]!db[NB NOTA_C],0))</f>
        <v/>
      </c>
      <c r="AS469" s="38" t="str">
        <f>IF(NOTA[[#This Row],[QTY/ CTN]]="","",TRUE)</f>
        <v/>
      </c>
      <c r="AT469" s="38" t="str">
        <f ca="1">IF(NOTA[[#This Row],[ID_H]]="","",IF(NOTA[[#This Row],[Column3]]=TRUE,NOTA[[#This Row],[QTY/ CTN]],INDEX([3]!db[QTY/ CTN],NOTA[[#This Row],[//DB]])))</f>
        <v/>
      </c>
      <c r="AU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9" s="38" t="str">
        <f ca="1">IF(NOTA[[#This Row],[ID_H]]="","",MATCH(NOTA[[#This Row],[NB NOTA_C_QTY]],[4]!db[NB NOTA_C_QTY+F],0))</f>
        <v/>
      </c>
      <c r="AW469" s="53" t="str">
        <f ca="1">IF(NOTA[[#This Row],[NB NOTA_C_QTY]]="","",ROW()-2)</f>
        <v/>
      </c>
    </row>
    <row r="470" spans="1:49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SUR_2609_673-1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80</v>
      </c>
      <c r="E470" s="46">
        <v>45195</v>
      </c>
      <c r="F470" s="37" t="s">
        <v>494</v>
      </c>
      <c r="G470" s="37" t="s">
        <v>123</v>
      </c>
      <c r="H470" s="47" t="s">
        <v>579</v>
      </c>
      <c r="I470" s="37"/>
      <c r="J470" s="39">
        <v>45191</v>
      </c>
      <c r="K470" s="37"/>
      <c r="L470" s="37" t="s">
        <v>580</v>
      </c>
      <c r="M470" s="40">
        <v>6</v>
      </c>
      <c r="N470" s="38">
        <f>1200*6</f>
        <v>7200</v>
      </c>
      <c r="O470" s="37" t="s">
        <v>126</v>
      </c>
      <c r="P470" s="41">
        <v>2312.5</v>
      </c>
      <c r="Q470" s="42"/>
      <c r="R470" s="48"/>
      <c r="S470" s="49">
        <v>0.2</v>
      </c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16650000</v>
      </c>
      <c r="Y470" s="50">
        <f>IF(NOTA[[#This Row],[JUMLAH]]="","",NOTA[[#This Row],[JUMLAH]]*NOTA[[#This Row],[DISC 1]])</f>
        <v>3330000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3330000</v>
      </c>
      <c r="AC470" s="50">
        <f>IF(NOTA[[#This Row],[JUMLAH]]="","",NOTA[[#This Row],[JUMLAH]]-NOTA[[#This Row],[DISC]])</f>
        <v>13320000</v>
      </c>
      <c r="AD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3330000</v>
      </c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F470" s="41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G470" s="50">
        <f>IF(OR(NOTA[[#This Row],[QTY]]="",NOTA[[#This Row],[HARGA SATUAN]]="",),"",NOTA[[#This Row],[QTY]]*NOTA[[#This Row],[HARGA SATUAN]])</f>
        <v>16650000</v>
      </c>
      <c r="AH470" s="39">
        <f ca="1">IF(NOTA[ID_H]="","",INDEX(NOTA[TANGGAL],MATCH(,INDIRECT(ADDRESS(ROW(NOTA[TANGGAL]),COLUMN(NOTA[TANGGAL]))&amp;":"&amp;ADDRESS(ROW(),COLUMN(NOTA[TANGGAL]))),-1)))</f>
        <v>45195</v>
      </c>
      <c r="AI470" s="41" t="str">
        <f ca="1">IF(NOTA[[#This Row],[NAMA BARANG]]="","",INDEX(NOTA[SUPPLIER],MATCH(,INDIRECT(ADDRESS(ROW(NOTA[ID]),COLUMN(NOTA[ID]))&amp;":"&amp;ADDRESS(ROW(),COLUMN(NOTA[ID]))),-1)))</f>
        <v>SURYA PRATAMA</v>
      </c>
      <c r="AJ470" s="41" t="str">
        <f ca="1">IF(NOTA[[#This Row],[ID_H]]="","",IF(NOTA[[#This Row],[FAKTUR]]="",INDIRECT(ADDRESS(ROW()-1,COLUMN())),NOTA[[#This Row],[FAKTUR]]))</f>
        <v>UNTANA</v>
      </c>
      <c r="AK470" s="38">
        <f ca="1">IF(NOTA[[#This Row],[ID]]="","",COUNTIF(NOTA[ID_H],NOTA[[#This Row],[ID_H]]))</f>
        <v>1</v>
      </c>
      <c r="AL470" s="38">
        <f>IF(NOTA[[#This Row],[TGL.NOTA]]="",IF(NOTA[[#This Row],[SUPPLIER_H]]="","",AL469),MONTH(NOTA[[#This Row],[TGL.NOTA]]))</f>
        <v>9</v>
      </c>
      <c r="AM470" s="38" t="str">
        <f>LOWER(SUBSTITUTE(SUBSTITUTE(SUBSTITUTE(SUBSTITUTE(SUBSTITUTE(SUBSTITUTE(SUBSTITUTE(SUBSTITUTE(SUBSTITUTE(NOTA[NAMA BARANG]," ",),".",""),"-",""),"(",""),")",""),",",""),"/",""),"""",""),"+",""))</f>
        <v>bukumewarnaijumbofancyyangka&amp;huruf</v>
      </c>
      <c r="AN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bukumewarnaijumbofancyyangka&amp;huruf27750000.2</v>
      </c>
      <c r="AO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bukumewarnaijumbofancyyangka&amp;huruf27750000.2</v>
      </c>
      <c r="AP470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PRATAMAUNTANAF23100067345191bukumewarnaijumbofancyyangka&amp;huruf</v>
      </c>
      <c r="AQ470" s="38" t="e">
        <f>IF(NOTA[[#This Row],[CONCAT4]]="","",_xlfn.IFNA(MATCH(NOTA[[#This Row],[CONCAT4]],[2]!RAW[CONCAT_H],0),FALSE))</f>
        <v>#REF!</v>
      </c>
      <c r="AR470" s="38" t="e">
        <f>IF(NOTA[[#This Row],[CONCAT1]]="","",MATCH(NOTA[[#This Row],[CONCAT1]],[3]!db[NB NOTA_C],0))</f>
        <v>#N/A</v>
      </c>
      <c r="AS470" s="38" t="str">
        <f>IF(NOTA[[#This Row],[QTY/ CTN]]="","",TRUE)</f>
        <v/>
      </c>
      <c r="AT470" s="38" t="e">
        <f ca="1">IF(NOTA[[#This Row],[ID_H]]="","",IF(NOTA[[#This Row],[Column3]]=TRUE,NOTA[[#This Row],[QTY/ CTN]],INDEX([3]!db[QTY/ CTN],NOTA[[#This Row],[//DB]])))</f>
        <v>#N/A</v>
      </c>
      <c r="AU4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70" s="38" t="e">
        <f ca="1">IF(NOTA[[#This Row],[ID_H]]="","",MATCH(NOTA[[#This Row],[NB NOTA_C_QTY]],[4]!db[NB NOTA_C_QTY+F],0))</f>
        <v>#N/A</v>
      </c>
      <c r="AW470" s="53" t="e">
        <f ca="1">IF(NOTA[[#This Row],[NB NOTA_C_QTY]]="","",ROW()-2)</f>
        <v>#N/A</v>
      </c>
    </row>
    <row r="471" spans="1:49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1" s="50" t="str">
        <f>IF(OR(NOTA[[#This Row],[QTY]]="",NOTA[[#This Row],[HARGA SATUAN]]="",),"",NOTA[[#This Row],[QTY]]*NOTA[[#This Row],[HARGA SATUAN]])</f>
        <v/>
      </c>
      <c r="AH471" s="39" t="str">
        <f ca="1">IF(NOTA[ID_H]="","",INDEX(NOTA[TANGGAL],MATCH(,INDIRECT(ADDRESS(ROW(NOTA[TANGGAL]),COLUMN(NOTA[TANGGAL]))&amp;":"&amp;ADDRESS(ROW(),COLUMN(NOTA[TANGGAL]))),-1)))</f>
        <v/>
      </c>
      <c r="AI471" s="41" t="str">
        <f ca="1">IF(NOTA[[#This Row],[NAMA BARANG]]="","",INDEX(NOTA[SUPPLIER],MATCH(,INDIRECT(ADDRESS(ROW(NOTA[ID]),COLUMN(NOTA[ID]))&amp;":"&amp;ADDRESS(ROW(),COLUMN(NOTA[ID]))),-1)))</f>
        <v/>
      </c>
      <c r="AJ471" s="41" t="str">
        <f ca="1">IF(NOTA[[#This Row],[ID_H]]="","",IF(NOTA[[#This Row],[FAKTUR]]="",INDIRECT(ADDRESS(ROW()-1,COLUMN())),NOTA[[#This Row],[FAKTUR]]))</f>
        <v/>
      </c>
      <c r="AK471" s="38" t="str">
        <f ca="1">IF(NOTA[[#This Row],[ID]]="","",COUNTIF(NOTA[ID_H],NOTA[[#This Row],[ID_H]]))</f>
        <v/>
      </c>
      <c r="AL471" s="38" t="str">
        <f ca="1">IF(NOTA[[#This Row],[TGL.NOTA]]="",IF(NOTA[[#This Row],[SUPPLIER_H]]="","",AL470),MONTH(NOTA[[#This Row],[TGL.NOTA]]))</f>
        <v/>
      </c>
      <c r="AM471" s="38" t="str">
        <f>LOWER(SUBSTITUTE(SUBSTITUTE(SUBSTITUTE(SUBSTITUTE(SUBSTITUTE(SUBSTITUTE(SUBSTITUTE(SUBSTITUTE(SUBSTITUTE(NOTA[NAMA BARANG]," ",),".",""),"-",""),"(",""),")",""),",",""),"/",""),"""",""),"+",""))</f>
        <v/>
      </c>
      <c r="AN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1" s="38" t="str">
        <f>IF(NOTA[[#This Row],[CONCAT4]]="","",_xlfn.IFNA(MATCH(NOTA[[#This Row],[CONCAT4]],[2]!RAW[CONCAT_H],0),FALSE))</f>
        <v/>
      </c>
      <c r="AR471" s="38" t="str">
        <f>IF(NOTA[[#This Row],[CONCAT1]]="","",MATCH(NOTA[[#This Row],[CONCAT1]],[3]!db[NB NOTA_C],0))</f>
        <v/>
      </c>
      <c r="AS471" s="38" t="str">
        <f>IF(NOTA[[#This Row],[QTY/ CTN]]="","",TRUE)</f>
        <v/>
      </c>
      <c r="AT471" s="38" t="str">
        <f ca="1">IF(NOTA[[#This Row],[ID_H]]="","",IF(NOTA[[#This Row],[Column3]]=TRUE,NOTA[[#This Row],[QTY/ CTN]],INDEX([3]!db[QTY/ CTN],NOTA[[#This Row],[//DB]])))</f>
        <v/>
      </c>
      <c r="AU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1" s="38" t="str">
        <f ca="1">IF(NOTA[[#This Row],[ID_H]]="","",MATCH(NOTA[[#This Row],[NB NOTA_C_QTY]],[4]!db[NB NOTA_C_QTY+F],0))</f>
        <v/>
      </c>
      <c r="AW471" s="53" t="str">
        <f ca="1">IF(NOTA[[#This Row],[NB NOTA_C_QTY]]="","",ROW()-2)</f>
        <v/>
      </c>
    </row>
    <row r="472" spans="1:49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GAD_2609_148-1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81</v>
      </c>
      <c r="E472" s="46"/>
      <c r="F472" s="37" t="s">
        <v>581</v>
      </c>
      <c r="G472" s="37" t="s">
        <v>123</v>
      </c>
      <c r="H472" s="47" t="s">
        <v>582</v>
      </c>
      <c r="I472" s="37"/>
      <c r="J472" s="39">
        <v>45192</v>
      </c>
      <c r="K472" s="37"/>
      <c r="L472" s="37" t="s">
        <v>583</v>
      </c>
      <c r="M472" s="40"/>
      <c r="N472" s="38">
        <v>504</v>
      </c>
      <c r="O472" s="37" t="s">
        <v>126</v>
      </c>
      <c r="P472" s="41">
        <v>17000</v>
      </c>
      <c r="Q472" s="42"/>
      <c r="R472" s="48"/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8568000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8568000</v>
      </c>
      <c r="AD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F472" s="41">
        <f>IF(NOTA[[#This Row],[NAMA BARANG]]="","",IF(NOTA[[#This Row],[JUMLAH_H]]="",NOTA[[#This Row],[HARGA/ CTN]],NOTA[[#This Row],[QTY]]*NOTA[[#This Row],[HARGA SATUAN]]/IF(ISNUMBER(NOTA[[#This Row],[C]]),NOTA[[#This Row],[C]],1)))</f>
        <v>8568000</v>
      </c>
      <c r="AG472" s="50">
        <f>IF(OR(NOTA[[#This Row],[QTY]]="",NOTA[[#This Row],[HARGA SATUAN]]="",),"",NOTA[[#This Row],[QTY]]*NOTA[[#This Row],[HARGA SATUAN]])</f>
        <v>8568000</v>
      </c>
      <c r="AH472" s="39">
        <f ca="1">IF(NOTA[ID_H]="","",INDEX(NOTA[TANGGAL],MATCH(,INDIRECT(ADDRESS(ROW(NOTA[TANGGAL]),COLUMN(NOTA[TANGGAL]))&amp;":"&amp;ADDRESS(ROW(),COLUMN(NOTA[TANGGAL]))),-1)))</f>
        <v>45195</v>
      </c>
      <c r="AI472" s="41" t="str">
        <f ca="1">IF(NOTA[[#This Row],[NAMA BARANG]]="","",INDEX(NOTA[SUPPLIER],MATCH(,INDIRECT(ADDRESS(ROW(NOTA[ID]),COLUMN(NOTA[ID]))&amp;":"&amp;ADDRESS(ROW(),COLUMN(NOTA[ID]))),-1)))</f>
        <v>GADING MURNI</v>
      </c>
      <c r="AJ472" s="41" t="str">
        <f ca="1">IF(NOTA[[#This Row],[ID_H]]="","",IF(NOTA[[#This Row],[FAKTUR]]="",INDIRECT(ADDRESS(ROW()-1,COLUMN())),NOTA[[#This Row],[FAKTUR]]))</f>
        <v>UNTANA</v>
      </c>
      <c r="AK472" s="38">
        <f ca="1">IF(NOTA[[#This Row],[ID]]="","",COUNTIF(NOTA[ID_H],NOTA[[#This Row],[ID_H]]))</f>
        <v>1</v>
      </c>
      <c r="AL472" s="38">
        <f>IF(NOTA[[#This Row],[TGL.NOTA]]="",IF(NOTA[[#This Row],[SUPPLIER_H]]="","",AL471),MONTH(NOTA[[#This Row],[TGL.NOTA]]))</f>
        <v>9</v>
      </c>
      <c r="AM472" s="38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N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vtecexpandingfilevtef4511b58568000</v>
      </c>
      <c r="AO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P472" s="38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MURNIUNTANAV.2301714845192vtecexpandingfilevtef4511b5</v>
      </c>
      <c r="AQ472" s="38" t="e">
        <f>IF(NOTA[[#This Row],[CONCAT4]]="","",_xlfn.IFNA(MATCH(NOTA[[#This Row],[CONCAT4]],[2]!RAW[CONCAT_H],0),FALSE))</f>
        <v>#REF!</v>
      </c>
      <c r="AR472" s="38" t="e">
        <f>IF(NOTA[[#This Row],[CONCAT1]]="","",MATCH(NOTA[[#This Row],[CONCAT1]],[3]!db[NB NOTA_C],0))</f>
        <v>#N/A</v>
      </c>
      <c r="AS472" s="38" t="str">
        <f>IF(NOTA[[#This Row],[QTY/ CTN]]="","",TRUE)</f>
        <v/>
      </c>
      <c r="AT472" s="38" t="e">
        <f ca="1">IF(NOTA[[#This Row],[ID_H]]="","",IF(NOTA[[#This Row],[Column3]]=TRUE,NOTA[[#This Row],[QTY/ CTN]],INDEX([3]!db[QTY/ CTN],NOTA[[#This Row],[//DB]])))</f>
        <v>#N/A</v>
      </c>
      <c r="AU4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72" s="38" t="e">
        <f ca="1">IF(NOTA[[#This Row],[ID_H]]="","",MATCH(NOTA[[#This Row],[NB NOTA_C_QTY]],[4]!db[NB NOTA_C_QTY+F],0))</f>
        <v>#N/A</v>
      </c>
      <c r="AW472" s="53" t="e">
        <f ca="1">IF(NOTA[[#This Row],[NB NOTA_C_QTY]]="","",ROW()-2)</f>
        <v>#N/A</v>
      </c>
    </row>
    <row r="473" spans="1:49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3" s="50" t="str">
        <f>IF(OR(NOTA[[#This Row],[QTY]]="",NOTA[[#This Row],[HARGA SATUAN]]="",),"",NOTA[[#This Row],[QTY]]*NOTA[[#This Row],[HARGA SATUAN]])</f>
        <v/>
      </c>
      <c r="AH473" s="39" t="str">
        <f ca="1">IF(NOTA[ID_H]="","",INDEX(NOTA[TANGGAL],MATCH(,INDIRECT(ADDRESS(ROW(NOTA[TANGGAL]),COLUMN(NOTA[TANGGAL]))&amp;":"&amp;ADDRESS(ROW(),COLUMN(NOTA[TANGGAL]))),-1)))</f>
        <v/>
      </c>
      <c r="AI473" s="41" t="str">
        <f ca="1">IF(NOTA[[#This Row],[NAMA BARANG]]="","",INDEX(NOTA[SUPPLIER],MATCH(,INDIRECT(ADDRESS(ROW(NOTA[ID]),COLUMN(NOTA[ID]))&amp;":"&amp;ADDRESS(ROW(),COLUMN(NOTA[ID]))),-1)))</f>
        <v/>
      </c>
      <c r="AJ473" s="41" t="str">
        <f ca="1">IF(NOTA[[#This Row],[ID_H]]="","",IF(NOTA[[#This Row],[FAKTUR]]="",INDIRECT(ADDRESS(ROW()-1,COLUMN())),NOTA[[#This Row],[FAKTUR]]))</f>
        <v/>
      </c>
      <c r="AK473" s="38" t="str">
        <f ca="1">IF(NOTA[[#This Row],[ID]]="","",COUNTIF(NOTA[ID_H],NOTA[[#This Row],[ID_H]]))</f>
        <v/>
      </c>
      <c r="AL473" s="38" t="str">
        <f ca="1">IF(NOTA[[#This Row],[TGL.NOTA]]="",IF(NOTA[[#This Row],[SUPPLIER_H]]="","",AL472),MONTH(NOTA[[#This Row],[TGL.NOTA]]))</f>
        <v/>
      </c>
      <c r="AM473" s="38" t="str">
        <f>LOWER(SUBSTITUTE(SUBSTITUTE(SUBSTITUTE(SUBSTITUTE(SUBSTITUTE(SUBSTITUTE(SUBSTITUTE(SUBSTITUTE(SUBSTITUTE(NOTA[NAMA BARANG]," ",),".",""),"-",""),"(",""),")",""),",",""),"/",""),"""",""),"+",""))</f>
        <v/>
      </c>
      <c r="AN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38" t="str">
        <f>IF(NOTA[[#This Row],[CONCAT4]]="","",_xlfn.IFNA(MATCH(NOTA[[#This Row],[CONCAT4]],[2]!RAW[CONCAT_H],0),FALSE))</f>
        <v/>
      </c>
      <c r="AR473" s="38" t="str">
        <f>IF(NOTA[[#This Row],[CONCAT1]]="","",MATCH(NOTA[[#This Row],[CONCAT1]],[3]!db[NB NOTA_C],0))</f>
        <v/>
      </c>
      <c r="AS473" s="38" t="str">
        <f>IF(NOTA[[#This Row],[QTY/ CTN]]="","",TRUE)</f>
        <v/>
      </c>
      <c r="AT473" s="38" t="str">
        <f ca="1">IF(NOTA[[#This Row],[ID_H]]="","",IF(NOTA[[#This Row],[Column3]]=TRUE,NOTA[[#This Row],[QTY/ CTN]],INDEX([3]!db[QTY/ CTN],NOTA[[#This Row],[//DB]])))</f>
        <v/>
      </c>
      <c r="AU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3" s="38" t="str">
        <f ca="1">IF(NOTA[[#This Row],[ID_H]]="","",MATCH(NOTA[[#This Row],[NB NOTA_C_QTY]],[4]!db[NB NOTA_C_QTY+F],0))</f>
        <v/>
      </c>
      <c r="AW473" s="53" t="str">
        <f ca="1">IF(NOTA[[#This Row],[NB NOTA_C_QTY]]="","",ROW()-2)</f>
        <v/>
      </c>
    </row>
    <row r="474" spans="1:49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COM_2609_929-2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82</v>
      </c>
      <c r="E474" s="46">
        <v>45195</v>
      </c>
      <c r="F474" s="37" t="s">
        <v>501</v>
      </c>
      <c r="G474" s="37" t="s">
        <v>123</v>
      </c>
      <c r="H474" s="47" t="s">
        <v>584</v>
      </c>
      <c r="I474" s="37"/>
      <c r="J474" s="39">
        <v>45195</v>
      </c>
      <c r="K474" s="37"/>
      <c r="L474" s="37" t="s">
        <v>585</v>
      </c>
      <c r="M474" s="40">
        <v>1</v>
      </c>
      <c r="N474" s="38">
        <v>8</v>
      </c>
      <c r="O474" s="37" t="s">
        <v>138</v>
      </c>
      <c r="P474" s="41">
        <v>195000</v>
      </c>
      <c r="Q474" s="42"/>
      <c r="R474" s="48"/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1560000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1560000</v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474" s="50">
        <f>IF(OR(NOTA[[#This Row],[QTY]]="",NOTA[[#This Row],[HARGA SATUAN]]="",),"",NOTA[[#This Row],[QTY]]*NOTA[[#This Row],[HARGA SATUAN]])</f>
        <v>1560000</v>
      </c>
      <c r="AH474" s="39">
        <f ca="1">IF(NOTA[ID_H]="","",INDEX(NOTA[TANGGAL],MATCH(,INDIRECT(ADDRESS(ROW(NOTA[TANGGAL]),COLUMN(NOTA[TANGGAL]))&amp;":"&amp;ADDRESS(ROW(),COLUMN(NOTA[TANGGAL]))),-1)))</f>
        <v>45195</v>
      </c>
      <c r="AI474" s="41" t="str">
        <f ca="1">IF(NOTA[[#This Row],[NAMA BARANG]]="","",INDEX(NOTA[SUPPLIER],MATCH(,INDIRECT(ADDRESS(ROW(NOTA[ID]),COLUMN(NOTA[ID]))&amp;":"&amp;ADDRESS(ROW(),COLUMN(NOTA[ID]))),-1)))</f>
        <v>COMBI STATIOERY</v>
      </c>
      <c r="AJ474" s="41" t="str">
        <f ca="1">IF(NOTA[[#This Row],[ID_H]]="","",IF(NOTA[[#This Row],[FAKTUR]]="",INDIRECT(ADDRESS(ROW()-1,COLUMN())),NOTA[[#This Row],[FAKTUR]]))</f>
        <v>UNTANA</v>
      </c>
      <c r="AK474" s="38">
        <f ca="1">IF(NOTA[[#This Row],[ID]]="","",COUNTIF(NOTA[ID_H],NOTA[[#This Row],[ID_H]]))</f>
        <v>2</v>
      </c>
      <c r="AL474" s="38">
        <f>IF(NOTA[[#This Row],[TGL.NOTA]]="",IF(NOTA[[#This Row],[SUPPLIER_H]]="","",AL473),MONTH(NOTA[[#This Row],[TGL.NOTA]]))</f>
        <v>9</v>
      </c>
      <c r="AM474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N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O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P474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STATIOERYUNTANA092945195docritprestige</v>
      </c>
      <c r="AQ474" s="38" t="e">
        <f>IF(NOTA[[#This Row],[CONCAT4]]="","",_xlfn.IFNA(MATCH(NOTA[[#This Row],[CONCAT4]],[2]!RAW[CONCAT_H],0),FALSE))</f>
        <v>#REF!</v>
      </c>
      <c r="AR474" s="38">
        <f>IF(NOTA[[#This Row],[CONCAT1]]="","",MATCH(NOTA[[#This Row],[CONCAT1]],[3]!db[NB NOTA_C],0))</f>
        <v>746</v>
      </c>
      <c r="AS474" s="38" t="str">
        <f>IF(NOTA[[#This Row],[QTY/ CTN]]="","",TRUE)</f>
        <v/>
      </c>
      <c r="AT474" s="38" t="str">
        <f ca="1">IF(NOTA[[#This Row],[ID_H]]="","",IF(NOTA[[#This Row],[Column3]]=TRUE,NOTA[[#This Row],[QTY/ CTN]],INDEX([3]!db[QTY/ CTN],NOTA[[#This Row],[//DB]])))</f>
        <v>8 LSN</v>
      </c>
      <c r="AU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V474" s="38" t="e">
        <f ca="1">IF(NOTA[[#This Row],[ID_H]]="","",MATCH(NOTA[[#This Row],[NB NOTA_C_QTY]],[4]!db[NB NOTA_C_QTY+F],0))</f>
        <v>#REF!</v>
      </c>
      <c r="AW474" s="53">
        <f ca="1">IF(NOTA[[#This Row],[NB NOTA_C_QTY]]="","",ROW()-2)</f>
        <v>472</v>
      </c>
    </row>
    <row r="475" spans="1:49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82</v>
      </c>
      <c r="E475" s="46"/>
      <c r="F475" s="37"/>
      <c r="G475" s="37"/>
      <c r="H475" s="47"/>
      <c r="I475" s="37"/>
      <c r="J475" s="39"/>
      <c r="K475" s="37"/>
      <c r="L475" s="37" t="s">
        <v>586</v>
      </c>
      <c r="M475" s="40">
        <v>1</v>
      </c>
      <c r="N475" s="38">
        <v>8</v>
      </c>
      <c r="O475" s="37" t="s">
        <v>138</v>
      </c>
      <c r="P475" s="41">
        <v>180000</v>
      </c>
      <c r="Q475" s="42"/>
      <c r="R475" s="48"/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1440000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1440000</v>
      </c>
      <c r="AD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F475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G475" s="50">
        <f>IF(OR(NOTA[[#This Row],[QTY]]="",NOTA[[#This Row],[HARGA SATUAN]]="",),"",NOTA[[#This Row],[QTY]]*NOTA[[#This Row],[HARGA SATUAN]])</f>
        <v>1440000</v>
      </c>
      <c r="AH475" s="39">
        <f ca="1">IF(NOTA[ID_H]="","",INDEX(NOTA[TANGGAL],MATCH(,INDIRECT(ADDRESS(ROW(NOTA[TANGGAL]),COLUMN(NOTA[TANGGAL]))&amp;":"&amp;ADDRESS(ROW(),COLUMN(NOTA[TANGGAL]))),-1)))</f>
        <v>45195</v>
      </c>
      <c r="AI475" s="41" t="str">
        <f ca="1">IF(NOTA[[#This Row],[NAMA BARANG]]="","",INDEX(NOTA[SUPPLIER],MATCH(,INDIRECT(ADDRESS(ROW(NOTA[ID]),COLUMN(NOTA[ID]))&amp;":"&amp;ADDRESS(ROW(),COLUMN(NOTA[ID]))),-1)))</f>
        <v>COMBI STATIOERY</v>
      </c>
      <c r="AJ475" s="41" t="str">
        <f ca="1">IF(NOTA[[#This Row],[ID_H]]="","",IF(NOTA[[#This Row],[FAKTUR]]="",INDIRECT(ADDRESS(ROW()-1,COLUMN())),NOTA[[#This Row],[FAKTUR]]))</f>
        <v>UNTANA</v>
      </c>
      <c r="AK475" s="38" t="str">
        <f ca="1">IF(NOTA[[#This Row],[ID]]="","",COUNTIF(NOTA[ID_H],NOTA[[#This Row],[ID_H]]))</f>
        <v/>
      </c>
      <c r="AL475" s="38">
        <f ca="1">IF(NOTA[[#This Row],[TGL.NOTA]]="",IF(NOTA[[#This Row],[SUPPLIER_H]]="","",AL474),MONTH(NOTA[[#This Row],[TGL.NOTA]]))</f>
        <v>9</v>
      </c>
      <c r="AM475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N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38" t="str">
        <f>IF(NOTA[[#This Row],[CONCAT4]]="","",_xlfn.IFNA(MATCH(NOTA[[#This Row],[CONCAT4]],[2]!RAW[CONCAT_H],0),FALSE))</f>
        <v/>
      </c>
      <c r="AR475" s="38">
        <f>IF(NOTA[[#This Row],[CONCAT1]]="","",MATCH(NOTA[[#This Row],[CONCAT1]],[3]!db[NB NOTA_C],0))</f>
        <v>739</v>
      </c>
      <c r="AS475" s="38" t="str">
        <f>IF(NOTA[[#This Row],[QTY/ CTN]]="","",TRUE)</f>
        <v/>
      </c>
      <c r="AT475" s="38" t="str">
        <f ca="1">IF(NOTA[[#This Row],[ID_H]]="","",IF(NOTA[[#This Row],[Column3]]=TRUE,NOTA[[#This Row],[QTY/ CTN]],INDEX([3]!db[QTY/ CTN],NOTA[[#This Row],[//DB]])))</f>
        <v>8 LSN</v>
      </c>
      <c r="AU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V475" s="38" t="e">
        <f ca="1">IF(NOTA[[#This Row],[ID_H]]="","",MATCH(NOTA[[#This Row],[NB NOTA_C_QTY]],[4]!db[NB NOTA_C_QTY+F],0))</f>
        <v>#REF!</v>
      </c>
      <c r="AW475" s="53">
        <f ca="1">IF(NOTA[[#This Row],[NB NOTA_C_QTY]]="","",ROW()-2)</f>
        <v>473</v>
      </c>
    </row>
    <row r="476" spans="1:49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6" s="50" t="str">
        <f>IF(OR(NOTA[[#This Row],[QTY]]="",NOTA[[#This Row],[HARGA SATUAN]]="",),"",NOTA[[#This Row],[QTY]]*NOTA[[#This Row],[HARGA SATUAN]])</f>
        <v/>
      </c>
      <c r="AH476" s="39" t="str">
        <f ca="1">IF(NOTA[ID_H]="","",INDEX(NOTA[TANGGAL],MATCH(,INDIRECT(ADDRESS(ROW(NOTA[TANGGAL]),COLUMN(NOTA[TANGGAL]))&amp;":"&amp;ADDRESS(ROW(),COLUMN(NOTA[TANGGAL]))),-1)))</f>
        <v/>
      </c>
      <c r="AI476" s="41" t="str">
        <f ca="1">IF(NOTA[[#This Row],[NAMA BARANG]]="","",INDEX(NOTA[SUPPLIER],MATCH(,INDIRECT(ADDRESS(ROW(NOTA[ID]),COLUMN(NOTA[ID]))&amp;":"&amp;ADDRESS(ROW(),COLUMN(NOTA[ID]))),-1)))</f>
        <v/>
      </c>
      <c r="AJ476" s="41" t="str">
        <f ca="1">IF(NOTA[[#This Row],[ID_H]]="","",IF(NOTA[[#This Row],[FAKTUR]]="",INDIRECT(ADDRESS(ROW()-1,COLUMN())),NOTA[[#This Row],[FAKTUR]]))</f>
        <v/>
      </c>
      <c r="AK476" s="38" t="str">
        <f ca="1">IF(NOTA[[#This Row],[ID]]="","",COUNTIF(NOTA[ID_H],NOTA[[#This Row],[ID_H]]))</f>
        <v/>
      </c>
      <c r="AL476" s="38" t="str">
        <f ca="1">IF(NOTA[[#This Row],[TGL.NOTA]]="",IF(NOTA[[#This Row],[SUPPLIER_H]]="","",AL475),MONTH(NOTA[[#This Row],[TGL.NOTA]]))</f>
        <v/>
      </c>
      <c r="AM476" s="38" t="str">
        <f>LOWER(SUBSTITUTE(SUBSTITUTE(SUBSTITUTE(SUBSTITUTE(SUBSTITUTE(SUBSTITUTE(SUBSTITUTE(SUBSTITUTE(SUBSTITUTE(NOTA[NAMA BARANG]," ",),".",""),"-",""),"(",""),")",""),",",""),"/",""),"""",""),"+",""))</f>
        <v/>
      </c>
      <c r="AN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38" t="str">
        <f>IF(NOTA[[#This Row],[CONCAT4]]="","",_xlfn.IFNA(MATCH(NOTA[[#This Row],[CONCAT4]],[2]!RAW[CONCAT_H],0),FALSE))</f>
        <v/>
      </c>
      <c r="AR476" s="38" t="str">
        <f>IF(NOTA[[#This Row],[CONCAT1]]="","",MATCH(NOTA[[#This Row],[CONCAT1]],[3]!db[NB NOTA_C],0))</f>
        <v/>
      </c>
      <c r="AS476" s="38" t="str">
        <f>IF(NOTA[[#This Row],[QTY/ CTN]]="","",TRUE)</f>
        <v/>
      </c>
      <c r="AT476" s="38" t="str">
        <f ca="1">IF(NOTA[[#This Row],[ID_H]]="","",IF(NOTA[[#This Row],[Column3]]=TRUE,NOTA[[#This Row],[QTY/ CTN]],INDEX([3]!db[QTY/ CTN],NOTA[[#This Row],[//DB]])))</f>
        <v/>
      </c>
      <c r="AU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6" s="38" t="str">
        <f ca="1">IF(NOTA[[#This Row],[ID_H]]="","",MATCH(NOTA[[#This Row],[NB NOTA_C_QTY]],[4]!db[NB NOTA_C_QTY+F],0))</f>
        <v/>
      </c>
      <c r="AW476" s="53" t="str">
        <f ca="1">IF(NOTA[[#This Row],[NB NOTA_C_QTY]]="","",ROW()-2)</f>
        <v/>
      </c>
    </row>
    <row r="477" spans="1:49" s="38" customFormat="1" ht="20.100000000000001" customHeight="1" x14ac:dyDescent="0.25">
      <c r="A47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COM_2509_924-1</v>
      </c>
      <c r="C477" s="38" t="e">
        <f ca="1">IF(NOTA[[#This Row],[ID_P]]="","",MATCH(NOTA[[#This Row],[ID_P]],[1]!B_MSK[N_ID],0))</f>
        <v>#REF!</v>
      </c>
      <c r="D477" s="38">
        <f ca="1">IF(NOTA[[#This Row],[NAMA BARANG]]="","",INDEX(NOTA[ID],MATCH(,INDIRECT(ADDRESS(ROW(NOTA[ID]),COLUMN(NOTA[ID]))&amp;":"&amp;ADDRESS(ROW(),COLUMN(NOTA[ID]))),-1)))</f>
        <v>83</v>
      </c>
      <c r="E477" s="46">
        <v>45194</v>
      </c>
      <c r="F477" s="37" t="s">
        <v>501</v>
      </c>
      <c r="G477" s="37" t="s">
        <v>123</v>
      </c>
      <c r="H477" s="47" t="s">
        <v>587</v>
      </c>
      <c r="I477" s="37"/>
      <c r="J477" s="39">
        <v>45194</v>
      </c>
      <c r="K477" s="37"/>
      <c r="L477" s="37" t="s">
        <v>588</v>
      </c>
      <c r="M477" s="40">
        <v>1</v>
      </c>
      <c r="N477" s="38">
        <v>8</v>
      </c>
      <c r="O477" s="37" t="s">
        <v>138</v>
      </c>
      <c r="P477" s="41">
        <v>210000</v>
      </c>
      <c r="Q477" s="42"/>
      <c r="R477" s="48"/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1680000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1680000</v>
      </c>
      <c r="AD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F47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G477" s="50">
        <f>IF(OR(NOTA[[#This Row],[QTY]]="",NOTA[[#This Row],[HARGA SATUAN]]="",),"",NOTA[[#This Row],[QTY]]*NOTA[[#This Row],[HARGA SATUAN]])</f>
        <v>1680000</v>
      </c>
      <c r="AH477" s="39">
        <f ca="1">IF(NOTA[ID_H]="","",INDEX(NOTA[TANGGAL],MATCH(,INDIRECT(ADDRESS(ROW(NOTA[TANGGAL]),COLUMN(NOTA[TANGGAL]))&amp;":"&amp;ADDRESS(ROW(),COLUMN(NOTA[TANGGAL]))),-1)))</f>
        <v>45194</v>
      </c>
      <c r="AI477" s="41" t="str">
        <f ca="1">IF(NOTA[[#This Row],[NAMA BARANG]]="","",INDEX(NOTA[SUPPLIER],MATCH(,INDIRECT(ADDRESS(ROW(NOTA[ID]),COLUMN(NOTA[ID]))&amp;":"&amp;ADDRESS(ROW(),COLUMN(NOTA[ID]))),-1)))</f>
        <v>COMBI STATIOERY</v>
      </c>
      <c r="AJ477" s="41" t="str">
        <f ca="1">IF(NOTA[[#This Row],[ID_H]]="","",IF(NOTA[[#This Row],[FAKTUR]]="",INDIRECT(ADDRESS(ROW()-1,COLUMN())),NOTA[[#This Row],[FAKTUR]]))</f>
        <v>UNTANA</v>
      </c>
      <c r="AK477" s="38">
        <f ca="1">IF(NOTA[[#This Row],[ID]]="","",COUNTIF(NOTA[ID_H],NOTA[[#This Row],[ID_H]]))</f>
        <v>1</v>
      </c>
      <c r="AL477" s="38">
        <f>IF(NOTA[[#This Row],[TGL.NOTA]]="",IF(NOTA[[#This Row],[SUPPLIER_H]]="","",AL476),MONTH(NOTA[[#This Row],[TGL.NOTA]]))</f>
        <v>9</v>
      </c>
      <c r="AM477" s="38" t="str">
        <f>LOWER(SUBSTITUTE(SUBSTITUTE(SUBSTITUTE(SUBSTITUTE(SUBSTITUTE(SUBSTITUTE(SUBSTITUTE(SUBSTITUTE(SUBSTITUTE(NOTA[NAMA BARANG]," ",),".",""),"-",""),"(",""),")",""),",",""),"/",""),"""",""),"+",""))</f>
        <v>docritabsolutedk519</v>
      </c>
      <c r="AN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docritabsolutedk5191680000</v>
      </c>
      <c r="AO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docritabsolutedk5191680000</v>
      </c>
      <c r="AP477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STATIOERYUNTANA092445194docritabsolutedk519</v>
      </c>
      <c r="AQ477" s="38" t="e">
        <f>IF(NOTA[[#This Row],[CONCAT4]]="","",_xlfn.IFNA(MATCH(NOTA[[#This Row],[CONCAT4]],[2]!RAW[CONCAT_H],0),FALSE))</f>
        <v>#REF!</v>
      </c>
      <c r="AR477" s="38" t="e">
        <f>IF(NOTA[[#This Row],[CONCAT1]]="","",MATCH(NOTA[[#This Row],[CONCAT1]],[3]!db[NB NOTA_C],0))</f>
        <v>#N/A</v>
      </c>
      <c r="AS477" s="38" t="str">
        <f>IF(NOTA[[#This Row],[QTY/ CTN]]="","",TRUE)</f>
        <v/>
      </c>
      <c r="AT477" s="38" t="e">
        <f ca="1">IF(NOTA[[#This Row],[ID_H]]="","",IF(NOTA[[#This Row],[Column3]]=TRUE,NOTA[[#This Row],[QTY/ CTN]],INDEX([3]!db[QTY/ CTN],NOTA[[#This Row],[//DB]])))</f>
        <v>#N/A</v>
      </c>
      <c r="AU4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77" s="38" t="e">
        <f ca="1">IF(NOTA[[#This Row],[ID_H]]="","",MATCH(NOTA[[#This Row],[NB NOTA_C_QTY]],[4]!db[NB NOTA_C_QTY+F],0))</f>
        <v>#N/A</v>
      </c>
      <c r="AW477" s="53" t="e">
        <f ca="1">IF(NOTA[[#This Row],[NB NOTA_C_QTY]]="","",ROW()-2)</f>
        <v>#N/A</v>
      </c>
    </row>
    <row r="478" spans="1:49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78" s="50" t="str">
        <f>IF(OR(NOTA[[#This Row],[QTY]]="",NOTA[[#This Row],[HARGA SATUAN]]="",),"",NOTA[[#This Row],[QTY]]*NOTA[[#This Row],[HARGA SATUAN]])</f>
        <v/>
      </c>
      <c r="AH478" s="39" t="str">
        <f ca="1">IF(NOTA[ID_H]="","",INDEX(NOTA[TANGGAL],MATCH(,INDIRECT(ADDRESS(ROW(NOTA[TANGGAL]),COLUMN(NOTA[TANGGAL]))&amp;":"&amp;ADDRESS(ROW(),COLUMN(NOTA[TANGGAL]))),-1)))</f>
        <v/>
      </c>
      <c r="AI478" s="41" t="str">
        <f ca="1">IF(NOTA[[#This Row],[NAMA BARANG]]="","",INDEX(NOTA[SUPPLIER],MATCH(,INDIRECT(ADDRESS(ROW(NOTA[ID]),COLUMN(NOTA[ID]))&amp;":"&amp;ADDRESS(ROW(),COLUMN(NOTA[ID]))),-1)))</f>
        <v/>
      </c>
      <c r="AJ478" s="41" t="str">
        <f ca="1">IF(NOTA[[#This Row],[ID_H]]="","",IF(NOTA[[#This Row],[FAKTUR]]="",INDIRECT(ADDRESS(ROW()-1,COLUMN())),NOTA[[#This Row],[FAKTUR]]))</f>
        <v/>
      </c>
      <c r="AK478" s="38" t="str">
        <f ca="1">IF(NOTA[[#This Row],[ID]]="","",COUNTIF(NOTA[ID_H],NOTA[[#This Row],[ID_H]]))</f>
        <v/>
      </c>
      <c r="AL478" s="38" t="str">
        <f ca="1">IF(NOTA[[#This Row],[TGL.NOTA]]="",IF(NOTA[[#This Row],[SUPPLIER_H]]="","",AL477),MONTH(NOTA[[#This Row],[TGL.NOTA]]))</f>
        <v/>
      </c>
      <c r="AM478" s="38" t="str">
        <f>LOWER(SUBSTITUTE(SUBSTITUTE(SUBSTITUTE(SUBSTITUTE(SUBSTITUTE(SUBSTITUTE(SUBSTITUTE(SUBSTITUTE(SUBSTITUTE(NOTA[NAMA BARANG]," ",),".",""),"-",""),"(",""),")",""),",",""),"/",""),"""",""),"+",""))</f>
        <v/>
      </c>
      <c r="AN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38" t="str">
        <f>IF(NOTA[[#This Row],[CONCAT4]]="","",_xlfn.IFNA(MATCH(NOTA[[#This Row],[CONCAT4]],[2]!RAW[CONCAT_H],0),FALSE))</f>
        <v/>
      </c>
      <c r="AR478" s="38" t="str">
        <f>IF(NOTA[[#This Row],[CONCAT1]]="","",MATCH(NOTA[[#This Row],[CONCAT1]],[3]!db[NB NOTA_C],0))</f>
        <v/>
      </c>
      <c r="AS478" s="38" t="str">
        <f>IF(NOTA[[#This Row],[QTY/ CTN]]="","",TRUE)</f>
        <v/>
      </c>
      <c r="AT478" s="38" t="str">
        <f ca="1">IF(NOTA[[#This Row],[ID_H]]="","",IF(NOTA[[#This Row],[Column3]]=TRUE,NOTA[[#This Row],[QTY/ CTN]],INDEX([3]!db[QTY/ CTN],NOTA[[#This Row],[//DB]])))</f>
        <v/>
      </c>
      <c r="AU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78" s="38" t="str">
        <f ca="1">IF(NOTA[[#This Row],[ID_H]]="","",MATCH(NOTA[[#This Row],[NB NOTA_C_QTY]],[4]!db[NB NOTA_C_QTY+F],0))</f>
        <v/>
      </c>
      <c r="AW478" s="53" t="str">
        <f ca="1">IF(NOTA[[#This Row],[NB NOTA_C_QTY]]="","",ROW()-2)</f>
        <v/>
      </c>
    </row>
    <row r="479" spans="1:49" s="38" customFormat="1" ht="20.100000000000001" customHeight="1" x14ac:dyDescent="0.25">
      <c r="A47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SBS_2309_31B-1</v>
      </c>
      <c r="C479" s="38" t="e">
        <f ca="1">IF(NOTA[[#This Row],[ID_P]]="","",MATCH(NOTA[[#This Row],[ID_P]],[1]!B_MSK[N_ID],0))</f>
        <v>#REF!</v>
      </c>
      <c r="D479" s="38">
        <f ca="1">IF(NOTA[[#This Row],[NAMA BARANG]]="","",INDEX(NOTA[ID],MATCH(,INDIRECT(ADDRESS(ROW(NOTA[ID]),COLUMN(NOTA[ID]))&amp;":"&amp;ADDRESS(ROW(),COLUMN(NOTA[ID]))),-1)))</f>
        <v>84</v>
      </c>
      <c r="E479" s="46">
        <v>45192</v>
      </c>
      <c r="F479" s="37" t="s">
        <v>326</v>
      </c>
      <c r="G479" s="37" t="s">
        <v>123</v>
      </c>
      <c r="H479" s="47" t="s">
        <v>589</v>
      </c>
      <c r="I479" s="37"/>
      <c r="J479" s="39">
        <v>45189</v>
      </c>
      <c r="K479" s="37"/>
      <c r="L479" s="37" t="s">
        <v>590</v>
      </c>
      <c r="M479" s="40">
        <v>2</v>
      </c>
      <c r="N479" s="38">
        <v>144</v>
      </c>
      <c r="O479" s="37" t="s">
        <v>126</v>
      </c>
      <c r="P479" s="41">
        <v>12400</v>
      </c>
      <c r="Q479" s="42"/>
      <c r="R479" s="48" t="s">
        <v>217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1785600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1785600</v>
      </c>
      <c r="AD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1785600</v>
      </c>
      <c r="AF47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G479" s="50">
        <f>IF(OR(NOTA[[#This Row],[QTY]]="",NOTA[[#This Row],[HARGA SATUAN]]="",),"",NOTA[[#This Row],[QTY]]*NOTA[[#This Row],[HARGA SATUAN]])</f>
        <v>1785600</v>
      </c>
      <c r="AH479" s="39">
        <f ca="1">IF(NOTA[ID_H]="","",INDEX(NOTA[TANGGAL],MATCH(,INDIRECT(ADDRESS(ROW(NOTA[TANGGAL]),COLUMN(NOTA[TANGGAL]))&amp;":"&amp;ADDRESS(ROW(),COLUMN(NOTA[TANGGAL]))),-1)))</f>
        <v>45192</v>
      </c>
      <c r="AI479" s="41" t="str">
        <f ca="1">IF(NOTA[[#This Row],[NAMA BARANG]]="","",INDEX(NOTA[SUPPLIER],MATCH(,INDIRECT(ADDRESS(ROW(NOTA[ID]),COLUMN(NOTA[ID]))&amp;":"&amp;ADDRESS(ROW(),COLUMN(NOTA[ID]))),-1)))</f>
        <v>SBS</v>
      </c>
      <c r="AJ479" s="41" t="str">
        <f ca="1">IF(NOTA[[#This Row],[ID_H]]="","",IF(NOTA[[#This Row],[FAKTUR]]="",INDIRECT(ADDRESS(ROW()-1,COLUMN())),NOTA[[#This Row],[FAKTUR]]))</f>
        <v>UNTANA</v>
      </c>
      <c r="AK479" s="38">
        <f ca="1">IF(NOTA[[#This Row],[ID]]="","",COUNTIF(NOTA[ID_H],NOTA[[#This Row],[ID_H]]))</f>
        <v>1</v>
      </c>
      <c r="AL479" s="38">
        <f>IF(NOTA[[#This Row],[TGL.NOTA]]="",IF(NOTA[[#This Row],[SUPPLIER_H]]="","",AL478),MONTH(NOTA[[#This Row],[TGL.NOTA]]))</f>
        <v>9</v>
      </c>
      <c r="AM479" s="38" t="str">
        <f>LOWER(SUBSTITUTE(SUBSTITUTE(SUBSTITUTE(SUBSTITUTE(SUBSTITUTE(SUBSTITUTE(SUBSTITUTE(SUBSTITUTE(SUBSTITUTE(NOTA[NAMA BARANG]," ",),".",""),"-",""),"(",""),")",""),",",""),"/",""),"""",""),"+",""))</f>
        <v>bindernotegastappa5hp209t</v>
      </c>
      <c r="AN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bindernotegastappa5hp209t892800</v>
      </c>
      <c r="AO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bindernotegastappa5hp209t892800</v>
      </c>
      <c r="AP47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SBSUNTANAVJ0431B45189bindernotegastappa5hp209t</v>
      </c>
      <c r="AQ479" s="38" t="e">
        <f>IF(NOTA[[#This Row],[CONCAT4]]="","",_xlfn.IFNA(MATCH(NOTA[[#This Row],[CONCAT4]],[2]!RAW[CONCAT_H],0),FALSE))</f>
        <v>#REF!</v>
      </c>
      <c r="AR479" s="38" t="e">
        <f>IF(NOTA[[#This Row],[CONCAT1]]="","",MATCH(NOTA[[#This Row],[CONCAT1]],[3]!db[NB NOTA_C],0))</f>
        <v>#N/A</v>
      </c>
      <c r="AS479" s="38" t="b">
        <f>IF(NOTA[[#This Row],[QTY/ CTN]]="","",TRUE)</f>
        <v>1</v>
      </c>
      <c r="AT479" s="38" t="str">
        <f ca="1">IF(NOTA[[#This Row],[ID_H]]="","",IF(NOTA[[#This Row],[Column3]]=TRUE,NOTA[[#This Row],[QTY/ CTN]],INDEX([3]!db[QTY/ CTN],NOTA[[#This Row],[//DB]])))</f>
        <v>72 PCS</v>
      </c>
      <c r="AU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bindernotegastappa5hp209t72pcsuntana</v>
      </c>
      <c r="AV479" s="38" t="e">
        <f ca="1">IF(NOTA[[#This Row],[ID_H]]="","",MATCH(NOTA[[#This Row],[NB NOTA_C_QTY]],[4]!db[NB NOTA_C_QTY+F],0))</f>
        <v>#REF!</v>
      </c>
      <c r="AW479" s="53">
        <f ca="1">IF(NOTA[[#This Row],[NB NOTA_C_QTY]]="","",ROW()-2)</f>
        <v>477</v>
      </c>
    </row>
    <row r="480" spans="1:49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0" s="50" t="str">
        <f>IF(OR(NOTA[[#This Row],[QTY]]="",NOTA[[#This Row],[HARGA SATUAN]]="",),"",NOTA[[#This Row],[QTY]]*NOTA[[#This Row],[HARGA SATUAN]])</f>
        <v/>
      </c>
      <c r="AH480" s="39" t="str">
        <f ca="1">IF(NOTA[ID_H]="","",INDEX(NOTA[TANGGAL],MATCH(,INDIRECT(ADDRESS(ROW(NOTA[TANGGAL]),COLUMN(NOTA[TANGGAL]))&amp;":"&amp;ADDRESS(ROW(),COLUMN(NOTA[TANGGAL]))),-1)))</f>
        <v/>
      </c>
      <c r="AI480" s="41" t="str">
        <f ca="1">IF(NOTA[[#This Row],[NAMA BARANG]]="","",INDEX(NOTA[SUPPLIER],MATCH(,INDIRECT(ADDRESS(ROW(NOTA[ID]),COLUMN(NOTA[ID]))&amp;":"&amp;ADDRESS(ROW(),COLUMN(NOTA[ID]))),-1)))</f>
        <v/>
      </c>
      <c r="AJ480" s="41" t="str">
        <f ca="1">IF(NOTA[[#This Row],[ID_H]]="","",IF(NOTA[[#This Row],[FAKTUR]]="",INDIRECT(ADDRESS(ROW()-1,COLUMN())),NOTA[[#This Row],[FAKTUR]]))</f>
        <v/>
      </c>
      <c r="AK480" s="38" t="str">
        <f ca="1">IF(NOTA[[#This Row],[ID]]="","",COUNTIF(NOTA[ID_H],NOTA[[#This Row],[ID_H]]))</f>
        <v/>
      </c>
      <c r="AL480" s="38" t="str">
        <f ca="1">IF(NOTA[[#This Row],[TGL.NOTA]]="",IF(NOTA[[#This Row],[SUPPLIER_H]]="","",AL479),MONTH(NOTA[[#This Row],[TGL.NOTA]]))</f>
        <v/>
      </c>
      <c r="AM480" s="38" t="str">
        <f>LOWER(SUBSTITUTE(SUBSTITUTE(SUBSTITUTE(SUBSTITUTE(SUBSTITUTE(SUBSTITUTE(SUBSTITUTE(SUBSTITUTE(SUBSTITUTE(NOTA[NAMA BARANG]," ",),".",""),"-",""),"(",""),")",""),",",""),"/",""),"""",""),"+",""))</f>
        <v/>
      </c>
      <c r="AN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0" s="38" t="str">
        <f>IF(NOTA[[#This Row],[CONCAT4]]="","",_xlfn.IFNA(MATCH(NOTA[[#This Row],[CONCAT4]],[2]!RAW[CONCAT_H],0),FALSE))</f>
        <v/>
      </c>
      <c r="AR480" s="38" t="str">
        <f>IF(NOTA[[#This Row],[CONCAT1]]="","",MATCH(NOTA[[#This Row],[CONCAT1]],[3]!db[NB NOTA_C],0))</f>
        <v/>
      </c>
      <c r="AS480" s="38" t="str">
        <f>IF(NOTA[[#This Row],[QTY/ CTN]]="","",TRUE)</f>
        <v/>
      </c>
      <c r="AT480" s="38" t="str">
        <f ca="1">IF(NOTA[[#This Row],[ID_H]]="","",IF(NOTA[[#This Row],[Column3]]=TRUE,NOTA[[#This Row],[QTY/ CTN]],INDEX([3]!db[QTY/ CTN],NOTA[[#This Row],[//DB]])))</f>
        <v/>
      </c>
      <c r="AU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0" s="38" t="str">
        <f ca="1">IF(NOTA[[#This Row],[ID_H]]="","",MATCH(NOTA[[#This Row],[NB NOTA_C_QTY]],[4]!db[NB NOTA_C_QTY+F],0))</f>
        <v/>
      </c>
      <c r="AW480" s="53" t="str">
        <f ca="1">IF(NOTA[[#This Row],[NB NOTA_C_QTY]]="","",ROW()-2)</f>
        <v/>
      </c>
    </row>
    <row r="481" spans="1:49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PSM_2309_060-2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85</v>
      </c>
      <c r="E481" s="46">
        <v>45192</v>
      </c>
      <c r="F481" s="37" t="s">
        <v>591</v>
      </c>
      <c r="G481" s="37" t="s">
        <v>123</v>
      </c>
      <c r="H481" s="47" t="s">
        <v>592</v>
      </c>
      <c r="I481" s="37"/>
      <c r="J481" s="39">
        <v>45189</v>
      </c>
      <c r="K481" s="37"/>
      <c r="L481" s="37" t="s">
        <v>593</v>
      </c>
      <c r="M481" s="40">
        <v>5</v>
      </c>
      <c r="N481" s="38">
        <v>200</v>
      </c>
      <c r="O481" s="37" t="s">
        <v>281</v>
      </c>
      <c r="P481" s="41">
        <v>125000</v>
      </c>
      <c r="Q481" s="42"/>
      <c r="R481" s="48" t="s">
        <v>322</v>
      </c>
      <c r="S481" s="49">
        <v>0.2</v>
      </c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25000000</v>
      </c>
      <c r="Y481" s="50">
        <f>IF(NOTA[[#This Row],[JUMLAH]]="","",NOTA[[#This Row],[JUMLAH]]*NOTA[[#This Row],[DISC 1]])</f>
        <v>5000000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5000000</v>
      </c>
      <c r="AC481" s="50">
        <f>IF(NOTA[[#This Row],[JUMLAH]]="","",NOTA[[#This Row],[JUMLAH]]-NOTA[[#This Row],[DISC]])</f>
        <v>20000000</v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1" s="41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G481" s="50">
        <f>IF(OR(NOTA[[#This Row],[QTY]]="",NOTA[[#This Row],[HARGA SATUAN]]="",),"",NOTA[[#This Row],[QTY]]*NOTA[[#This Row],[HARGA SATUAN]])</f>
        <v>25000000</v>
      </c>
      <c r="AH481" s="39">
        <f ca="1">IF(NOTA[ID_H]="","",INDEX(NOTA[TANGGAL],MATCH(,INDIRECT(ADDRESS(ROW(NOTA[TANGGAL]),COLUMN(NOTA[TANGGAL]))&amp;":"&amp;ADDRESS(ROW(),COLUMN(NOTA[TANGGAL]))),-1)))</f>
        <v>45192</v>
      </c>
      <c r="AI481" s="41" t="str">
        <f ca="1">IF(NOTA[[#This Row],[NAMA BARANG]]="","",INDEX(NOTA[SUPPLIER],MATCH(,INDIRECT(ADDRESS(ROW(NOTA[ID]),COLUMN(NOTA[ID]))&amp;":"&amp;ADDRESS(ROW(),COLUMN(NOTA[ID]))),-1)))</f>
        <v>PSM</v>
      </c>
      <c r="AJ481" s="41" t="str">
        <f ca="1">IF(NOTA[[#This Row],[ID_H]]="","",IF(NOTA[[#This Row],[FAKTUR]]="",INDIRECT(ADDRESS(ROW()-1,COLUMN())),NOTA[[#This Row],[FAKTUR]]))</f>
        <v>UNTANA</v>
      </c>
      <c r="AK481" s="38">
        <f ca="1">IF(NOTA[[#This Row],[ID]]="","",COUNTIF(NOTA[ID_H],NOTA[[#This Row],[ID_H]]))</f>
        <v>2</v>
      </c>
      <c r="AL481" s="38">
        <f>IF(NOTA[[#This Row],[TGL.NOTA]]="",IF(NOTA[[#This Row],[SUPPLIER_H]]="","",AL480),MONTH(NOTA[[#This Row],[TGL.NOTA]]))</f>
        <v>9</v>
      </c>
      <c r="AM481" s="38" t="str">
        <f>LOWER(SUBSTITUTE(SUBSTITUTE(SUBSTITUTE(SUBSTITUTE(SUBSTITUTE(SUBSTITUTE(SUBSTITUTE(SUBSTITUTE(SUBSTITUTE(NOTA[NAMA BARANG]," ",),".",""),"-",""),"(",""),")",""),",",""),"/",""),"""",""),"+",""))</f>
        <v>balonfs4220x5lkp3200hb4</v>
      </c>
      <c r="AN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balonfs4220x5lkp3200hb450000000.2</v>
      </c>
      <c r="AO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balonfs4220x5lkp3200hb450000000.2</v>
      </c>
      <c r="AP481" s="38" t="str">
        <f>IF(NOTA[[#This Row],[SUPPLIER]]="","",NOTA[[#This Row],[SUPPLIER]]&amp;NOTA[[#This Row],[FAKTUR]]&amp;NOTA[[#This Row],[NO.NOTA]]&amp;NOTA[[#This Row],[NO.SJ]]&amp;NOTA[[#This Row],[TGL.NOTA]]&amp;NOTA[[#This Row],[CONCAT1]])</f>
        <v>PSMUNTANAPSM-R230900006045189balonfs4220x5lkp3200hb4</v>
      </c>
      <c r="AQ481" s="38" t="e">
        <f>IF(NOTA[[#This Row],[CONCAT4]]="","",_xlfn.IFNA(MATCH(NOTA[[#This Row],[CONCAT4]],[2]!RAW[CONCAT_H],0),FALSE))</f>
        <v>#REF!</v>
      </c>
      <c r="AR481" s="38" t="e">
        <f>IF(NOTA[[#This Row],[CONCAT1]]="","",MATCH(NOTA[[#This Row],[CONCAT1]],[3]!db[NB NOTA_C],0))</f>
        <v>#N/A</v>
      </c>
      <c r="AS481" s="38" t="b">
        <f>IF(NOTA[[#This Row],[QTY/ CTN]]="","",TRUE)</f>
        <v>1</v>
      </c>
      <c r="AT481" s="38" t="str">
        <f ca="1">IF(NOTA[[#This Row],[ID_H]]="","",IF(NOTA[[#This Row],[Column3]]=TRUE,NOTA[[#This Row],[QTY/ CTN]],INDEX([3]!db[QTY/ CTN],NOTA[[#This Row],[//DB]])))</f>
        <v>40 LPG</v>
      </c>
      <c r="AU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balonfs4220x5lkp3200hb440lpguntana</v>
      </c>
      <c r="AV481" s="38" t="e">
        <f ca="1">IF(NOTA[[#This Row],[ID_H]]="","",MATCH(NOTA[[#This Row],[NB NOTA_C_QTY]],[4]!db[NB NOTA_C_QTY+F],0))</f>
        <v>#REF!</v>
      </c>
      <c r="AW481" s="53">
        <f ca="1">IF(NOTA[[#This Row],[NB NOTA_C_QTY]]="","",ROW()-2)</f>
        <v>479</v>
      </c>
    </row>
    <row r="482" spans="1:49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85</v>
      </c>
      <c r="E482" s="46"/>
      <c r="F482" s="37"/>
      <c r="G482" s="37"/>
      <c r="H482" s="47"/>
      <c r="I482" s="37"/>
      <c r="J482" s="39"/>
      <c r="K482" s="37"/>
      <c r="L482" s="37" t="s">
        <v>594</v>
      </c>
      <c r="M482" s="40">
        <v>7</v>
      </c>
      <c r="N482" s="38">
        <v>280</v>
      </c>
      <c r="O482" s="37" t="s">
        <v>595</v>
      </c>
      <c r="P482" s="41">
        <v>105000</v>
      </c>
      <c r="Q482" s="42"/>
      <c r="R482" s="48" t="s">
        <v>322</v>
      </c>
      <c r="S482" s="49">
        <v>0.2</v>
      </c>
      <c r="T482" s="44"/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29400000</v>
      </c>
      <c r="Y482" s="50">
        <f>IF(NOTA[[#This Row],[JUMLAH]]="","",NOTA[[#This Row],[JUMLAH]]*NOTA[[#This Row],[DISC 1]])</f>
        <v>5880000</v>
      </c>
      <c r="Z482" s="50">
        <f>IF(NOTA[[#This Row],[JUMLAH]]="","",(NOTA[[#This Row],[JUMLAH]]-NOTA[[#This Row],[DISC 1-]])*NOTA[[#This Row],[DISC 2]])</f>
        <v>0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5880000</v>
      </c>
      <c r="AC482" s="50">
        <f>IF(NOTA[[#This Row],[JUMLAH]]="","",NOTA[[#This Row],[JUMLAH]]-NOTA[[#This Row],[DISC]])</f>
        <v>23520000</v>
      </c>
      <c r="AD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10880000</v>
      </c>
      <c r="AE4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43520000</v>
      </c>
      <c r="AF482" s="41">
        <f>IF(NOTA[[#This Row],[NAMA BARANG]]="","",IF(NOTA[[#This Row],[JUMLAH_H]]="",NOTA[[#This Row],[HARGA/ CTN]],NOTA[[#This Row],[QTY]]*NOTA[[#This Row],[HARGA SATUAN]]/IF(ISNUMBER(NOTA[[#This Row],[C]]),NOTA[[#This Row],[C]],1)))</f>
        <v>4200000</v>
      </c>
      <c r="AG482" s="50">
        <f>IF(OR(NOTA[[#This Row],[QTY]]="",NOTA[[#This Row],[HARGA SATUAN]]="",),"",NOTA[[#This Row],[QTY]]*NOTA[[#This Row],[HARGA SATUAN]])</f>
        <v>29400000</v>
      </c>
      <c r="AH482" s="39">
        <f ca="1">IF(NOTA[ID_H]="","",INDEX(NOTA[TANGGAL],MATCH(,INDIRECT(ADDRESS(ROW(NOTA[TANGGAL]),COLUMN(NOTA[TANGGAL]))&amp;":"&amp;ADDRESS(ROW(),COLUMN(NOTA[TANGGAL]))),-1)))</f>
        <v>45192</v>
      </c>
      <c r="AI482" s="41" t="str">
        <f ca="1">IF(NOTA[[#This Row],[NAMA BARANG]]="","",INDEX(NOTA[SUPPLIER],MATCH(,INDIRECT(ADDRESS(ROW(NOTA[ID]),COLUMN(NOTA[ID]))&amp;":"&amp;ADDRESS(ROW(),COLUMN(NOTA[ID]))),-1)))</f>
        <v>PSM</v>
      </c>
      <c r="AJ482" s="41" t="str">
        <f ca="1">IF(NOTA[[#This Row],[ID_H]]="","",IF(NOTA[[#This Row],[FAKTUR]]="",INDIRECT(ADDRESS(ROW()-1,COLUMN())),NOTA[[#This Row],[FAKTUR]]))</f>
        <v>UNTANA</v>
      </c>
      <c r="AK482" s="38" t="str">
        <f ca="1">IF(NOTA[[#This Row],[ID]]="","",COUNTIF(NOTA[ID_H],NOTA[[#This Row],[ID_H]]))</f>
        <v/>
      </c>
      <c r="AL482" s="38">
        <f ca="1">IF(NOTA[[#This Row],[TGL.NOTA]]="",IF(NOTA[[#This Row],[SUPPLIER_H]]="","",AL481),MONTH(NOTA[[#This Row],[TGL.NOTA]]))</f>
        <v>9</v>
      </c>
      <c r="AM482" s="38" t="str">
        <f>LOWER(SUBSTITUTE(SUBSTITUTE(SUBSTITUTE(SUBSTITUTE(SUBSTITUTE(SUBSTITUTE(SUBSTITUTE(SUBSTITUTE(SUBSTITUTE(NOTA[NAMA BARANG]," ",),".",""),"-",""),"(",""),")",""),",",""),"/",""),"""",""),"+",""))</f>
        <v>balonjumbo12x3lj1898</v>
      </c>
      <c r="AN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balonjumbo12x3lj189842000000.2</v>
      </c>
      <c r="AO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balonjumbo12x3lj189842000000.2</v>
      </c>
      <c r="AP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38" t="str">
        <f>IF(NOTA[[#This Row],[CONCAT4]]="","",_xlfn.IFNA(MATCH(NOTA[[#This Row],[CONCAT4]],[2]!RAW[CONCAT_H],0),FALSE))</f>
        <v/>
      </c>
      <c r="AR482" s="38" t="e">
        <f>IF(NOTA[[#This Row],[CONCAT1]]="","",MATCH(NOTA[[#This Row],[CONCAT1]],[3]!db[NB NOTA_C],0))</f>
        <v>#N/A</v>
      </c>
      <c r="AS482" s="38" t="b">
        <f>IF(NOTA[[#This Row],[QTY/ CTN]]="","",TRUE)</f>
        <v>1</v>
      </c>
      <c r="AT482" s="38" t="str">
        <f ca="1">IF(NOTA[[#This Row],[ID_H]]="","",IF(NOTA[[#This Row],[Column3]]=TRUE,NOTA[[#This Row],[QTY/ CTN]],INDEX([3]!db[QTY/ CTN],NOTA[[#This Row],[//DB]])))</f>
        <v>40 LPG</v>
      </c>
      <c r="AU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balonjumbo12x3lj189840lpguntana</v>
      </c>
      <c r="AV482" s="38" t="e">
        <f ca="1">IF(NOTA[[#This Row],[ID_H]]="","",MATCH(NOTA[[#This Row],[NB NOTA_C_QTY]],[4]!db[NB NOTA_C_QTY+F],0))</f>
        <v>#REF!</v>
      </c>
      <c r="AW482" s="53">
        <f ca="1">IF(NOTA[[#This Row],[NB NOTA_C_QTY]]="","",ROW()-2)</f>
        <v>480</v>
      </c>
    </row>
    <row r="483" spans="1:49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3" s="50" t="str">
        <f>IF(OR(NOTA[[#This Row],[QTY]]="",NOTA[[#This Row],[HARGA SATUAN]]="",),"",NOTA[[#This Row],[QTY]]*NOTA[[#This Row],[HARGA SATUAN]])</f>
        <v/>
      </c>
      <c r="AH483" s="39" t="str">
        <f ca="1">IF(NOTA[ID_H]="","",INDEX(NOTA[TANGGAL],MATCH(,INDIRECT(ADDRESS(ROW(NOTA[TANGGAL]),COLUMN(NOTA[TANGGAL]))&amp;":"&amp;ADDRESS(ROW(),COLUMN(NOTA[TANGGAL]))),-1)))</f>
        <v/>
      </c>
      <c r="AI483" s="41" t="str">
        <f ca="1">IF(NOTA[[#This Row],[NAMA BARANG]]="","",INDEX(NOTA[SUPPLIER],MATCH(,INDIRECT(ADDRESS(ROW(NOTA[ID]),COLUMN(NOTA[ID]))&amp;":"&amp;ADDRESS(ROW(),COLUMN(NOTA[ID]))),-1)))</f>
        <v/>
      </c>
      <c r="AJ483" s="41" t="str">
        <f ca="1">IF(NOTA[[#This Row],[ID_H]]="","",IF(NOTA[[#This Row],[FAKTUR]]="",INDIRECT(ADDRESS(ROW()-1,COLUMN())),NOTA[[#This Row],[FAKTUR]]))</f>
        <v/>
      </c>
      <c r="AK483" s="38" t="str">
        <f ca="1">IF(NOTA[[#This Row],[ID]]="","",COUNTIF(NOTA[ID_H],NOTA[[#This Row],[ID_H]]))</f>
        <v/>
      </c>
      <c r="AL483" s="38" t="str">
        <f ca="1">IF(NOTA[[#This Row],[TGL.NOTA]]="",IF(NOTA[[#This Row],[SUPPLIER_H]]="","",AL482),MONTH(NOTA[[#This Row],[TGL.NOTA]]))</f>
        <v/>
      </c>
      <c r="AM483" s="38" t="str">
        <f>LOWER(SUBSTITUTE(SUBSTITUTE(SUBSTITUTE(SUBSTITUTE(SUBSTITUTE(SUBSTITUTE(SUBSTITUTE(SUBSTITUTE(SUBSTITUTE(NOTA[NAMA BARANG]," ",),".",""),"-",""),"(",""),")",""),",",""),"/",""),"""",""),"+",""))</f>
        <v/>
      </c>
      <c r="AN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38" t="str">
        <f>IF(NOTA[[#This Row],[CONCAT4]]="","",_xlfn.IFNA(MATCH(NOTA[[#This Row],[CONCAT4]],[2]!RAW[CONCAT_H],0),FALSE))</f>
        <v/>
      </c>
      <c r="AR483" s="38" t="str">
        <f>IF(NOTA[[#This Row],[CONCAT1]]="","",MATCH(NOTA[[#This Row],[CONCAT1]],[3]!db[NB NOTA_C],0))</f>
        <v/>
      </c>
      <c r="AS483" s="38" t="str">
        <f>IF(NOTA[[#This Row],[QTY/ CTN]]="","",TRUE)</f>
        <v/>
      </c>
      <c r="AT483" s="38" t="str">
        <f ca="1">IF(NOTA[[#This Row],[ID_H]]="","",IF(NOTA[[#This Row],[Column3]]=TRUE,NOTA[[#This Row],[QTY/ CTN]],INDEX([3]!db[QTY/ CTN],NOTA[[#This Row],[//DB]])))</f>
        <v/>
      </c>
      <c r="AU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3" s="38" t="str">
        <f ca="1">IF(NOTA[[#This Row],[ID_H]]="","",MATCH(NOTA[[#This Row],[NB NOTA_C_QTY]],[4]!db[NB NOTA_C_QTY+F],0))</f>
        <v/>
      </c>
      <c r="AW483" s="53" t="str">
        <f ca="1">IF(NOTA[[#This Row],[NB NOTA_C_QTY]]="","",ROW()-2)</f>
        <v/>
      </c>
    </row>
    <row r="484" spans="1:49" s="38" customFormat="1" ht="20.100000000000001" customHeight="1" x14ac:dyDescent="0.25">
      <c r="A484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DUT_2309_23C-2</v>
      </c>
      <c r="C484" s="38" t="e">
        <f ca="1">IF(NOTA[[#This Row],[ID_P]]="","",MATCH(NOTA[[#This Row],[ID_P]],[1]!B_MSK[N_ID],0))</f>
        <v>#REF!</v>
      </c>
      <c r="D484" s="38">
        <f ca="1">IF(NOTA[[#This Row],[NAMA BARANG]]="","",INDEX(NOTA[ID],MATCH(,INDIRECT(ADDRESS(ROW(NOTA[ID]),COLUMN(NOTA[ID]))&amp;":"&amp;ADDRESS(ROW(),COLUMN(NOTA[ID]))),-1)))</f>
        <v>86</v>
      </c>
      <c r="E484" s="46">
        <v>45192</v>
      </c>
      <c r="F484" s="37" t="s">
        <v>596</v>
      </c>
      <c r="G484" s="37" t="s">
        <v>123</v>
      </c>
      <c r="H484" s="47" t="s">
        <v>597</v>
      </c>
      <c r="I484" s="37"/>
      <c r="J484" s="39">
        <v>45189</v>
      </c>
      <c r="K484" s="37"/>
      <c r="L484" s="37" t="s">
        <v>599</v>
      </c>
      <c r="M484" s="40">
        <v>1</v>
      </c>
      <c r="N484" s="38">
        <v>96</v>
      </c>
      <c r="O484" s="37" t="s">
        <v>126</v>
      </c>
      <c r="P484" s="41">
        <v>21000</v>
      </c>
      <c r="Q484" s="42"/>
      <c r="R484" s="48" t="s">
        <v>523</v>
      </c>
      <c r="S484" s="49">
        <v>0.03</v>
      </c>
      <c r="T484" s="44"/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2016000</v>
      </c>
      <c r="Y484" s="50">
        <f>IF(NOTA[[#This Row],[JUMLAH]]="","",NOTA[[#This Row],[JUMLAH]]*NOTA[[#This Row],[DISC 1]])</f>
        <v>60480</v>
      </c>
      <c r="Z484" s="50">
        <f>IF(NOTA[[#This Row],[JUMLAH]]="","",(NOTA[[#This Row],[JUMLAH]]-NOTA[[#This Row],[DISC 1-]])*NOTA[[#This Row],[DISC 2]])</f>
        <v>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60480</v>
      </c>
      <c r="AC484" s="50">
        <f>IF(NOTA[[#This Row],[JUMLAH]]="","",NOTA[[#This Row],[JUMLAH]]-NOTA[[#This Row],[DISC]])</f>
        <v>1955520</v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4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G484" s="50">
        <f>IF(OR(NOTA[[#This Row],[QTY]]="",NOTA[[#This Row],[HARGA SATUAN]]="",),"",NOTA[[#This Row],[QTY]]*NOTA[[#This Row],[HARGA SATUAN]])</f>
        <v>2016000</v>
      </c>
      <c r="AH484" s="39">
        <f ca="1">IF(NOTA[ID_H]="","",INDEX(NOTA[TANGGAL],MATCH(,INDIRECT(ADDRESS(ROW(NOTA[TANGGAL]),COLUMN(NOTA[TANGGAL]))&amp;":"&amp;ADDRESS(ROW(),COLUMN(NOTA[TANGGAL]))),-1)))</f>
        <v>45192</v>
      </c>
      <c r="AI484" s="41" t="str">
        <f ca="1">IF(NOTA[[#This Row],[NAMA BARANG]]="","",INDEX(NOTA[SUPPLIER],MATCH(,INDIRECT(ADDRESS(ROW(NOTA[ID]),COLUMN(NOTA[ID]))&amp;":"&amp;ADDRESS(ROW(),COLUMN(NOTA[ID]))),-1)))</f>
        <v>DUTA BAHAGIA</v>
      </c>
      <c r="AJ484" s="41" t="str">
        <f ca="1">IF(NOTA[[#This Row],[ID_H]]="","",IF(NOTA[[#This Row],[FAKTUR]]="",INDIRECT(ADDRESS(ROW()-1,COLUMN())),NOTA[[#This Row],[FAKTUR]]))</f>
        <v>UNTANA</v>
      </c>
      <c r="AK484" s="38">
        <f ca="1">IF(NOTA[[#This Row],[ID]]="","",COUNTIF(NOTA[ID_H],NOTA[[#This Row],[ID_H]]))</f>
        <v>2</v>
      </c>
      <c r="AL484" s="38">
        <f>IF(NOTA[[#This Row],[TGL.NOTA]]="",IF(NOTA[[#This Row],[SUPPLIER_H]]="","",AL483),MONTH(NOTA[[#This Row],[TGL.NOTA]]))</f>
        <v>9</v>
      </c>
      <c r="AM484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N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bindernotefphy001a56020160000.03</v>
      </c>
      <c r="AO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bindernotefphy001a56020160000.03</v>
      </c>
      <c r="AP484" s="38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BAHAGIAUNTANADHM/12/09-23C45189bindernotefphy001a560</v>
      </c>
      <c r="AQ484" s="38" t="e">
        <f>IF(NOTA[[#This Row],[CONCAT4]]="","",_xlfn.IFNA(MATCH(NOTA[[#This Row],[CONCAT4]],[2]!RAW[CONCAT_H],0),FALSE))</f>
        <v>#REF!</v>
      </c>
      <c r="AR484" s="38">
        <f>IF(NOTA[[#This Row],[CONCAT1]]="","",MATCH(NOTA[[#This Row],[CONCAT1]],[3]!db[NB NOTA_C],0))</f>
        <v>293</v>
      </c>
      <c r="AS484" s="38" t="b">
        <f>IF(NOTA[[#This Row],[QTY/ CTN]]="","",TRUE)</f>
        <v>1</v>
      </c>
      <c r="AT484" s="38" t="str">
        <f ca="1">IF(NOTA[[#This Row],[ID_H]]="","",IF(NOTA[[#This Row],[Column3]]=TRUE,NOTA[[#This Row],[QTY/ CTN]],INDEX([3]!db[QTY/ CTN],NOTA[[#This Row],[//DB]])))</f>
        <v>96 PCS</v>
      </c>
      <c r="AU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V484" s="38" t="e">
        <f ca="1">IF(NOTA[[#This Row],[ID_H]]="","",MATCH(NOTA[[#This Row],[NB NOTA_C_QTY]],[4]!db[NB NOTA_C_QTY+F],0))</f>
        <v>#REF!</v>
      </c>
      <c r="AW484" s="53">
        <f ca="1">IF(NOTA[[#This Row],[NB NOTA_C_QTY]]="","",ROW()-2)</f>
        <v>482</v>
      </c>
    </row>
    <row r="485" spans="1:49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>
        <f ca="1">IF(NOTA[[#This Row],[NAMA BARANG]]="","",INDEX(NOTA[ID],MATCH(,INDIRECT(ADDRESS(ROW(NOTA[ID]),COLUMN(NOTA[ID]))&amp;":"&amp;ADDRESS(ROW(),COLUMN(NOTA[ID]))),-1)))</f>
        <v>86</v>
      </c>
      <c r="E485" s="46"/>
      <c r="F485" s="37"/>
      <c r="G485" s="37"/>
      <c r="H485" s="47"/>
      <c r="I485" s="37"/>
      <c r="J485" s="39"/>
      <c r="K485" s="37"/>
      <c r="L485" s="37" t="s">
        <v>598</v>
      </c>
      <c r="M485" s="40">
        <v>1</v>
      </c>
      <c r="N485" s="38">
        <v>72</v>
      </c>
      <c r="O485" s="37" t="s">
        <v>126</v>
      </c>
      <c r="P485" s="41">
        <v>28000</v>
      </c>
      <c r="Q485" s="42"/>
      <c r="R485" s="48" t="s">
        <v>217</v>
      </c>
      <c r="S485" s="49">
        <v>0.03</v>
      </c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2016000</v>
      </c>
      <c r="Y485" s="50">
        <f>IF(NOTA[[#This Row],[JUMLAH]]="","",NOTA[[#This Row],[JUMLAH]]*NOTA[[#This Row],[DISC 1]])</f>
        <v>60480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60480</v>
      </c>
      <c r="AC485" s="50">
        <f>IF(NOTA[[#This Row],[JUMLAH]]="","",NOTA[[#This Row],[JUMLAH]]-NOTA[[#This Row],[DISC]])</f>
        <v>1955520</v>
      </c>
      <c r="AD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120960</v>
      </c>
      <c r="AE4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3911040</v>
      </c>
      <c r="AF485" s="41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G485" s="50">
        <f>IF(OR(NOTA[[#This Row],[QTY]]="",NOTA[[#This Row],[HARGA SATUAN]]="",),"",NOTA[[#This Row],[QTY]]*NOTA[[#This Row],[HARGA SATUAN]])</f>
        <v>2016000</v>
      </c>
      <c r="AH485" s="39">
        <f ca="1">IF(NOTA[ID_H]="","",INDEX(NOTA[TANGGAL],MATCH(,INDIRECT(ADDRESS(ROW(NOTA[TANGGAL]),COLUMN(NOTA[TANGGAL]))&amp;":"&amp;ADDRESS(ROW(),COLUMN(NOTA[TANGGAL]))),-1)))</f>
        <v>45192</v>
      </c>
      <c r="AI485" s="41" t="str">
        <f ca="1">IF(NOTA[[#This Row],[NAMA BARANG]]="","",INDEX(NOTA[SUPPLIER],MATCH(,INDIRECT(ADDRESS(ROW(NOTA[ID]),COLUMN(NOTA[ID]))&amp;":"&amp;ADDRESS(ROW(),COLUMN(NOTA[ID]))),-1)))</f>
        <v>DUTA BAHAGIA</v>
      </c>
      <c r="AJ485" s="41" t="str">
        <f ca="1">IF(NOTA[[#This Row],[ID_H]]="","",IF(NOTA[[#This Row],[FAKTUR]]="",INDIRECT(ADDRESS(ROW()-1,COLUMN())),NOTA[[#This Row],[FAKTUR]]))</f>
        <v>UNTANA</v>
      </c>
      <c r="AK485" s="38" t="str">
        <f ca="1">IF(NOTA[[#This Row],[ID]]="","",COUNTIF(NOTA[ID_H],NOTA[[#This Row],[ID_H]]))</f>
        <v/>
      </c>
      <c r="AL485" s="38">
        <f ca="1">IF(NOTA[[#This Row],[TGL.NOTA]]="",IF(NOTA[[#This Row],[SUPPLIER_H]]="","",AL484),MONTH(NOTA[[#This Row],[TGL.NOTA]]))</f>
        <v>9</v>
      </c>
      <c r="AM485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N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bindernotefphy001b56020160000.03</v>
      </c>
      <c r="AO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bindernotefphy001b56020160000.03</v>
      </c>
      <c r="AP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38" t="str">
        <f>IF(NOTA[[#This Row],[CONCAT4]]="","",_xlfn.IFNA(MATCH(NOTA[[#This Row],[CONCAT4]],[2]!RAW[CONCAT_H],0),FALSE))</f>
        <v/>
      </c>
      <c r="AR485" s="38">
        <f>IF(NOTA[[#This Row],[CONCAT1]]="","",MATCH(NOTA[[#This Row],[CONCAT1]],[3]!db[NB NOTA_C],0))</f>
        <v>294</v>
      </c>
      <c r="AS485" s="38" t="b">
        <f>IF(NOTA[[#This Row],[QTY/ CTN]]="","",TRUE)</f>
        <v>1</v>
      </c>
      <c r="AT485" s="38" t="str">
        <f ca="1">IF(NOTA[[#This Row],[ID_H]]="","",IF(NOTA[[#This Row],[Column3]]=TRUE,NOTA[[#This Row],[QTY/ CTN]],INDEX([3]!db[QTY/ CTN],NOTA[[#This Row],[//DB]])))</f>
        <v>72 PCS</v>
      </c>
      <c r="AU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V485" s="38" t="e">
        <f ca="1">IF(NOTA[[#This Row],[ID_H]]="","",MATCH(NOTA[[#This Row],[NB NOTA_C_QTY]],[4]!db[NB NOTA_C_QTY+F],0))</f>
        <v>#REF!</v>
      </c>
      <c r="AW485" s="53">
        <f ca="1">IF(NOTA[[#This Row],[NB NOTA_C_QTY]]="","",ROW()-2)</f>
        <v>483</v>
      </c>
    </row>
    <row r="486" spans="1:49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6" s="50" t="str">
        <f>IF(OR(NOTA[[#This Row],[QTY]]="",NOTA[[#This Row],[HARGA SATUAN]]="",),"",NOTA[[#This Row],[QTY]]*NOTA[[#This Row],[HARGA SATUAN]])</f>
        <v/>
      </c>
      <c r="AH486" s="39" t="str">
        <f ca="1">IF(NOTA[ID_H]="","",INDEX(NOTA[TANGGAL],MATCH(,INDIRECT(ADDRESS(ROW(NOTA[TANGGAL]),COLUMN(NOTA[TANGGAL]))&amp;":"&amp;ADDRESS(ROW(),COLUMN(NOTA[TANGGAL]))),-1)))</f>
        <v/>
      </c>
      <c r="AI486" s="41" t="str">
        <f ca="1">IF(NOTA[[#This Row],[NAMA BARANG]]="","",INDEX(NOTA[SUPPLIER],MATCH(,INDIRECT(ADDRESS(ROW(NOTA[ID]),COLUMN(NOTA[ID]))&amp;":"&amp;ADDRESS(ROW(),COLUMN(NOTA[ID]))),-1)))</f>
        <v/>
      </c>
      <c r="AJ486" s="41" t="str">
        <f ca="1">IF(NOTA[[#This Row],[ID_H]]="","",IF(NOTA[[#This Row],[FAKTUR]]="",INDIRECT(ADDRESS(ROW()-1,COLUMN())),NOTA[[#This Row],[FAKTUR]]))</f>
        <v/>
      </c>
      <c r="AK486" s="38" t="str">
        <f ca="1">IF(NOTA[[#This Row],[ID]]="","",COUNTIF(NOTA[ID_H],NOTA[[#This Row],[ID_H]]))</f>
        <v/>
      </c>
      <c r="AL486" s="38" t="str">
        <f ca="1">IF(NOTA[[#This Row],[TGL.NOTA]]="",IF(NOTA[[#This Row],[SUPPLIER_H]]="","",AL485),MONTH(NOTA[[#This Row],[TGL.NOTA]]))</f>
        <v/>
      </c>
      <c r="AM486" s="38" t="str">
        <f>LOWER(SUBSTITUTE(SUBSTITUTE(SUBSTITUTE(SUBSTITUTE(SUBSTITUTE(SUBSTITUTE(SUBSTITUTE(SUBSTITUTE(SUBSTITUTE(NOTA[NAMA BARANG]," ",),".",""),"-",""),"(",""),")",""),",",""),"/",""),"""",""),"+",""))</f>
        <v/>
      </c>
      <c r="AN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38" t="str">
        <f>IF(NOTA[[#This Row],[CONCAT4]]="","",_xlfn.IFNA(MATCH(NOTA[[#This Row],[CONCAT4]],[2]!RAW[CONCAT_H],0),FALSE))</f>
        <v/>
      </c>
      <c r="AR486" s="38" t="str">
        <f>IF(NOTA[[#This Row],[CONCAT1]]="","",MATCH(NOTA[[#This Row],[CONCAT1]],[3]!db[NB NOTA_C],0))</f>
        <v/>
      </c>
      <c r="AS486" s="38" t="str">
        <f>IF(NOTA[[#This Row],[QTY/ CTN]]="","",TRUE)</f>
        <v/>
      </c>
      <c r="AT486" s="38" t="str">
        <f ca="1">IF(NOTA[[#This Row],[ID_H]]="","",IF(NOTA[[#This Row],[Column3]]=TRUE,NOTA[[#This Row],[QTY/ CTN]],INDEX([3]!db[QTY/ CTN],NOTA[[#This Row],[//DB]])))</f>
        <v/>
      </c>
      <c r="AU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6" s="38" t="str">
        <f ca="1">IF(NOTA[[#This Row],[ID_H]]="","",MATCH(NOTA[[#This Row],[NB NOTA_C_QTY]],[4]!db[NB NOTA_C_QTY+F],0))</f>
        <v/>
      </c>
      <c r="AW486" s="53" t="str">
        <f ca="1">IF(NOTA[[#This Row],[NB NOTA_C_QTY]]="","",ROW()-2)</f>
        <v/>
      </c>
    </row>
    <row r="487" spans="1:49" s="38" customFormat="1" ht="20.100000000000001" customHeight="1" x14ac:dyDescent="0.25">
      <c r="A48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HOM_2309_177-2</v>
      </c>
      <c r="C487" s="38" t="e">
        <f ca="1">IF(NOTA[[#This Row],[ID_P]]="","",MATCH(NOTA[[#This Row],[ID_P]],[1]!B_MSK[N_ID],0))</f>
        <v>#REF!</v>
      </c>
      <c r="D487" s="38">
        <f ca="1">IF(NOTA[[#This Row],[NAMA BARANG]]="","",INDEX(NOTA[ID],MATCH(,INDIRECT(ADDRESS(ROW(NOTA[ID]),COLUMN(NOTA[ID]))&amp;":"&amp;ADDRESS(ROW(),COLUMN(NOTA[ID]))),-1)))</f>
        <v>87</v>
      </c>
      <c r="E487" s="46">
        <v>45192</v>
      </c>
      <c r="F487" s="37" t="s">
        <v>600</v>
      </c>
      <c r="G487" s="37" t="s">
        <v>123</v>
      </c>
      <c r="H487" s="47" t="s">
        <v>601</v>
      </c>
      <c r="I487" s="37"/>
      <c r="J487" s="39">
        <v>45192</v>
      </c>
      <c r="K487" s="37"/>
      <c r="L487" s="37" t="s">
        <v>602</v>
      </c>
      <c r="M487" s="40">
        <v>1</v>
      </c>
      <c r="N487" s="38">
        <v>8</v>
      </c>
      <c r="O487" s="37" t="s">
        <v>138</v>
      </c>
      <c r="P487" s="41">
        <v>195000</v>
      </c>
      <c r="Q487" s="42"/>
      <c r="R487" s="48"/>
      <c r="S487" s="49"/>
      <c r="T487" s="44"/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1560000</v>
      </c>
      <c r="Y487" s="50">
        <f>IF(NOTA[[#This Row],[JUMLAH]]="","",NOTA[[#This Row],[JUMLAH]]*NOTA[[#This Row],[DISC 1]])</f>
        <v>0</v>
      </c>
      <c r="Z487" s="50">
        <f>IF(NOTA[[#This Row],[JUMLAH]]="","",(NOTA[[#This Row],[JUMLAH]]-NOTA[[#This Row],[DISC 1-]])*NOTA[[#This Row],[DISC 2]])</f>
        <v>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0</v>
      </c>
      <c r="AC487" s="50">
        <f>IF(NOTA[[#This Row],[JUMLAH]]="","",NOTA[[#This Row],[JUMLAH]]-NOTA[[#This Row],[DISC]])</f>
        <v>1560000</v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7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G487" s="50">
        <f>IF(OR(NOTA[[#This Row],[QTY]]="",NOTA[[#This Row],[HARGA SATUAN]]="",),"",NOTA[[#This Row],[QTY]]*NOTA[[#This Row],[HARGA SATUAN]])</f>
        <v>1560000</v>
      </c>
      <c r="AH487" s="39">
        <f ca="1">IF(NOTA[ID_H]="","",INDEX(NOTA[TANGGAL],MATCH(,INDIRECT(ADDRESS(ROW(NOTA[TANGGAL]),COLUMN(NOTA[TANGGAL]))&amp;":"&amp;ADDRESS(ROW(),COLUMN(NOTA[TANGGAL]))),-1)))</f>
        <v>45192</v>
      </c>
      <c r="AI487" s="41" t="str">
        <f ca="1">IF(NOTA[[#This Row],[NAMA BARANG]]="","",INDEX(NOTA[SUPPLIER],MATCH(,INDIRECT(ADDRESS(ROW(NOTA[ID]),COLUMN(NOTA[ID]))&amp;":"&amp;ADDRESS(ROW(),COLUMN(NOTA[ID]))),-1)))</f>
        <v>HOMGSIAN</v>
      </c>
      <c r="AJ487" s="41" t="str">
        <f ca="1">IF(NOTA[[#This Row],[ID_H]]="","",IF(NOTA[[#This Row],[FAKTUR]]="",INDIRECT(ADDRESS(ROW()-1,COLUMN())),NOTA[[#This Row],[FAKTUR]]))</f>
        <v>UNTANA</v>
      </c>
      <c r="AK487" s="38">
        <f ca="1">IF(NOTA[[#This Row],[ID]]="","",COUNTIF(NOTA[ID_H],NOTA[[#This Row],[ID_H]]))</f>
        <v>2</v>
      </c>
      <c r="AL487" s="38">
        <f>IF(NOTA[[#This Row],[TGL.NOTA]]="",IF(NOTA[[#This Row],[SUPPLIER_H]]="","",AL486),MONTH(NOTA[[#This Row],[TGL.NOTA]]))</f>
        <v>9</v>
      </c>
      <c r="AM487" s="38" t="str">
        <f>LOWER(SUBSTITUTE(SUBSTITUTE(SUBSTITUTE(SUBSTITUTE(SUBSTITUTE(SUBSTITUTE(SUBSTITUTE(SUBSTITUTE(SUBSTITUTE(NOTA[NAMA BARANG]," ",),".",""),"-",""),"(",""),")",""),",",""),"/",""),"""",""),"+",""))</f>
        <v>dochd51</v>
      </c>
      <c r="AN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dochd511560000</v>
      </c>
      <c r="AO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dochd511560000</v>
      </c>
      <c r="AP487" s="38" t="str">
        <f>IF(NOTA[[#This Row],[SUPPLIER]]="","",NOTA[[#This Row],[SUPPLIER]]&amp;NOTA[[#This Row],[FAKTUR]]&amp;NOTA[[#This Row],[NO.NOTA]]&amp;NOTA[[#This Row],[NO.SJ]]&amp;NOTA[[#This Row],[TGL.NOTA]]&amp;NOTA[[#This Row],[CONCAT1]])</f>
        <v>HOMGSIANUNTANA617745192dochd51</v>
      </c>
      <c r="AQ487" s="38" t="e">
        <f>IF(NOTA[[#This Row],[CONCAT4]]="","",_xlfn.IFNA(MATCH(NOTA[[#This Row],[CONCAT4]],[2]!RAW[CONCAT_H],0),FALSE))</f>
        <v>#REF!</v>
      </c>
      <c r="AR487" s="38" t="e">
        <f>IF(NOTA[[#This Row],[CONCAT1]]="","",MATCH(NOTA[[#This Row],[CONCAT1]],[3]!db[NB NOTA_C],0))</f>
        <v>#N/A</v>
      </c>
      <c r="AS487" s="38" t="str">
        <f>IF(NOTA[[#This Row],[QTY/ CTN]]="","",TRUE)</f>
        <v/>
      </c>
      <c r="AT487" s="38" t="e">
        <f ca="1">IF(NOTA[[#This Row],[ID_H]]="","",IF(NOTA[[#This Row],[Column3]]=TRUE,NOTA[[#This Row],[QTY/ CTN]],INDEX([3]!db[QTY/ CTN],NOTA[[#This Row],[//DB]])))</f>
        <v>#N/A</v>
      </c>
      <c r="AU4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87" s="38" t="e">
        <f ca="1">IF(NOTA[[#This Row],[ID_H]]="","",MATCH(NOTA[[#This Row],[NB NOTA_C_QTY]],[4]!db[NB NOTA_C_QTY+F],0))</f>
        <v>#N/A</v>
      </c>
      <c r="AW487" s="53" t="e">
        <f ca="1">IF(NOTA[[#This Row],[NB NOTA_C_QTY]]="","",ROW()-2)</f>
        <v>#N/A</v>
      </c>
    </row>
    <row r="488" spans="1:49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87</v>
      </c>
      <c r="E488" s="46"/>
      <c r="F488" s="37"/>
      <c r="G488" s="37"/>
      <c r="H488" s="47"/>
      <c r="I488" s="37"/>
      <c r="J488" s="39"/>
      <c r="K488" s="37"/>
      <c r="L488" s="37" t="s">
        <v>603</v>
      </c>
      <c r="M488" s="40">
        <v>1</v>
      </c>
      <c r="N488" s="38">
        <v>8</v>
      </c>
      <c r="O488" s="37" t="s">
        <v>138</v>
      </c>
      <c r="P488" s="41">
        <v>200000</v>
      </c>
      <c r="Q488" s="42"/>
      <c r="R488" s="48"/>
      <c r="S488" s="49"/>
      <c r="T488" s="44"/>
      <c r="U488" s="44"/>
      <c r="V488" s="50"/>
      <c r="W488" s="45"/>
      <c r="X488" s="50">
        <f>IF(NOTA[[#This Row],[HARGA/ CTN]]="",NOTA[[#This Row],[JUMLAH_H]],NOTA[[#This Row],[HARGA/ CTN]]*IF(NOTA[[#This Row],[C]]="",0,NOTA[[#This Row],[C]]))</f>
        <v>1600000</v>
      </c>
      <c r="Y488" s="50">
        <f>IF(NOTA[[#This Row],[JUMLAH]]="","",NOTA[[#This Row],[JUMLAH]]*NOTA[[#This Row],[DISC 1]])</f>
        <v>0</v>
      </c>
      <c r="Z488" s="50">
        <f>IF(NOTA[[#This Row],[JUMLAH]]="","",(NOTA[[#This Row],[JUMLAH]]-NOTA[[#This Row],[DISC 1-]])*NOTA[[#This Row],[DISC 2]])</f>
        <v>0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0</v>
      </c>
      <c r="AC488" s="50">
        <f>IF(NOTA[[#This Row],[JUMLAH]]="","",NOTA[[#This Row],[JUMLAH]]-NOTA[[#This Row],[DISC]])</f>
        <v>1600000</v>
      </c>
      <c r="AD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3160000</v>
      </c>
      <c r="AF48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G488" s="50">
        <f>IF(OR(NOTA[[#This Row],[QTY]]="",NOTA[[#This Row],[HARGA SATUAN]]="",),"",NOTA[[#This Row],[QTY]]*NOTA[[#This Row],[HARGA SATUAN]])</f>
        <v>1600000</v>
      </c>
      <c r="AH488" s="39">
        <f ca="1">IF(NOTA[ID_H]="","",INDEX(NOTA[TANGGAL],MATCH(,INDIRECT(ADDRESS(ROW(NOTA[TANGGAL]),COLUMN(NOTA[TANGGAL]))&amp;":"&amp;ADDRESS(ROW(),COLUMN(NOTA[TANGGAL]))),-1)))</f>
        <v>45192</v>
      </c>
      <c r="AI488" s="41" t="str">
        <f ca="1">IF(NOTA[[#This Row],[NAMA BARANG]]="","",INDEX(NOTA[SUPPLIER],MATCH(,INDIRECT(ADDRESS(ROW(NOTA[ID]),COLUMN(NOTA[ID]))&amp;":"&amp;ADDRESS(ROW(),COLUMN(NOTA[ID]))),-1)))</f>
        <v>HOMGSIAN</v>
      </c>
      <c r="AJ488" s="41" t="str">
        <f ca="1">IF(NOTA[[#This Row],[ID_H]]="","",IF(NOTA[[#This Row],[FAKTUR]]="",INDIRECT(ADDRESS(ROW()-1,COLUMN())),NOTA[[#This Row],[FAKTUR]]))</f>
        <v>UNTANA</v>
      </c>
      <c r="AK488" s="38" t="str">
        <f ca="1">IF(NOTA[[#This Row],[ID]]="","",COUNTIF(NOTA[ID_H],NOTA[[#This Row],[ID_H]]))</f>
        <v/>
      </c>
      <c r="AL488" s="38">
        <f ca="1">IF(NOTA[[#This Row],[TGL.NOTA]]="",IF(NOTA[[#This Row],[SUPPLIER_H]]="","",AL487),MONTH(NOTA[[#This Row],[TGL.NOTA]]))</f>
        <v>9</v>
      </c>
      <c r="AM488" s="38" t="str">
        <f>LOWER(SUBSTITUTE(SUBSTITUTE(SUBSTITUTE(SUBSTITUTE(SUBSTITUTE(SUBSTITUTE(SUBSTITUTE(SUBSTITUTE(SUBSTITUTE(NOTA[NAMA BARANG]," ",),".",""),"-",""),"(",""),")",""),",",""),"/",""),"""",""),"+",""))</f>
        <v>dochd55</v>
      </c>
      <c r="AN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dochd551600000</v>
      </c>
      <c r="AO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dochd551600000</v>
      </c>
      <c r="AP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38" t="str">
        <f>IF(NOTA[[#This Row],[CONCAT4]]="","",_xlfn.IFNA(MATCH(NOTA[[#This Row],[CONCAT4]],[2]!RAW[CONCAT_H],0),FALSE))</f>
        <v/>
      </c>
      <c r="AR488" s="38" t="e">
        <f>IF(NOTA[[#This Row],[CONCAT1]]="","",MATCH(NOTA[[#This Row],[CONCAT1]],[3]!db[NB NOTA_C],0))</f>
        <v>#N/A</v>
      </c>
      <c r="AS488" s="38" t="str">
        <f>IF(NOTA[[#This Row],[QTY/ CTN]]="","",TRUE)</f>
        <v/>
      </c>
      <c r="AT488" s="38" t="e">
        <f ca="1">IF(NOTA[[#This Row],[ID_H]]="","",IF(NOTA[[#This Row],[Column3]]=TRUE,NOTA[[#This Row],[QTY/ CTN]],INDEX([3]!db[QTY/ CTN],NOTA[[#This Row],[//DB]])))</f>
        <v>#N/A</v>
      </c>
      <c r="AU4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V488" s="38" t="e">
        <f ca="1">IF(NOTA[[#This Row],[ID_H]]="","",MATCH(NOTA[[#This Row],[NB NOTA_C_QTY]],[4]!db[NB NOTA_C_QTY+F],0))</f>
        <v>#N/A</v>
      </c>
      <c r="AW488" s="53" t="e">
        <f ca="1">IF(NOTA[[#This Row],[NB NOTA_C_QTY]]="","",ROW()-2)</f>
        <v>#N/A</v>
      </c>
    </row>
    <row r="489" spans="1:49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89" s="50" t="str">
        <f>IF(OR(NOTA[[#This Row],[QTY]]="",NOTA[[#This Row],[HARGA SATUAN]]="",),"",NOTA[[#This Row],[QTY]]*NOTA[[#This Row],[HARGA SATUAN]])</f>
        <v/>
      </c>
      <c r="AH489" s="39" t="str">
        <f ca="1">IF(NOTA[ID_H]="","",INDEX(NOTA[TANGGAL],MATCH(,INDIRECT(ADDRESS(ROW(NOTA[TANGGAL]),COLUMN(NOTA[TANGGAL]))&amp;":"&amp;ADDRESS(ROW(),COLUMN(NOTA[TANGGAL]))),-1)))</f>
        <v/>
      </c>
      <c r="AI489" s="41" t="str">
        <f ca="1">IF(NOTA[[#This Row],[NAMA BARANG]]="","",INDEX(NOTA[SUPPLIER],MATCH(,INDIRECT(ADDRESS(ROW(NOTA[ID]),COLUMN(NOTA[ID]))&amp;":"&amp;ADDRESS(ROW(),COLUMN(NOTA[ID]))),-1)))</f>
        <v/>
      </c>
      <c r="AJ489" s="41" t="str">
        <f ca="1">IF(NOTA[[#This Row],[ID_H]]="","",IF(NOTA[[#This Row],[FAKTUR]]="",INDIRECT(ADDRESS(ROW()-1,COLUMN())),NOTA[[#This Row],[FAKTUR]]))</f>
        <v/>
      </c>
      <c r="AK489" s="38" t="str">
        <f ca="1">IF(NOTA[[#This Row],[ID]]="","",COUNTIF(NOTA[ID_H],NOTA[[#This Row],[ID_H]]))</f>
        <v/>
      </c>
      <c r="AL489" s="38" t="str">
        <f ca="1">IF(NOTA[[#This Row],[TGL.NOTA]]="",IF(NOTA[[#This Row],[SUPPLIER_H]]="","",AL488),MONTH(NOTA[[#This Row],[TGL.NOTA]]))</f>
        <v/>
      </c>
      <c r="AM489" s="38" t="str">
        <f>LOWER(SUBSTITUTE(SUBSTITUTE(SUBSTITUTE(SUBSTITUTE(SUBSTITUTE(SUBSTITUTE(SUBSTITUTE(SUBSTITUTE(SUBSTITUTE(NOTA[NAMA BARANG]," ",),".",""),"-",""),"(",""),")",""),",",""),"/",""),"""",""),"+",""))</f>
        <v/>
      </c>
      <c r="AN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38" t="str">
        <f>IF(NOTA[[#This Row],[CONCAT4]]="","",_xlfn.IFNA(MATCH(NOTA[[#This Row],[CONCAT4]],[2]!RAW[CONCAT_H],0),FALSE))</f>
        <v/>
      </c>
      <c r="AR489" s="38" t="str">
        <f>IF(NOTA[[#This Row],[CONCAT1]]="","",MATCH(NOTA[[#This Row],[CONCAT1]],[3]!db[NB NOTA_C],0))</f>
        <v/>
      </c>
      <c r="AS489" s="38" t="str">
        <f>IF(NOTA[[#This Row],[QTY/ CTN]]="","",TRUE)</f>
        <v/>
      </c>
      <c r="AT489" s="38" t="str">
        <f ca="1">IF(NOTA[[#This Row],[ID_H]]="","",IF(NOTA[[#This Row],[Column3]]=TRUE,NOTA[[#This Row],[QTY/ CTN]],INDEX([3]!db[QTY/ CTN],NOTA[[#This Row],[//DB]])))</f>
        <v/>
      </c>
      <c r="AU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9" s="38" t="str">
        <f ca="1">IF(NOTA[[#This Row],[ID_H]]="","",MATCH(NOTA[[#This Row],[NB NOTA_C_QTY]],[4]!db[NB NOTA_C_QTY+F],0))</f>
        <v/>
      </c>
      <c r="AW489" s="53" t="str">
        <f ca="1">IF(NOTA[[#This Row],[NB NOTA_C_QTY]]="","",ROW()-2)</f>
        <v/>
      </c>
    </row>
    <row r="490" spans="1:49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DBS_2509_323-2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88</v>
      </c>
      <c r="E490" s="46">
        <v>45194</v>
      </c>
      <c r="F490" s="37" t="s">
        <v>297</v>
      </c>
      <c r="G490" s="37" t="s">
        <v>123</v>
      </c>
      <c r="H490" s="47" t="s">
        <v>604</v>
      </c>
      <c r="I490" s="37"/>
      <c r="J490" s="39">
        <v>45189</v>
      </c>
      <c r="K490" s="37"/>
      <c r="L490" s="37" t="s">
        <v>606</v>
      </c>
      <c r="M490" s="40">
        <v>5</v>
      </c>
      <c r="N490" s="38">
        <v>400</v>
      </c>
      <c r="O490" s="37" t="s">
        <v>138</v>
      </c>
      <c r="P490" s="41">
        <v>27500</v>
      </c>
      <c r="Q490" s="42"/>
      <c r="R490" s="48" t="s">
        <v>605</v>
      </c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11000000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11000000</v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0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G490" s="50">
        <f>IF(OR(NOTA[[#This Row],[QTY]]="",NOTA[[#This Row],[HARGA SATUAN]]="",),"",NOTA[[#This Row],[QTY]]*NOTA[[#This Row],[HARGA SATUAN]])</f>
        <v>11000000</v>
      </c>
      <c r="AH490" s="39">
        <f ca="1">IF(NOTA[ID_H]="","",INDEX(NOTA[TANGGAL],MATCH(,INDIRECT(ADDRESS(ROW(NOTA[TANGGAL]),COLUMN(NOTA[TANGGAL]))&amp;":"&amp;ADDRESS(ROW(),COLUMN(NOTA[TANGGAL]))),-1)))</f>
        <v>45194</v>
      </c>
      <c r="AI490" s="41" t="str">
        <f ca="1">IF(NOTA[[#This Row],[NAMA BARANG]]="","",INDEX(NOTA[SUPPLIER],MATCH(,INDIRECT(ADDRESS(ROW(NOTA[ID]),COLUMN(NOTA[ID]))&amp;":"&amp;ADDRESS(ROW(),COLUMN(NOTA[ID]))),-1)))</f>
        <v>DB STATIONERY</v>
      </c>
      <c r="AJ490" s="41" t="str">
        <f ca="1">IF(NOTA[[#This Row],[ID_H]]="","",IF(NOTA[[#This Row],[FAKTUR]]="",INDIRECT(ADDRESS(ROW()-1,COLUMN())),NOTA[[#This Row],[FAKTUR]]))</f>
        <v>UNTANA</v>
      </c>
      <c r="AK490" s="38">
        <f ca="1">IF(NOTA[[#This Row],[ID]]="","",COUNTIF(NOTA[ID_H],NOTA[[#This Row],[ID_H]]))</f>
        <v>2</v>
      </c>
      <c r="AL490" s="38">
        <f>IF(NOTA[[#This Row],[TGL.NOTA]]="",IF(NOTA[[#This Row],[SUPPLIER_H]]="","",AL489),MONTH(NOTA[[#This Row],[TGL.NOTA]]))</f>
        <v>9</v>
      </c>
      <c r="AM490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N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O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P49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STATIONERYUNTANAJUI343/2345189penggaris30cmdbp072</v>
      </c>
      <c r="AQ490" s="38" t="e">
        <f>IF(NOTA[[#This Row],[CONCAT4]]="","",_xlfn.IFNA(MATCH(NOTA[[#This Row],[CONCAT4]],[2]!RAW[CONCAT_H],0),FALSE))</f>
        <v>#REF!</v>
      </c>
      <c r="AR490" s="38" t="e">
        <f>IF(NOTA[[#This Row],[CONCAT1]]="","",MATCH(NOTA[[#This Row],[CONCAT1]],[3]!db[NB NOTA_C],0))</f>
        <v>#N/A</v>
      </c>
      <c r="AS490" s="38" t="b">
        <f>IF(NOTA[[#This Row],[QTY/ CTN]]="","",TRUE)</f>
        <v>1</v>
      </c>
      <c r="AT490" s="38" t="str">
        <f ca="1">IF(NOTA[[#This Row],[ID_H]]="","",IF(NOTA[[#This Row],[Column3]]=TRUE,NOTA[[#This Row],[QTY/ CTN]],INDEX([3]!db[QTY/ CTN],NOTA[[#This Row],[//DB]])))</f>
        <v>80 LSN</v>
      </c>
      <c r="AU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V490" s="38" t="e">
        <f ca="1">IF(NOTA[[#This Row],[ID_H]]="","",MATCH(NOTA[[#This Row],[NB NOTA_C_QTY]],[4]!db[NB NOTA_C_QTY+F],0))</f>
        <v>#REF!</v>
      </c>
      <c r="AW490" s="53">
        <f ca="1">IF(NOTA[[#This Row],[NB NOTA_C_QTY]]="","",ROW()-2)</f>
        <v>488</v>
      </c>
    </row>
    <row r="491" spans="1:49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88</v>
      </c>
      <c r="E491" s="46"/>
      <c r="F491" s="37"/>
      <c r="G491" s="37"/>
      <c r="H491" s="47"/>
      <c r="I491" s="37"/>
      <c r="J491" s="39"/>
      <c r="K491" s="37"/>
      <c r="L491" s="37" t="s">
        <v>607</v>
      </c>
      <c r="M491" s="40">
        <v>3</v>
      </c>
      <c r="N491" s="38">
        <v>432</v>
      </c>
      <c r="O491" s="37" t="s">
        <v>138</v>
      </c>
      <c r="P491" s="41">
        <v>22500</v>
      </c>
      <c r="Q491" s="42"/>
      <c r="R491" s="48" t="s">
        <v>216</v>
      </c>
      <c r="S491" s="49"/>
      <c r="T491" s="44"/>
      <c r="U491" s="44"/>
      <c r="V491" s="50"/>
      <c r="W491" s="45"/>
      <c r="X491" s="50">
        <f>IF(NOTA[[#This Row],[HARGA/ CTN]]="",NOTA[[#This Row],[JUMLAH_H]],NOTA[[#This Row],[HARGA/ CTN]]*IF(NOTA[[#This Row],[C]]="",0,NOTA[[#This Row],[C]]))</f>
        <v>9720000</v>
      </c>
      <c r="Y491" s="50">
        <f>IF(NOTA[[#This Row],[JUMLAH]]="","",NOTA[[#This Row],[JUMLAH]]*NOTA[[#This Row],[DISC 1]])</f>
        <v>0</v>
      </c>
      <c r="Z491" s="50">
        <f>IF(NOTA[[#This Row],[JUMLAH]]="","",(NOTA[[#This Row],[JUMLAH]]-NOTA[[#This Row],[DISC 1-]])*NOTA[[#This Row],[DISC 2]])</f>
        <v>0</v>
      </c>
      <c r="AA491" s="50">
        <f>IF(NOTA[[#This Row],[JUMLAH]]="","",(NOTA[[#This Row],[JUMLAH]]-NOTA[[#This Row],[DISC 1-]]-NOTA[[#This Row],[DISC 2-]])*NOTA[[#This Row],[DISC 3]])</f>
        <v>0</v>
      </c>
      <c r="AB491" s="50">
        <f>IF(NOTA[[#This Row],[JUMLAH]]="","",NOTA[[#This Row],[DISC 1-]]+NOTA[[#This Row],[DISC 2-]]+NOTA[[#This Row],[DISC 3-]])</f>
        <v>0</v>
      </c>
      <c r="AC491" s="50">
        <f>IF(NOTA[[#This Row],[JUMLAH]]="","",NOTA[[#This Row],[JUMLAH]]-NOTA[[#This Row],[DISC]])</f>
        <v>9720000</v>
      </c>
      <c r="AD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20720000</v>
      </c>
      <c r="AF49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G491" s="50">
        <f>IF(OR(NOTA[[#This Row],[QTY]]="",NOTA[[#This Row],[HARGA SATUAN]]="",),"",NOTA[[#This Row],[QTY]]*NOTA[[#This Row],[HARGA SATUAN]])</f>
        <v>9720000</v>
      </c>
      <c r="AH491" s="39">
        <f ca="1">IF(NOTA[ID_H]="","",INDEX(NOTA[TANGGAL],MATCH(,INDIRECT(ADDRESS(ROW(NOTA[TANGGAL]),COLUMN(NOTA[TANGGAL]))&amp;":"&amp;ADDRESS(ROW(),COLUMN(NOTA[TANGGAL]))),-1)))</f>
        <v>45194</v>
      </c>
      <c r="AI491" s="41" t="str">
        <f ca="1">IF(NOTA[[#This Row],[NAMA BARANG]]="","",INDEX(NOTA[SUPPLIER],MATCH(,INDIRECT(ADDRESS(ROW(NOTA[ID]),COLUMN(NOTA[ID]))&amp;":"&amp;ADDRESS(ROW(),COLUMN(NOTA[ID]))),-1)))</f>
        <v>DB STATIONERY</v>
      </c>
      <c r="AJ491" s="41" t="str">
        <f ca="1">IF(NOTA[[#This Row],[ID_H]]="","",IF(NOTA[[#This Row],[FAKTUR]]="",INDIRECT(ADDRESS(ROW()-1,COLUMN())),NOTA[[#This Row],[FAKTUR]]))</f>
        <v>UNTANA</v>
      </c>
      <c r="AK491" s="38" t="str">
        <f ca="1">IF(NOTA[[#This Row],[ID]]="","",COUNTIF(NOTA[ID_H],NOTA[[#This Row],[ID_H]]))</f>
        <v/>
      </c>
      <c r="AL491" s="38">
        <f ca="1">IF(NOTA[[#This Row],[TGL.NOTA]]="",IF(NOTA[[#This Row],[SUPPLIER_H]]="","",AL490),MONTH(NOTA[[#This Row],[TGL.NOTA]]))</f>
        <v>9</v>
      </c>
      <c r="AM491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N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O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P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1" s="38" t="str">
        <f>IF(NOTA[[#This Row],[CONCAT4]]="","",_xlfn.IFNA(MATCH(NOTA[[#This Row],[CONCAT4]],[2]!RAW[CONCAT_H],0),FALSE))</f>
        <v/>
      </c>
      <c r="AR491" s="38">
        <f>IF(NOTA[[#This Row],[CONCAT1]]="","",MATCH(NOTA[[#This Row],[CONCAT1]],[3]!db[NB NOTA_C],0))</f>
        <v>891</v>
      </c>
      <c r="AS491" s="38" t="b">
        <f>IF(NOTA[[#This Row],[QTY/ CTN]]="","",TRUE)</f>
        <v>1</v>
      </c>
      <c r="AT491" s="38" t="str">
        <f ca="1">IF(NOTA[[#This Row],[ID_H]]="","",IF(NOTA[[#This Row],[Column3]]=TRUE,NOTA[[#This Row],[QTY/ CTN]],INDEX([3]!db[QTY/ CTN],NOTA[[#This Row],[//DB]])))</f>
        <v>144 LSN</v>
      </c>
      <c r="AU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V491" s="38" t="e">
        <f ca="1">IF(NOTA[[#This Row],[ID_H]]="","",MATCH(NOTA[[#This Row],[NB NOTA_C_QTY]],[4]!db[NB NOTA_C_QTY+F],0))</f>
        <v>#REF!</v>
      </c>
      <c r="AW491" s="53">
        <f ca="1">IF(NOTA[[#This Row],[NB NOTA_C_QTY]]="","",ROW()-2)</f>
        <v>489</v>
      </c>
    </row>
    <row r="492" spans="1:49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92" s="50" t="str">
        <f>IF(OR(NOTA[[#This Row],[QTY]]="",NOTA[[#This Row],[HARGA SATUAN]]="",),"",NOTA[[#This Row],[QTY]]*NOTA[[#This Row],[HARGA SATUAN]])</f>
        <v/>
      </c>
      <c r="AH492" s="39" t="str">
        <f ca="1">IF(NOTA[ID_H]="","",INDEX(NOTA[TANGGAL],MATCH(,INDIRECT(ADDRESS(ROW(NOTA[TANGGAL]),COLUMN(NOTA[TANGGAL]))&amp;":"&amp;ADDRESS(ROW(),COLUMN(NOTA[TANGGAL]))),-1)))</f>
        <v/>
      </c>
      <c r="AI492" s="41" t="str">
        <f ca="1">IF(NOTA[[#This Row],[NAMA BARANG]]="","",INDEX(NOTA[SUPPLIER],MATCH(,INDIRECT(ADDRESS(ROW(NOTA[ID]),COLUMN(NOTA[ID]))&amp;":"&amp;ADDRESS(ROW(),COLUMN(NOTA[ID]))),-1)))</f>
        <v/>
      </c>
      <c r="AJ492" s="41" t="str">
        <f ca="1">IF(NOTA[[#This Row],[ID_H]]="","",IF(NOTA[[#This Row],[FAKTUR]]="",INDIRECT(ADDRESS(ROW()-1,COLUMN())),NOTA[[#This Row],[FAKTUR]]))</f>
        <v/>
      </c>
      <c r="AK492" s="38" t="str">
        <f ca="1">IF(NOTA[[#This Row],[ID]]="","",COUNTIF(NOTA[ID_H],NOTA[[#This Row],[ID_H]]))</f>
        <v/>
      </c>
      <c r="AL492" s="38" t="str">
        <f ca="1">IF(NOTA[[#This Row],[TGL.NOTA]]="",IF(NOTA[[#This Row],[SUPPLIER_H]]="","",AL491),MONTH(NOTA[[#This Row],[TGL.NOTA]]))</f>
        <v/>
      </c>
      <c r="AM492" s="38" t="str">
        <f>LOWER(SUBSTITUTE(SUBSTITUTE(SUBSTITUTE(SUBSTITUTE(SUBSTITUTE(SUBSTITUTE(SUBSTITUTE(SUBSTITUTE(SUBSTITUTE(NOTA[NAMA BARANG]," ",),".",""),"-",""),"(",""),")",""),",",""),"/",""),"""",""),"+",""))</f>
        <v/>
      </c>
      <c r="AN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38" t="str">
        <f>IF(NOTA[[#This Row],[CONCAT4]]="","",_xlfn.IFNA(MATCH(NOTA[[#This Row],[CONCAT4]],[2]!RAW[CONCAT_H],0),FALSE))</f>
        <v/>
      </c>
      <c r="AR492" s="38" t="str">
        <f>IF(NOTA[[#This Row],[CONCAT1]]="","",MATCH(NOTA[[#This Row],[CONCAT1]],[3]!db[NB NOTA_C],0))</f>
        <v/>
      </c>
      <c r="AS492" s="38" t="str">
        <f>IF(NOTA[[#This Row],[QTY/ CTN]]="","",TRUE)</f>
        <v/>
      </c>
      <c r="AT492" s="38" t="str">
        <f ca="1">IF(NOTA[[#This Row],[ID_H]]="","",IF(NOTA[[#This Row],[Column3]]=TRUE,NOTA[[#This Row],[QTY/ CTN]],INDEX([3]!db[QTY/ CTN],NOTA[[#This Row],[//DB]])))</f>
        <v/>
      </c>
      <c r="AU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92" s="38" t="str">
        <f ca="1">IF(NOTA[[#This Row],[ID_H]]="","",MATCH(NOTA[[#This Row],[NB NOTA_C_QTY]],[4]!db[NB NOTA_C_QTY+F],0))</f>
        <v/>
      </c>
      <c r="AW492" s="53" t="str">
        <f ca="1">IF(NOTA[[#This Row],[NB NOTA_C_QTY]]="","",ROW()-2)</f>
        <v/>
      </c>
    </row>
    <row r="493" spans="1:49" s="38" customFormat="1" ht="20.100000000000001" customHeight="1" x14ac:dyDescent="0.25">
      <c r="A493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DBS_2509_323-5</v>
      </c>
      <c r="C493" s="38" t="e">
        <f ca="1">IF(NOTA[[#This Row],[ID_P]]="","",MATCH(NOTA[[#This Row],[ID_P]],[1]!B_MSK[N_ID],0))</f>
        <v>#REF!</v>
      </c>
      <c r="D493" s="38">
        <f ca="1">IF(NOTA[[#This Row],[NAMA BARANG]]="","",INDEX(NOTA[ID],MATCH(,INDIRECT(ADDRESS(ROW(NOTA[ID]),COLUMN(NOTA[ID]))&amp;":"&amp;ADDRESS(ROW(),COLUMN(NOTA[ID]))),-1)))</f>
        <v>89</v>
      </c>
      <c r="E493" s="46"/>
      <c r="F493" s="37" t="s">
        <v>297</v>
      </c>
      <c r="G493" s="37" t="s">
        <v>123</v>
      </c>
      <c r="H493" s="47" t="s">
        <v>372</v>
      </c>
      <c r="I493" s="37"/>
      <c r="J493" s="39">
        <v>45183</v>
      </c>
      <c r="K493" s="37"/>
      <c r="L493" s="37" t="s">
        <v>608</v>
      </c>
      <c r="M493" s="40">
        <v>2</v>
      </c>
      <c r="N493" s="38">
        <v>192</v>
      </c>
      <c r="O493" s="37" t="s">
        <v>138</v>
      </c>
      <c r="P493" s="41">
        <v>29000</v>
      </c>
      <c r="Q493" s="42"/>
      <c r="R493" s="48" t="s">
        <v>300</v>
      </c>
      <c r="S493" s="49"/>
      <c r="T493" s="44"/>
      <c r="U493" s="44"/>
      <c r="V493" s="50"/>
      <c r="W493" s="45"/>
      <c r="X493" s="50">
        <f>IF(NOTA[[#This Row],[HARGA/ CTN]]="",NOTA[[#This Row],[JUMLAH_H]],NOTA[[#This Row],[HARGA/ CTN]]*IF(NOTA[[#This Row],[C]]="",0,NOTA[[#This Row],[C]]))</f>
        <v>5568000</v>
      </c>
      <c r="Y493" s="50">
        <f>IF(NOTA[[#This Row],[JUMLAH]]="","",NOTA[[#This Row],[JUMLAH]]*NOTA[[#This Row],[DISC 1]])</f>
        <v>0</v>
      </c>
      <c r="Z493" s="50">
        <f>IF(NOTA[[#This Row],[JUMLAH]]="","",(NOTA[[#This Row],[JUMLAH]]-NOTA[[#This Row],[DISC 1-]])*NOTA[[#This Row],[DISC 2]])</f>
        <v>0</v>
      </c>
      <c r="AA493" s="50">
        <f>IF(NOTA[[#This Row],[JUMLAH]]="","",(NOTA[[#This Row],[JUMLAH]]-NOTA[[#This Row],[DISC 1-]]-NOTA[[#This Row],[DISC 2-]])*NOTA[[#This Row],[DISC 3]])</f>
        <v>0</v>
      </c>
      <c r="AB493" s="50">
        <f>IF(NOTA[[#This Row],[JUMLAH]]="","",NOTA[[#This Row],[DISC 1-]]+NOTA[[#This Row],[DISC 2-]]+NOTA[[#This Row],[DISC 3-]])</f>
        <v>0</v>
      </c>
      <c r="AC493" s="50">
        <f>IF(NOTA[[#This Row],[JUMLAH]]="","",NOTA[[#This Row],[JUMLAH]]-NOTA[[#This Row],[DISC]])</f>
        <v>5568000</v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3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93" s="50">
        <f>IF(OR(NOTA[[#This Row],[QTY]]="",NOTA[[#This Row],[HARGA SATUAN]]="",),"",NOTA[[#This Row],[QTY]]*NOTA[[#This Row],[HARGA SATUAN]])</f>
        <v>5568000</v>
      </c>
      <c r="AH493" s="39">
        <f ca="1">IF(NOTA[ID_H]="","",INDEX(NOTA[TANGGAL],MATCH(,INDIRECT(ADDRESS(ROW(NOTA[TANGGAL]),COLUMN(NOTA[TANGGAL]))&amp;":"&amp;ADDRESS(ROW(),COLUMN(NOTA[TANGGAL]))),-1)))</f>
        <v>45194</v>
      </c>
      <c r="AI493" s="41" t="str">
        <f ca="1">IF(NOTA[[#This Row],[NAMA BARANG]]="","",INDEX(NOTA[SUPPLIER],MATCH(,INDIRECT(ADDRESS(ROW(NOTA[ID]),COLUMN(NOTA[ID]))&amp;":"&amp;ADDRESS(ROW(),COLUMN(NOTA[ID]))),-1)))</f>
        <v>DB STATIONERY</v>
      </c>
      <c r="AJ493" s="41" t="str">
        <f ca="1">IF(NOTA[[#This Row],[ID_H]]="","",IF(NOTA[[#This Row],[FAKTUR]]="",INDIRECT(ADDRESS(ROW()-1,COLUMN())),NOTA[[#This Row],[FAKTUR]]))</f>
        <v>UNTANA</v>
      </c>
      <c r="AK493" s="38">
        <f ca="1">IF(NOTA[[#This Row],[ID]]="","",COUNTIF(NOTA[ID_H],NOTA[[#This Row],[ID_H]]))</f>
        <v>5</v>
      </c>
      <c r="AL493" s="38">
        <f>IF(NOTA[[#This Row],[TGL.NOTA]]="",IF(NOTA[[#This Row],[SUPPLIER_H]]="","",AL492),MONTH(NOTA[[#This Row],[TGL.NOTA]]))</f>
        <v>9</v>
      </c>
      <c r="AM493" s="38" t="str">
        <f>LOWER(SUBSTITUTE(SUBSTITUTE(SUBSTITUTE(SUBSTITUTE(SUBSTITUTE(SUBSTITUTE(SUBSTITUTE(SUBSTITUTE(SUBSTITUTE(NOTA[NAMA BARANG]," ",),".",""),"-",""),"(",""),")",""),",",""),"/",""),"""",""),"+",""))</f>
        <v>mekpensil20tm1800</v>
      </c>
      <c r="AN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mekpensil20tm18002784000</v>
      </c>
      <c r="AO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mekpensil20tm18002784000</v>
      </c>
      <c r="AP49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STATIONERYUNTANAJUI253/2345183mekpensil20tm1800</v>
      </c>
      <c r="AQ493" s="38" t="e">
        <f>IF(NOTA[[#This Row],[CONCAT4]]="","",_xlfn.IFNA(MATCH(NOTA[[#This Row],[CONCAT4]],[2]!RAW[CONCAT_H],0),FALSE))</f>
        <v>#REF!</v>
      </c>
      <c r="AR493" s="38">
        <f>IF(NOTA[[#This Row],[CONCAT1]]="","",MATCH(NOTA[[#This Row],[CONCAT1]],[3]!db[NB NOTA_C],0))</f>
        <v>1812</v>
      </c>
      <c r="AS493" s="38" t="b">
        <f>IF(NOTA[[#This Row],[QTY/ CTN]]="","",TRUE)</f>
        <v>1</v>
      </c>
      <c r="AT493" s="38" t="str">
        <f ca="1">IF(NOTA[[#This Row],[ID_H]]="","",IF(NOTA[[#This Row],[Column3]]=TRUE,NOTA[[#This Row],[QTY/ CTN]],INDEX([3]!db[QTY/ CTN],NOTA[[#This Row],[//DB]])))</f>
        <v>96 LSN</v>
      </c>
      <c r="AU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mekpensil20tm180096lsnuntana</v>
      </c>
      <c r="AV493" s="38" t="e">
        <f ca="1">IF(NOTA[[#This Row],[ID_H]]="","",MATCH(NOTA[[#This Row],[NB NOTA_C_QTY]],[4]!db[NB NOTA_C_QTY+F],0))</f>
        <v>#REF!</v>
      </c>
      <c r="AW493" s="53">
        <f ca="1">IF(NOTA[[#This Row],[NB NOTA_C_QTY]]="","",ROW()-2)</f>
        <v>491</v>
      </c>
    </row>
    <row r="494" spans="1:49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89</v>
      </c>
      <c r="E494" s="46"/>
      <c r="F494" s="37"/>
      <c r="G494" s="37"/>
      <c r="H494" s="47"/>
      <c r="I494" s="37"/>
      <c r="J494" s="39"/>
      <c r="K494" s="37"/>
      <c r="L494" s="37" t="s">
        <v>609</v>
      </c>
      <c r="M494" s="40">
        <v>2</v>
      </c>
      <c r="N494" s="38">
        <v>192</v>
      </c>
      <c r="O494" s="37" t="s">
        <v>138</v>
      </c>
      <c r="P494" s="41">
        <v>29000</v>
      </c>
      <c r="Q494" s="42"/>
      <c r="R494" s="48" t="s">
        <v>300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5568000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5568000</v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4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94" s="50">
        <f>IF(OR(NOTA[[#This Row],[QTY]]="",NOTA[[#This Row],[HARGA SATUAN]]="",),"",NOTA[[#This Row],[QTY]]*NOTA[[#This Row],[HARGA SATUAN]])</f>
        <v>5568000</v>
      </c>
      <c r="AH494" s="39">
        <f ca="1">IF(NOTA[ID_H]="","",INDEX(NOTA[TANGGAL],MATCH(,INDIRECT(ADDRESS(ROW(NOTA[TANGGAL]),COLUMN(NOTA[TANGGAL]))&amp;":"&amp;ADDRESS(ROW(),COLUMN(NOTA[TANGGAL]))),-1)))</f>
        <v>45194</v>
      </c>
      <c r="AI494" s="41" t="str">
        <f ca="1">IF(NOTA[[#This Row],[NAMA BARANG]]="","",INDEX(NOTA[SUPPLIER],MATCH(,INDIRECT(ADDRESS(ROW(NOTA[ID]),COLUMN(NOTA[ID]))&amp;":"&amp;ADDRESS(ROW(),COLUMN(NOTA[ID]))),-1)))</f>
        <v>DB STATIONERY</v>
      </c>
      <c r="AJ494" s="41" t="str">
        <f ca="1">IF(NOTA[[#This Row],[ID_H]]="","",IF(NOTA[[#This Row],[FAKTUR]]="",INDIRECT(ADDRESS(ROW()-1,COLUMN())),NOTA[[#This Row],[FAKTUR]]))</f>
        <v>UNTANA</v>
      </c>
      <c r="AK494" s="38" t="str">
        <f ca="1">IF(NOTA[[#This Row],[ID]]="","",COUNTIF(NOTA[ID_H],NOTA[[#This Row],[ID_H]]))</f>
        <v/>
      </c>
      <c r="AL494" s="38">
        <f ca="1">IF(NOTA[[#This Row],[TGL.NOTA]]="",IF(NOTA[[#This Row],[SUPPLIER_H]]="","",AL493),MONTH(NOTA[[#This Row],[TGL.NOTA]]))</f>
        <v>9</v>
      </c>
      <c r="AM494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N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O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P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38" t="str">
        <f>IF(NOTA[[#This Row],[CONCAT4]]="","",_xlfn.IFNA(MATCH(NOTA[[#This Row],[CONCAT4]],[2]!RAW[CONCAT_H],0),FALSE))</f>
        <v/>
      </c>
      <c r="AR494" s="38">
        <f>IF(NOTA[[#This Row],[CONCAT1]]="","",MATCH(NOTA[[#This Row],[CONCAT1]],[3]!db[NB NOTA_C],0))</f>
        <v>1826</v>
      </c>
      <c r="AS494" s="38" t="b">
        <f>IF(NOTA[[#This Row],[QTY/ CTN]]="","",TRUE)</f>
        <v>1</v>
      </c>
      <c r="AT494" s="38" t="str">
        <f ca="1">IF(NOTA[[#This Row],[ID_H]]="","",IF(NOTA[[#This Row],[Column3]]=TRUE,NOTA[[#This Row],[QTY/ CTN]],INDEX([3]!db[QTY/ CTN],NOTA[[#This Row],[//DB]])))</f>
        <v>96 LSN</v>
      </c>
      <c r="AU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V494" s="38" t="e">
        <f ca="1">IF(NOTA[[#This Row],[ID_H]]="","",MATCH(NOTA[[#This Row],[NB NOTA_C_QTY]],[4]!db[NB NOTA_C_QTY+F],0))</f>
        <v>#REF!</v>
      </c>
      <c r="AW494" s="53">
        <f ca="1">IF(NOTA[[#This Row],[NB NOTA_C_QTY]]="","",ROW()-2)</f>
        <v>492</v>
      </c>
    </row>
    <row r="495" spans="1:49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89</v>
      </c>
      <c r="E495" s="46"/>
      <c r="F495" s="37"/>
      <c r="G495" s="37"/>
      <c r="H495" s="47"/>
      <c r="I495" s="37"/>
      <c r="J495" s="39"/>
      <c r="K495" s="37"/>
      <c r="L495" s="37" t="s">
        <v>610</v>
      </c>
      <c r="M495" s="40">
        <v>2</v>
      </c>
      <c r="N495" s="38">
        <v>192</v>
      </c>
      <c r="O495" s="37" t="s">
        <v>138</v>
      </c>
      <c r="P495" s="41">
        <v>29000</v>
      </c>
      <c r="Q495" s="42"/>
      <c r="R495" s="48" t="s">
        <v>300</v>
      </c>
      <c r="S495" s="49"/>
      <c r="T495" s="44"/>
      <c r="U495" s="44"/>
      <c r="V495" s="50"/>
      <c r="W495" s="45"/>
      <c r="X495" s="50">
        <f>IF(NOTA[[#This Row],[HARGA/ CTN]]="",NOTA[[#This Row],[JUMLAH_H]],NOTA[[#This Row],[HARGA/ CTN]]*IF(NOTA[[#This Row],[C]]="",0,NOTA[[#This Row],[C]]))</f>
        <v>5568000</v>
      </c>
      <c r="Y495" s="50">
        <f>IF(NOTA[[#This Row],[JUMLAH]]="","",NOTA[[#This Row],[JUMLAH]]*NOTA[[#This Row],[DISC 1]])</f>
        <v>0</v>
      </c>
      <c r="Z495" s="50">
        <f>IF(NOTA[[#This Row],[JUMLAH]]="","",(NOTA[[#This Row],[JUMLAH]]-NOTA[[#This Row],[DISC 1-]])*NOTA[[#This Row],[DISC 2]])</f>
        <v>0</v>
      </c>
      <c r="AA495" s="50">
        <f>IF(NOTA[[#This Row],[JUMLAH]]="","",(NOTA[[#This Row],[JUMLAH]]-NOTA[[#This Row],[DISC 1-]]-NOTA[[#This Row],[DISC 2-]])*NOTA[[#This Row],[DISC 3]])</f>
        <v>0</v>
      </c>
      <c r="AB495" s="50">
        <f>IF(NOTA[[#This Row],[JUMLAH]]="","",NOTA[[#This Row],[DISC 1-]]+NOTA[[#This Row],[DISC 2-]]+NOTA[[#This Row],[DISC 3-]])</f>
        <v>0</v>
      </c>
      <c r="AC495" s="50">
        <f>IF(NOTA[[#This Row],[JUMLAH]]="","",NOTA[[#This Row],[JUMLAH]]-NOTA[[#This Row],[DISC]])</f>
        <v>5568000</v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495" s="50">
        <f>IF(OR(NOTA[[#This Row],[QTY]]="",NOTA[[#This Row],[HARGA SATUAN]]="",),"",NOTA[[#This Row],[QTY]]*NOTA[[#This Row],[HARGA SATUAN]])</f>
        <v>5568000</v>
      </c>
      <c r="AH495" s="39">
        <f ca="1">IF(NOTA[ID_H]="","",INDEX(NOTA[TANGGAL],MATCH(,INDIRECT(ADDRESS(ROW(NOTA[TANGGAL]),COLUMN(NOTA[TANGGAL]))&amp;":"&amp;ADDRESS(ROW(),COLUMN(NOTA[TANGGAL]))),-1)))</f>
        <v>45194</v>
      </c>
      <c r="AI495" s="41" t="str">
        <f ca="1">IF(NOTA[[#This Row],[NAMA BARANG]]="","",INDEX(NOTA[SUPPLIER],MATCH(,INDIRECT(ADDRESS(ROW(NOTA[ID]),COLUMN(NOTA[ID]))&amp;":"&amp;ADDRESS(ROW(),COLUMN(NOTA[ID]))),-1)))</f>
        <v>DB STATIONERY</v>
      </c>
      <c r="AJ495" s="41" t="str">
        <f ca="1">IF(NOTA[[#This Row],[ID_H]]="","",IF(NOTA[[#This Row],[FAKTUR]]="",INDIRECT(ADDRESS(ROW()-1,COLUMN())),NOTA[[#This Row],[FAKTUR]]))</f>
        <v>UNTANA</v>
      </c>
      <c r="AK495" s="38" t="str">
        <f ca="1">IF(NOTA[[#This Row],[ID]]="","",COUNTIF(NOTA[ID_H],NOTA[[#This Row],[ID_H]]))</f>
        <v/>
      </c>
      <c r="AL495" s="38">
        <f ca="1">IF(NOTA[[#This Row],[TGL.NOTA]]="",IF(NOTA[[#This Row],[SUPPLIER_H]]="","",AL494),MONTH(NOTA[[#This Row],[TGL.NOTA]]))</f>
        <v>9</v>
      </c>
      <c r="AM495" s="38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38" t="str">
        <f>IF(NOTA[[#This Row],[CONCAT4]]="","",_xlfn.IFNA(MATCH(NOTA[[#This Row],[CONCAT4]],[2]!RAW[CONCAT_H],0),FALSE))</f>
        <v/>
      </c>
      <c r="AR495" s="38">
        <f>IF(NOTA[[#This Row],[CONCAT1]]="","",MATCH(NOTA[[#This Row],[CONCAT1]],[3]!db[NB NOTA_C],0))</f>
        <v>1825</v>
      </c>
      <c r="AS495" s="38" t="b">
        <f>IF(NOTA[[#This Row],[QTY/ CTN]]="","",TRUE)</f>
        <v>1</v>
      </c>
      <c r="AT495" s="38" t="str">
        <f ca="1">IF(NOTA[[#This Row],[ID_H]]="","",IF(NOTA[[#This Row],[Column3]]=TRUE,NOTA[[#This Row],[QTY/ CTN]],INDEX([3]!db[QTY/ CTN],NOTA[[#This Row],[//DB]])))</f>
        <v>96 LSN</v>
      </c>
      <c r="AU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mekpensil20tizotm030g96lsnuntana</v>
      </c>
      <c r="AV495" s="38" t="e">
        <f ca="1">IF(NOTA[[#This Row],[ID_H]]="","",MATCH(NOTA[[#This Row],[NB NOTA_C_QTY]],[4]!db[NB NOTA_C_QTY+F],0))</f>
        <v>#REF!</v>
      </c>
      <c r="AW495" s="53">
        <f ca="1">IF(NOTA[[#This Row],[NB NOTA_C_QTY]]="","",ROW()-2)</f>
        <v>493</v>
      </c>
    </row>
    <row r="496" spans="1:49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89</v>
      </c>
      <c r="E496" s="46"/>
      <c r="F496" s="37"/>
      <c r="G496" s="37"/>
      <c r="H496" s="47"/>
      <c r="I496" s="37"/>
      <c r="J496" s="39"/>
      <c r="K496" s="37"/>
      <c r="L496" s="37" t="s">
        <v>611</v>
      </c>
      <c r="M496" s="40">
        <v>2</v>
      </c>
      <c r="N496" s="38">
        <v>144</v>
      </c>
      <c r="O496" s="37" t="s">
        <v>126</v>
      </c>
      <c r="P496" s="41">
        <v>25000</v>
      </c>
      <c r="Q496" s="42"/>
      <c r="R496" s="48" t="s">
        <v>217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3600000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3600000</v>
      </c>
      <c r="AD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6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496" s="50">
        <f>IF(OR(NOTA[[#This Row],[QTY]]="",NOTA[[#This Row],[HARGA SATUAN]]="",),"",NOTA[[#This Row],[QTY]]*NOTA[[#This Row],[HARGA SATUAN]])</f>
        <v>3600000</v>
      </c>
      <c r="AH496" s="39">
        <f ca="1">IF(NOTA[ID_H]="","",INDEX(NOTA[TANGGAL],MATCH(,INDIRECT(ADDRESS(ROW(NOTA[TANGGAL]),COLUMN(NOTA[TANGGAL]))&amp;":"&amp;ADDRESS(ROW(),COLUMN(NOTA[TANGGAL]))),-1)))</f>
        <v>45194</v>
      </c>
      <c r="AI496" s="41" t="str">
        <f ca="1">IF(NOTA[[#This Row],[NAMA BARANG]]="","",INDEX(NOTA[SUPPLIER],MATCH(,INDIRECT(ADDRESS(ROW(NOTA[ID]),COLUMN(NOTA[ID]))&amp;":"&amp;ADDRESS(ROW(),COLUMN(NOTA[ID]))),-1)))</f>
        <v>DB STATIONERY</v>
      </c>
      <c r="AJ496" s="41" t="str">
        <f ca="1">IF(NOTA[[#This Row],[ID_H]]="","",IF(NOTA[[#This Row],[FAKTUR]]="",INDIRECT(ADDRESS(ROW()-1,COLUMN())),NOTA[[#This Row],[FAKTUR]]))</f>
        <v>UNTANA</v>
      </c>
      <c r="AK496" s="38" t="str">
        <f ca="1">IF(NOTA[[#This Row],[ID]]="","",COUNTIF(NOTA[ID_H],NOTA[[#This Row],[ID_H]]))</f>
        <v/>
      </c>
      <c r="AL496" s="38">
        <f ca="1">IF(NOTA[[#This Row],[TGL.NOTA]]="",IF(NOTA[[#This Row],[SUPPLIER_H]]="","",AL495),MONTH(NOTA[[#This Row],[TGL.NOTA]]))</f>
        <v>9</v>
      </c>
      <c r="AM496" s="38" t="str">
        <f>LOWER(SUBSTITUTE(SUBSTITUTE(SUBSTITUTE(SUBSTITUTE(SUBSTITUTE(SUBSTITUTE(SUBSTITUTE(SUBSTITUTE(SUBSTITUTE(NOTA[NAMA BARANG]," ",),".",""),"-",""),"(",""),")",""),",",""),"/",""),"""",""),"+",""))</f>
        <v>mekpensil24pcsg09397</v>
      </c>
      <c r="AN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mekpensil24pcsg093971800000</v>
      </c>
      <c r="AO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mekpensil24pcsg093971800000</v>
      </c>
      <c r="AP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38" t="str">
        <f>IF(NOTA[[#This Row],[CONCAT4]]="","",_xlfn.IFNA(MATCH(NOTA[[#This Row],[CONCAT4]],[2]!RAW[CONCAT_H],0),FALSE))</f>
        <v/>
      </c>
      <c r="AR496" s="38" t="e">
        <f>IF(NOTA[[#This Row],[CONCAT1]]="","",MATCH(NOTA[[#This Row],[CONCAT1]],[3]!db[NB NOTA_C],0))</f>
        <v>#N/A</v>
      </c>
      <c r="AS496" s="38" t="b">
        <f>IF(NOTA[[#This Row],[QTY/ CTN]]="","",TRUE)</f>
        <v>1</v>
      </c>
      <c r="AT496" s="38" t="str">
        <f ca="1">IF(NOTA[[#This Row],[ID_H]]="","",IF(NOTA[[#This Row],[Column3]]=TRUE,NOTA[[#This Row],[QTY/ CTN]],INDEX([3]!db[QTY/ CTN],NOTA[[#This Row],[//DB]])))</f>
        <v>72 PCS</v>
      </c>
      <c r="AU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mekpensil24pcsg0939772pcsuntana</v>
      </c>
      <c r="AV496" s="38" t="e">
        <f ca="1">IF(NOTA[[#This Row],[ID_H]]="","",MATCH(NOTA[[#This Row],[NB NOTA_C_QTY]],[4]!db[NB NOTA_C_QTY+F],0))</f>
        <v>#REF!</v>
      </c>
      <c r="AW496" s="53">
        <f ca="1">IF(NOTA[[#This Row],[NB NOTA_C_QTY]]="","",ROW()-2)</f>
        <v>494</v>
      </c>
    </row>
    <row r="497" spans="1:49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>
        <f ca="1">IF(NOTA[[#This Row],[NAMA BARANG]]="","",INDEX(NOTA[ID],MATCH(,INDIRECT(ADDRESS(ROW(NOTA[ID]),COLUMN(NOTA[ID]))&amp;":"&amp;ADDRESS(ROW(),COLUMN(NOTA[ID]))),-1)))</f>
        <v>89</v>
      </c>
      <c r="E497" s="46"/>
      <c r="F497" s="37"/>
      <c r="G497" s="37"/>
      <c r="H497" s="47"/>
      <c r="I497" s="37"/>
      <c r="J497" s="39"/>
      <c r="K497" s="37"/>
      <c r="L497" s="37" t="s">
        <v>376</v>
      </c>
      <c r="M497" s="40">
        <v>2</v>
      </c>
      <c r="N497" s="38">
        <v>144</v>
      </c>
      <c r="O497" s="37" t="s">
        <v>126</v>
      </c>
      <c r="P497" s="41">
        <v>25000</v>
      </c>
      <c r="Q497" s="42"/>
      <c r="R497" s="48" t="s">
        <v>217</v>
      </c>
      <c r="S497" s="49"/>
      <c r="T497" s="44"/>
      <c r="U497" s="44"/>
      <c r="V497" s="50"/>
      <c r="W497" s="45"/>
      <c r="X497" s="50">
        <f>IF(NOTA[[#This Row],[HARGA/ CTN]]="",NOTA[[#This Row],[JUMLAH_H]],NOTA[[#This Row],[HARGA/ CTN]]*IF(NOTA[[#This Row],[C]]="",0,NOTA[[#This Row],[C]]))</f>
        <v>3600000</v>
      </c>
      <c r="Y497" s="50">
        <f>IF(NOTA[[#This Row],[JUMLAH]]="","",NOTA[[#This Row],[JUMLAH]]*NOTA[[#This Row],[DISC 1]])</f>
        <v>0</v>
      </c>
      <c r="Z497" s="50">
        <f>IF(NOTA[[#This Row],[JUMLAH]]="","",(NOTA[[#This Row],[JUMLAH]]-NOTA[[#This Row],[DISC 1-]])*NOTA[[#This Row],[DISC 2]])</f>
        <v>0</v>
      </c>
      <c r="AA497" s="50">
        <f>IF(NOTA[[#This Row],[JUMLAH]]="","",(NOTA[[#This Row],[JUMLAH]]-NOTA[[#This Row],[DISC 1-]]-NOTA[[#This Row],[DISC 2-]])*NOTA[[#This Row],[DISC 3]])</f>
        <v>0</v>
      </c>
      <c r="AB497" s="50">
        <f>IF(NOTA[[#This Row],[JUMLAH]]="","",NOTA[[#This Row],[DISC 1-]]+NOTA[[#This Row],[DISC 2-]]+NOTA[[#This Row],[DISC 3-]])</f>
        <v>0</v>
      </c>
      <c r="AC497" s="50">
        <f>IF(NOTA[[#This Row],[JUMLAH]]="","",NOTA[[#This Row],[JUMLAH]]-NOTA[[#This Row],[DISC]])</f>
        <v>3600000</v>
      </c>
      <c r="AD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4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23904000</v>
      </c>
      <c r="AF497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G497" s="50">
        <f>IF(OR(NOTA[[#This Row],[QTY]]="",NOTA[[#This Row],[HARGA SATUAN]]="",),"",NOTA[[#This Row],[QTY]]*NOTA[[#This Row],[HARGA SATUAN]])</f>
        <v>3600000</v>
      </c>
      <c r="AH497" s="39">
        <f ca="1">IF(NOTA[ID_H]="","",INDEX(NOTA[TANGGAL],MATCH(,INDIRECT(ADDRESS(ROW(NOTA[TANGGAL]),COLUMN(NOTA[TANGGAL]))&amp;":"&amp;ADDRESS(ROW(),COLUMN(NOTA[TANGGAL]))),-1)))</f>
        <v>45194</v>
      </c>
      <c r="AI497" s="41" t="str">
        <f ca="1">IF(NOTA[[#This Row],[NAMA BARANG]]="","",INDEX(NOTA[SUPPLIER],MATCH(,INDIRECT(ADDRESS(ROW(NOTA[ID]),COLUMN(NOTA[ID]))&amp;":"&amp;ADDRESS(ROW(),COLUMN(NOTA[ID]))),-1)))</f>
        <v>DB STATIONERY</v>
      </c>
      <c r="AJ497" s="41" t="str">
        <f ca="1">IF(NOTA[[#This Row],[ID_H]]="","",IF(NOTA[[#This Row],[FAKTUR]]="",INDIRECT(ADDRESS(ROW()-1,COLUMN())),NOTA[[#This Row],[FAKTUR]]))</f>
        <v>UNTANA</v>
      </c>
      <c r="AK497" s="38" t="str">
        <f ca="1">IF(NOTA[[#This Row],[ID]]="","",COUNTIF(NOTA[ID_H],NOTA[[#This Row],[ID_H]]))</f>
        <v/>
      </c>
      <c r="AL497" s="38">
        <f ca="1">IF(NOTA[[#This Row],[TGL.NOTA]]="",IF(NOTA[[#This Row],[SUPPLIER_H]]="","",AL496),MONTH(NOTA[[#This Row],[TGL.NOTA]]))</f>
        <v>9</v>
      </c>
      <c r="AM497" s="3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N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O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P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38" t="str">
        <f>IF(NOTA[[#This Row],[CONCAT4]]="","",_xlfn.IFNA(MATCH(NOTA[[#This Row],[CONCAT4]],[2]!RAW[CONCAT_H],0),FALSE))</f>
        <v/>
      </c>
      <c r="AR497" s="38">
        <f>IF(NOTA[[#This Row],[CONCAT1]]="","",MATCH(NOTA[[#This Row],[CONCAT1]],[3]!db[NB NOTA_C],0))</f>
        <v>1815</v>
      </c>
      <c r="AS497" s="38" t="b">
        <f>IF(NOTA[[#This Row],[QTY/ CTN]]="","",TRUE)</f>
        <v>1</v>
      </c>
      <c r="AT497" s="38" t="str">
        <f ca="1">IF(NOTA[[#This Row],[ID_H]]="","",IF(NOTA[[#This Row],[Column3]]=TRUE,NOTA[[#This Row],[QTY/ CTN]],INDEX([3]!db[QTY/ CTN],NOTA[[#This Row],[//DB]])))</f>
        <v>72 PCS</v>
      </c>
      <c r="AU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mekpensil24pcsg0930972pcsuntana</v>
      </c>
      <c r="AV497" s="38" t="e">
        <f ca="1">IF(NOTA[[#This Row],[ID_H]]="","",MATCH(NOTA[[#This Row],[NB NOTA_C_QTY]],[4]!db[NB NOTA_C_QTY+F],0))</f>
        <v>#REF!</v>
      </c>
      <c r="AW497" s="53">
        <f ca="1">IF(NOTA[[#This Row],[NB NOTA_C_QTY]]="","",ROW()-2)</f>
        <v>495</v>
      </c>
    </row>
    <row r="498" spans="1:49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498" s="50" t="str">
        <f>IF(OR(NOTA[[#This Row],[QTY]]="",NOTA[[#This Row],[HARGA SATUAN]]="",),"",NOTA[[#This Row],[QTY]]*NOTA[[#This Row],[HARGA SATUAN]])</f>
        <v/>
      </c>
      <c r="AH498" s="39" t="str">
        <f ca="1">IF(NOTA[ID_H]="","",INDEX(NOTA[TANGGAL],MATCH(,INDIRECT(ADDRESS(ROW(NOTA[TANGGAL]),COLUMN(NOTA[TANGGAL]))&amp;":"&amp;ADDRESS(ROW(),COLUMN(NOTA[TANGGAL]))),-1)))</f>
        <v/>
      </c>
      <c r="AI498" s="41" t="str">
        <f ca="1">IF(NOTA[[#This Row],[NAMA BARANG]]="","",INDEX(NOTA[SUPPLIER],MATCH(,INDIRECT(ADDRESS(ROW(NOTA[ID]),COLUMN(NOTA[ID]))&amp;":"&amp;ADDRESS(ROW(),COLUMN(NOTA[ID]))),-1)))</f>
        <v/>
      </c>
      <c r="AJ498" s="41" t="str">
        <f ca="1">IF(NOTA[[#This Row],[ID_H]]="","",IF(NOTA[[#This Row],[FAKTUR]]="",INDIRECT(ADDRESS(ROW()-1,COLUMN())),NOTA[[#This Row],[FAKTUR]]))</f>
        <v/>
      </c>
      <c r="AK498" s="38" t="str">
        <f ca="1">IF(NOTA[[#This Row],[ID]]="","",COUNTIF(NOTA[ID_H],NOTA[[#This Row],[ID_H]]))</f>
        <v/>
      </c>
      <c r="AL498" s="38" t="str">
        <f ca="1">IF(NOTA[[#This Row],[TGL.NOTA]]="",IF(NOTA[[#This Row],[SUPPLIER_H]]="","",AL497),MONTH(NOTA[[#This Row],[TGL.NOTA]]))</f>
        <v/>
      </c>
      <c r="AM498" s="38" t="str">
        <f>LOWER(SUBSTITUTE(SUBSTITUTE(SUBSTITUTE(SUBSTITUTE(SUBSTITUTE(SUBSTITUTE(SUBSTITUTE(SUBSTITUTE(SUBSTITUTE(NOTA[NAMA BARANG]," ",),".",""),"-",""),"(",""),")",""),",",""),"/",""),"""",""),"+",""))</f>
        <v/>
      </c>
      <c r="AN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38" t="str">
        <f>IF(NOTA[[#This Row],[CONCAT4]]="","",_xlfn.IFNA(MATCH(NOTA[[#This Row],[CONCAT4]],[2]!RAW[CONCAT_H],0),FALSE))</f>
        <v/>
      </c>
      <c r="AR498" s="38" t="str">
        <f>IF(NOTA[[#This Row],[CONCAT1]]="","",MATCH(NOTA[[#This Row],[CONCAT1]],[3]!db[NB NOTA_C],0))</f>
        <v/>
      </c>
      <c r="AS498" s="38" t="str">
        <f>IF(NOTA[[#This Row],[QTY/ CTN]]="","",TRUE)</f>
        <v/>
      </c>
      <c r="AT498" s="38" t="str">
        <f ca="1">IF(NOTA[[#This Row],[ID_H]]="","",IF(NOTA[[#This Row],[Column3]]=TRUE,NOTA[[#This Row],[QTY/ CTN]],INDEX([3]!db[QTY/ CTN],NOTA[[#This Row],[//DB]])))</f>
        <v/>
      </c>
      <c r="AU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98" s="38" t="str">
        <f ca="1">IF(NOTA[[#This Row],[ID_H]]="","",MATCH(NOTA[[#This Row],[NB NOTA_C_QTY]],[4]!db[NB NOTA_C_QTY+F],0))</f>
        <v/>
      </c>
      <c r="AW498" s="53" t="str">
        <f ca="1">IF(NOTA[[#This Row],[NB NOTA_C_QTY]]="","",ROW()-2)</f>
        <v/>
      </c>
    </row>
    <row r="499" spans="1:49" s="38" customFormat="1" ht="20.100000000000001" customHeight="1" x14ac:dyDescent="0.25">
      <c r="A499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PEL_2509_-2</v>
      </c>
      <c r="C499" s="38" t="e">
        <f ca="1">IF(NOTA[[#This Row],[ID_P]]="","",MATCH(NOTA[[#This Row],[ID_P]],[1]!B_MSK[N_ID],0))</f>
        <v>#REF!</v>
      </c>
      <c r="D499" s="38">
        <f ca="1">IF(NOTA[[#This Row],[NAMA BARANG]]="","",INDEX(NOTA[ID],MATCH(,INDIRECT(ADDRESS(ROW(NOTA[ID]),COLUMN(NOTA[ID]))&amp;":"&amp;ADDRESS(ROW(),COLUMN(NOTA[ID]))),-1)))</f>
        <v>90</v>
      </c>
      <c r="E499" s="46">
        <v>45194</v>
      </c>
      <c r="F499" s="37" t="s">
        <v>612</v>
      </c>
      <c r="G499" s="37" t="s">
        <v>123</v>
      </c>
      <c r="H499" s="47"/>
      <c r="I499" s="37"/>
      <c r="J499" s="39">
        <v>45188</v>
      </c>
      <c r="K499" s="37"/>
      <c r="L499" s="37" t="s">
        <v>613</v>
      </c>
      <c r="M499" s="40">
        <v>20</v>
      </c>
      <c r="N499" s="38">
        <v>200</v>
      </c>
      <c r="O499" s="37" t="s">
        <v>126</v>
      </c>
      <c r="P499" s="41">
        <v>60000</v>
      </c>
      <c r="Q499" s="42"/>
      <c r="R499" s="48"/>
      <c r="S499" s="49"/>
      <c r="T499" s="44"/>
      <c r="U499" s="44"/>
      <c r="V499" s="50"/>
      <c r="W499" s="45"/>
      <c r="X499" s="50">
        <f>IF(NOTA[[#This Row],[HARGA/ CTN]]="",NOTA[[#This Row],[JUMLAH_H]],NOTA[[#This Row],[HARGA/ CTN]]*IF(NOTA[[#This Row],[C]]="",0,NOTA[[#This Row],[C]]))</f>
        <v>12000000</v>
      </c>
      <c r="Y499" s="50">
        <f>IF(NOTA[[#This Row],[JUMLAH]]="","",NOTA[[#This Row],[JUMLAH]]*NOTA[[#This Row],[DISC 1]])</f>
        <v>0</v>
      </c>
      <c r="Z499" s="50">
        <f>IF(NOTA[[#This Row],[JUMLAH]]="","",(NOTA[[#This Row],[JUMLAH]]-NOTA[[#This Row],[DISC 1-]])*NOTA[[#This Row],[DISC 2]])</f>
        <v>0</v>
      </c>
      <c r="AA499" s="50">
        <f>IF(NOTA[[#This Row],[JUMLAH]]="","",(NOTA[[#This Row],[JUMLAH]]-NOTA[[#This Row],[DISC 1-]]-NOTA[[#This Row],[DISC 2-]])*NOTA[[#This Row],[DISC 3]])</f>
        <v>0</v>
      </c>
      <c r="AB499" s="50">
        <f>IF(NOTA[[#This Row],[JUMLAH]]="","",NOTA[[#This Row],[DISC 1-]]+NOTA[[#This Row],[DISC 2-]]+NOTA[[#This Row],[DISC 3-]])</f>
        <v>0</v>
      </c>
      <c r="AC499" s="50">
        <f>IF(NOTA[[#This Row],[JUMLAH]]="","",NOTA[[#This Row],[JUMLAH]]-NOTA[[#This Row],[DISC]])</f>
        <v>12000000</v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499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G499" s="50">
        <f>IF(OR(NOTA[[#This Row],[QTY]]="",NOTA[[#This Row],[HARGA SATUAN]]="",),"",NOTA[[#This Row],[QTY]]*NOTA[[#This Row],[HARGA SATUAN]])</f>
        <v>12000000</v>
      </c>
      <c r="AH499" s="39">
        <f ca="1">IF(NOTA[ID_H]="","",INDEX(NOTA[TANGGAL],MATCH(,INDIRECT(ADDRESS(ROW(NOTA[TANGGAL]),COLUMN(NOTA[TANGGAL]))&amp;":"&amp;ADDRESS(ROW(),COLUMN(NOTA[TANGGAL]))),-1)))</f>
        <v>45194</v>
      </c>
      <c r="AI499" s="41" t="str">
        <f ca="1">IF(NOTA[[#This Row],[NAMA BARANG]]="","",INDEX(NOTA[SUPPLIER],MATCH(,INDIRECT(ADDRESS(ROW(NOTA[ID]),COLUMN(NOTA[ID]))&amp;":"&amp;ADDRESS(ROW(),COLUMN(NOTA[ID]))),-1)))</f>
        <v>PELNA</v>
      </c>
      <c r="AJ499" s="41" t="str">
        <f ca="1">IF(NOTA[[#This Row],[ID_H]]="","",IF(NOTA[[#This Row],[FAKTUR]]="",INDIRECT(ADDRESS(ROW()-1,COLUMN())),NOTA[[#This Row],[FAKTUR]]))</f>
        <v>UNTANA</v>
      </c>
      <c r="AK499" s="38">
        <f ca="1">IF(NOTA[[#This Row],[ID]]="","",COUNTIF(NOTA[ID_H],NOTA[[#This Row],[ID_H]]))</f>
        <v>2</v>
      </c>
      <c r="AL499" s="38">
        <f>IF(NOTA[[#This Row],[TGL.NOTA]]="",IF(NOTA[[#This Row],[SUPPLIER_H]]="","",AL498),MONTH(NOTA[[#This Row],[TGL.NOTA]]))</f>
        <v>9</v>
      </c>
      <c r="AM499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O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P499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PELNAUNTANA45188pelnalaptoptable</v>
      </c>
      <c r="AQ499" s="38" t="e">
        <f>IF(NOTA[[#This Row],[CONCAT4]]="","",_xlfn.IFNA(MATCH(NOTA[[#This Row],[CONCAT4]],[2]!RAW[CONCAT_H],0),FALSE))</f>
        <v>#REF!</v>
      </c>
      <c r="AR499" s="38">
        <f>IF(NOTA[[#This Row],[CONCAT1]]="","",MATCH(NOTA[[#This Row],[CONCAT1]],[3]!db[NB NOTA_C],0))</f>
        <v>2109</v>
      </c>
      <c r="AS499" s="38" t="str">
        <f>IF(NOTA[[#This Row],[QTY/ CTN]]="","",TRUE)</f>
        <v/>
      </c>
      <c r="AT499" s="38" t="str">
        <f ca="1">IF(NOTA[[#This Row],[ID_H]]="","",IF(NOTA[[#This Row],[Column3]]=TRUE,NOTA[[#This Row],[QTY/ CTN]],INDEX([3]!db[QTY/ CTN],NOTA[[#This Row],[//DB]])))</f>
        <v>10 PCS</v>
      </c>
      <c r="AU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499" s="38" t="e">
        <f ca="1">IF(NOTA[[#This Row],[ID_H]]="","",MATCH(NOTA[[#This Row],[NB NOTA_C_QTY]],[4]!db[NB NOTA_C_QTY+F],0))</f>
        <v>#REF!</v>
      </c>
      <c r="AW499" s="53">
        <f ca="1">IF(NOTA[[#This Row],[NB NOTA_C_QTY]]="","",ROW()-2)</f>
        <v>497</v>
      </c>
    </row>
    <row r="500" spans="1:49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>
        <f ca="1">IF(NOTA[[#This Row],[NAMA BARANG]]="","",INDEX(NOTA[ID],MATCH(,INDIRECT(ADDRESS(ROW(NOTA[ID]),COLUMN(NOTA[ID]))&amp;":"&amp;ADDRESS(ROW(),COLUMN(NOTA[ID]))),-1)))</f>
        <v>90</v>
      </c>
      <c r="E500" s="46"/>
      <c r="F500" s="37"/>
      <c r="G500" s="37"/>
      <c r="H500" s="47"/>
      <c r="I500" s="37"/>
      <c r="J500" s="39"/>
      <c r="K500" s="37"/>
      <c r="L500" s="37" t="s">
        <v>613</v>
      </c>
      <c r="M500" s="40"/>
      <c r="N500" s="38">
        <v>10</v>
      </c>
      <c r="O500" s="37" t="s">
        <v>126</v>
      </c>
      <c r="P500" s="41"/>
      <c r="Q500" s="42"/>
      <c r="R500" s="48"/>
      <c r="S500" s="49"/>
      <c r="T500" s="44"/>
      <c r="U500" s="44"/>
      <c r="V500" s="50"/>
      <c r="W500" s="45" t="s">
        <v>417</v>
      </c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F5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G500" s="50" t="str">
        <f>IF(OR(NOTA[[#This Row],[QTY]]="",NOTA[[#This Row],[HARGA SATUAN]]="",),"",NOTA[[#This Row],[QTY]]*NOTA[[#This Row],[HARGA SATUAN]])</f>
        <v/>
      </c>
      <c r="AH500" s="39">
        <f ca="1">IF(NOTA[ID_H]="","",INDEX(NOTA[TANGGAL],MATCH(,INDIRECT(ADDRESS(ROW(NOTA[TANGGAL]),COLUMN(NOTA[TANGGAL]))&amp;":"&amp;ADDRESS(ROW(),COLUMN(NOTA[TANGGAL]))),-1)))</f>
        <v>45194</v>
      </c>
      <c r="AI500" s="41" t="str">
        <f ca="1">IF(NOTA[[#This Row],[NAMA BARANG]]="","",INDEX(NOTA[SUPPLIER],MATCH(,INDIRECT(ADDRESS(ROW(NOTA[ID]),COLUMN(NOTA[ID]))&amp;":"&amp;ADDRESS(ROW(),COLUMN(NOTA[ID]))),-1)))</f>
        <v>PELNA</v>
      </c>
      <c r="AJ500" s="41" t="str">
        <f ca="1">IF(NOTA[[#This Row],[ID_H]]="","",IF(NOTA[[#This Row],[FAKTUR]]="",INDIRECT(ADDRESS(ROW()-1,COLUMN())),NOTA[[#This Row],[FAKTUR]]))</f>
        <v>UNTANA</v>
      </c>
      <c r="AK500" s="38" t="str">
        <f ca="1">IF(NOTA[[#This Row],[ID]]="","",COUNTIF(NOTA[ID_H],NOTA[[#This Row],[ID_H]]))</f>
        <v/>
      </c>
      <c r="AL500" s="38">
        <f ca="1">IF(NOTA[[#This Row],[TGL.NOTA]]="",IF(NOTA[[#This Row],[SUPPLIER_H]]="","",AL499),MONTH(NOTA[[#This Row],[TGL.NOTA]]))</f>
        <v>9</v>
      </c>
      <c r="AM50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O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P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38" t="str">
        <f>IF(NOTA[[#This Row],[CONCAT4]]="","",_xlfn.IFNA(MATCH(NOTA[[#This Row],[CONCAT4]],[2]!RAW[CONCAT_H],0),FALSE))</f>
        <v/>
      </c>
      <c r="AR500" s="38">
        <f>IF(NOTA[[#This Row],[CONCAT1]]="","",MATCH(NOTA[[#This Row],[CONCAT1]],[3]!db[NB NOTA_C],0))</f>
        <v>2109</v>
      </c>
      <c r="AS500" s="38" t="str">
        <f>IF(NOTA[[#This Row],[QTY/ CTN]]="","",TRUE)</f>
        <v/>
      </c>
      <c r="AT500" s="38" t="str">
        <f ca="1">IF(NOTA[[#This Row],[ID_H]]="","",IF(NOTA[[#This Row],[Column3]]=TRUE,NOTA[[#This Row],[QTY/ CTN]],INDEX([3]!db[QTY/ CTN],NOTA[[#This Row],[//DB]])))</f>
        <v>10 PCS</v>
      </c>
      <c r="AU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500" s="38" t="e">
        <f ca="1">IF(NOTA[[#This Row],[ID_H]]="","",MATCH(NOTA[[#This Row],[NB NOTA_C_QTY]],[4]!db[NB NOTA_C_QTY+F],0))</f>
        <v>#REF!</v>
      </c>
      <c r="AW500" s="53">
        <f ca="1">IF(NOTA[[#This Row],[NB NOTA_C_QTY]]="","",ROW()-2)</f>
        <v>498</v>
      </c>
    </row>
    <row r="501" spans="1:49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01" s="50" t="str">
        <f>IF(OR(NOTA[[#This Row],[QTY]]="",NOTA[[#This Row],[HARGA SATUAN]]="",),"",NOTA[[#This Row],[QTY]]*NOTA[[#This Row],[HARGA SATUAN]])</f>
        <v/>
      </c>
      <c r="AH501" s="39" t="str">
        <f ca="1">IF(NOTA[ID_H]="","",INDEX(NOTA[TANGGAL],MATCH(,INDIRECT(ADDRESS(ROW(NOTA[TANGGAL]),COLUMN(NOTA[TANGGAL]))&amp;":"&amp;ADDRESS(ROW(),COLUMN(NOTA[TANGGAL]))),-1)))</f>
        <v/>
      </c>
      <c r="AI501" s="41" t="str">
        <f ca="1">IF(NOTA[[#This Row],[NAMA BARANG]]="","",INDEX(NOTA[SUPPLIER],MATCH(,INDIRECT(ADDRESS(ROW(NOTA[ID]),COLUMN(NOTA[ID]))&amp;":"&amp;ADDRESS(ROW(),COLUMN(NOTA[ID]))),-1)))</f>
        <v/>
      </c>
      <c r="AJ501" s="41" t="str">
        <f ca="1">IF(NOTA[[#This Row],[ID_H]]="","",IF(NOTA[[#This Row],[FAKTUR]]="",INDIRECT(ADDRESS(ROW()-1,COLUMN())),NOTA[[#This Row],[FAKTUR]]))</f>
        <v/>
      </c>
      <c r="AK501" s="38" t="str">
        <f ca="1">IF(NOTA[[#This Row],[ID]]="","",COUNTIF(NOTA[ID_H],NOTA[[#This Row],[ID_H]]))</f>
        <v/>
      </c>
      <c r="AL501" s="38" t="str">
        <f ca="1">IF(NOTA[[#This Row],[TGL.NOTA]]="",IF(NOTA[[#This Row],[SUPPLIER_H]]="","",AL500),MONTH(NOTA[[#This Row],[TGL.NOTA]]))</f>
        <v/>
      </c>
      <c r="AM501" s="38" t="str">
        <f>LOWER(SUBSTITUTE(SUBSTITUTE(SUBSTITUTE(SUBSTITUTE(SUBSTITUTE(SUBSTITUTE(SUBSTITUTE(SUBSTITUTE(SUBSTITUTE(NOTA[NAMA BARANG]," ",),".",""),"-",""),"(",""),")",""),",",""),"/",""),"""",""),"+",""))</f>
        <v/>
      </c>
      <c r="AN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38" t="str">
        <f>IF(NOTA[[#This Row],[CONCAT4]]="","",_xlfn.IFNA(MATCH(NOTA[[#This Row],[CONCAT4]],[2]!RAW[CONCAT_H],0),FALSE))</f>
        <v/>
      </c>
      <c r="AR501" s="38" t="str">
        <f>IF(NOTA[[#This Row],[CONCAT1]]="","",MATCH(NOTA[[#This Row],[CONCAT1]],[3]!db[NB NOTA_C],0))</f>
        <v/>
      </c>
      <c r="AS501" s="38" t="str">
        <f>IF(NOTA[[#This Row],[QTY/ CTN]]="","",TRUE)</f>
        <v/>
      </c>
      <c r="AT501" s="38" t="str">
        <f ca="1">IF(NOTA[[#This Row],[ID_H]]="","",IF(NOTA[[#This Row],[Column3]]=TRUE,NOTA[[#This Row],[QTY/ CTN]],INDEX([3]!db[QTY/ CTN],NOTA[[#This Row],[//DB]])))</f>
        <v/>
      </c>
      <c r="AU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1" s="38" t="str">
        <f ca="1">IF(NOTA[[#This Row],[ID_H]]="","",MATCH(NOTA[[#This Row],[NB NOTA_C_QTY]],[4]!db[NB NOTA_C_QTY+F],0))</f>
        <v/>
      </c>
      <c r="AW501" s="53" t="str">
        <f ca="1">IF(NOTA[[#This Row],[NB NOTA_C_QTY]]="","",ROW()-2)</f>
        <v/>
      </c>
    </row>
    <row r="502" spans="1:49" s="38" customFormat="1" ht="20.100000000000001" customHeight="1" x14ac:dyDescent="0.25">
      <c r="A502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5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GUN_2509_126-3</v>
      </c>
      <c r="C502" s="38" t="e">
        <f ca="1">IF(NOTA[[#This Row],[ID_P]]="","",MATCH(NOTA[[#This Row],[ID_P]],[1]!B_MSK[N_ID],0))</f>
        <v>#REF!</v>
      </c>
      <c r="D502" s="38">
        <f ca="1">IF(NOTA[[#This Row],[NAMA BARANG]]="","",INDEX(NOTA[ID],MATCH(,INDIRECT(ADDRESS(ROW(NOTA[ID]),COLUMN(NOTA[ID]))&amp;":"&amp;ADDRESS(ROW(),COLUMN(NOTA[ID]))),-1)))</f>
        <v>91</v>
      </c>
      <c r="E502" s="46">
        <v>45194</v>
      </c>
      <c r="F502" s="37" t="s">
        <v>309</v>
      </c>
      <c r="G502" s="37" t="s">
        <v>123</v>
      </c>
      <c r="H502" s="47" t="s">
        <v>614</v>
      </c>
      <c r="I502" s="37"/>
      <c r="J502" s="39">
        <v>45197</v>
      </c>
      <c r="K502" s="37"/>
      <c r="L502" s="37" t="s">
        <v>615</v>
      </c>
      <c r="M502" s="40">
        <v>1</v>
      </c>
      <c r="N502" s="38">
        <v>30</v>
      </c>
      <c r="O502" s="37" t="s">
        <v>138</v>
      </c>
      <c r="P502" s="41">
        <v>90000</v>
      </c>
      <c r="Q502" s="42"/>
      <c r="R502" s="48"/>
      <c r="S502" s="49">
        <v>0.05</v>
      </c>
      <c r="T502" s="44">
        <v>0.1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2700000</v>
      </c>
      <c r="Y502" s="50">
        <f>IF(NOTA[[#This Row],[JUMLAH]]="","",NOTA[[#This Row],[JUMLAH]]*NOTA[[#This Row],[DISC 1]])</f>
        <v>135000</v>
      </c>
      <c r="Z502" s="50">
        <f>IF(NOTA[[#This Row],[JUMLAH]]="","",(NOTA[[#This Row],[JUMLAH]]-NOTA[[#This Row],[DISC 1-]])*NOTA[[#This Row],[DISC 2]])</f>
        <v>256500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391500</v>
      </c>
      <c r="AC502" s="50">
        <f>IF(NOTA[[#This Row],[JUMLAH]]="","",NOTA[[#This Row],[JUMLAH]]-NOTA[[#This Row],[DISC]])</f>
        <v>2308500</v>
      </c>
      <c r="AD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2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G502" s="50">
        <f>IF(OR(NOTA[[#This Row],[QTY]]="",NOTA[[#This Row],[HARGA SATUAN]]="",),"",NOTA[[#This Row],[QTY]]*NOTA[[#This Row],[HARGA SATUAN]])</f>
        <v>2700000</v>
      </c>
      <c r="AH502" s="39">
        <f ca="1">IF(NOTA[ID_H]="","",INDEX(NOTA[TANGGAL],MATCH(,INDIRECT(ADDRESS(ROW(NOTA[TANGGAL]),COLUMN(NOTA[TANGGAL]))&amp;":"&amp;ADDRESS(ROW(),COLUMN(NOTA[TANGGAL]))),-1)))</f>
        <v>45194</v>
      </c>
      <c r="AI502" s="41" t="str">
        <f ca="1">IF(NOTA[[#This Row],[NAMA BARANG]]="","",INDEX(NOTA[SUPPLIER],MATCH(,INDIRECT(ADDRESS(ROW(NOTA[ID]),COLUMN(NOTA[ID]))&amp;":"&amp;ADDRESS(ROW(),COLUMN(NOTA[ID]))),-1)))</f>
        <v>GUNINDO</v>
      </c>
      <c r="AJ502" s="41" t="str">
        <f ca="1">IF(NOTA[[#This Row],[ID_H]]="","",IF(NOTA[[#This Row],[FAKTUR]]="",INDIRECT(ADDRESS(ROW()-1,COLUMN())),NOTA[[#This Row],[FAKTUR]]))</f>
        <v>UNTANA</v>
      </c>
      <c r="AK502" s="38">
        <f ca="1">IF(NOTA[[#This Row],[ID]]="","",COUNTIF(NOTA[ID_H],NOTA[[#This Row],[ID_H]]))</f>
        <v>3</v>
      </c>
      <c r="AL502" s="38">
        <f>IF(NOTA[[#This Row],[TGL.NOTA]]="",IF(NOTA[[#This Row],[SUPPLIER_H]]="","",AL501),MONTH(NOTA[[#This Row],[TGL.NOTA]]))</f>
        <v>9</v>
      </c>
      <c r="AM502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N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50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GUNINDOUNTANA230912645197gunindofmcoklat</v>
      </c>
      <c r="AQ502" s="38" t="e">
        <f>IF(NOTA[[#This Row],[CONCAT4]]="","",_xlfn.IFNA(MATCH(NOTA[[#This Row],[CONCAT4]],[2]!RAW[CONCAT_H],0),FALSE))</f>
        <v>#REF!</v>
      </c>
      <c r="AR502" s="38">
        <f>IF(NOTA[[#This Row],[CONCAT1]]="","",MATCH(NOTA[[#This Row],[CONCAT1]],[3]!db[NB NOTA_C],0))</f>
        <v>1154</v>
      </c>
      <c r="AS502" s="38" t="str">
        <f>IF(NOTA[[#This Row],[QTY/ CTN]]="","",TRUE)</f>
        <v/>
      </c>
      <c r="AT502" s="38" t="str">
        <f ca="1">IF(NOTA[[#This Row],[ID_H]]="","",IF(NOTA[[#This Row],[Column3]]=TRUE,NOTA[[#This Row],[QTY/ CTN]],INDEX([3]!db[QTY/ CTN],NOTA[[#This Row],[//DB]])))</f>
        <v>30 LSN</v>
      </c>
      <c r="AU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V502" s="38" t="e">
        <f ca="1">IF(NOTA[[#This Row],[ID_H]]="","",MATCH(NOTA[[#This Row],[NB NOTA_C_QTY]],[4]!db[NB NOTA_C_QTY+F],0))</f>
        <v>#REF!</v>
      </c>
      <c r="AW502" s="53">
        <f ca="1">IF(NOTA[[#This Row],[NB NOTA_C_QTY]]="","",ROW()-2)</f>
        <v>500</v>
      </c>
    </row>
    <row r="503" spans="1:49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91</v>
      </c>
      <c r="E503" s="46"/>
      <c r="F503" s="37"/>
      <c r="G503" s="37"/>
      <c r="H503" s="47"/>
      <c r="I503" s="37"/>
      <c r="J503" s="39"/>
      <c r="K503" s="37"/>
      <c r="L503" s="37" t="s">
        <v>616</v>
      </c>
      <c r="M503" s="40">
        <v>1</v>
      </c>
      <c r="N503" s="38">
        <v>20</v>
      </c>
      <c r="O503" s="37" t="s">
        <v>138</v>
      </c>
      <c r="P503" s="41">
        <v>120000</v>
      </c>
      <c r="Q503" s="42"/>
      <c r="R503" s="48"/>
      <c r="S503" s="49">
        <v>0.05</v>
      </c>
      <c r="T503" s="44">
        <v>0.1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2400000</v>
      </c>
      <c r="Y503" s="50">
        <f>IF(NOTA[[#This Row],[JUMLAH]]="","",NOTA[[#This Row],[JUMLAH]]*NOTA[[#This Row],[DISC 1]])</f>
        <v>120000</v>
      </c>
      <c r="Z503" s="50">
        <f>IF(NOTA[[#This Row],[JUMLAH]]="","",(NOTA[[#This Row],[JUMLAH]]-NOTA[[#This Row],[DISC 1-]])*NOTA[[#This Row],[DISC 2]])</f>
        <v>228000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348000</v>
      </c>
      <c r="AC503" s="50">
        <f>IF(NOTA[[#This Row],[JUMLAH]]="","",NOTA[[#This Row],[JUMLAH]]-NOTA[[#This Row],[DISC]])</f>
        <v>2052000</v>
      </c>
      <c r="AD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G503" s="50">
        <f>IF(OR(NOTA[[#This Row],[QTY]]="",NOTA[[#This Row],[HARGA SATUAN]]="",),"",NOTA[[#This Row],[QTY]]*NOTA[[#This Row],[HARGA SATUAN]])</f>
        <v>2400000</v>
      </c>
      <c r="AH503" s="39">
        <f ca="1">IF(NOTA[ID_H]="","",INDEX(NOTA[TANGGAL],MATCH(,INDIRECT(ADDRESS(ROW(NOTA[TANGGAL]),COLUMN(NOTA[TANGGAL]))&amp;":"&amp;ADDRESS(ROW(),COLUMN(NOTA[TANGGAL]))),-1)))</f>
        <v>45194</v>
      </c>
      <c r="AI503" s="41" t="str">
        <f ca="1">IF(NOTA[[#This Row],[NAMA BARANG]]="","",INDEX(NOTA[SUPPLIER],MATCH(,INDIRECT(ADDRESS(ROW(NOTA[ID]),COLUMN(NOTA[ID]))&amp;":"&amp;ADDRESS(ROW(),COLUMN(NOTA[ID]))),-1)))</f>
        <v>GUNINDO</v>
      </c>
      <c r="AJ503" s="41" t="str">
        <f ca="1">IF(NOTA[[#This Row],[ID_H]]="","",IF(NOTA[[#This Row],[FAKTUR]]="",INDIRECT(ADDRESS(ROW()-1,COLUMN())),NOTA[[#This Row],[FAKTUR]]))</f>
        <v>UNTANA</v>
      </c>
      <c r="AK503" s="38" t="str">
        <f ca="1">IF(NOTA[[#This Row],[ID]]="","",COUNTIF(NOTA[ID_H],NOTA[[#This Row],[ID_H]]))</f>
        <v/>
      </c>
      <c r="AL503" s="38">
        <f ca="1">IF(NOTA[[#This Row],[TGL.NOTA]]="",IF(NOTA[[#This Row],[SUPPLIER_H]]="","",AL502),MONTH(NOTA[[#This Row],[TGL.NOTA]]))</f>
        <v>9</v>
      </c>
      <c r="AM503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N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3" s="38" t="str">
        <f>IF(NOTA[[#This Row],[CONCAT4]]="","",_xlfn.IFNA(MATCH(NOTA[[#This Row],[CONCAT4]],[2]!RAW[CONCAT_H],0),FALSE))</f>
        <v/>
      </c>
      <c r="AR503" s="38">
        <f>IF(NOTA[[#This Row],[CONCAT1]]="","",MATCH(NOTA[[#This Row],[CONCAT1]],[3]!db[NB NOTA_C],0))</f>
        <v>1152</v>
      </c>
      <c r="AS503" s="38" t="str">
        <f>IF(NOTA[[#This Row],[QTY/ CTN]]="","",TRUE)</f>
        <v/>
      </c>
      <c r="AT503" s="38" t="str">
        <f ca="1">IF(NOTA[[#This Row],[ID_H]]="","",IF(NOTA[[#This Row],[Column3]]=TRUE,NOTA[[#This Row],[QTY/ CTN]],INDEX([3]!db[QTY/ CTN],NOTA[[#This Row],[//DB]])))</f>
        <v>20 LSN</v>
      </c>
      <c r="AU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V503" s="38" t="e">
        <f ca="1">IF(NOTA[[#This Row],[ID_H]]="","",MATCH(NOTA[[#This Row],[NB NOTA_C_QTY]],[4]!db[NB NOTA_C_QTY+F],0))</f>
        <v>#REF!</v>
      </c>
      <c r="AW503" s="53">
        <f ca="1">IF(NOTA[[#This Row],[NB NOTA_C_QTY]]="","",ROW()-2)</f>
        <v>501</v>
      </c>
    </row>
    <row r="504" spans="1:49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91</v>
      </c>
      <c r="E504" s="46"/>
      <c r="F504" s="37"/>
      <c r="G504" s="37"/>
      <c r="H504" s="47"/>
      <c r="I504" s="37"/>
      <c r="J504" s="39"/>
      <c r="K504" s="37"/>
      <c r="L504" s="37" t="s">
        <v>313</v>
      </c>
      <c r="M504" s="40">
        <v>1</v>
      </c>
      <c r="N504" s="38">
        <v>60</v>
      </c>
      <c r="O504" s="37" t="s">
        <v>138</v>
      </c>
      <c r="P504" s="41">
        <v>47500</v>
      </c>
      <c r="Q504" s="42"/>
      <c r="R504" s="48"/>
      <c r="S504" s="49">
        <v>0.05</v>
      </c>
      <c r="T504" s="44">
        <v>0.1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2850000</v>
      </c>
      <c r="Y504" s="50">
        <f>IF(NOTA[[#This Row],[JUMLAH]]="","",NOTA[[#This Row],[JUMLAH]]*NOTA[[#This Row],[DISC 1]])</f>
        <v>142500</v>
      </c>
      <c r="Z504" s="50">
        <f>IF(NOTA[[#This Row],[JUMLAH]]="","",(NOTA[[#This Row],[JUMLAH]]-NOTA[[#This Row],[DISC 1-]])*NOTA[[#This Row],[DISC 2]])</f>
        <v>270750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413250</v>
      </c>
      <c r="AC504" s="50">
        <f>IF(NOTA[[#This Row],[JUMLAH]]="","",NOTA[[#This Row],[JUMLAH]]-NOTA[[#This Row],[DISC]])</f>
        <v>2436750</v>
      </c>
      <c r="AD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1152750</v>
      </c>
      <c r="AE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6797250</v>
      </c>
      <c r="AF504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G504" s="50">
        <f>IF(OR(NOTA[[#This Row],[QTY]]="",NOTA[[#This Row],[HARGA SATUAN]]="",),"",NOTA[[#This Row],[QTY]]*NOTA[[#This Row],[HARGA SATUAN]])</f>
        <v>2850000</v>
      </c>
      <c r="AH504" s="39">
        <f ca="1">IF(NOTA[ID_H]="","",INDEX(NOTA[TANGGAL],MATCH(,INDIRECT(ADDRESS(ROW(NOTA[TANGGAL]),COLUMN(NOTA[TANGGAL]))&amp;":"&amp;ADDRESS(ROW(),COLUMN(NOTA[TANGGAL]))),-1)))</f>
        <v>45194</v>
      </c>
      <c r="AI504" s="41" t="str">
        <f ca="1">IF(NOTA[[#This Row],[NAMA BARANG]]="","",INDEX(NOTA[SUPPLIER],MATCH(,INDIRECT(ADDRESS(ROW(NOTA[ID]),COLUMN(NOTA[ID]))&amp;":"&amp;ADDRESS(ROW(),COLUMN(NOTA[ID]))),-1)))</f>
        <v>GUNINDO</v>
      </c>
      <c r="AJ504" s="41" t="str">
        <f ca="1">IF(NOTA[[#This Row],[ID_H]]="","",IF(NOTA[[#This Row],[FAKTUR]]="",INDIRECT(ADDRESS(ROW()-1,COLUMN())),NOTA[[#This Row],[FAKTUR]]))</f>
        <v>UNTANA</v>
      </c>
      <c r="AK504" s="38" t="str">
        <f ca="1">IF(NOTA[[#This Row],[ID]]="","",COUNTIF(NOTA[ID_H],NOTA[[#This Row],[ID_H]]))</f>
        <v/>
      </c>
      <c r="AL504" s="38">
        <f ca="1">IF(NOTA[[#This Row],[TGL.NOTA]]="",IF(NOTA[[#This Row],[SUPPLIER_H]]="","",AL503),MONTH(NOTA[[#This Row],[TGL.NOTA]]))</f>
        <v>9</v>
      </c>
      <c r="AM504" s="38" t="str">
        <f>LOWER(SUBSTITUTE(SUBSTITUTE(SUBSTITUTE(SUBSTITUTE(SUBSTITUTE(SUBSTITUTE(SUBSTITUTE(SUBSTITUTE(SUBSTITUTE(NOTA[NAMA BARANG]," ",),".",""),"-",""),"(",""),")",""),",",""),"/",""),"""",""),"+",""))</f>
        <v>cuttera18trans</v>
      </c>
      <c r="AN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O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P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38" t="str">
        <f>IF(NOTA[[#This Row],[CONCAT4]]="","",_xlfn.IFNA(MATCH(NOTA[[#This Row],[CONCAT4]],[2]!RAW[CONCAT_H],0),FALSE))</f>
        <v/>
      </c>
      <c r="AR504" s="38">
        <f>IF(NOTA[[#This Row],[CONCAT1]]="","",MATCH(NOTA[[#This Row],[CONCAT1]],[3]!db[NB NOTA_C],0))</f>
        <v>675</v>
      </c>
      <c r="AS504" s="38" t="str">
        <f>IF(NOTA[[#This Row],[QTY/ CTN]]="","",TRUE)</f>
        <v/>
      </c>
      <c r="AT504" s="38" t="str">
        <f ca="1">IF(NOTA[[#This Row],[ID_H]]="","",IF(NOTA[[#This Row],[Column3]]=TRUE,NOTA[[#This Row],[QTY/ CTN]],INDEX([3]!db[QTY/ CTN],NOTA[[#This Row],[//DB]])))</f>
        <v>60 LSN</v>
      </c>
      <c r="AU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V504" s="38" t="e">
        <f ca="1">IF(NOTA[[#This Row],[ID_H]]="","",MATCH(NOTA[[#This Row],[NB NOTA_C_QTY]],[4]!db[NB NOTA_C_QTY+F],0))</f>
        <v>#REF!</v>
      </c>
      <c r="AW504" s="53">
        <f ca="1">IF(NOTA[[#This Row],[NB NOTA_C_QTY]]="","",ROW()-2)</f>
        <v>502</v>
      </c>
    </row>
    <row r="505" spans="1:49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05" s="50" t="str">
        <f>IF(OR(NOTA[[#This Row],[QTY]]="",NOTA[[#This Row],[HARGA SATUAN]]="",),"",NOTA[[#This Row],[QTY]]*NOTA[[#This Row],[HARGA SATUAN]])</f>
        <v/>
      </c>
      <c r="AH505" s="39" t="str">
        <f ca="1">IF(NOTA[ID_H]="","",INDEX(NOTA[TANGGAL],MATCH(,INDIRECT(ADDRESS(ROW(NOTA[TANGGAL]),COLUMN(NOTA[TANGGAL]))&amp;":"&amp;ADDRESS(ROW(),COLUMN(NOTA[TANGGAL]))),-1)))</f>
        <v/>
      </c>
      <c r="AI505" s="41" t="str">
        <f ca="1">IF(NOTA[[#This Row],[NAMA BARANG]]="","",INDEX(NOTA[SUPPLIER],MATCH(,INDIRECT(ADDRESS(ROW(NOTA[ID]),COLUMN(NOTA[ID]))&amp;":"&amp;ADDRESS(ROW(),COLUMN(NOTA[ID]))),-1)))</f>
        <v/>
      </c>
      <c r="AJ505" s="41" t="str">
        <f ca="1">IF(NOTA[[#This Row],[ID_H]]="","",IF(NOTA[[#This Row],[FAKTUR]]="",INDIRECT(ADDRESS(ROW()-1,COLUMN())),NOTA[[#This Row],[FAKTUR]]))</f>
        <v/>
      </c>
      <c r="AK505" s="38" t="str">
        <f ca="1">IF(NOTA[[#This Row],[ID]]="","",COUNTIF(NOTA[ID_H],NOTA[[#This Row],[ID_H]]))</f>
        <v/>
      </c>
      <c r="AL505" s="38" t="str">
        <f ca="1">IF(NOTA[[#This Row],[TGL.NOTA]]="",IF(NOTA[[#This Row],[SUPPLIER_H]]="","",AL504),MONTH(NOTA[[#This Row],[TGL.NOTA]]))</f>
        <v/>
      </c>
      <c r="AM505" s="38" t="str">
        <f>LOWER(SUBSTITUTE(SUBSTITUTE(SUBSTITUTE(SUBSTITUTE(SUBSTITUTE(SUBSTITUTE(SUBSTITUTE(SUBSTITUTE(SUBSTITUTE(NOTA[NAMA BARANG]," ",),".",""),"-",""),"(",""),")",""),",",""),"/",""),"""",""),"+",""))</f>
        <v/>
      </c>
      <c r="AN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38" t="str">
        <f>IF(NOTA[[#This Row],[CONCAT4]]="","",_xlfn.IFNA(MATCH(NOTA[[#This Row],[CONCAT4]],[2]!RAW[CONCAT_H],0),FALSE))</f>
        <v/>
      </c>
      <c r="AR505" s="38" t="str">
        <f>IF(NOTA[[#This Row],[CONCAT1]]="","",MATCH(NOTA[[#This Row],[CONCAT1]],[3]!db[NB NOTA_C],0))</f>
        <v/>
      </c>
      <c r="AS505" s="38" t="str">
        <f>IF(NOTA[[#This Row],[QTY/ CTN]]="","",TRUE)</f>
        <v/>
      </c>
      <c r="AT505" s="38" t="str">
        <f ca="1">IF(NOTA[[#This Row],[ID_H]]="","",IF(NOTA[[#This Row],[Column3]]=TRUE,NOTA[[#This Row],[QTY/ CTN]],INDEX([3]!db[QTY/ CTN],NOTA[[#This Row],[//DB]])))</f>
        <v/>
      </c>
      <c r="AU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5" s="38" t="str">
        <f ca="1">IF(NOTA[[#This Row],[ID_H]]="","",MATCH(NOTA[[#This Row],[NB NOTA_C_QTY]],[4]!db[NB NOTA_C_QTY+F],0))</f>
        <v/>
      </c>
      <c r="AW505" s="53" t="str">
        <f ca="1">IF(NOTA[[#This Row],[NB NOTA_C_QTY]]="","",ROW()-2)</f>
        <v/>
      </c>
    </row>
    <row r="506" spans="1:49" s="38" customFormat="1" ht="20.100000000000001" customHeight="1" x14ac:dyDescent="0.25">
      <c r="A506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5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DBS_1509_223-10</v>
      </c>
      <c r="C506" s="38" t="e">
        <f ca="1">IF(NOTA[[#This Row],[ID_P]]="","",MATCH(NOTA[[#This Row],[ID_P]],[1]!B_MSK[N_ID],0))</f>
        <v>#REF!</v>
      </c>
      <c r="D506" s="38">
        <f ca="1">IF(NOTA[[#This Row],[NAMA BARANG]]="","",INDEX(NOTA[ID],MATCH(,INDIRECT(ADDRESS(ROW(NOTA[ID]),COLUMN(NOTA[ID]))&amp;":"&amp;ADDRESS(ROW(),COLUMN(NOTA[ID]))),-1)))</f>
        <v>92</v>
      </c>
      <c r="E506" s="46">
        <v>45184</v>
      </c>
      <c r="F506" s="37" t="s">
        <v>297</v>
      </c>
      <c r="G506" s="37" t="s">
        <v>123</v>
      </c>
      <c r="H506" s="47" t="s">
        <v>617</v>
      </c>
      <c r="I506" s="37"/>
      <c r="J506" s="39">
        <v>45192</v>
      </c>
      <c r="K506" s="37"/>
      <c r="L506" s="37" t="s">
        <v>618</v>
      </c>
      <c r="M506" s="40">
        <v>1</v>
      </c>
      <c r="N506" s="38">
        <v>96</v>
      </c>
      <c r="O506" s="37" t="s">
        <v>138</v>
      </c>
      <c r="P506" s="41">
        <v>29000</v>
      </c>
      <c r="Q506" s="42"/>
      <c r="R506" s="48" t="s">
        <v>300</v>
      </c>
      <c r="S506" s="49"/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2784000</v>
      </c>
      <c r="Y506" s="50">
        <f>IF(NOTA[[#This Row],[JUMLAH]]="","",NOTA[[#This Row],[JUMLAH]]*NOTA[[#This Row],[DISC 1]])</f>
        <v>0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0</v>
      </c>
      <c r="AC506" s="50">
        <f>IF(NOTA[[#This Row],[JUMLAH]]="","",NOTA[[#This Row],[JUMLAH]]-NOTA[[#This Row],[DISC]])</f>
        <v>2784000</v>
      </c>
      <c r="AD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6" s="50">
        <f>IF(OR(NOTA[[#This Row],[QTY]]="",NOTA[[#This Row],[HARGA SATUAN]]="",),"",NOTA[[#This Row],[QTY]]*NOTA[[#This Row],[HARGA SATUAN]])</f>
        <v>2784000</v>
      </c>
      <c r="AH506" s="39">
        <f ca="1">IF(NOTA[ID_H]="","",INDEX(NOTA[TANGGAL],MATCH(,INDIRECT(ADDRESS(ROW(NOTA[TANGGAL]),COLUMN(NOTA[TANGGAL]))&amp;":"&amp;ADDRESS(ROW(),COLUMN(NOTA[TANGGAL]))),-1)))</f>
        <v>45184</v>
      </c>
      <c r="AI506" s="41" t="str">
        <f ca="1">IF(NOTA[[#This Row],[NAMA BARANG]]="","",INDEX(NOTA[SUPPLIER],MATCH(,INDIRECT(ADDRESS(ROW(NOTA[ID]),COLUMN(NOTA[ID]))&amp;":"&amp;ADDRESS(ROW(),COLUMN(NOTA[ID]))),-1)))</f>
        <v>DB STATIONERY</v>
      </c>
      <c r="AJ506" s="41" t="str">
        <f ca="1">IF(NOTA[[#This Row],[ID_H]]="","",IF(NOTA[[#This Row],[FAKTUR]]="",INDIRECT(ADDRESS(ROW()-1,COLUMN())),NOTA[[#This Row],[FAKTUR]]))</f>
        <v>UNTANA</v>
      </c>
      <c r="AK506" s="38">
        <f ca="1">IF(NOTA[[#This Row],[ID]]="","",COUNTIF(NOTA[ID_H],NOTA[[#This Row],[ID_H]]))</f>
        <v>10</v>
      </c>
      <c r="AL506" s="38">
        <f>IF(NOTA[[#This Row],[TGL.NOTA]]="",IF(NOTA[[#This Row],[SUPPLIER_H]]="","",AL505),MONTH(NOTA[[#This Row],[TGL.NOTA]]))</f>
        <v>9</v>
      </c>
      <c r="AM506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N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O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P50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STATIONERYUNTANAJUI382/2345192mekpensil20tizotm030a1</v>
      </c>
      <c r="AQ506" s="38" t="e">
        <f>IF(NOTA[[#This Row],[CONCAT4]]="","",_xlfn.IFNA(MATCH(NOTA[[#This Row],[CONCAT4]],[2]!RAW[CONCAT_H],0),FALSE))</f>
        <v>#REF!</v>
      </c>
      <c r="AR506" s="38">
        <f>IF(NOTA[[#This Row],[CONCAT1]]="","",MATCH(NOTA[[#This Row],[CONCAT1]],[3]!db[NB NOTA_C],0))</f>
        <v>1824</v>
      </c>
      <c r="AS506" s="38" t="b">
        <f>IF(NOTA[[#This Row],[QTY/ CTN]]="","",TRUE)</f>
        <v>1</v>
      </c>
      <c r="AT506" s="38" t="str">
        <f ca="1">IF(NOTA[[#This Row],[ID_H]]="","",IF(NOTA[[#This Row],[Column3]]=TRUE,NOTA[[#This Row],[QTY/ CTN]],INDEX([3]!db[QTY/ CTN],NOTA[[#This Row],[//DB]])))</f>
        <v>96 LSN</v>
      </c>
      <c r="AU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V506" s="38" t="e">
        <f ca="1">IF(NOTA[[#This Row],[ID_H]]="","",MATCH(NOTA[[#This Row],[NB NOTA_C_QTY]],[4]!db[NB NOTA_C_QTY+F],0))</f>
        <v>#REF!</v>
      </c>
      <c r="AW506" s="53">
        <f ca="1">IF(NOTA[[#This Row],[NB NOTA_C_QTY]]="","",ROW()-2)</f>
        <v>504</v>
      </c>
    </row>
    <row r="507" spans="1:49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92</v>
      </c>
      <c r="E507" s="46"/>
      <c r="F507" s="37"/>
      <c r="G507" s="37"/>
      <c r="H507" s="47"/>
      <c r="I507" s="37"/>
      <c r="J507" s="39"/>
      <c r="K507" s="37"/>
      <c r="L507" s="37" t="s">
        <v>619</v>
      </c>
      <c r="M507" s="40">
        <v>1</v>
      </c>
      <c r="N507" s="38">
        <v>96</v>
      </c>
      <c r="O507" s="37" t="s">
        <v>138</v>
      </c>
      <c r="P507" s="41">
        <v>29000</v>
      </c>
      <c r="Q507" s="42"/>
      <c r="R507" s="48" t="s">
        <v>300</v>
      </c>
      <c r="S507" s="49"/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2784000</v>
      </c>
      <c r="Y507" s="50">
        <f>IF(NOTA[[#This Row],[JUMLAH]]="","",NOTA[[#This Row],[JUMLAH]]*NOTA[[#This Row],[DISC 1]])</f>
        <v>0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0</v>
      </c>
      <c r="AC507" s="50">
        <f>IF(NOTA[[#This Row],[JUMLAH]]="","",NOTA[[#This Row],[JUMLAH]]-NOTA[[#This Row],[DISC]])</f>
        <v>2784000</v>
      </c>
      <c r="AD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7" s="50">
        <f>IF(OR(NOTA[[#This Row],[QTY]]="",NOTA[[#This Row],[HARGA SATUAN]]="",),"",NOTA[[#This Row],[QTY]]*NOTA[[#This Row],[HARGA SATUAN]])</f>
        <v>2784000</v>
      </c>
      <c r="AH507" s="39">
        <f ca="1">IF(NOTA[ID_H]="","",INDEX(NOTA[TANGGAL],MATCH(,INDIRECT(ADDRESS(ROW(NOTA[TANGGAL]),COLUMN(NOTA[TANGGAL]))&amp;":"&amp;ADDRESS(ROW(),COLUMN(NOTA[TANGGAL]))),-1)))</f>
        <v>45184</v>
      </c>
      <c r="AI507" s="41" t="str">
        <f ca="1">IF(NOTA[[#This Row],[NAMA BARANG]]="","",INDEX(NOTA[SUPPLIER],MATCH(,INDIRECT(ADDRESS(ROW(NOTA[ID]),COLUMN(NOTA[ID]))&amp;":"&amp;ADDRESS(ROW(),COLUMN(NOTA[ID]))),-1)))</f>
        <v>DB STATIONERY</v>
      </c>
      <c r="AJ507" s="41" t="str">
        <f ca="1">IF(NOTA[[#This Row],[ID_H]]="","",IF(NOTA[[#This Row],[FAKTUR]]="",INDIRECT(ADDRESS(ROW()-1,COLUMN())),NOTA[[#This Row],[FAKTUR]]))</f>
        <v>UNTANA</v>
      </c>
      <c r="AK507" s="38" t="str">
        <f ca="1">IF(NOTA[[#This Row],[ID]]="","",COUNTIF(NOTA[ID_H],NOTA[[#This Row],[ID_H]]))</f>
        <v/>
      </c>
      <c r="AL507" s="38">
        <f ca="1">IF(NOTA[[#This Row],[TGL.NOTA]]="",IF(NOTA[[#This Row],[SUPPLIER_H]]="","",AL506),MONTH(NOTA[[#This Row],[TGL.NOTA]]))</f>
        <v>9</v>
      </c>
      <c r="AM507" s="38" t="str">
        <f>LOWER(SUBSTITUTE(SUBSTITUTE(SUBSTITUTE(SUBSTITUTE(SUBSTITUTE(SUBSTITUTE(SUBSTITUTE(SUBSTITUTE(SUBSTITUTE(NOTA[NAMA BARANG]," ",),".",""),"-",""),"(",""),")",""),",",""),"/",""),"""",""),"+",""))</f>
        <v>mektizo20tm030c</v>
      </c>
      <c r="AN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38" t="str">
        <f>IF(NOTA[[#This Row],[CONCAT4]]="","",_xlfn.IFNA(MATCH(NOTA[[#This Row],[CONCAT4]],[2]!RAW[CONCAT_H],0),FALSE))</f>
        <v/>
      </c>
      <c r="AR507" s="38">
        <f>IF(NOTA[[#This Row],[CONCAT1]]="","",MATCH(NOTA[[#This Row],[CONCAT1]],[3]!db[NB NOTA_C],0))</f>
        <v>1842</v>
      </c>
      <c r="AS507" s="38" t="b">
        <f>IF(NOTA[[#This Row],[QTY/ CTN]]="","",TRUE)</f>
        <v>1</v>
      </c>
      <c r="AT507" s="38" t="str">
        <f ca="1">IF(NOTA[[#This Row],[ID_H]]="","",IF(NOTA[[#This Row],[Column3]]=TRUE,NOTA[[#This Row],[QTY/ CTN]],INDEX([3]!db[QTY/ CTN],NOTA[[#This Row],[//DB]])))</f>
        <v>96 LSN</v>
      </c>
      <c r="AU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mektizo20tm030c96lsnuntana</v>
      </c>
      <c r="AV507" s="38" t="e">
        <f ca="1">IF(NOTA[[#This Row],[ID_H]]="","",MATCH(NOTA[[#This Row],[NB NOTA_C_QTY]],[4]!db[NB NOTA_C_QTY+F],0))</f>
        <v>#REF!</v>
      </c>
      <c r="AW507" s="53">
        <f ca="1">IF(NOTA[[#This Row],[NB NOTA_C_QTY]]="","",ROW()-2)</f>
        <v>505</v>
      </c>
    </row>
    <row r="508" spans="1:49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92</v>
      </c>
      <c r="E508" s="46"/>
      <c r="F508" s="37"/>
      <c r="G508" s="37"/>
      <c r="H508" s="47"/>
      <c r="I508" s="37"/>
      <c r="J508" s="39"/>
      <c r="K508" s="37"/>
      <c r="L508" s="37" t="s">
        <v>620</v>
      </c>
      <c r="M508" s="40">
        <v>1</v>
      </c>
      <c r="N508" s="38">
        <v>96</v>
      </c>
      <c r="O508" s="37" t="s">
        <v>138</v>
      </c>
      <c r="P508" s="41">
        <v>29000</v>
      </c>
      <c r="Q508" s="42"/>
      <c r="R508" s="48" t="s">
        <v>300</v>
      </c>
      <c r="S508" s="49"/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2784000</v>
      </c>
      <c r="Y508" s="50">
        <f>IF(NOTA[[#This Row],[JUMLAH]]="","",NOTA[[#This Row],[JUMLAH]]*NOTA[[#This Row],[DISC 1]])</f>
        <v>0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0</v>
      </c>
      <c r="AC508" s="50">
        <f>IF(NOTA[[#This Row],[JUMLAH]]="","",NOTA[[#This Row],[JUMLAH]]-NOTA[[#This Row],[DISC]])</f>
        <v>2784000</v>
      </c>
      <c r="AD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8" s="50">
        <f>IF(OR(NOTA[[#This Row],[QTY]]="",NOTA[[#This Row],[HARGA SATUAN]]="",),"",NOTA[[#This Row],[QTY]]*NOTA[[#This Row],[HARGA SATUAN]])</f>
        <v>2784000</v>
      </c>
      <c r="AH508" s="39">
        <f ca="1">IF(NOTA[ID_H]="","",INDEX(NOTA[TANGGAL],MATCH(,INDIRECT(ADDRESS(ROW(NOTA[TANGGAL]),COLUMN(NOTA[TANGGAL]))&amp;":"&amp;ADDRESS(ROW(),COLUMN(NOTA[TANGGAL]))),-1)))</f>
        <v>45184</v>
      </c>
      <c r="AI508" s="41" t="str">
        <f ca="1">IF(NOTA[[#This Row],[NAMA BARANG]]="","",INDEX(NOTA[SUPPLIER],MATCH(,INDIRECT(ADDRESS(ROW(NOTA[ID]),COLUMN(NOTA[ID]))&amp;":"&amp;ADDRESS(ROW(),COLUMN(NOTA[ID]))),-1)))</f>
        <v>DB STATIONERY</v>
      </c>
      <c r="AJ508" s="41" t="str">
        <f ca="1">IF(NOTA[[#This Row],[ID_H]]="","",IF(NOTA[[#This Row],[FAKTUR]]="",INDIRECT(ADDRESS(ROW()-1,COLUMN())),NOTA[[#This Row],[FAKTUR]]))</f>
        <v>UNTANA</v>
      </c>
      <c r="AK508" s="38" t="str">
        <f ca="1">IF(NOTA[[#This Row],[ID]]="","",COUNTIF(NOTA[ID_H],NOTA[[#This Row],[ID_H]]))</f>
        <v/>
      </c>
      <c r="AL508" s="38">
        <f ca="1">IF(NOTA[[#This Row],[TGL.NOTA]]="",IF(NOTA[[#This Row],[SUPPLIER_H]]="","",AL507),MONTH(NOTA[[#This Row],[TGL.NOTA]]))</f>
        <v>9</v>
      </c>
      <c r="AM508" s="3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N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O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P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38" t="str">
        <f>IF(NOTA[[#This Row],[CONCAT4]]="","",_xlfn.IFNA(MATCH(NOTA[[#This Row],[CONCAT4]],[2]!RAW[CONCAT_H],0),FALSE))</f>
        <v/>
      </c>
      <c r="AR508" s="38">
        <f>IF(NOTA[[#This Row],[CONCAT1]]="","",MATCH(NOTA[[#This Row],[CONCAT1]],[3]!db[NB NOTA_C],0))</f>
        <v>1809</v>
      </c>
      <c r="AS508" s="38" t="b">
        <f>IF(NOTA[[#This Row],[QTY/ CTN]]="","",TRUE)</f>
        <v>1</v>
      </c>
      <c r="AT508" s="38" t="str">
        <f ca="1">IF(NOTA[[#This Row],[ID_H]]="","",IF(NOTA[[#This Row],[Column3]]=TRUE,NOTA[[#This Row],[QTY/ CTN]],INDEX([3]!db[QTY/ CTN],NOTA[[#This Row],[//DB]])))</f>
        <v>96 LSN</v>
      </c>
      <c r="AU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mekpensil20batiktm030d96lsnuntana</v>
      </c>
      <c r="AV508" s="38" t="e">
        <f ca="1">IF(NOTA[[#This Row],[ID_H]]="","",MATCH(NOTA[[#This Row],[NB NOTA_C_QTY]],[4]!db[NB NOTA_C_QTY+F],0))</f>
        <v>#REF!</v>
      </c>
      <c r="AW508" s="53">
        <f ca="1">IF(NOTA[[#This Row],[NB NOTA_C_QTY]]="","",ROW()-2)</f>
        <v>506</v>
      </c>
    </row>
    <row r="509" spans="1:49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>
        <f ca="1">IF(NOTA[[#This Row],[NAMA BARANG]]="","",INDEX(NOTA[ID],MATCH(,INDIRECT(ADDRESS(ROW(NOTA[ID]),COLUMN(NOTA[ID]))&amp;":"&amp;ADDRESS(ROW(),COLUMN(NOTA[ID]))),-1)))</f>
        <v>92</v>
      </c>
      <c r="E509" s="46"/>
      <c r="F509" s="37"/>
      <c r="G509" s="37"/>
      <c r="H509" s="47"/>
      <c r="I509" s="37"/>
      <c r="J509" s="39"/>
      <c r="K509" s="37"/>
      <c r="L509" s="37" t="s">
        <v>622</v>
      </c>
      <c r="M509" s="40">
        <v>1</v>
      </c>
      <c r="N509" s="38">
        <v>96</v>
      </c>
      <c r="O509" s="37" t="s">
        <v>138</v>
      </c>
      <c r="P509" s="41">
        <v>29000</v>
      </c>
      <c r="Q509" s="42"/>
      <c r="R509" s="48" t="s">
        <v>300</v>
      </c>
      <c r="S509" s="49"/>
      <c r="T509" s="44"/>
      <c r="U509" s="44"/>
      <c r="V509" s="50"/>
      <c r="W509" s="45"/>
      <c r="X509" s="50">
        <f>IF(NOTA[[#This Row],[HARGA/ CTN]]="",NOTA[[#This Row],[JUMLAH_H]],NOTA[[#This Row],[HARGA/ CTN]]*IF(NOTA[[#This Row],[C]]="",0,NOTA[[#This Row],[C]]))</f>
        <v>2784000</v>
      </c>
      <c r="Y509" s="50">
        <f>IF(NOTA[[#This Row],[JUMLAH]]="","",NOTA[[#This Row],[JUMLAH]]*NOTA[[#This Row],[DISC 1]])</f>
        <v>0</v>
      </c>
      <c r="Z509" s="50">
        <f>IF(NOTA[[#This Row],[JUMLAH]]="","",(NOTA[[#This Row],[JUMLAH]]-NOTA[[#This Row],[DISC 1-]])*NOTA[[#This Row],[DISC 2]])</f>
        <v>0</v>
      </c>
      <c r="AA509" s="50">
        <f>IF(NOTA[[#This Row],[JUMLAH]]="","",(NOTA[[#This Row],[JUMLAH]]-NOTA[[#This Row],[DISC 1-]]-NOTA[[#This Row],[DISC 2-]])*NOTA[[#This Row],[DISC 3]])</f>
        <v>0</v>
      </c>
      <c r="AB509" s="50">
        <f>IF(NOTA[[#This Row],[JUMLAH]]="","",NOTA[[#This Row],[DISC 1-]]+NOTA[[#This Row],[DISC 2-]]+NOTA[[#This Row],[DISC 3-]])</f>
        <v>0</v>
      </c>
      <c r="AC509" s="50">
        <f>IF(NOTA[[#This Row],[JUMLAH]]="","",NOTA[[#This Row],[JUMLAH]]-NOTA[[#This Row],[DISC]])</f>
        <v>2784000</v>
      </c>
      <c r="AD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0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09" s="50">
        <f>IF(OR(NOTA[[#This Row],[QTY]]="",NOTA[[#This Row],[HARGA SATUAN]]="",),"",NOTA[[#This Row],[QTY]]*NOTA[[#This Row],[HARGA SATUAN]])</f>
        <v>2784000</v>
      </c>
      <c r="AH509" s="39">
        <f ca="1">IF(NOTA[ID_H]="","",INDEX(NOTA[TANGGAL],MATCH(,INDIRECT(ADDRESS(ROW(NOTA[TANGGAL]),COLUMN(NOTA[TANGGAL]))&amp;":"&amp;ADDRESS(ROW(),COLUMN(NOTA[TANGGAL]))),-1)))</f>
        <v>45184</v>
      </c>
      <c r="AI509" s="41" t="str">
        <f ca="1">IF(NOTA[[#This Row],[NAMA BARANG]]="","",INDEX(NOTA[SUPPLIER],MATCH(,INDIRECT(ADDRESS(ROW(NOTA[ID]),COLUMN(NOTA[ID]))&amp;":"&amp;ADDRESS(ROW(),COLUMN(NOTA[ID]))),-1)))</f>
        <v>DB STATIONERY</v>
      </c>
      <c r="AJ509" s="41" t="str">
        <f ca="1">IF(NOTA[[#This Row],[ID_H]]="","",IF(NOTA[[#This Row],[FAKTUR]]="",INDIRECT(ADDRESS(ROW()-1,COLUMN())),NOTA[[#This Row],[FAKTUR]]))</f>
        <v>UNTANA</v>
      </c>
      <c r="AK509" s="38" t="str">
        <f ca="1">IF(NOTA[[#This Row],[ID]]="","",COUNTIF(NOTA[ID_H],NOTA[[#This Row],[ID_H]]))</f>
        <v/>
      </c>
      <c r="AL509" s="38">
        <f ca="1">IF(NOTA[[#This Row],[TGL.NOTA]]="",IF(NOTA[[#This Row],[SUPPLIER_H]]="","",AL508),MONTH(NOTA[[#This Row],[TGL.NOTA]]))</f>
        <v>9</v>
      </c>
      <c r="AM50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38" t="str">
        <f>IF(NOTA[[#This Row],[CONCAT4]]="","",_xlfn.IFNA(MATCH(NOTA[[#This Row],[CONCAT4]],[2]!RAW[CONCAT_H],0),FALSE))</f>
        <v/>
      </c>
      <c r="AR509" s="38">
        <f>IF(NOTA[[#This Row],[CONCAT1]]="","",MATCH(NOTA[[#This Row],[CONCAT1]],[3]!db[NB NOTA_C],0))</f>
        <v>1834</v>
      </c>
      <c r="AS509" s="38" t="b">
        <f>IF(NOTA[[#This Row],[QTY/ CTN]]="","",TRUE)</f>
        <v>1</v>
      </c>
      <c r="AT509" s="38" t="str">
        <f ca="1">IF(NOTA[[#This Row],[ID_H]]="","",IF(NOTA[[#This Row],[Column3]]=TRUE,NOTA[[#This Row],[QTY/ CTN]],INDEX([3]!db[QTY/ CTN],NOTA[[#This Row],[//DB]])))</f>
        <v>96 LSN</v>
      </c>
      <c r="AU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V509" s="38" t="e">
        <f ca="1">IF(NOTA[[#This Row],[ID_H]]="","",MATCH(NOTA[[#This Row],[NB NOTA_C_QTY]],[4]!db[NB NOTA_C_QTY+F],0))</f>
        <v>#REF!</v>
      </c>
      <c r="AW509" s="53">
        <f ca="1">IF(NOTA[[#This Row],[NB NOTA_C_QTY]]="","",ROW()-2)</f>
        <v>507</v>
      </c>
    </row>
    <row r="510" spans="1:49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>
        <f ca="1">IF(NOTA[[#This Row],[NAMA BARANG]]="","",INDEX(NOTA[ID],MATCH(,INDIRECT(ADDRESS(ROW(NOTA[ID]),COLUMN(NOTA[ID]))&amp;":"&amp;ADDRESS(ROW(),COLUMN(NOTA[ID]))),-1)))</f>
        <v>92</v>
      </c>
      <c r="E510" s="46"/>
      <c r="F510" s="37"/>
      <c r="G510" s="37"/>
      <c r="H510" s="47"/>
      <c r="I510" s="37"/>
      <c r="J510" s="39"/>
      <c r="K510" s="37"/>
      <c r="L510" s="37" t="s">
        <v>621</v>
      </c>
      <c r="M510" s="40">
        <v>1</v>
      </c>
      <c r="N510" s="38">
        <v>96</v>
      </c>
      <c r="O510" s="37" t="s">
        <v>138</v>
      </c>
      <c r="P510" s="41">
        <v>29000</v>
      </c>
      <c r="Q510" s="42"/>
      <c r="R510" s="48" t="s">
        <v>300</v>
      </c>
      <c r="S510" s="49"/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2784000</v>
      </c>
      <c r="Y510" s="50">
        <f>IF(NOTA[[#This Row],[JUMLAH]]="","",NOTA[[#This Row],[JUMLAH]]*NOTA[[#This Row],[DISC 1]])</f>
        <v>0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0</v>
      </c>
      <c r="AC510" s="50">
        <f>IF(NOTA[[#This Row],[JUMLAH]]="","",NOTA[[#This Row],[JUMLAH]]-NOTA[[#This Row],[DISC]])</f>
        <v>2784000</v>
      </c>
      <c r="AD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G510" s="50">
        <f>IF(OR(NOTA[[#This Row],[QTY]]="",NOTA[[#This Row],[HARGA SATUAN]]="",),"",NOTA[[#This Row],[QTY]]*NOTA[[#This Row],[HARGA SATUAN]])</f>
        <v>2784000</v>
      </c>
      <c r="AH510" s="39">
        <f ca="1">IF(NOTA[ID_H]="","",INDEX(NOTA[TANGGAL],MATCH(,INDIRECT(ADDRESS(ROW(NOTA[TANGGAL]),COLUMN(NOTA[TANGGAL]))&amp;":"&amp;ADDRESS(ROW(),COLUMN(NOTA[TANGGAL]))),-1)))</f>
        <v>45184</v>
      </c>
      <c r="AI510" s="41" t="str">
        <f ca="1">IF(NOTA[[#This Row],[NAMA BARANG]]="","",INDEX(NOTA[SUPPLIER],MATCH(,INDIRECT(ADDRESS(ROW(NOTA[ID]),COLUMN(NOTA[ID]))&amp;":"&amp;ADDRESS(ROW(),COLUMN(NOTA[ID]))),-1)))</f>
        <v>DB STATIONERY</v>
      </c>
      <c r="AJ510" s="41" t="str">
        <f ca="1">IF(NOTA[[#This Row],[ID_H]]="","",IF(NOTA[[#This Row],[FAKTUR]]="",INDIRECT(ADDRESS(ROW()-1,COLUMN())),NOTA[[#This Row],[FAKTUR]]))</f>
        <v>UNTANA</v>
      </c>
      <c r="AK510" s="38" t="str">
        <f ca="1">IF(NOTA[[#This Row],[ID]]="","",COUNTIF(NOTA[ID_H],NOTA[[#This Row],[ID_H]]))</f>
        <v/>
      </c>
      <c r="AL510" s="38">
        <f ca="1">IF(NOTA[[#This Row],[TGL.NOTA]]="",IF(NOTA[[#This Row],[SUPPLIER_H]]="","",AL509),MONTH(NOTA[[#This Row],[TGL.NOTA]]))</f>
        <v>9</v>
      </c>
      <c r="AM510" s="38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38" t="str">
        <f>IF(NOTA[[#This Row],[CONCAT4]]="","",_xlfn.IFNA(MATCH(NOTA[[#This Row],[CONCAT4]],[2]!RAW[CONCAT_H],0),FALSE))</f>
        <v/>
      </c>
      <c r="AR510" s="38">
        <f>IF(NOTA[[#This Row],[CONCAT1]]="","",MATCH(NOTA[[#This Row],[CONCAT1]],[3]!db[NB NOTA_C],0))</f>
        <v>1811</v>
      </c>
      <c r="AS510" s="38" t="b">
        <f>IF(NOTA[[#This Row],[QTY/ CTN]]="","",TRUE)</f>
        <v>1</v>
      </c>
      <c r="AT510" s="38" t="str">
        <f ca="1">IF(NOTA[[#This Row],[ID_H]]="","",IF(NOTA[[#This Row],[Column3]]=TRUE,NOTA[[#This Row],[QTY/ CTN]],INDEX([3]!db[QTY/ CTN],NOTA[[#This Row],[//DB]])))</f>
        <v>96 LSN</v>
      </c>
      <c r="AU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mekpensil20tizotm030h96lsnuntana</v>
      </c>
      <c r="AV510" s="38" t="e">
        <f ca="1">IF(NOTA[[#This Row],[ID_H]]="","",MATCH(NOTA[[#This Row],[NB NOTA_C_QTY]],[4]!db[NB NOTA_C_QTY+F],0))</f>
        <v>#REF!</v>
      </c>
      <c r="AW510" s="53">
        <f ca="1">IF(NOTA[[#This Row],[NB NOTA_C_QTY]]="","",ROW()-2)</f>
        <v>508</v>
      </c>
    </row>
    <row r="511" spans="1:49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92</v>
      </c>
      <c r="E511" s="46"/>
      <c r="F511" s="37"/>
      <c r="G511" s="37"/>
      <c r="H511" s="47"/>
      <c r="I511" s="37"/>
      <c r="J511" s="39"/>
      <c r="K511" s="37"/>
      <c r="L511" s="37" t="s">
        <v>623</v>
      </c>
      <c r="M511" s="40">
        <v>1</v>
      </c>
      <c r="N511" s="38">
        <v>144</v>
      </c>
      <c r="O511" s="37" t="s">
        <v>138</v>
      </c>
      <c r="P511" s="41">
        <v>13500</v>
      </c>
      <c r="Q511" s="42"/>
      <c r="R511" s="48" t="s">
        <v>216</v>
      </c>
      <c r="S511" s="49"/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1944000</v>
      </c>
      <c r="Y511" s="50">
        <f>IF(NOTA[[#This Row],[JUMLAH]]="","",NOTA[[#This Row],[JUMLAH]]*NOTA[[#This Row],[DISC 1]])</f>
        <v>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0</v>
      </c>
      <c r="AC511" s="50">
        <f>IF(NOTA[[#This Row],[JUMLAH]]="","",NOTA[[#This Row],[JUMLAH]]-NOTA[[#This Row],[DISC]])</f>
        <v>1944000</v>
      </c>
      <c r="AD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G511" s="50">
        <f>IF(OR(NOTA[[#This Row],[QTY]]="",NOTA[[#This Row],[HARGA SATUAN]]="",),"",NOTA[[#This Row],[QTY]]*NOTA[[#This Row],[HARGA SATUAN]])</f>
        <v>1944000</v>
      </c>
      <c r="AH511" s="39">
        <f ca="1">IF(NOTA[ID_H]="","",INDEX(NOTA[TANGGAL],MATCH(,INDIRECT(ADDRESS(ROW(NOTA[TANGGAL]),COLUMN(NOTA[TANGGAL]))&amp;":"&amp;ADDRESS(ROW(),COLUMN(NOTA[TANGGAL]))),-1)))</f>
        <v>45184</v>
      </c>
      <c r="AI511" s="41" t="str">
        <f ca="1">IF(NOTA[[#This Row],[NAMA BARANG]]="","",INDEX(NOTA[SUPPLIER],MATCH(,INDIRECT(ADDRESS(ROW(NOTA[ID]),COLUMN(NOTA[ID]))&amp;":"&amp;ADDRESS(ROW(),COLUMN(NOTA[ID]))),-1)))</f>
        <v>DB STATIONERY</v>
      </c>
      <c r="AJ511" s="41" t="str">
        <f ca="1">IF(NOTA[[#This Row],[ID_H]]="","",IF(NOTA[[#This Row],[FAKTUR]]="",INDIRECT(ADDRESS(ROW()-1,COLUMN())),NOTA[[#This Row],[FAKTUR]]))</f>
        <v>UNTANA</v>
      </c>
      <c r="AK511" s="38" t="str">
        <f ca="1">IF(NOTA[[#This Row],[ID]]="","",COUNTIF(NOTA[ID_H],NOTA[[#This Row],[ID_H]]))</f>
        <v/>
      </c>
      <c r="AL511" s="38">
        <f ca="1">IF(NOTA[[#This Row],[TGL.NOTA]]="",IF(NOTA[[#This Row],[SUPPLIER_H]]="","",AL510),MONTH(NOTA[[#This Row],[TGL.NOTA]]))</f>
        <v>9</v>
      </c>
      <c r="AM51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N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O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P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38" t="str">
        <f>IF(NOTA[[#This Row],[CONCAT4]]="","",_xlfn.IFNA(MATCH(NOTA[[#This Row],[CONCAT4]],[2]!RAW[CONCAT_H],0),FALSE))</f>
        <v/>
      </c>
      <c r="AR511" s="38">
        <f>IF(NOTA[[#This Row],[CONCAT1]]="","",MATCH(NOTA[[#This Row],[CONCAT1]],[3]!db[NB NOTA_C],0))</f>
        <v>1844</v>
      </c>
      <c r="AS511" s="38" t="b">
        <f>IF(NOTA[[#This Row],[QTY/ CTN]]="","",TRUE)</f>
        <v>1</v>
      </c>
      <c r="AT511" s="38" t="str">
        <f ca="1">IF(NOTA[[#This Row],[ID_H]]="","",IF(NOTA[[#This Row],[Column3]]=TRUE,NOTA[[#This Row],[QTY/ CTN]],INDEX([3]!db[QTY/ CTN],NOTA[[#This Row],[//DB]])))</f>
        <v>144 LSN</v>
      </c>
      <c r="AU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V511" s="38" t="e">
        <f ca="1">IF(NOTA[[#This Row],[ID_H]]="","",MATCH(NOTA[[#This Row],[NB NOTA_C_QTY]],[4]!db[NB NOTA_C_QTY+F],0))</f>
        <v>#REF!</v>
      </c>
      <c r="AW511" s="53">
        <f ca="1">IF(NOTA[[#This Row],[NB NOTA_C_QTY]]="","",ROW()-2)</f>
        <v>509</v>
      </c>
    </row>
    <row r="512" spans="1:49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>
        <f ca="1">IF(NOTA[[#This Row],[NAMA BARANG]]="","",INDEX(NOTA[ID],MATCH(,INDIRECT(ADDRESS(ROW(NOTA[ID]),COLUMN(NOTA[ID]))&amp;":"&amp;ADDRESS(ROW(),COLUMN(NOTA[ID]))),-1)))</f>
        <v>92</v>
      </c>
      <c r="E512" s="46"/>
      <c r="F512" s="37"/>
      <c r="G512" s="37"/>
      <c r="H512" s="47"/>
      <c r="I512" s="37"/>
      <c r="J512" s="39"/>
      <c r="K512" s="37"/>
      <c r="L512" s="37" t="s">
        <v>624</v>
      </c>
      <c r="M512" s="40">
        <v>1</v>
      </c>
      <c r="N512" s="38">
        <v>144</v>
      </c>
      <c r="O512" s="37" t="s">
        <v>138</v>
      </c>
      <c r="P512" s="41">
        <v>23000</v>
      </c>
      <c r="Q512" s="42"/>
      <c r="R512" s="48" t="s">
        <v>216</v>
      </c>
      <c r="S512" s="49"/>
      <c r="T512" s="44"/>
      <c r="U512" s="44"/>
      <c r="V512" s="50"/>
      <c r="W512" s="45"/>
      <c r="X512" s="50">
        <f>IF(NOTA[[#This Row],[HARGA/ CTN]]="",NOTA[[#This Row],[JUMLAH_H]],NOTA[[#This Row],[HARGA/ CTN]]*IF(NOTA[[#This Row],[C]]="",0,NOTA[[#This Row],[C]]))</f>
        <v>3312000</v>
      </c>
      <c r="Y512" s="50">
        <f>IF(NOTA[[#This Row],[JUMLAH]]="","",NOTA[[#This Row],[JUMLAH]]*NOTA[[#This Row],[DISC 1]])</f>
        <v>0</v>
      </c>
      <c r="Z512" s="50">
        <f>IF(NOTA[[#This Row],[JUMLAH]]="","",(NOTA[[#This Row],[JUMLAH]]-NOTA[[#This Row],[DISC 1-]])*NOTA[[#This Row],[DISC 2]])</f>
        <v>0</v>
      </c>
      <c r="AA512" s="50">
        <f>IF(NOTA[[#This Row],[JUMLAH]]="","",(NOTA[[#This Row],[JUMLAH]]-NOTA[[#This Row],[DISC 1-]]-NOTA[[#This Row],[DISC 2-]])*NOTA[[#This Row],[DISC 3]])</f>
        <v>0</v>
      </c>
      <c r="AB512" s="50">
        <f>IF(NOTA[[#This Row],[JUMLAH]]="","",NOTA[[#This Row],[DISC 1-]]+NOTA[[#This Row],[DISC 2-]]+NOTA[[#This Row],[DISC 3-]])</f>
        <v>0</v>
      </c>
      <c r="AC512" s="50">
        <f>IF(NOTA[[#This Row],[JUMLAH]]="","",NOTA[[#This Row],[JUMLAH]]-NOTA[[#This Row],[DISC]])</f>
        <v>3312000</v>
      </c>
      <c r="AD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2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G512" s="50">
        <f>IF(OR(NOTA[[#This Row],[QTY]]="",NOTA[[#This Row],[HARGA SATUAN]]="",),"",NOTA[[#This Row],[QTY]]*NOTA[[#This Row],[HARGA SATUAN]])</f>
        <v>3312000</v>
      </c>
      <c r="AH512" s="39">
        <f ca="1">IF(NOTA[ID_H]="","",INDEX(NOTA[TANGGAL],MATCH(,INDIRECT(ADDRESS(ROW(NOTA[TANGGAL]),COLUMN(NOTA[TANGGAL]))&amp;":"&amp;ADDRESS(ROW(),COLUMN(NOTA[TANGGAL]))),-1)))</f>
        <v>45184</v>
      </c>
      <c r="AI512" s="41" t="str">
        <f ca="1">IF(NOTA[[#This Row],[NAMA BARANG]]="","",INDEX(NOTA[SUPPLIER],MATCH(,INDIRECT(ADDRESS(ROW(NOTA[ID]),COLUMN(NOTA[ID]))&amp;":"&amp;ADDRESS(ROW(),COLUMN(NOTA[ID]))),-1)))</f>
        <v>DB STATIONERY</v>
      </c>
      <c r="AJ512" s="41" t="str">
        <f ca="1">IF(NOTA[[#This Row],[ID_H]]="","",IF(NOTA[[#This Row],[FAKTUR]]="",INDIRECT(ADDRESS(ROW()-1,COLUMN())),NOTA[[#This Row],[FAKTUR]]))</f>
        <v>UNTANA</v>
      </c>
      <c r="AK512" s="38" t="str">
        <f ca="1">IF(NOTA[[#This Row],[ID]]="","",COUNTIF(NOTA[ID_H],NOTA[[#This Row],[ID_H]]))</f>
        <v/>
      </c>
      <c r="AL512" s="38">
        <f ca="1">IF(NOTA[[#This Row],[TGL.NOTA]]="",IF(NOTA[[#This Row],[SUPPLIER_H]]="","",AL511),MONTH(NOTA[[#This Row],[TGL.NOTA]]))</f>
        <v>9</v>
      </c>
      <c r="AM512" s="38" t="str">
        <f>LOWER(SUBSTITUTE(SUBSTITUTE(SUBSTITUTE(SUBSTITUTE(SUBSTITUTE(SUBSTITUTE(SUBSTITUTE(SUBSTITUTE(SUBSTITUTE(NOTA[NAMA BARANG]," ",),".",""),"-",""),"(",""),")",""),",",""),"/",""),"""",""),"+",""))</f>
        <v>mekpensil20tizotm02930</v>
      </c>
      <c r="AN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mekpensil20tizotm029303312000</v>
      </c>
      <c r="AO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mekpensil20tizotm029303312000</v>
      </c>
      <c r="AP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38" t="str">
        <f>IF(NOTA[[#This Row],[CONCAT4]]="","",_xlfn.IFNA(MATCH(NOTA[[#This Row],[CONCAT4]],[2]!RAW[CONCAT_H],0),FALSE))</f>
        <v/>
      </c>
      <c r="AR512" s="38" t="e">
        <f>IF(NOTA[[#This Row],[CONCAT1]]="","",MATCH(NOTA[[#This Row],[CONCAT1]],[3]!db[NB NOTA_C],0))</f>
        <v>#N/A</v>
      </c>
      <c r="AS512" s="38" t="b">
        <f>IF(NOTA[[#This Row],[QTY/ CTN]]="","",TRUE)</f>
        <v>1</v>
      </c>
      <c r="AT512" s="38" t="str">
        <f ca="1">IF(NOTA[[#This Row],[ID_H]]="","",IF(NOTA[[#This Row],[Column3]]=TRUE,NOTA[[#This Row],[QTY/ CTN]],INDEX([3]!db[QTY/ CTN],NOTA[[#This Row],[//DB]])))</f>
        <v>144 LSN</v>
      </c>
      <c r="AU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mekpensil20tizotm02930144lsnuntana</v>
      </c>
      <c r="AV512" s="38" t="e">
        <f ca="1">IF(NOTA[[#This Row],[ID_H]]="","",MATCH(NOTA[[#This Row],[NB NOTA_C_QTY]],[4]!db[NB NOTA_C_QTY+F],0))</f>
        <v>#REF!</v>
      </c>
      <c r="AW512" s="53">
        <f ca="1">IF(NOTA[[#This Row],[NB NOTA_C_QTY]]="","",ROW()-2)</f>
        <v>510</v>
      </c>
    </row>
    <row r="513" spans="1:49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>
        <f ca="1">IF(NOTA[[#This Row],[NAMA BARANG]]="","",INDEX(NOTA[ID],MATCH(,INDIRECT(ADDRESS(ROW(NOTA[ID]),COLUMN(NOTA[ID]))&amp;":"&amp;ADDRESS(ROW(),COLUMN(NOTA[ID]))),-1)))</f>
        <v>92</v>
      </c>
      <c r="E513" s="46"/>
      <c r="F513" s="37"/>
      <c r="G513" s="37"/>
      <c r="H513" s="47"/>
      <c r="I513" s="37"/>
      <c r="J513" s="39"/>
      <c r="K513" s="37"/>
      <c r="L513" s="37" t="s">
        <v>625</v>
      </c>
      <c r="M513" s="40">
        <v>1</v>
      </c>
      <c r="N513" s="38">
        <v>144</v>
      </c>
      <c r="O513" s="37" t="s">
        <v>138</v>
      </c>
      <c r="P513" s="41">
        <v>13250</v>
      </c>
      <c r="Q513" s="42"/>
      <c r="R513" s="48" t="s">
        <v>216</v>
      </c>
      <c r="S513" s="49"/>
      <c r="T513" s="44"/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1908000</v>
      </c>
      <c r="Y513" s="50">
        <f>IF(NOTA[[#This Row],[JUMLAH]]="","",NOTA[[#This Row],[JUMLAH]]*NOTA[[#This Row],[DISC 1]])</f>
        <v>0</v>
      </c>
      <c r="Z513" s="50">
        <f>IF(NOTA[[#This Row],[JUMLAH]]="","",(NOTA[[#This Row],[JUMLAH]]-NOTA[[#This Row],[DISC 1-]])*NOTA[[#This Row],[DISC 2]])</f>
        <v>0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0</v>
      </c>
      <c r="AC513" s="50">
        <f>IF(NOTA[[#This Row],[JUMLAH]]="","",NOTA[[#This Row],[JUMLAH]]-NOTA[[#This Row],[DISC]])</f>
        <v>1908000</v>
      </c>
      <c r="AD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3" s="4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513" s="50">
        <f>IF(OR(NOTA[[#This Row],[QTY]]="",NOTA[[#This Row],[HARGA SATUAN]]="",),"",NOTA[[#This Row],[QTY]]*NOTA[[#This Row],[HARGA SATUAN]])</f>
        <v>1908000</v>
      </c>
      <c r="AH513" s="39">
        <f ca="1">IF(NOTA[ID_H]="","",INDEX(NOTA[TANGGAL],MATCH(,INDIRECT(ADDRESS(ROW(NOTA[TANGGAL]),COLUMN(NOTA[TANGGAL]))&amp;":"&amp;ADDRESS(ROW(),COLUMN(NOTA[TANGGAL]))),-1)))</f>
        <v>45184</v>
      </c>
      <c r="AI513" s="41" t="str">
        <f ca="1">IF(NOTA[[#This Row],[NAMA BARANG]]="","",INDEX(NOTA[SUPPLIER],MATCH(,INDIRECT(ADDRESS(ROW(NOTA[ID]),COLUMN(NOTA[ID]))&amp;":"&amp;ADDRESS(ROW(),COLUMN(NOTA[ID]))),-1)))</f>
        <v>DB STATIONERY</v>
      </c>
      <c r="AJ513" s="41" t="str">
        <f ca="1">IF(NOTA[[#This Row],[ID_H]]="","",IF(NOTA[[#This Row],[FAKTUR]]="",INDIRECT(ADDRESS(ROW()-1,COLUMN())),NOTA[[#This Row],[FAKTUR]]))</f>
        <v>UNTANA</v>
      </c>
      <c r="AK513" s="38" t="str">
        <f ca="1">IF(NOTA[[#This Row],[ID]]="","",COUNTIF(NOTA[ID_H],NOTA[[#This Row],[ID_H]]))</f>
        <v/>
      </c>
      <c r="AL513" s="38">
        <f ca="1">IF(NOTA[[#This Row],[TGL.NOTA]]="",IF(NOTA[[#This Row],[SUPPLIER_H]]="","",AL512),MONTH(NOTA[[#This Row],[TGL.NOTA]]))</f>
        <v>9</v>
      </c>
      <c r="AM513" s="3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N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O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P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38" t="str">
        <f>IF(NOTA[[#This Row],[CONCAT4]]="","",_xlfn.IFNA(MATCH(NOTA[[#This Row],[CONCAT4]],[2]!RAW[CONCAT_H],0),FALSE))</f>
        <v/>
      </c>
      <c r="AR513" s="38" t="e">
        <f>IF(NOTA[[#This Row],[CONCAT1]]="","",MATCH(NOTA[[#This Row],[CONCAT1]],[3]!db[NB NOTA_C],0))</f>
        <v>#N/A</v>
      </c>
      <c r="AS513" s="38" t="b">
        <f>IF(NOTA[[#This Row],[QTY/ CTN]]="","",TRUE)</f>
        <v>1</v>
      </c>
      <c r="AT513" s="38" t="str">
        <f ca="1">IF(NOTA[[#This Row],[ID_H]]="","",IF(NOTA[[#This Row],[Column3]]=TRUE,NOTA[[#This Row],[QTY/ CTN]],INDEX([3]!db[QTY/ CTN],NOTA[[#This Row],[//DB]])))</f>
        <v>144 LSN</v>
      </c>
      <c r="AU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mekpensiltizog9000a144lsnuntana</v>
      </c>
      <c r="AV513" s="38" t="e">
        <f ca="1">IF(NOTA[[#This Row],[ID_H]]="","",MATCH(NOTA[[#This Row],[NB NOTA_C_QTY]],[4]!db[NB NOTA_C_QTY+F],0))</f>
        <v>#REF!</v>
      </c>
      <c r="AW513" s="53">
        <f ca="1">IF(NOTA[[#This Row],[NB NOTA_C_QTY]]="","",ROW()-2)</f>
        <v>511</v>
      </c>
    </row>
    <row r="514" spans="1:49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92</v>
      </c>
      <c r="E514" s="57"/>
      <c r="F514" s="58"/>
      <c r="G514" s="58"/>
      <c r="H514" s="59"/>
      <c r="I514" s="58"/>
      <c r="J514" s="60"/>
      <c r="K514" s="58"/>
      <c r="L514" s="37" t="s">
        <v>626</v>
      </c>
      <c r="M514" s="61">
        <v>1</v>
      </c>
      <c r="N514" s="56">
        <v>144</v>
      </c>
      <c r="O514" s="37" t="s">
        <v>138</v>
      </c>
      <c r="P514" s="55">
        <v>13250</v>
      </c>
      <c r="Q514" s="62"/>
      <c r="R514" s="48" t="s">
        <v>216</v>
      </c>
      <c r="S514" s="64"/>
      <c r="T514" s="65"/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1908000</v>
      </c>
      <c r="Y514" s="66">
        <f>IF(NOTA[[#This Row],[JUMLAH]]="","",NOTA[[#This Row],[JUMLAH]]*NOTA[[#This Row],[DISC 1]])</f>
        <v>0</v>
      </c>
      <c r="Z514" s="66">
        <f>IF(NOTA[[#This Row],[JUMLAH]]="","",(NOTA[[#This Row],[JUMLAH]]-NOTA[[#This Row],[DISC 1-]])*NOTA[[#This Row],[DISC 2]])</f>
        <v>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0</v>
      </c>
      <c r="AC514" s="66">
        <f>IF(NOTA[[#This Row],[JUMLAH]]="","",NOTA[[#This Row],[JUMLAH]]-NOTA[[#This Row],[DISC]])</f>
        <v>1908000</v>
      </c>
      <c r="AD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4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514" s="66">
        <f>IF(OR(NOTA[[#This Row],[QTY]]="",NOTA[[#This Row],[HARGA SATUAN]]="",),"",NOTA[[#This Row],[QTY]]*NOTA[[#This Row],[HARGA SATUAN]])</f>
        <v>1908000</v>
      </c>
      <c r="AH514" s="60">
        <f ca="1">IF(NOTA[ID_H]="","",INDEX(NOTA[TANGGAL],MATCH(,INDIRECT(ADDRESS(ROW(NOTA[TANGGAL]),COLUMN(NOTA[TANGGAL]))&amp;":"&amp;ADDRESS(ROW(),COLUMN(NOTA[TANGGAL]))),-1)))</f>
        <v>45184</v>
      </c>
      <c r="AI514" s="55" t="str">
        <f ca="1">IF(NOTA[[#This Row],[NAMA BARANG]]="","",INDEX(NOTA[SUPPLIER],MATCH(,INDIRECT(ADDRESS(ROW(NOTA[ID]),COLUMN(NOTA[ID]))&amp;":"&amp;ADDRESS(ROW(),COLUMN(NOTA[ID]))),-1)))</f>
        <v>DB STATIONERY</v>
      </c>
      <c r="AJ514" s="55" t="str">
        <f ca="1">IF(NOTA[[#This Row],[ID_H]]="","",IF(NOTA[[#This Row],[FAKTUR]]="",INDIRECT(ADDRESS(ROW()-1,COLUMN())),NOTA[[#This Row],[FAKTUR]]))</f>
        <v>UNTANA</v>
      </c>
      <c r="AK514" s="56" t="str">
        <f ca="1">IF(NOTA[[#This Row],[ID]]="","",COUNTIF(NOTA[ID_H],NOTA[[#This Row],[ID_H]]))</f>
        <v/>
      </c>
      <c r="AL514" s="56">
        <f ca="1">IF(NOTA[[#This Row],[TGL.NOTA]]="",IF(NOTA[[#This Row],[SUPPLIER_H]]="","",AL513),MONTH(NOTA[[#This Row],[TGL.NOTA]]))</f>
        <v>9</v>
      </c>
      <c r="AM514" s="5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56" t="str">
        <f>IF(NOTA[[#This Row],[CONCAT4]]="","",_xlfn.IFNA(MATCH(NOTA[[#This Row],[CONCAT4]],[2]!RAW[CONCAT_H],0),FALSE))</f>
        <v/>
      </c>
      <c r="AR514" s="56" t="e">
        <f>IF(NOTA[[#This Row],[CONCAT1]]="","",MATCH(NOTA[[#This Row],[CONCAT1]],[3]!db[NB NOTA_C],0))</f>
        <v>#N/A</v>
      </c>
      <c r="AS514" s="56" t="b">
        <f>IF(NOTA[[#This Row],[QTY/ CTN]]="","",TRUE)</f>
        <v>1</v>
      </c>
      <c r="AT514" s="56" t="str">
        <f ca="1">IF(NOTA[[#This Row],[ID_H]]="","",IF(NOTA[[#This Row],[Column3]]=TRUE,NOTA[[#This Row],[QTY/ CTN]],INDEX([3]!db[QTY/ CTN],NOTA[[#This Row],[//DB]])))</f>
        <v>144 LSN</v>
      </c>
      <c r="AU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mekpensiltizog9001a144lsnuntana</v>
      </c>
      <c r="AV514" s="56" t="e">
        <f ca="1">IF(NOTA[[#This Row],[ID_H]]="","",MATCH(NOTA[[#This Row],[NB NOTA_C_QTY]],[4]!db[NB NOTA_C_QTY+F],0))</f>
        <v>#REF!</v>
      </c>
      <c r="AW514" s="68">
        <f ca="1">IF(NOTA[[#This Row],[NB NOTA_C_QTY]]="","",ROW()-2)</f>
        <v>512</v>
      </c>
    </row>
    <row r="515" spans="1:49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92</v>
      </c>
      <c r="E515" s="57"/>
      <c r="F515" s="58"/>
      <c r="G515" s="58"/>
      <c r="H515" s="59"/>
      <c r="I515" s="58"/>
      <c r="J515" s="60"/>
      <c r="K515" s="58"/>
      <c r="L515" s="37" t="s">
        <v>627</v>
      </c>
      <c r="M515" s="61">
        <v>1</v>
      </c>
      <c r="N515" s="56">
        <v>144</v>
      </c>
      <c r="O515" s="37" t="s">
        <v>138</v>
      </c>
      <c r="P515" s="55">
        <v>13250</v>
      </c>
      <c r="Q515" s="62"/>
      <c r="R515" s="48" t="s">
        <v>216</v>
      </c>
      <c r="S515" s="64"/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1908000</v>
      </c>
      <c r="Y515" s="66">
        <f>IF(NOTA[[#This Row],[JUMLAH]]="","",NOTA[[#This Row],[JUMLAH]]*NOTA[[#This Row],[DISC 1]])</f>
        <v>0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0</v>
      </c>
      <c r="AC515" s="66">
        <f>IF(NOTA[[#This Row],[JUMLAH]]="","",NOTA[[#This Row],[JUMLAH]]-NOTA[[#This Row],[DISC]])</f>
        <v>1908000</v>
      </c>
      <c r="AD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24900000</v>
      </c>
      <c r="AF515" s="5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G515" s="66">
        <f>IF(OR(NOTA[[#This Row],[QTY]]="",NOTA[[#This Row],[HARGA SATUAN]]="",),"",NOTA[[#This Row],[QTY]]*NOTA[[#This Row],[HARGA SATUAN]])</f>
        <v>1908000</v>
      </c>
      <c r="AH515" s="60">
        <f ca="1">IF(NOTA[ID_H]="","",INDEX(NOTA[TANGGAL],MATCH(,INDIRECT(ADDRESS(ROW(NOTA[TANGGAL]),COLUMN(NOTA[TANGGAL]))&amp;":"&amp;ADDRESS(ROW(),COLUMN(NOTA[TANGGAL]))),-1)))</f>
        <v>45184</v>
      </c>
      <c r="AI515" s="55" t="str">
        <f ca="1">IF(NOTA[[#This Row],[NAMA BARANG]]="","",INDEX(NOTA[SUPPLIER],MATCH(,INDIRECT(ADDRESS(ROW(NOTA[ID]),COLUMN(NOTA[ID]))&amp;":"&amp;ADDRESS(ROW(),COLUMN(NOTA[ID]))),-1)))</f>
        <v>DB STATIONERY</v>
      </c>
      <c r="AJ515" s="55" t="str">
        <f ca="1">IF(NOTA[[#This Row],[ID_H]]="","",IF(NOTA[[#This Row],[FAKTUR]]="",INDIRECT(ADDRESS(ROW()-1,COLUMN())),NOTA[[#This Row],[FAKTUR]]))</f>
        <v>UNTANA</v>
      </c>
      <c r="AK515" s="56" t="str">
        <f ca="1">IF(NOTA[[#This Row],[ID]]="","",COUNTIF(NOTA[ID_H],NOTA[[#This Row],[ID_H]]))</f>
        <v/>
      </c>
      <c r="AL515" s="56">
        <f ca="1">IF(NOTA[[#This Row],[TGL.NOTA]]="",IF(NOTA[[#This Row],[SUPPLIER_H]]="","",AL514),MONTH(NOTA[[#This Row],[TGL.NOTA]]))</f>
        <v>9</v>
      </c>
      <c r="AM515" s="5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5" s="56" t="str">
        <f>IF(NOTA[[#This Row],[CONCAT4]]="","",_xlfn.IFNA(MATCH(NOTA[[#This Row],[CONCAT4]],[2]!RAW[CONCAT_H],0),FALSE))</f>
        <v/>
      </c>
      <c r="AR515" s="56">
        <f>IF(NOTA[[#This Row],[CONCAT1]]="","",MATCH(NOTA[[#This Row],[CONCAT1]],[3]!db[NB NOTA_C],0))</f>
        <v>1840</v>
      </c>
      <c r="AS515" s="56" t="b">
        <f>IF(NOTA[[#This Row],[QTY/ CTN]]="","",TRUE)</f>
        <v>1</v>
      </c>
      <c r="AT515" s="56" t="str">
        <f ca="1">IF(NOTA[[#This Row],[ID_H]]="","",IF(NOTA[[#This Row],[Column3]]=TRUE,NOTA[[#This Row],[QTY/ CTN]],INDEX([3]!db[QTY/ CTN],NOTA[[#This Row],[//DB]])))</f>
        <v>144 LSN</v>
      </c>
      <c r="AU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mekpensiltizog9003a144lsnuntana</v>
      </c>
      <c r="AV515" s="56" t="e">
        <f ca="1">IF(NOTA[[#This Row],[ID_H]]="","",MATCH(NOTA[[#This Row],[NB NOTA_C_QTY]],[4]!db[NB NOTA_C_QTY+F],0))</f>
        <v>#REF!</v>
      </c>
      <c r="AW515" s="68">
        <f ca="1">IF(NOTA[[#This Row],[NB NOTA_C_QTY]]="","",ROW()-2)</f>
        <v>513</v>
      </c>
    </row>
    <row r="516" spans="1:49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16" s="66" t="str">
        <f>IF(OR(NOTA[[#This Row],[QTY]]="",NOTA[[#This Row],[HARGA SATUAN]]="",),"",NOTA[[#This Row],[QTY]]*NOTA[[#This Row],[HARGA SATUAN]])</f>
        <v/>
      </c>
      <c r="AH516" s="60" t="str">
        <f ca="1">IF(NOTA[ID_H]="","",INDEX(NOTA[TANGGAL],MATCH(,INDIRECT(ADDRESS(ROW(NOTA[TANGGAL]),COLUMN(NOTA[TANGGAL]))&amp;":"&amp;ADDRESS(ROW(),COLUMN(NOTA[TANGGAL]))),-1)))</f>
        <v/>
      </c>
      <c r="AI516" s="55" t="str">
        <f ca="1">IF(NOTA[[#This Row],[NAMA BARANG]]="","",INDEX(NOTA[SUPPLIER],MATCH(,INDIRECT(ADDRESS(ROW(NOTA[ID]),COLUMN(NOTA[ID]))&amp;":"&amp;ADDRESS(ROW(),COLUMN(NOTA[ID]))),-1)))</f>
        <v/>
      </c>
      <c r="AJ516" s="55" t="str">
        <f ca="1">IF(NOTA[[#This Row],[ID_H]]="","",IF(NOTA[[#This Row],[FAKTUR]]="",INDIRECT(ADDRESS(ROW()-1,COLUMN())),NOTA[[#This Row],[FAKTUR]]))</f>
        <v/>
      </c>
      <c r="AK516" s="56" t="str">
        <f ca="1">IF(NOTA[[#This Row],[ID]]="","",COUNTIF(NOTA[ID_H],NOTA[[#This Row],[ID_H]]))</f>
        <v/>
      </c>
      <c r="AL516" s="56" t="str">
        <f ca="1">IF(NOTA[[#This Row],[TGL.NOTA]]="",IF(NOTA[[#This Row],[SUPPLIER_H]]="","",AL515),MONTH(NOTA[[#This Row],[TGL.NOTA]]))</f>
        <v/>
      </c>
      <c r="AM516" s="56" t="str">
        <f>LOWER(SUBSTITUTE(SUBSTITUTE(SUBSTITUTE(SUBSTITUTE(SUBSTITUTE(SUBSTITUTE(SUBSTITUTE(SUBSTITUTE(SUBSTITUTE(NOTA[NAMA BARANG]," ",),".",""),"-",""),"(",""),")",""),",",""),"/",""),"""",""),"+",""))</f>
        <v/>
      </c>
      <c r="AN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56" t="str">
        <f>IF(NOTA[[#This Row],[CONCAT4]]="","",_xlfn.IFNA(MATCH(NOTA[[#This Row],[CONCAT4]],[2]!RAW[CONCAT_H],0),FALSE))</f>
        <v/>
      </c>
      <c r="AR516" s="56" t="str">
        <f>IF(NOTA[[#This Row],[CONCAT1]]="","",MATCH(NOTA[[#This Row],[CONCAT1]],[3]!db[NB NOTA_C],0))</f>
        <v/>
      </c>
      <c r="AS516" s="56" t="str">
        <f>IF(NOTA[[#This Row],[QTY/ CTN]]="","",TRUE)</f>
        <v/>
      </c>
      <c r="AT516" s="56" t="str">
        <f ca="1">IF(NOTA[[#This Row],[ID_H]]="","",IF(NOTA[[#This Row],[Column3]]=TRUE,NOTA[[#This Row],[QTY/ CTN]],INDEX([3]!db[QTY/ CTN],NOTA[[#This Row],[//DB]])))</f>
        <v/>
      </c>
      <c r="AU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16" s="56" t="str">
        <f ca="1">IF(NOTA[[#This Row],[ID_H]]="","",MATCH(NOTA[[#This Row],[NB NOTA_C_QTY]],[4]!db[NB NOTA_C_QTY+F],0))</f>
        <v/>
      </c>
      <c r="AW516" s="68" t="str">
        <f ca="1">IF(NOTA[[#This Row],[NB NOTA_C_QTY]]="","",ROW()-2)</f>
        <v/>
      </c>
    </row>
    <row r="517" spans="1:49" s="38" customFormat="1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KEN_2709_078-5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93</v>
      </c>
      <c r="E517" s="57">
        <v>45196</v>
      </c>
      <c r="F517" s="37" t="s">
        <v>22</v>
      </c>
      <c r="G517" s="37" t="s">
        <v>23</v>
      </c>
      <c r="H517" s="47" t="s">
        <v>629</v>
      </c>
      <c r="I517" s="58"/>
      <c r="J517" s="60">
        <v>45192</v>
      </c>
      <c r="K517" s="58"/>
      <c r="L517" s="37" t="s">
        <v>110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517" s="66" t="str">
        <f>IF(OR(NOTA[[#This Row],[QTY]]="",NOTA[[#This Row],[HARGA SATUAN]]="",),"",NOTA[[#This Row],[QTY]]*NOTA[[#This Row],[HARGA SATUAN]])</f>
        <v/>
      </c>
      <c r="AH517" s="60">
        <f ca="1">IF(NOTA[ID_H]="","",INDEX(NOTA[TANGGAL],MATCH(,INDIRECT(ADDRESS(ROW(NOTA[TANGGAL]),COLUMN(NOTA[TANGGAL]))&amp;":"&amp;ADDRESS(ROW(),COLUMN(NOTA[TANGGAL]))),-1)))</f>
        <v>45196</v>
      </c>
      <c r="AI517" s="55" t="str">
        <f ca="1">IF(NOTA[[#This Row],[NAMA BARANG]]="","",INDEX(NOTA[SUPPLIER],MATCH(,INDIRECT(ADDRESS(ROW(NOTA[ID]),COLUMN(NOTA[ID]))&amp;":"&amp;ADDRESS(ROW(),COLUMN(NOTA[ID]))),-1)))</f>
        <v>KENKO SINAR INDONESIA</v>
      </c>
      <c r="AJ517" s="55" t="str">
        <f ca="1">IF(NOTA[[#This Row],[ID_H]]="","",IF(NOTA[[#This Row],[FAKTUR]]="",INDIRECT(ADDRESS(ROW()-1,COLUMN())),NOTA[[#This Row],[FAKTUR]]))</f>
        <v>ARTO MORO</v>
      </c>
      <c r="AK517" s="56">
        <f ca="1">IF(NOTA[[#This Row],[ID]]="","",COUNTIF(NOTA[ID_H],NOTA[[#This Row],[ID_H]]))</f>
        <v>5</v>
      </c>
      <c r="AL517" s="56">
        <f>IF(NOTA[[#This Row],[TGL.NOTA]]="",IF(NOTA[[#This Row],[SUPPLIER_H]]="","",AL516),MONTH(NOTA[[#This Row],[TGL.NOTA]]))</f>
        <v>9</v>
      </c>
      <c r="AM517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1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MORO2309207845192kenko12colorpencilcp12fclassic</v>
      </c>
      <c r="AQ517" s="56" t="e">
        <f>IF(NOTA[[#This Row],[CONCAT4]]="","",_xlfn.IFNA(MATCH(NOTA[[#This Row],[CONCAT4]],[2]!RAW[CONCAT_H],0),FALSE))</f>
        <v>#REF!</v>
      </c>
      <c r="AR517" s="56">
        <f>IF(NOTA[[#This Row],[CONCAT1]]="","",MATCH(NOTA[[#This Row],[CONCAT1]],[3]!db[NB NOTA_C],0))</f>
        <v>1265</v>
      </c>
      <c r="AS517" s="56" t="str">
        <f>IF(NOTA[[#This Row],[QTY/ CTN]]="","",TRUE)</f>
        <v/>
      </c>
      <c r="AT517" s="56" t="str">
        <f ca="1">IF(NOTA[[#This Row],[ID_H]]="","",IF(NOTA[[#This Row],[Column3]]=TRUE,NOTA[[#This Row],[QTY/ CTN]],INDEX([3]!db[QTY/ CTN],NOTA[[#This Row],[//DB]])))</f>
        <v>24 LSN</v>
      </c>
      <c r="AU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517" s="56" t="e">
        <f ca="1">IF(NOTA[[#This Row],[ID_H]]="","",MATCH(NOTA[[#This Row],[NB NOTA_C_QTY]],[4]!db[NB NOTA_C_QTY+F],0))</f>
        <v>#REF!</v>
      </c>
      <c r="AW517" s="68">
        <f ca="1">IF(NOTA[[#This Row],[NB NOTA_C_QTY]]="","",ROW()-2)</f>
        <v>515</v>
      </c>
    </row>
    <row r="518" spans="1:49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>
        <f ca="1">IF(NOTA[[#This Row],[NAMA BARANG]]="","",INDEX(NOTA[ID],MATCH(,INDIRECT(ADDRESS(ROW(NOTA[ID]),COLUMN(NOTA[ID]))&amp;":"&amp;ADDRESS(ROW(),COLUMN(NOTA[ID]))),-1)))</f>
        <v>93</v>
      </c>
      <c r="E518" s="57"/>
      <c r="F518" s="58"/>
      <c r="G518" s="58"/>
      <c r="H518" s="59"/>
      <c r="I518" s="58"/>
      <c r="J518" s="60"/>
      <c r="K518" s="58"/>
      <c r="L518" s="37" t="s">
        <v>630</v>
      </c>
      <c r="M518" s="61">
        <v>1</v>
      </c>
      <c r="N518" s="56"/>
      <c r="O518" s="58"/>
      <c r="P518" s="55"/>
      <c r="Q518" s="62">
        <v>3240000</v>
      </c>
      <c r="R518" s="63"/>
      <c r="S518" s="64">
        <v>0.17</v>
      </c>
      <c r="T518" s="65"/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3240000</v>
      </c>
      <c r="Y518" s="66">
        <f>IF(NOTA[[#This Row],[JUMLAH]]="","",NOTA[[#This Row],[JUMLAH]]*NOTA[[#This Row],[DISC 1]])</f>
        <v>550800</v>
      </c>
      <c r="Z518" s="66">
        <f>IF(NOTA[[#This Row],[JUMLAH]]="","",(NOTA[[#This Row],[JUMLAH]]-NOTA[[#This Row],[DISC 1-]])*NOTA[[#This Row],[DISC 2]])</f>
        <v>0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550800</v>
      </c>
      <c r="AC518" s="66">
        <f>IF(NOTA[[#This Row],[JUMLAH]]="","",NOTA[[#This Row],[JUMLAH]]-NOTA[[#This Row],[DISC]])</f>
        <v>2689200</v>
      </c>
      <c r="AD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8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G518" s="66" t="str">
        <f>IF(OR(NOTA[[#This Row],[QTY]]="",NOTA[[#This Row],[HARGA SATUAN]]="",),"",NOTA[[#This Row],[QTY]]*NOTA[[#This Row],[HARGA SATUAN]])</f>
        <v/>
      </c>
      <c r="AH518" s="60">
        <f ca="1">IF(NOTA[ID_H]="","",INDEX(NOTA[TANGGAL],MATCH(,INDIRECT(ADDRESS(ROW(NOTA[TANGGAL]),COLUMN(NOTA[TANGGAL]))&amp;":"&amp;ADDRESS(ROW(),COLUMN(NOTA[TANGGAL]))),-1)))</f>
        <v>45196</v>
      </c>
      <c r="AI518" s="55" t="str">
        <f ca="1">IF(NOTA[[#This Row],[NAMA BARANG]]="","",INDEX(NOTA[SUPPLIER],MATCH(,INDIRECT(ADDRESS(ROW(NOTA[ID]),COLUMN(NOTA[ID]))&amp;":"&amp;ADDRESS(ROW(),COLUMN(NOTA[ID]))),-1)))</f>
        <v>KENKO SINAR INDONESIA</v>
      </c>
      <c r="AJ518" s="55" t="str">
        <f ca="1">IF(NOTA[[#This Row],[ID_H]]="","",IF(NOTA[[#This Row],[FAKTUR]]="",INDIRECT(ADDRESS(ROW()-1,COLUMN())),NOTA[[#This Row],[FAKTUR]]))</f>
        <v>ARTO MORO</v>
      </c>
      <c r="AK518" s="56" t="str">
        <f ca="1">IF(NOTA[[#This Row],[ID]]="","",COUNTIF(NOTA[ID_H],NOTA[[#This Row],[ID_H]]))</f>
        <v/>
      </c>
      <c r="AL518" s="56">
        <f ca="1">IF(NOTA[[#This Row],[TGL.NOTA]]="",IF(NOTA[[#This Row],[SUPPLIER_H]]="","",AL517),MONTH(NOTA[[#This Row],[TGL.NOTA]]))</f>
        <v>9</v>
      </c>
      <c r="AM518" s="56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N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56" t="str">
        <f>IF(NOTA[[#This Row],[CONCAT4]]="","",_xlfn.IFNA(MATCH(NOTA[[#This Row],[CONCAT4]],[2]!RAW[CONCAT_H],0),FALSE))</f>
        <v/>
      </c>
      <c r="AR518" s="56">
        <f>IF(NOTA[[#This Row],[CONCAT1]]="","",MATCH(NOTA[[#This Row],[CONCAT1]],[3]!db[NB NOTA_C],0))</f>
        <v>1513</v>
      </c>
      <c r="AS518" s="56" t="str">
        <f>IF(NOTA[[#This Row],[QTY/ CTN]]="","",TRUE)</f>
        <v/>
      </c>
      <c r="AT518" s="56" t="str">
        <f ca="1">IF(NOTA[[#This Row],[ID_H]]="","",IF(NOTA[[#This Row],[Column3]]=TRUE,NOTA[[#This Row],[QTY/ CTN]],INDEX([3]!db[QTY/ CTN],NOTA[[#This Row],[//DB]])))</f>
        <v>18 GRS</v>
      </c>
      <c r="AU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V518" s="56" t="e">
        <f ca="1">IF(NOTA[[#This Row],[ID_H]]="","",MATCH(NOTA[[#This Row],[NB NOTA_C_QTY]],[4]!db[NB NOTA_C_QTY+F],0))</f>
        <v>#REF!</v>
      </c>
      <c r="AW518" s="68">
        <f ca="1">IF(NOTA[[#This Row],[NB NOTA_C_QTY]]="","",ROW()-2)</f>
        <v>516</v>
      </c>
    </row>
    <row r="519" spans="1:49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93</v>
      </c>
      <c r="E519" s="57"/>
      <c r="F519" s="58"/>
      <c r="G519" s="58"/>
      <c r="H519" s="59"/>
      <c r="I519" s="58"/>
      <c r="J519" s="60"/>
      <c r="K519" s="58"/>
      <c r="L519" s="37" t="s">
        <v>169</v>
      </c>
      <c r="M519" s="61">
        <v>2</v>
      </c>
      <c r="N519" s="56"/>
      <c r="O519" s="58"/>
      <c r="P519" s="55"/>
      <c r="Q519" s="62">
        <v>5616000</v>
      </c>
      <c r="R519" s="63"/>
      <c r="S519" s="64">
        <v>0.17</v>
      </c>
      <c r="T519" s="65"/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11232000</v>
      </c>
      <c r="Y519" s="66">
        <f>IF(NOTA[[#This Row],[JUMLAH]]="","",NOTA[[#This Row],[JUMLAH]]*NOTA[[#This Row],[DISC 1]])</f>
        <v>1909440.0000000002</v>
      </c>
      <c r="Z519" s="66">
        <f>IF(NOTA[[#This Row],[JUMLAH]]="","",(NOTA[[#This Row],[JUMLAH]]-NOTA[[#This Row],[DISC 1-]])*NOTA[[#This Row],[DISC 2]])</f>
        <v>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1909440.0000000002</v>
      </c>
      <c r="AC519" s="66">
        <f>IF(NOTA[[#This Row],[JUMLAH]]="","",NOTA[[#This Row],[JUMLAH]]-NOTA[[#This Row],[DISC]])</f>
        <v>9322560</v>
      </c>
      <c r="AD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19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G519" s="66" t="str">
        <f>IF(OR(NOTA[[#This Row],[QTY]]="",NOTA[[#This Row],[HARGA SATUAN]]="",),"",NOTA[[#This Row],[QTY]]*NOTA[[#This Row],[HARGA SATUAN]])</f>
        <v/>
      </c>
      <c r="AH519" s="60">
        <f ca="1">IF(NOTA[ID_H]="","",INDEX(NOTA[TANGGAL],MATCH(,INDIRECT(ADDRESS(ROW(NOTA[TANGGAL]),COLUMN(NOTA[TANGGAL]))&amp;":"&amp;ADDRESS(ROW(),COLUMN(NOTA[TANGGAL]))),-1)))</f>
        <v>45196</v>
      </c>
      <c r="AI519" s="55" t="str">
        <f ca="1">IF(NOTA[[#This Row],[NAMA BARANG]]="","",INDEX(NOTA[SUPPLIER],MATCH(,INDIRECT(ADDRESS(ROW(NOTA[ID]),COLUMN(NOTA[ID]))&amp;":"&amp;ADDRESS(ROW(),COLUMN(NOTA[ID]))),-1)))</f>
        <v>KENKO SINAR INDONESIA</v>
      </c>
      <c r="AJ519" s="55" t="str">
        <f ca="1">IF(NOTA[[#This Row],[ID_H]]="","",IF(NOTA[[#This Row],[FAKTUR]]="",INDIRECT(ADDRESS(ROW()-1,COLUMN())),NOTA[[#This Row],[FAKTUR]]))</f>
        <v>ARTO MORO</v>
      </c>
      <c r="AK519" s="56" t="str">
        <f ca="1">IF(NOTA[[#This Row],[ID]]="","",COUNTIF(NOTA[ID_H],NOTA[[#This Row],[ID_H]]))</f>
        <v/>
      </c>
      <c r="AL519" s="56">
        <f ca="1">IF(NOTA[[#This Row],[TGL.NOTA]]="",IF(NOTA[[#This Row],[SUPPLIER_H]]="","",AL518),MONTH(NOTA[[#This Row],[TGL.NOTA]]))</f>
        <v>9</v>
      </c>
      <c r="AM519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56" t="str">
        <f>IF(NOTA[[#This Row],[CONCAT4]]="","",_xlfn.IFNA(MATCH(NOTA[[#This Row],[CONCAT4]],[2]!RAW[CONCAT_H],0),FALSE))</f>
        <v/>
      </c>
      <c r="AR519" s="56">
        <f>IF(NOTA[[#This Row],[CONCAT1]]="","",MATCH(NOTA[[#This Row],[CONCAT1]],[3]!db[NB NOTA_C],0))</f>
        <v>1406</v>
      </c>
      <c r="AS519" s="56" t="str">
        <f>IF(NOTA[[#This Row],[QTY/ CTN]]="","",TRUE)</f>
        <v/>
      </c>
      <c r="AT519" s="56" t="str">
        <f ca="1">IF(NOTA[[#This Row],[ID_H]]="","",IF(NOTA[[#This Row],[Column3]]=TRUE,NOTA[[#This Row],[QTY/ CTN]],INDEX([3]!db[QTY/ CTN],NOTA[[#This Row],[//DB]])))</f>
        <v>144 LSN</v>
      </c>
      <c r="AU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V519" s="56" t="e">
        <f ca="1">IF(NOTA[[#This Row],[ID_H]]="","",MATCH(NOTA[[#This Row],[NB NOTA_C_QTY]],[4]!db[NB NOTA_C_QTY+F],0))</f>
        <v>#REF!</v>
      </c>
      <c r="AW519" s="68">
        <f ca="1">IF(NOTA[[#This Row],[NB NOTA_C_QTY]]="","",ROW()-2)</f>
        <v>517</v>
      </c>
    </row>
    <row r="520" spans="1:49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93</v>
      </c>
      <c r="E520" s="57"/>
      <c r="F520" s="58"/>
      <c r="G520" s="58"/>
      <c r="H520" s="59"/>
      <c r="I520" s="58"/>
      <c r="J520" s="60"/>
      <c r="K520" s="58"/>
      <c r="L520" s="37" t="s">
        <v>104</v>
      </c>
      <c r="M520" s="61">
        <v>5</v>
      </c>
      <c r="N520" s="56"/>
      <c r="O520" s="58"/>
      <c r="P520" s="55"/>
      <c r="Q520" s="62">
        <v>1860000</v>
      </c>
      <c r="R520" s="63"/>
      <c r="S520" s="64">
        <v>0.17</v>
      </c>
      <c r="T520" s="65"/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9300000</v>
      </c>
      <c r="Y520" s="66">
        <f>IF(NOTA[[#This Row],[JUMLAH]]="","",NOTA[[#This Row],[JUMLAH]]*NOTA[[#This Row],[DISC 1]])</f>
        <v>1581000</v>
      </c>
      <c r="Z520" s="66">
        <f>IF(NOTA[[#This Row],[JUMLAH]]="","",(NOTA[[#This Row],[JUMLAH]]-NOTA[[#This Row],[DISC 1-]])*NOTA[[#This Row],[DISC 2]])</f>
        <v>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1581000</v>
      </c>
      <c r="AC520" s="66">
        <f>IF(NOTA[[#This Row],[JUMLAH]]="","",NOTA[[#This Row],[JUMLAH]]-NOTA[[#This Row],[DISC]])</f>
        <v>7719000</v>
      </c>
      <c r="AD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0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520" s="66" t="str">
        <f>IF(OR(NOTA[[#This Row],[QTY]]="",NOTA[[#This Row],[HARGA SATUAN]]="",),"",NOTA[[#This Row],[QTY]]*NOTA[[#This Row],[HARGA SATUAN]])</f>
        <v/>
      </c>
      <c r="AH520" s="60">
        <f ca="1">IF(NOTA[ID_H]="","",INDEX(NOTA[TANGGAL],MATCH(,INDIRECT(ADDRESS(ROW(NOTA[TANGGAL]),COLUMN(NOTA[TANGGAL]))&amp;":"&amp;ADDRESS(ROW(),COLUMN(NOTA[TANGGAL]))),-1)))</f>
        <v>45196</v>
      </c>
      <c r="AI520" s="55" t="str">
        <f ca="1">IF(NOTA[[#This Row],[NAMA BARANG]]="","",INDEX(NOTA[SUPPLIER],MATCH(,INDIRECT(ADDRESS(ROW(NOTA[ID]),COLUMN(NOTA[ID]))&amp;":"&amp;ADDRESS(ROW(),COLUMN(NOTA[ID]))),-1)))</f>
        <v>KENKO SINAR INDONESIA</v>
      </c>
      <c r="AJ520" s="55" t="str">
        <f ca="1">IF(NOTA[[#This Row],[ID_H]]="","",IF(NOTA[[#This Row],[FAKTUR]]="",INDIRECT(ADDRESS(ROW()-1,COLUMN())),NOTA[[#This Row],[FAKTUR]]))</f>
        <v>ARTO MORO</v>
      </c>
      <c r="AK520" s="56" t="str">
        <f ca="1">IF(NOTA[[#This Row],[ID]]="","",COUNTIF(NOTA[ID_H],NOTA[[#This Row],[ID_H]]))</f>
        <v/>
      </c>
      <c r="AL520" s="56">
        <f ca="1">IF(NOTA[[#This Row],[TGL.NOTA]]="",IF(NOTA[[#This Row],[SUPPLIER_H]]="","",AL519),MONTH(NOTA[[#This Row],[TGL.NOTA]]))</f>
        <v>9</v>
      </c>
      <c r="AM520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56" t="str">
        <f>IF(NOTA[[#This Row],[CONCAT4]]="","",_xlfn.IFNA(MATCH(NOTA[[#This Row],[CONCAT4]],[2]!RAW[CONCAT_H],0),FALSE))</f>
        <v/>
      </c>
      <c r="AR520" s="56">
        <f>IF(NOTA[[#This Row],[CONCAT1]]="","",MATCH(NOTA[[#This Row],[CONCAT1]],[3]!db[NB NOTA_C],0))</f>
        <v>1559</v>
      </c>
      <c r="AS520" s="56" t="str">
        <f>IF(NOTA[[#This Row],[QTY/ CTN]]="","",TRUE)</f>
        <v/>
      </c>
      <c r="AT520" s="56" t="str">
        <f ca="1">IF(NOTA[[#This Row],[ID_H]]="","",IF(NOTA[[#This Row],[Column3]]=TRUE,NOTA[[#This Row],[QTY/ CTN]],INDEX([3]!db[QTY/ CTN],NOTA[[#This Row],[//DB]])))</f>
        <v>20 LSN</v>
      </c>
      <c r="AU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520" s="56" t="e">
        <f ca="1">IF(NOTA[[#This Row],[ID_H]]="","",MATCH(NOTA[[#This Row],[NB NOTA_C_QTY]],[4]!db[NB NOTA_C_QTY+F],0))</f>
        <v>#REF!</v>
      </c>
      <c r="AW520" s="68">
        <f ca="1">IF(NOTA[[#This Row],[NB NOTA_C_QTY]]="","",ROW()-2)</f>
        <v>518</v>
      </c>
    </row>
    <row r="521" spans="1:49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93</v>
      </c>
      <c r="E521" s="57"/>
      <c r="F521" s="58"/>
      <c r="G521" s="58"/>
      <c r="H521" s="59"/>
      <c r="I521" s="58"/>
      <c r="J521" s="60"/>
      <c r="K521" s="58"/>
      <c r="L521" s="37" t="s">
        <v>105</v>
      </c>
      <c r="M521" s="61">
        <v>2</v>
      </c>
      <c r="N521" s="56"/>
      <c r="O521" s="58"/>
      <c r="P521" s="55"/>
      <c r="Q521" s="62">
        <v>2280000</v>
      </c>
      <c r="R521" s="63"/>
      <c r="S521" s="64">
        <v>0.17</v>
      </c>
      <c r="T521" s="65"/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4560000</v>
      </c>
      <c r="Y521" s="66">
        <f>IF(NOTA[[#This Row],[JUMLAH]]="","",NOTA[[#This Row],[JUMLAH]]*NOTA[[#This Row],[DISC 1]])</f>
        <v>775200</v>
      </c>
      <c r="Z521" s="66">
        <f>IF(NOTA[[#This Row],[JUMLAH]]="","",(NOTA[[#This Row],[JUMLAH]]-NOTA[[#This Row],[DISC 1-]])*NOTA[[#This Row],[DISC 2]])</f>
        <v>0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775200</v>
      </c>
      <c r="AC521" s="66">
        <f>IF(NOTA[[#This Row],[JUMLAH]]="","",NOTA[[#This Row],[JUMLAH]]-NOTA[[#This Row],[DISC]])</f>
        <v>3784800</v>
      </c>
      <c r="AD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5323176</v>
      </c>
      <c r="AE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25989624</v>
      </c>
      <c r="AF521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G521" s="66" t="str">
        <f>IF(OR(NOTA[[#This Row],[QTY]]="",NOTA[[#This Row],[HARGA SATUAN]]="",),"",NOTA[[#This Row],[QTY]]*NOTA[[#This Row],[HARGA SATUAN]])</f>
        <v/>
      </c>
      <c r="AH521" s="60">
        <f ca="1">IF(NOTA[ID_H]="","",INDEX(NOTA[TANGGAL],MATCH(,INDIRECT(ADDRESS(ROW(NOTA[TANGGAL]),COLUMN(NOTA[TANGGAL]))&amp;":"&amp;ADDRESS(ROW(),COLUMN(NOTA[TANGGAL]))),-1)))</f>
        <v>45196</v>
      </c>
      <c r="AI521" s="55" t="str">
        <f ca="1">IF(NOTA[[#This Row],[NAMA BARANG]]="","",INDEX(NOTA[SUPPLIER],MATCH(,INDIRECT(ADDRESS(ROW(NOTA[ID]),COLUMN(NOTA[ID]))&amp;":"&amp;ADDRESS(ROW(),COLUMN(NOTA[ID]))),-1)))</f>
        <v>KENKO SINAR INDONESIA</v>
      </c>
      <c r="AJ521" s="55" t="str">
        <f ca="1">IF(NOTA[[#This Row],[ID_H]]="","",IF(NOTA[[#This Row],[FAKTUR]]="",INDIRECT(ADDRESS(ROW()-1,COLUMN())),NOTA[[#This Row],[FAKTUR]]))</f>
        <v>ARTO MORO</v>
      </c>
      <c r="AK521" s="56" t="str">
        <f ca="1">IF(NOTA[[#This Row],[ID]]="","",COUNTIF(NOTA[ID_H],NOTA[[#This Row],[ID_H]]))</f>
        <v/>
      </c>
      <c r="AL521" s="56">
        <f ca="1">IF(NOTA[[#This Row],[TGL.NOTA]]="",IF(NOTA[[#This Row],[SUPPLIER_H]]="","",AL520),MONTH(NOTA[[#This Row],[TGL.NOTA]]))</f>
        <v>9</v>
      </c>
      <c r="AM521" s="5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56" t="str">
        <f>IF(NOTA[[#This Row],[CONCAT4]]="","",_xlfn.IFNA(MATCH(NOTA[[#This Row],[CONCAT4]],[2]!RAW[CONCAT_H],0),FALSE))</f>
        <v/>
      </c>
      <c r="AR521" s="56">
        <f>IF(NOTA[[#This Row],[CONCAT1]]="","",MATCH(NOTA[[#This Row],[CONCAT1]],[3]!db[NB NOTA_C],0))</f>
        <v>1565</v>
      </c>
      <c r="AS521" s="56" t="str">
        <f>IF(NOTA[[#This Row],[QTY/ CTN]]="","",TRUE)</f>
        <v/>
      </c>
      <c r="AT521" s="56" t="str">
        <f ca="1">IF(NOTA[[#This Row],[ID_H]]="","",IF(NOTA[[#This Row],[Column3]]=TRUE,NOTA[[#This Row],[QTY/ CTN]],INDEX([3]!db[QTY/ CTN],NOTA[[#This Row],[//DB]])))</f>
        <v>10 LSN</v>
      </c>
      <c r="AU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V521" s="56" t="e">
        <f ca="1">IF(NOTA[[#This Row],[ID_H]]="","",MATCH(NOTA[[#This Row],[NB NOTA_C_QTY]],[4]!db[NB NOTA_C_QTY+F],0))</f>
        <v>#REF!</v>
      </c>
      <c r="AW521" s="68">
        <f ca="1">IF(NOTA[[#This Row],[NB NOTA_C_QTY]]="","",ROW()-2)</f>
        <v>519</v>
      </c>
    </row>
    <row r="522" spans="1:49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22" s="66" t="str">
        <f>IF(OR(NOTA[[#This Row],[QTY]]="",NOTA[[#This Row],[HARGA SATUAN]]="",),"",NOTA[[#This Row],[QTY]]*NOTA[[#This Row],[HARGA SATUAN]])</f>
        <v/>
      </c>
      <c r="AH522" s="60" t="str">
        <f ca="1">IF(NOTA[ID_H]="","",INDEX(NOTA[TANGGAL],MATCH(,INDIRECT(ADDRESS(ROW(NOTA[TANGGAL]),COLUMN(NOTA[TANGGAL]))&amp;":"&amp;ADDRESS(ROW(),COLUMN(NOTA[TANGGAL]))),-1)))</f>
        <v/>
      </c>
      <c r="AI522" s="55" t="str">
        <f ca="1">IF(NOTA[[#This Row],[NAMA BARANG]]="","",INDEX(NOTA[SUPPLIER],MATCH(,INDIRECT(ADDRESS(ROW(NOTA[ID]),COLUMN(NOTA[ID]))&amp;":"&amp;ADDRESS(ROW(),COLUMN(NOTA[ID]))),-1)))</f>
        <v/>
      </c>
      <c r="AJ522" s="55" t="str">
        <f ca="1">IF(NOTA[[#This Row],[ID_H]]="","",IF(NOTA[[#This Row],[FAKTUR]]="",INDIRECT(ADDRESS(ROW()-1,COLUMN())),NOTA[[#This Row],[FAKTUR]]))</f>
        <v/>
      </c>
      <c r="AK522" s="56" t="str">
        <f ca="1">IF(NOTA[[#This Row],[ID]]="","",COUNTIF(NOTA[ID_H],NOTA[[#This Row],[ID_H]]))</f>
        <v/>
      </c>
      <c r="AL522" s="56" t="str">
        <f ca="1">IF(NOTA[[#This Row],[TGL.NOTA]]="",IF(NOTA[[#This Row],[SUPPLIER_H]]="","",AL521),MONTH(NOTA[[#This Row],[TGL.NOTA]]))</f>
        <v/>
      </c>
      <c r="AM522" s="56" t="str">
        <f>LOWER(SUBSTITUTE(SUBSTITUTE(SUBSTITUTE(SUBSTITUTE(SUBSTITUTE(SUBSTITUTE(SUBSTITUTE(SUBSTITUTE(SUBSTITUTE(NOTA[NAMA BARANG]," ",),".",""),"-",""),"(",""),")",""),",",""),"/",""),"""",""),"+",""))</f>
        <v/>
      </c>
      <c r="AN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56" t="str">
        <f>IF(NOTA[[#This Row],[CONCAT4]]="","",_xlfn.IFNA(MATCH(NOTA[[#This Row],[CONCAT4]],[2]!RAW[CONCAT_H],0),FALSE))</f>
        <v/>
      </c>
      <c r="AR522" s="56" t="str">
        <f>IF(NOTA[[#This Row],[CONCAT1]]="","",MATCH(NOTA[[#This Row],[CONCAT1]],[3]!db[NB NOTA_C],0))</f>
        <v/>
      </c>
      <c r="AS522" s="56" t="str">
        <f>IF(NOTA[[#This Row],[QTY/ CTN]]="","",TRUE)</f>
        <v/>
      </c>
      <c r="AT522" s="56" t="str">
        <f ca="1">IF(NOTA[[#This Row],[ID_H]]="","",IF(NOTA[[#This Row],[Column3]]=TRUE,NOTA[[#This Row],[QTY/ CTN]],INDEX([3]!db[QTY/ CTN],NOTA[[#This Row],[//DB]])))</f>
        <v/>
      </c>
      <c r="AU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22" s="56" t="str">
        <f ca="1">IF(NOTA[[#This Row],[ID_H]]="","",MATCH(NOTA[[#This Row],[NB NOTA_C_QTY]],[4]!db[NB NOTA_C_QTY+F],0))</f>
        <v/>
      </c>
      <c r="AW522" s="68" t="str">
        <f ca="1">IF(NOTA[[#This Row],[NB NOTA_C_QTY]]="","",ROW()-2)</f>
        <v/>
      </c>
    </row>
    <row r="523" spans="1:49" s="38" customFormat="1" ht="20.100000000000001" customHeight="1" x14ac:dyDescent="0.25">
      <c r="A523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KEN_2709_995-8</v>
      </c>
      <c r="C523" s="56" t="e">
        <f ca="1">IF(NOTA[[#This Row],[ID_P]]="","",MATCH(NOTA[[#This Row],[ID_P]],[1]!B_MSK[N_ID],0))</f>
        <v>#REF!</v>
      </c>
      <c r="D523" s="56">
        <f ca="1">IF(NOTA[[#This Row],[NAMA BARANG]]="","",INDEX(NOTA[ID],MATCH(,INDIRECT(ADDRESS(ROW(NOTA[ID]),COLUMN(NOTA[ID]))&amp;":"&amp;ADDRESS(ROW(),COLUMN(NOTA[ID]))),-1)))</f>
        <v>94</v>
      </c>
      <c r="E523" s="57"/>
      <c r="F523" s="37" t="s">
        <v>22</v>
      </c>
      <c r="G523" s="37" t="s">
        <v>23</v>
      </c>
      <c r="H523" s="47" t="s">
        <v>631</v>
      </c>
      <c r="I523" s="58"/>
      <c r="J523" s="60">
        <v>45191</v>
      </c>
      <c r="K523" s="58"/>
      <c r="L523" s="37" t="s">
        <v>632</v>
      </c>
      <c r="M523" s="61">
        <v>2</v>
      </c>
      <c r="N523" s="56"/>
      <c r="O523" s="58"/>
      <c r="P523" s="55"/>
      <c r="Q523" s="62">
        <v>2352000</v>
      </c>
      <c r="R523" s="63"/>
      <c r="S523" s="64">
        <v>0.17</v>
      </c>
      <c r="T523" s="65"/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4704000</v>
      </c>
      <c r="Y523" s="66">
        <f>IF(NOTA[[#This Row],[JUMLAH]]="","",NOTA[[#This Row],[JUMLAH]]*NOTA[[#This Row],[DISC 1]])</f>
        <v>799680</v>
      </c>
      <c r="Z523" s="66">
        <f>IF(NOTA[[#This Row],[JUMLAH]]="","",(NOTA[[#This Row],[JUMLAH]]-NOTA[[#This Row],[DISC 1-]])*NOTA[[#This Row],[DISC 2]])</f>
        <v>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799680</v>
      </c>
      <c r="AC523" s="66">
        <f>IF(NOTA[[#This Row],[JUMLAH]]="","",NOTA[[#This Row],[JUMLAH]]-NOTA[[#This Row],[DISC]])</f>
        <v>3904320</v>
      </c>
      <c r="AD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3" s="5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G523" s="66" t="str">
        <f>IF(OR(NOTA[[#This Row],[QTY]]="",NOTA[[#This Row],[HARGA SATUAN]]="",),"",NOTA[[#This Row],[QTY]]*NOTA[[#This Row],[HARGA SATUAN]])</f>
        <v/>
      </c>
      <c r="AH523" s="60">
        <f ca="1">IF(NOTA[ID_H]="","",INDEX(NOTA[TANGGAL],MATCH(,INDIRECT(ADDRESS(ROW(NOTA[TANGGAL]),COLUMN(NOTA[TANGGAL]))&amp;":"&amp;ADDRESS(ROW(),COLUMN(NOTA[TANGGAL]))),-1)))</f>
        <v>45196</v>
      </c>
      <c r="AI523" s="55" t="str">
        <f ca="1">IF(NOTA[[#This Row],[NAMA BARANG]]="","",INDEX(NOTA[SUPPLIER],MATCH(,INDIRECT(ADDRESS(ROW(NOTA[ID]),COLUMN(NOTA[ID]))&amp;":"&amp;ADDRESS(ROW(),COLUMN(NOTA[ID]))),-1)))</f>
        <v>KENKO SINAR INDONESIA</v>
      </c>
      <c r="AJ523" s="55" t="str">
        <f ca="1">IF(NOTA[[#This Row],[ID_H]]="","",IF(NOTA[[#This Row],[FAKTUR]]="",INDIRECT(ADDRESS(ROW()-1,COLUMN())),NOTA[[#This Row],[FAKTUR]]))</f>
        <v>ARTO MORO</v>
      </c>
      <c r="AK523" s="56">
        <f ca="1">IF(NOTA[[#This Row],[ID]]="","",COUNTIF(NOTA[ID_H],NOTA[[#This Row],[ID_H]]))</f>
        <v>8</v>
      </c>
      <c r="AL523" s="56">
        <f>IF(NOTA[[#This Row],[TGL.NOTA]]="",IF(NOTA[[#This Row],[SUPPLIER_H]]="","",AL522),MONTH(NOTA[[#This Row],[TGL.NOTA]]))</f>
        <v>9</v>
      </c>
      <c r="AM523" s="56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N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O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P52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MORO2309199545191kenkostaplerhd10dnewcolor</v>
      </c>
      <c r="AQ523" s="56" t="e">
        <f>IF(NOTA[[#This Row],[CONCAT4]]="","",_xlfn.IFNA(MATCH(NOTA[[#This Row],[CONCAT4]],[2]!RAW[CONCAT_H],0),FALSE))</f>
        <v>#REF!</v>
      </c>
      <c r="AR523" s="56">
        <f>IF(NOTA[[#This Row],[CONCAT1]]="","",MATCH(NOTA[[#This Row],[CONCAT1]],[3]!db[NB NOTA_C],0))</f>
        <v>1584</v>
      </c>
      <c r="AS523" s="56" t="str">
        <f>IF(NOTA[[#This Row],[QTY/ CTN]]="","",TRUE)</f>
        <v/>
      </c>
      <c r="AT523" s="56" t="str">
        <f ca="1">IF(NOTA[[#This Row],[ID_H]]="","",IF(NOTA[[#This Row],[Column3]]=TRUE,NOTA[[#This Row],[QTY/ CTN]],INDEX([3]!db[QTY/ CTN],NOTA[[#This Row],[//DB]])))</f>
        <v>20 LSN</v>
      </c>
      <c r="AU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V523" s="56" t="e">
        <f ca="1">IF(NOTA[[#This Row],[ID_H]]="","",MATCH(NOTA[[#This Row],[NB NOTA_C_QTY]],[4]!db[NB NOTA_C_QTY+F],0))</f>
        <v>#REF!</v>
      </c>
      <c r="AW523" s="68">
        <f ca="1">IF(NOTA[[#This Row],[NB NOTA_C_QTY]]="","",ROW()-2)</f>
        <v>521</v>
      </c>
    </row>
    <row r="524" spans="1:49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94</v>
      </c>
      <c r="E524" s="57"/>
      <c r="F524" s="58"/>
      <c r="G524" s="58"/>
      <c r="H524" s="59"/>
      <c r="I524" s="58"/>
      <c r="J524" s="60"/>
      <c r="K524" s="58"/>
      <c r="L524" s="37" t="s">
        <v>633</v>
      </c>
      <c r="M524" s="61">
        <v>1</v>
      </c>
      <c r="N524" s="56"/>
      <c r="O524" s="58"/>
      <c r="P524" s="55"/>
      <c r="Q524" s="62">
        <v>2008800</v>
      </c>
      <c r="R524" s="63"/>
      <c r="S524" s="64">
        <v>0.17</v>
      </c>
      <c r="T524" s="65"/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2008800</v>
      </c>
      <c r="Y524" s="66">
        <f>IF(NOTA[[#This Row],[JUMLAH]]="","",NOTA[[#This Row],[JUMLAH]]*NOTA[[#This Row],[DISC 1]])</f>
        <v>341496</v>
      </c>
      <c r="Z524" s="66">
        <f>IF(NOTA[[#This Row],[JUMLAH]]="","",(NOTA[[#This Row],[JUMLAH]]-NOTA[[#This Row],[DISC 1-]])*NOTA[[#This Row],[DISC 2]])</f>
        <v>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341496</v>
      </c>
      <c r="AC524" s="66">
        <f>IF(NOTA[[#This Row],[JUMLAH]]="","",NOTA[[#This Row],[JUMLAH]]-NOTA[[#This Row],[DISC]])</f>
        <v>1667304</v>
      </c>
      <c r="AD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4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G524" s="66" t="str">
        <f>IF(OR(NOTA[[#This Row],[QTY]]="",NOTA[[#This Row],[HARGA SATUAN]]="",),"",NOTA[[#This Row],[QTY]]*NOTA[[#This Row],[HARGA SATUAN]])</f>
        <v/>
      </c>
      <c r="AH524" s="60">
        <f ca="1">IF(NOTA[ID_H]="","",INDEX(NOTA[TANGGAL],MATCH(,INDIRECT(ADDRESS(ROW(NOTA[TANGGAL]),COLUMN(NOTA[TANGGAL]))&amp;":"&amp;ADDRESS(ROW(),COLUMN(NOTA[TANGGAL]))),-1)))</f>
        <v>45196</v>
      </c>
      <c r="AI524" s="55" t="str">
        <f ca="1">IF(NOTA[[#This Row],[NAMA BARANG]]="","",INDEX(NOTA[SUPPLIER],MATCH(,INDIRECT(ADDRESS(ROW(NOTA[ID]),COLUMN(NOTA[ID]))&amp;":"&amp;ADDRESS(ROW(),COLUMN(NOTA[ID]))),-1)))</f>
        <v>KENKO SINAR INDONESIA</v>
      </c>
      <c r="AJ524" s="55" t="str">
        <f ca="1">IF(NOTA[[#This Row],[ID_H]]="","",IF(NOTA[[#This Row],[FAKTUR]]="",INDIRECT(ADDRESS(ROW()-1,COLUMN())),NOTA[[#This Row],[FAKTUR]]))</f>
        <v>ARTO MORO</v>
      </c>
      <c r="AK524" s="56" t="str">
        <f ca="1">IF(NOTA[[#This Row],[ID]]="","",COUNTIF(NOTA[ID_H],NOTA[[#This Row],[ID_H]]))</f>
        <v/>
      </c>
      <c r="AL524" s="56">
        <f ca="1">IF(NOTA[[#This Row],[TGL.NOTA]]="",IF(NOTA[[#This Row],[SUPPLIER_H]]="","",AL523),MONTH(NOTA[[#This Row],[TGL.NOTA]]))</f>
        <v>9</v>
      </c>
      <c r="AM524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56" t="str">
        <f>IF(NOTA[[#This Row],[CONCAT4]]="","",_xlfn.IFNA(MATCH(NOTA[[#This Row],[CONCAT4]],[2]!RAW[CONCAT_H],0),FALSE))</f>
        <v/>
      </c>
      <c r="AR524" s="56">
        <f>IF(NOTA[[#This Row],[CONCAT1]]="","",MATCH(NOTA[[#This Row],[CONCAT1]],[3]!db[NB NOTA_C],0))</f>
        <v>1344</v>
      </c>
      <c r="AS524" s="56" t="str">
        <f>IF(NOTA[[#This Row],[QTY/ CTN]]="","",TRUE)</f>
        <v/>
      </c>
      <c r="AT524" s="56" t="str">
        <f ca="1">IF(NOTA[[#This Row],[ID_H]]="","",IF(NOTA[[#This Row],[Column3]]=TRUE,NOTA[[#This Row],[QTY/ CTN]],INDEX([3]!db[QTY/ CTN],NOTA[[#This Row],[//DB]])))</f>
        <v>36 LSN</v>
      </c>
      <c r="AU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V524" s="56" t="e">
        <f ca="1">IF(NOTA[[#This Row],[ID_H]]="","",MATCH(NOTA[[#This Row],[NB NOTA_C_QTY]],[4]!db[NB NOTA_C_QTY+F],0))</f>
        <v>#REF!</v>
      </c>
      <c r="AW524" s="68">
        <f ca="1">IF(NOTA[[#This Row],[NB NOTA_C_QTY]]="","",ROW()-2)</f>
        <v>522</v>
      </c>
    </row>
    <row r="525" spans="1:49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94</v>
      </c>
      <c r="E525" s="57"/>
      <c r="F525" s="58"/>
      <c r="G525" s="58"/>
      <c r="H525" s="59"/>
      <c r="I525" s="58"/>
      <c r="J525" s="60"/>
      <c r="K525" s="58"/>
      <c r="L525" s="37" t="s">
        <v>634</v>
      </c>
      <c r="M525" s="61">
        <v>1</v>
      </c>
      <c r="N525" s="56"/>
      <c r="O525" s="58"/>
      <c r="P525" s="55"/>
      <c r="Q525" s="62">
        <v>1710000</v>
      </c>
      <c r="R525" s="63"/>
      <c r="S525" s="64">
        <v>0.17</v>
      </c>
      <c r="T525" s="65"/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1710000</v>
      </c>
      <c r="Y525" s="66">
        <f>IF(NOTA[[#This Row],[JUMLAH]]="","",NOTA[[#This Row],[JUMLAH]]*NOTA[[#This Row],[DISC 1]])</f>
        <v>290700</v>
      </c>
      <c r="Z525" s="66">
        <f>IF(NOTA[[#This Row],[JUMLAH]]="","",(NOTA[[#This Row],[JUMLAH]]-NOTA[[#This Row],[DISC 1-]])*NOTA[[#This Row],[DISC 2]])</f>
        <v>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290700</v>
      </c>
      <c r="AC525" s="66">
        <f>IF(NOTA[[#This Row],[JUMLAH]]="","",NOTA[[#This Row],[JUMLAH]]-NOTA[[#This Row],[DISC]])</f>
        <v>1419300</v>
      </c>
      <c r="AD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5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G525" s="66" t="str">
        <f>IF(OR(NOTA[[#This Row],[QTY]]="",NOTA[[#This Row],[HARGA SATUAN]]="",),"",NOTA[[#This Row],[QTY]]*NOTA[[#This Row],[HARGA SATUAN]])</f>
        <v/>
      </c>
      <c r="AH525" s="60">
        <f ca="1">IF(NOTA[ID_H]="","",INDEX(NOTA[TANGGAL],MATCH(,INDIRECT(ADDRESS(ROW(NOTA[TANGGAL]),COLUMN(NOTA[TANGGAL]))&amp;":"&amp;ADDRESS(ROW(),COLUMN(NOTA[TANGGAL]))),-1)))</f>
        <v>45196</v>
      </c>
      <c r="AI525" s="55" t="str">
        <f ca="1">IF(NOTA[[#This Row],[NAMA BARANG]]="","",INDEX(NOTA[SUPPLIER],MATCH(,INDIRECT(ADDRESS(ROW(NOTA[ID]),COLUMN(NOTA[ID]))&amp;":"&amp;ADDRESS(ROW(),COLUMN(NOTA[ID]))),-1)))</f>
        <v>KENKO SINAR INDONESIA</v>
      </c>
      <c r="AJ525" s="55" t="str">
        <f ca="1">IF(NOTA[[#This Row],[ID_H]]="","",IF(NOTA[[#This Row],[FAKTUR]]="",INDIRECT(ADDRESS(ROW()-1,COLUMN())),NOTA[[#This Row],[FAKTUR]]))</f>
        <v>ARTO MORO</v>
      </c>
      <c r="AK525" s="56" t="str">
        <f ca="1">IF(NOTA[[#This Row],[ID]]="","",COUNTIF(NOTA[ID_H],NOTA[[#This Row],[ID_H]]))</f>
        <v/>
      </c>
      <c r="AL525" s="56">
        <f ca="1">IF(NOTA[[#This Row],[TGL.NOTA]]="",IF(NOTA[[#This Row],[SUPPLIER_H]]="","",AL524),MONTH(NOTA[[#This Row],[TGL.NOTA]]))</f>
        <v>9</v>
      </c>
      <c r="AM525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N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O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P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56" t="str">
        <f>IF(NOTA[[#This Row],[CONCAT4]]="","",_xlfn.IFNA(MATCH(NOTA[[#This Row],[CONCAT4]],[2]!RAW[CONCAT_H],0),FALSE))</f>
        <v/>
      </c>
      <c r="AR525" s="56">
        <f>IF(NOTA[[#This Row],[CONCAT1]]="","",MATCH(NOTA[[#This Row],[CONCAT1]],[3]!db[NB NOTA_C],0))</f>
        <v>1380</v>
      </c>
      <c r="AS525" s="56" t="str">
        <f>IF(NOTA[[#This Row],[QTY/ CTN]]="","",TRUE)</f>
        <v/>
      </c>
      <c r="AT525" s="56" t="str">
        <f ca="1">IF(NOTA[[#This Row],[ID_H]]="","",IF(NOTA[[#This Row],[Column3]]=TRUE,NOTA[[#This Row],[QTY/ CTN]],INDEX([3]!db[QTY/ CTN],NOTA[[#This Row],[//DB]])))</f>
        <v>30 LSN</v>
      </c>
      <c r="AU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V525" s="56" t="e">
        <f ca="1">IF(NOTA[[#This Row],[ID_H]]="","",MATCH(NOTA[[#This Row],[NB NOTA_C_QTY]],[4]!db[NB NOTA_C_QTY+F],0))</f>
        <v>#REF!</v>
      </c>
      <c r="AW525" s="68">
        <f ca="1">IF(NOTA[[#This Row],[NB NOTA_C_QTY]]="","",ROW()-2)</f>
        <v>523</v>
      </c>
    </row>
    <row r="526" spans="1:49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94</v>
      </c>
      <c r="E526" s="57"/>
      <c r="F526" s="58"/>
      <c r="G526" s="58"/>
      <c r="H526" s="59"/>
      <c r="I526" s="58"/>
      <c r="J526" s="60"/>
      <c r="K526" s="58"/>
      <c r="L526" s="37" t="s">
        <v>635</v>
      </c>
      <c r="M526" s="61">
        <v>1</v>
      </c>
      <c r="N526" s="56"/>
      <c r="O526" s="58"/>
      <c r="P526" s="55"/>
      <c r="Q526" s="62">
        <v>5702400</v>
      </c>
      <c r="R526" s="63"/>
      <c r="S526" s="64">
        <v>0.17</v>
      </c>
      <c r="T526" s="65"/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5702400</v>
      </c>
      <c r="Y526" s="66">
        <f>IF(NOTA[[#This Row],[JUMLAH]]="","",NOTA[[#This Row],[JUMLAH]]*NOTA[[#This Row],[DISC 1]])</f>
        <v>969408.00000000012</v>
      </c>
      <c r="Z526" s="66">
        <f>IF(NOTA[[#This Row],[JUMLAH]]="","",(NOTA[[#This Row],[JUMLAH]]-NOTA[[#This Row],[DISC 1-]])*NOTA[[#This Row],[DISC 2]])</f>
        <v>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969408.00000000012</v>
      </c>
      <c r="AC526" s="66">
        <f>IF(NOTA[[#This Row],[JUMLAH]]="","",NOTA[[#This Row],[JUMLAH]]-NOTA[[#This Row],[DISC]])</f>
        <v>4732992</v>
      </c>
      <c r="AD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6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526" s="66" t="str">
        <f>IF(OR(NOTA[[#This Row],[QTY]]="",NOTA[[#This Row],[HARGA SATUAN]]="",),"",NOTA[[#This Row],[QTY]]*NOTA[[#This Row],[HARGA SATUAN]])</f>
        <v/>
      </c>
      <c r="AH526" s="60">
        <f ca="1">IF(NOTA[ID_H]="","",INDEX(NOTA[TANGGAL],MATCH(,INDIRECT(ADDRESS(ROW(NOTA[TANGGAL]),COLUMN(NOTA[TANGGAL]))&amp;":"&amp;ADDRESS(ROW(),COLUMN(NOTA[TANGGAL]))),-1)))</f>
        <v>45196</v>
      </c>
      <c r="AI526" s="55" t="str">
        <f ca="1">IF(NOTA[[#This Row],[NAMA BARANG]]="","",INDEX(NOTA[SUPPLIER],MATCH(,INDIRECT(ADDRESS(ROW(NOTA[ID]),COLUMN(NOTA[ID]))&amp;":"&amp;ADDRESS(ROW(),COLUMN(NOTA[ID]))),-1)))</f>
        <v>KENKO SINAR INDONESIA</v>
      </c>
      <c r="AJ526" s="55" t="str">
        <f ca="1">IF(NOTA[[#This Row],[ID_H]]="","",IF(NOTA[[#This Row],[FAKTUR]]="",INDIRECT(ADDRESS(ROW()-1,COLUMN())),NOTA[[#This Row],[FAKTUR]]))</f>
        <v>ARTO MORO</v>
      </c>
      <c r="AK526" s="56" t="str">
        <f ca="1">IF(NOTA[[#This Row],[ID]]="","",COUNTIF(NOTA[ID_H],NOTA[[#This Row],[ID_H]]))</f>
        <v/>
      </c>
      <c r="AL526" s="56">
        <f ca="1">IF(NOTA[[#This Row],[TGL.NOTA]]="",IF(NOTA[[#This Row],[SUPPLIER_H]]="","",AL525),MONTH(NOTA[[#This Row],[TGL.NOTA]]))</f>
        <v>9</v>
      </c>
      <c r="AM526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56" t="str">
        <f>IF(NOTA[[#This Row],[CONCAT4]]="","",_xlfn.IFNA(MATCH(NOTA[[#This Row],[CONCAT4]],[2]!RAW[CONCAT_H],0),FALSE))</f>
        <v/>
      </c>
      <c r="AR526" s="56">
        <f>IF(NOTA[[#This Row],[CONCAT1]]="","",MATCH(NOTA[[#This Row],[CONCAT1]],[3]!db[NB NOTA_C],0))</f>
        <v>1419</v>
      </c>
      <c r="AS526" s="56" t="str">
        <f>IF(NOTA[[#This Row],[QTY/ CTN]]="","",TRUE)</f>
        <v/>
      </c>
      <c r="AT526" s="56" t="str">
        <f ca="1">IF(NOTA[[#This Row],[ID_H]]="","",IF(NOTA[[#This Row],[Column3]]=TRUE,NOTA[[#This Row],[QTY/ CTN]],INDEX([3]!db[QTY/ CTN],NOTA[[#This Row],[//DB]])))</f>
        <v>144 LSN</v>
      </c>
      <c r="AU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V526" s="56" t="e">
        <f ca="1">IF(NOTA[[#This Row],[ID_H]]="","",MATCH(NOTA[[#This Row],[NB NOTA_C_QTY]],[4]!db[NB NOTA_C_QTY+F],0))</f>
        <v>#REF!</v>
      </c>
      <c r="AW526" s="68">
        <f ca="1">IF(NOTA[[#This Row],[NB NOTA_C_QTY]]="","",ROW()-2)</f>
        <v>524</v>
      </c>
    </row>
    <row r="527" spans="1:49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94</v>
      </c>
      <c r="E527" s="57"/>
      <c r="F527" s="58"/>
      <c r="G527" s="58"/>
      <c r="H527" s="59"/>
      <c r="I527" s="58"/>
      <c r="J527" s="60"/>
      <c r="K527" s="58"/>
      <c r="L527" s="37" t="s">
        <v>189</v>
      </c>
      <c r="M527" s="61"/>
      <c r="N527" s="56">
        <v>12</v>
      </c>
      <c r="O527" s="37" t="s">
        <v>183</v>
      </c>
      <c r="P527" s="55">
        <v>30500</v>
      </c>
      <c r="Q527" s="62"/>
      <c r="R527" s="63"/>
      <c r="S527" s="64">
        <v>0.17</v>
      </c>
      <c r="T527" s="65"/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366000</v>
      </c>
      <c r="Y527" s="66">
        <f>IF(NOTA[[#This Row],[JUMLAH]]="","",NOTA[[#This Row],[JUMLAH]]*NOTA[[#This Row],[DISC 1]])</f>
        <v>62220.000000000007</v>
      </c>
      <c r="Z527" s="66">
        <f>IF(NOTA[[#This Row],[JUMLAH]]="","",(NOTA[[#This Row],[JUMLAH]]-NOTA[[#This Row],[DISC 1-]])*NOTA[[#This Row],[DISC 2]])</f>
        <v>0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62220.000000000007</v>
      </c>
      <c r="AC527" s="66">
        <f>IF(NOTA[[#This Row],[JUMLAH]]="","",NOTA[[#This Row],[JUMLAH]]-NOTA[[#This Row],[DISC]])</f>
        <v>303780</v>
      </c>
      <c r="AD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7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27" s="66">
        <f>IF(OR(NOTA[[#This Row],[QTY]]="",NOTA[[#This Row],[HARGA SATUAN]]="",),"",NOTA[[#This Row],[QTY]]*NOTA[[#This Row],[HARGA SATUAN]])</f>
        <v>366000</v>
      </c>
      <c r="AH527" s="60">
        <f ca="1">IF(NOTA[ID_H]="","",INDEX(NOTA[TANGGAL],MATCH(,INDIRECT(ADDRESS(ROW(NOTA[TANGGAL]),COLUMN(NOTA[TANGGAL]))&amp;":"&amp;ADDRESS(ROW(),COLUMN(NOTA[TANGGAL]))),-1)))</f>
        <v>45196</v>
      </c>
      <c r="AI527" s="55" t="str">
        <f ca="1">IF(NOTA[[#This Row],[NAMA BARANG]]="","",INDEX(NOTA[SUPPLIER],MATCH(,INDIRECT(ADDRESS(ROW(NOTA[ID]),COLUMN(NOTA[ID]))&amp;":"&amp;ADDRESS(ROW(),COLUMN(NOTA[ID]))),-1)))</f>
        <v>KENKO SINAR INDONESIA</v>
      </c>
      <c r="AJ527" s="55" t="str">
        <f ca="1">IF(NOTA[[#This Row],[ID_H]]="","",IF(NOTA[[#This Row],[FAKTUR]]="",INDIRECT(ADDRESS(ROW()-1,COLUMN())),NOTA[[#This Row],[FAKTUR]]))</f>
        <v>ARTO MORO</v>
      </c>
      <c r="AK527" s="56" t="str">
        <f ca="1">IF(NOTA[[#This Row],[ID]]="","",COUNTIF(NOTA[ID_H],NOTA[[#This Row],[ID_H]]))</f>
        <v/>
      </c>
      <c r="AL527" s="56">
        <f ca="1">IF(NOTA[[#This Row],[TGL.NOTA]]="",IF(NOTA[[#This Row],[SUPPLIER_H]]="","",AL526),MONTH(NOTA[[#This Row],[TGL.NOTA]]))</f>
        <v>9</v>
      </c>
      <c r="AM527" s="56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N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kenkohighlighterhl100green3660000.17</v>
      </c>
      <c r="AO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kenkohighlighterhl100green305000.17</v>
      </c>
      <c r="AP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7" s="56" t="str">
        <f>IF(NOTA[[#This Row],[CONCAT4]]="","",_xlfn.IFNA(MATCH(NOTA[[#This Row],[CONCAT4]],[2]!RAW[CONCAT_H],0),FALSE))</f>
        <v/>
      </c>
      <c r="AR527" s="56">
        <f>IF(NOTA[[#This Row],[CONCAT1]]="","",MATCH(NOTA[[#This Row],[CONCAT1]],[3]!db[NB NOTA_C],0))</f>
        <v>1459</v>
      </c>
      <c r="AS527" s="56" t="str">
        <f>IF(NOTA[[#This Row],[QTY/ CTN]]="","",TRUE)</f>
        <v/>
      </c>
      <c r="AT527" s="56" t="str">
        <f ca="1">IF(NOTA[[#This Row],[ID_H]]="","",IF(NOTA[[#This Row],[Column3]]=TRUE,NOTA[[#This Row],[QTY/ CTN]],INDEX([3]!db[QTY/ CTN],NOTA[[#This Row],[//DB]])))</f>
        <v>48 BOX (10 PCS)</v>
      </c>
      <c r="AU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V527" s="56" t="e">
        <f ca="1">IF(NOTA[[#This Row],[ID_H]]="","",MATCH(NOTA[[#This Row],[NB NOTA_C_QTY]],[4]!db[NB NOTA_C_QTY+F],0))</f>
        <v>#REF!</v>
      </c>
      <c r="AW527" s="68">
        <f ca="1">IF(NOTA[[#This Row],[NB NOTA_C_QTY]]="","",ROW()-2)</f>
        <v>525</v>
      </c>
    </row>
    <row r="528" spans="1:49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94</v>
      </c>
      <c r="E528" s="57"/>
      <c r="F528" s="58"/>
      <c r="G528" s="58"/>
      <c r="H528" s="59"/>
      <c r="I528" s="58"/>
      <c r="J528" s="60"/>
      <c r="K528" s="58"/>
      <c r="L528" s="37" t="s">
        <v>184</v>
      </c>
      <c r="M528" s="61"/>
      <c r="N528" s="56">
        <v>12</v>
      </c>
      <c r="O528" s="37" t="s">
        <v>183</v>
      </c>
      <c r="P528" s="55">
        <v>30500</v>
      </c>
      <c r="Q528" s="62"/>
      <c r="R528" s="63"/>
      <c r="S528" s="64">
        <v>0.17</v>
      </c>
      <c r="T528" s="65"/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366000</v>
      </c>
      <c r="Y528" s="66">
        <f>IF(NOTA[[#This Row],[JUMLAH]]="","",NOTA[[#This Row],[JUMLAH]]*NOTA[[#This Row],[DISC 1]])</f>
        <v>62220.000000000007</v>
      </c>
      <c r="Z528" s="66">
        <f>IF(NOTA[[#This Row],[JUMLAH]]="","",(NOTA[[#This Row],[JUMLAH]]-NOTA[[#This Row],[DISC 1-]])*NOTA[[#This Row],[DISC 2]])</f>
        <v>0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62220.000000000007</v>
      </c>
      <c r="AC528" s="66">
        <f>IF(NOTA[[#This Row],[JUMLAH]]="","",NOTA[[#This Row],[JUMLAH]]-NOTA[[#This Row],[DISC]])</f>
        <v>303780</v>
      </c>
      <c r="AD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8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28" s="66">
        <f>IF(OR(NOTA[[#This Row],[QTY]]="",NOTA[[#This Row],[HARGA SATUAN]]="",),"",NOTA[[#This Row],[QTY]]*NOTA[[#This Row],[HARGA SATUAN]])</f>
        <v>366000</v>
      </c>
      <c r="AH528" s="60">
        <f ca="1">IF(NOTA[ID_H]="","",INDEX(NOTA[TANGGAL],MATCH(,INDIRECT(ADDRESS(ROW(NOTA[TANGGAL]),COLUMN(NOTA[TANGGAL]))&amp;":"&amp;ADDRESS(ROW(),COLUMN(NOTA[TANGGAL]))),-1)))</f>
        <v>45196</v>
      </c>
      <c r="AI528" s="55" t="str">
        <f ca="1">IF(NOTA[[#This Row],[NAMA BARANG]]="","",INDEX(NOTA[SUPPLIER],MATCH(,INDIRECT(ADDRESS(ROW(NOTA[ID]),COLUMN(NOTA[ID]))&amp;":"&amp;ADDRESS(ROW(),COLUMN(NOTA[ID]))),-1)))</f>
        <v>KENKO SINAR INDONESIA</v>
      </c>
      <c r="AJ528" s="55" t="str">
        <f ca="1">IF(NOTA[[#This Row],[ID_H]]="","",IF(NOTA[[#This Row],[FAKTUR]]="",INDIRECT(ADDRESS(ROW()-1,COLUMN())),NOTA[[#This Row],[FAKTUR]]))</f>
        <v>ARTO MORO</v>
      </c>
      <c r="AK528" s="56" t="str">
        <f ca="1">IF(NOTA[[#This Row],[ID]]="","",COUNTIF(NOTA[ID_H],NOTA[[#This Row],[ID_H]]))</f>
        <v/>
      </c>
      <c r="AL528" s="56">
        <f ca="1">IF(NOTA[[#This Row],[TGL.NOTA]]="",IF(NOTA[[#This Row],[SUPPLIER_H]]="","",AL527),MONTH(NOTA[[#This Row],[TGL.NOTA]]))</f>
        <v>9</v>
      </c>
      <c r="AM528" s="56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N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kenkohighlighterhl100pink3660000.17</v>
      </c>
      <c r="AO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kenkohighlighterhl100pink305000.17</v>
      </c>
      <c r="AP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56" t="str">
        <f>IF(NOTA[[#This Row],[CONCAT4]]="","",_xlfn.IFNA(MATCH(NOTA[[#This Row],[CONCAT4]],[2]!RAW[CONCAT_H],0),FALSE))</f>
        <v/>
      </c>
      <c r="AR528" s="56">
        <f>IF(NOTA[[#This Row],[CONCAT1]]="","",MATCH(NOTA[[#This Row],[CONCAT1]],[3]!db[NB NOTA_C],0))</f>
        <v>1461</v>
      </c>
      <c r="AS528" s="56" t="str">
        <f>IF(NOTA[[#This Row],[QTY/ CTN]]="","",TRUE)</f>
        <v/>
      </c>
      <c r="AT528" s="56" t="str">
        <f ca="1">IF(NOTA[[#This Row],[ID_H]]="","",IF(NOTA[[#This Row],[Column3]]=TRUE,NOTA[[#This Row],[QTY/ CTN]],INDEX([3]!db[QTY/ CTN],NOTA[[#This Row],[//DB]])))</f>
        <v>48 BOX (10 PCS)</v>
      </c>
      <c r="AU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V528" s="56" t="e">
        <f ca="1">IF(NOTA[[#This Row],[ID_H]]="","",MATCH(NOTA[[#This Row],[NB NOTA_C_QTY]],[4]!db[NB NOTA_C_QTY+F],0))</f>
        <v>#REF!</v>
      </c>
      <c r="AW528" s="68">
        <f ca="1">IF(NOTA[[#This Row],[NB NOTA_C_QTY]]="","",ROW()-2)</f>
        <v>526</v>
      </c>
    </row>
    <row r="529" spans="1:49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94</v>
      </c>
      <c r="E529" s="57"/>
      <c r="F529" s="58"/>
      <c r="G529" s="58"/>
      <c r="H529" s="59"/>
      <c r="I529" s="58"/>
      <c r="J529" s="60"/>
      <c r="K529" s="58"/>
      <c r="L529" s="37" t="s">
        <v>190</v>
      </c>
      <c r="M529" s="61"/>
      <c r="N529" s="56">
        <v>12</v>
      </c>
      <c r="O529" s="37" t="s">
        <v>183</v>
      </c>
      <c r="P529" s="55">
        <v>30500</v>
      </c>
      <c r="Q529" s="62"/>
      <c r="R529" s="63"/>
      <c r="S529" s="64">
        <v>0.17</v>
      </c>
      <c r="T529" s="65"/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366000</v>
      </c>
      <c r="Y529" s="66">
        <f>IF(NOTA[[#This Row],[JUMLAH]]="","",NOTA[[#This Row],[JUMLAH]]*NOTA[[#This Row],[DISC 1]])</f>
        <v>62220.000000000007</v>
      </c>
      <c r="Z529" s="66">
        <f>IF(NOTA[[#This Row],[JUMLAH]]="","",(NOTA[[#This Row],[JUMLAH]]-NOTA[[#This Row],[DISC 1-]])*NOTA[[#This Row],[DISC 2]])</f>
        <v>0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62220.000000000007</v>
      </c>
      <c r="AC529" s="66">
        <f>IF(NOTA[[#This Row],[JUMLAH]]="","",NOTA[[#This Row],[JUMLAH]]-NOTA[[#This Row],[DISC]])</f>
        <v>303780</v>
      </c>
      <c r="AD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29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29" s="66">
        <f>IF(OR(NOTA[[#This Row],[QTY]]="",NOTA[[#This Row],[HARGA SATUAN]]="",),"",NOTA[[#This Row],[QTY]]*NOTA[[#This Row],[HARGA SATUAN]])</f>
        <v>366000</v>
      </c>
      <c r="AH529" s="60">
        <f ca="1">IF(NOTA[ID_H]="","",INDEX(NOTA[TANGGAL],MATCH(,INDIRECT(ADDRESS(ROW(NOTA[TANGGAL]),COLUMN(NOTA[TANGGAL]))&amp;":"&amp;ADDRESS(ROW(),COLUMN(NOTA[TANGGAL]))),-1)))</f>
        <v>45196</v>
      </c>
      <c r="AI529" s="55" t="str">
        <f ca="1">IF(NOTA[[#This Row],[NAMA BARANG]]="","",INDEX(NOTA[SUPPLIER],MATCH(,INDIRECT(ADDRESS(ROW(NOTA[ID]),COLUMN(NOTA[ID]))&amp;":"&amp;ADDRESS(ROW(),COLUMN(NOTA[ID]))),-1)))</f>
        <v>KENKO SINAR INDONESIA</v>
      </c>
      <c r="AJ529" s="55" t="str">
        <f ca="1">IF(NOTA[[#This Row],[ID_H]]="","",IF(NOTA[[#This Row],[FAKTUR]]="",INDIRECT(ADDRESS(ROW()-1,COLUMN())),NOTA[[#This Row],[FAKTUR]]))</f>
        <v>ARTO MORO</v>
      </c>
      <c r="AK529" s="56" t="str">
        <f ca="1">IF(NOTA[[#This Row],[ID]]="","",COUNTIF(NOTA[ID_H],NOTA[[#This Row],[ID_H]]))</f>
        <v/>
      </c>
      <c r="AL529" s="56">
        <f ca="1">IF(NOTA[[#This Row],[TGL.NOTA]]="",IF(NOTA[[#This Row],[SUPPLIER_H]]="","",AL528),MONTH(NOTA[[#This Row],[TGL.NOTA]]))</f>
        <v>9</v>
      </c>
      <c r="AM529" s="56" t="str">
        <f>LOWER(SUBSTITUTE(SUBSTITUTE(SUBSTITUTE(SUBSTITUTE(SUBSTITUTE(SUBSTITUTE(SUBSTITUTE(SUBSTITUTE(SUBSTITUTE(NOTA[NAMA BARANG]," ",),".",""),"-",""),"(",""),")",""),",",""),"/",""),"""",""),"+",""))</f>
        <v>kenkohighlighterhl100purple</v>
      </c>
      <c r="AN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kenkohighlighterhl100purple3660000.17</v>
      </c>
      <c r="AO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kenkohighlighterhl100purple305000.17</v>
      </c>
      <c r="AP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9" s="56" t="str">
        <f>IF(NOTA[[#This Row],[CONCAT4]]="","",_xlfn.IFNA(MATCH(NOTA[[#This Row],[CONCAT4]],[2]!RAW[CONCAT_H],0),FALSE))</f>
        <v/>
      </c>
      <c r="AR529" s="56">
        <f>IF(NOTA[[#This Row],[CONCAT1]]="","",MATCH(NOTA[[#This Row],[CONCAT1]],[3]!db[NB NOTA_C],0))</f>
        <v>1462</v>
      </c>
      <c r="AS529" s="56" t="str">
        <f>IF(NOTA[[#This Row],[QTY/ CTN]]="","",TRUE)</f>
        <v/>
      </c>
      <c r="AT529" s="56" t="str">
        <f ca="1">IF(NOTA[[#This Row],[ID_H]]="","",IF(NOTA[[#This Row],[Column3]]=TRUE,NOTA[[#This Row],[QTY/ CTN]],INDEX([3]!db[QTY/ CTN],NOTA[[#This Row],[//DB]])))</f>
        <v>48 BOX (10 PCS)</v>
      </c>
      <c r="AU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kenkohighlighterhl100purple48box10pcsartomoro</v>
      </c>
      <c r="AV529" s="56" t="e">
        <f ca="1">IF(NOTA[[#This Row],[ID_H]]="","",MATCH(NOTA[[#This Row],[NB NOTA_C_QTY]],[4]!db[NB NOTA_C_QTY+F],0))</f>
        <v>#REF!</v>
      </c>
      <c r="AW529" s="68">
        <f ca="1">IF(NOTA[[#This Row],[NB NOTA_C_QTY]]="","",ROW()-2)</f>
        <v>527</v>
      </c>
    </row>
    <row r="530" spans="1:49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94</v>
      </c>
      <c r="E530" s="57"/>
      <c r="F530" s="58"/>
      <c r="G530" s="58"/>
      <c r="H530" s="59"/>
      <c r="I530" s="58"/>
      <c r="J530" s="60"/>
      <c r="K530" s="58"/>
      <c r="L530" s="37" t="s">
        <v>185</v>
      </c>
      <c r="M530" s="61"/>
      <c r="N530" s="56">
        <v>12</v>
      </c>
      <c r="O530" s="37" t="s">
        <v>183</v>
      </c>
      <c r="P530" s="55">
        <v>30500</v>
      </c>
      <c r="Q530" s="62"/>
      <c r="R530" s="63"/>
      <c r="S530" s="64">
        <v>0.17</v>
      </c>
      <c r="T530" s="65"/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366000</v>
      </c>
      <c r="Y530" s="66">
        <f>IF(NOTA[[#This Row],[JUMLAH]]="","",NOTA[[#This Row],[JUMLAH]]*NOTA[[#This Row],[DISC 1]])</f>
        <v>62220.000000000007</v>
      </c>
      <c r="Z530" s="66">
        <f>IF(NOTA[[#This Row],[JUMLAH]]="","",(NOTA[[#This Row],[JUMLAH]]-NOTA[[#This Row],[DISC 1-]])*NOTA[[#This Row],[DISC 2]])</f>
        <v>0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62220.000000000007</v>
      </c>
      <c r="AC530" s="66">
        <f>IF(NOTA[[#This Row],[JUMLAH]]="","",NOTA[[#This Row],[JUMLAH]]-NOTA[[#This Row],[DISC]])</f>
        <v>303780</v>
      </c>
      <c r="AD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2650164</v>
      </c>
      <c r="AE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12939036</v>
      </c>
      <c r="AF530" s="55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G530" s="66">
        <f>IF(OR(NOTA[[#This Row],[QTY]]="",NOTA[[#This Row],[HARGA SATUAN]]="",),"",NOTA[[#This Row],[QTY]]*NOTA[[#This Row],[HARGA SATUAN]])</f>
        <v>366000</v>
      </c>
      <c r="AH530" s="60">
        <f ca="1">IF(NOTA[ID_H]="","",INDEX(NOTA[TANGGAL],MATCH(,INDIRECT(ADDRESS(ROW(NOTA[TANGGAL]),COLUMN(NOTA[TANGGAL]))&amp;":"&amp;ADDRESS(ROW(),COLUMN(NOTA[TANGGAL]))),-1)))</f>
        <v>45196</v>
      </c>
      <c r="AI530" s="55" t="str">
        <f ca="1">IF(NOTA[[#This Row],[NAMA BARANG]]="","",INDEX(NOTA[SUPPLIER],MATCH(,INDIRECT(ADDRESS(ROW(NOTA[ID]),COLUMN(NOTA[ID]))&amp;":"&amp;ADDRESS(ROW(),COLUMN(NOTA[ID]))),-1)))</f>
        <v>KENKO SINAR INDONESIA</v>
      </c>
      <c r="AJ530" s="55" t="str">
        <f ca="1">IF(NOTA[[#This Row],[ID_H]]="","",IF(NOTA[[#This Row],[FAKTUR]]="",INDIRECT(ADDRESS(ROW()-1,COLUMN())),NOTA[[#This Row],[FAKTUR]]))</f>
        <v>ARTO MORO</v>
      </c>
      <c r="AK530" s="56" t="str">
        <f ca="1">IF(NOTA[[#This Row],[ID]]="","",COUNTIF(NOTA[ID_H],NOTA[[#This Row],[ID_H]]))</f>
        <v/>
      </c>
      <c r="AL530" s="56">
        <f ca="1">IF(NOTA[[#This Row],[TGL.NOTA]]="",IF(NOTA[[#This Row],[SUPPLIER_H]]="","",AL529),MONTH(NOTA[[#This Row],[TGL.NOTA]]))</f>
        <v>9</v>
      </c>
      <c r="AM530" s="56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N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kenkohighlighterhl100yellow3660000.17</v>
      </c>
      <c r="AO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kenkohighlighterhl100yellow305000.17</v>
      </c>
      <c r="AP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56" t="str">
        <f>IF(NOTA[[#This Row],[CONCAT4]]="","",_xlfn.IFNA(MATCH(NOTA[[#This Row],[CONCAT4]],[2]!RAW[CONCAT_H],0),FALSE))</f>
        <v/>
      </c>
      <c r="AR530" s="56">
        <f>IF(NOTA[[#This Row],[CONCAT1]]="","",MATCH(NOTA[[#This Row],[CONCAT1]],[3]!db[NB NOTA_C],0))</f>
        <v>1463</v>
      </c>
      <c r="AS530" s="56" t="str">
        <f>IF(NOTA[[#This Row],[QTY/ CTN]]="","",TRUE)</f>
        <v/>
      </c>
      <c r="AT530" s="56" t="str">
        <f ca="1">IF(NOTA[[#This Row],[ID_H]]="","",IF(NOTA[[#This Row],[Column3]]=TRUE,NOTA[[#This Row],[QTY/ CTN]],INDEX([3]!db[QTY/ CTN],NOTA[[#This Row],[//DB]])))</f>
        <v>48 BOX (10 PCS)</v>
      </c>
      <c r="AU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V530" s="56" t="e">
        <f ca="1">IF(NOTA[[#This Row],[ID_H]]="","",MATCH(NOTA[[#This Row],[NB NOTA_C_QTY]],[4]!db[NB NOTA_C_QTY+F],0))</f>
        <v>#REF!</v>
      </c>
      <c r="AW530" s="68">
        <f ca="1">IF(NOTA[[#This Row],[NB NOTA_C_QTY]]="","",ROW()-2)</f>
        <v>528</v>
      </c>
    </row>
    <row r="531" spans="1:49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1" s="66" t="str">
        <f>IF(OR(NOTA[[#This Row],[QTY]]="",NOTA[[#This Row],[HARGA SATUAN]]="",),"",NOTA[[#This Row],[QTY]]*NOTA[[#This Row],[HARGA SATUAN]])</f>
        <v/>
      </c>
      <c r="AH531" s="60" t="str">
        <f ca="1">IF(NOTA[ID_H]="","",INDEX(NOTA[TANGGAL],MATCH(,INDIRECT(ADDRESS(ROW(NOTA[TANGGAL]),COLUMN(NOTA[TANGGAL]))&amp;":"&amp;ADDRESS(ROW(),COLUMN(NOTA[TANGGAL]))),-1)))</f>
        <v/>
      </c>
      <c r="AI531" s="55" t="str">
        <f ca="1">IF(NOTA[[#This Row],[NAMA BARANG]]="","",INDEX(NOTA[SUPPLIER],MATCH(,INDIRECT(ADDRESS(ROW(NOTA[ID]),COLUMN(NOTA[ID]))&amp;":"&amp;ADDRESS(ROW(),COLUMN(NOTA[ID]))),-1)))</f>
        <v/>
      </c>
      <c r="AJ531" s="55" t="str">
        <f ca="1">IF(NOTA[[#This Row],[ID_H]]="","",IF(NOTA[[#This Row],[FAKTUR]]="",INDIRECT(ADDRESS(ROW()-1,COLUMN())),NOTA[[#This Row],[FAKTUR]]))</f>
        <v/>
      </c>
      <c r="AK531" s="56" t="str">
        <f ca="1">IF(NOTA[[#This Row],[ID]]="","",COUNTIF(NOTA[ID_H],NOTA[[#This Row],[ID_H]]))</f>
        <v/>
      </c>
      <c r="AL531" s="56" t="str">
        <f ca="1">IF(NOTA[[#This Row],[TGL.NOTA]]="",IF(NOTA[[#This Row],[SUPPLIER_H]]="","",AL530),MONTH(NOTA[[#This Row],[TGL.NOTA]]))</f>
        <v/>
      </c>
      <c r="AM531" s="56" t="str">
        <f>LOWER(SUBSTITUTE(SUBSTITUTE(SUBSTITUTE(SUBSTITUTE(SUBSTITUTE(SUBSTITUTE(SUBSTITUTE(SUBSTITUTE(SUBSTITUTE(NOTA[NAMA BARANG]," ",),".",""),"-",""),"(",""),")",""),",",""),"/",""),"""",""),"+",""))</f>
        <v/>
      </c>
      <c r="AN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1" s="56" t="str">
        <f>IF(NOTA[[#This Row],[CONCAT4]]="","",_xlfn.IFNA(MATCH(NOTA[[#This Row],[CONCAT4]],[2]!RAW[CONCAT_H],0),FALSE))</f>
        <v/>
      </c>
      <c r="AR531" s="56" t="str">
        <f>IF(NOTA[[#This Row],[CONCAT1]]="","",MATCH(NOTA[[#This Row],[CONCAT1]],[3]!db[NB NOTA_C],0))</f>
        <v/>
      </c>
      <c r="AS531" s="56" t="str">
        <f>IF(NOTA[[#This Row],[QTY/ CTN]]="","",TRUE)</f>
        <v/>
      </c>
      <c r="AT531" s="56" t="str">
        <f ca="1">IF(NOTA[[#This Row],[ID_H]]="","",IF(NOTA[[#This Row],[Column3]]=TRUE,NOTA[[#This Row],[QTY/ CTN]],INDEX([3]!db[QTY/ CTN],NOTA[[#This Row],[//DB]])))</f>
        <v/>
      </c>
      <c r="AU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1" s="56" t="str">
        <f ca="1">IF(NOTA[[#This Row],[ID_H]]="","",MATCH(NOTA[[#This Row],[NB NOTA_C_QTY]],[4]!db[NB NOTA_C_QTY+F],0))</f>
        <v/>
      </c>
      <c r="AW531" s="68" t="str">
        <f ca="1">IF(NOTA[[#This Row],[NB NOTA_C_QTY]]="","",ROW()-2)</f>
        <v/>
      </c>
    </row>
    <row r="532" spans="1:49" s="38" customFormat="1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KEN_2709_008-1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95</v>
      </c>
      <c r="E532" s="57"/>
      <c r="F532" s="37" t="s">
        <v>22</v>
      </c>
      <c r="G532" s="37" t="s">
        <v>23</v>
      </c>
      <c r="H532" s="47" t="s">
        <v>636</v>
      </c>
      <c r="I532" s="58"/>
      <c r="J532" s="60">
        <v>45191</v>
      </c>
      <c r="K532" s="58"/>
      <c r="L532" s="37" t="s">
        <v>635</v>
      </c>
      <c r="M532" s="61">
        <v>2</v>
      </c>
      <c r="N532" s="56"/>
      <c r="O532" s="58"/>
      <c r="P532" s="55"/>
      <c r="Q532" s="62">
        <v>5702400</v>
      </c>
      <c r="R532" s="63"/>
      <c r="S532" s="64">
        <v>0.17</v>
      </c>
      <c r="T532" s="65"/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11404800</v>
      </c>
      <c r="Y532" s="66">
        <f>IF(NOTA[[#This Row],[JUMLAH]]="","",NOTA[[#This Row],[JUMLAH]]*NOTA[[#This Row],[DISC 1]])</f>
        <v>1938816.0000000002</v>
      </c>
      <c r="Z532" s="66">
        <f>IF(NOTA[[#This Row],[JUMLAH]]="","",(NOTA[[#This Row],[JUMLAH]]-NOTA[[#This Row],[DISC 1-]])*NOTA[[#This Row],[DISC 2]])</f>
        <v>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1938816.0000000002</v>
      </c>
      <c r="AC532" s="66">
        <f>IF(NOTA[[#This Row],[JUMLAH]]="","",NOTA[[#This Row],[JUMLAH]]-NOTA[[#This Row],[DISC]])</f>
        <v>9465984</v>
      </c>
      <c r="AD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1938816.0000000002</v>
      </c>
      <c r="AE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9465984</v>
      </c>
      <c r="AF532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532" s="66" t="str">
        <f>IF(OR(NOTA[[#This Row],[QTY]]="",NOTA[[#This Row],[HARGA SATUAN]]="",),"",NOTA[[#This Row],[QTY]]*NOTA[[#This Row],[HARGA SATUAN]])</f>
        <v/>
      </c>
      <c r="AH532" s="60">
        <f ca="1">IF(NOTA[ID_H]="","",INDEX(NOTA[TANGGAL],MATCH(,INDIRECT(ADDRESS(ROW(NOTA[TANGGAL]),COLUMN(NOTA[TANGGAL]))&amp;":"&amp;ADDRESS(ROW(),COLUMN(NOTA[TANGGAL]))),-1)))</f>
        <v>45196</v>
      </c>
      <c r="AI532" s="55" t="str">
        <f ca="1">IF(NOTA[[#This Row],[NAMA BARANG]]="","",INDEX(NOTA[SUPPLIER],MATCH(,INDIRECT(ADDRESS(ROW(NOTA[ID]),COLUMN(NOTA[ID]))&amp;":"&amp;ADDRESS(ROW(),COLUMN(NOTA[ID]))),-1)))</f>
        <v>KENKO SINAR INDONESIA</v>
      </c>
      <c r="AJ532" s="55" t="str">
        <f ca="1">IF(NOTA[[#This Row],[ID_H]]="","",IF(NOTA[[#This Row],[FAKTUR]]="",INDIRECT(ADDRESS(ROW()-1,COLUMN())),NOTA[[#This Row],[FAKTUR]]))</f>
        <v>ARTO MORO</v>
      </c>
      <c r="AK532" s="56">
        <f ca="1">IF(NOTA[[#This Row],[ID]]="","",COUNTIF(NOTA[ID_H],NOTA[[#This Row],[ID_H]]))</f>
        <v>1</v>
      </c>
      <c r="AL532" s="56">
        <f>IF(NOTA[[#This Row],[TGL.NOTA]]="",IF(NOTA[[#This Row],[SUPPLIER_H]]="","",AL531),MONTH(NOTA[[#This Row],[TGL.NOTA]]))</f>
        <v>9</v>
      </c>
      <c r="AM532" s="5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53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MORO2309200845191kenkogelpenk1black</v>
      </c>
      <c r="AQ532" s="56" t="e">
        <f>IF(NOTA[[#This Row],[CONCAT4]]="","",_xlfn.IFNA(MATCH(NOTA[[#This Row],[CONCAT4]],[2]!RAW[CONCAT_H],0),FALSE))</f>
        <v>#REF!</v>
      </c>
      <c r="AR532" s="56">
        <f>IF(NOTA[[#This Row],[CONCAT1]]="","",MATCH(NOTA[[#This Row],[CONCAT1]],[3]!db[NB NOTA_C],0))</f>
        <v>1419</v>
      </c>
      <c r="AS532" s="56" t="str">
        <f>IF(NOTA[[#This Row],[QTY/ CTN]]="","",TRUE)</f>
        <v/>
      </c>
      <c r="AT532" s="56" t="str">
        <f ca="1">IF(NOTA[[#This Row],[ID_H]]="","",IF(NOTA[[#This Row],[Column3]]=TRUE,NOTA[[#This Row],[QTY/ CTN]],INDEX([3]!db[QTY/ CTN],NOTA[[#This Row],[//DB]])))</f>
        <v>144 LSN</v>
      </c>
      <c r="AU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V532" s="56" t="e">
        <f ca="1">IF(NOTA[[#This Row],[ID_H]]="","",MATCH(NOTA[[#This Row],[NB NOTA_C_QTY]],[4]!db[NB NOTA_C_QTY+F],0))</f>
        <v>#REF!</v>
      </c>
      <c r="AW532" s="68">
        <f ca="1">IF(NOTA[[#This Row],[NB NOTA_C_QTY]]="","",ROW()-2)</f>
        <v>530</v>
      </c>
    </row>
    <row r="533" spans="1:49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3" s="66" t="str">
        <f>IF(OR(NOTA[[#This Row],[QTY]]="",NOTA[[#This Row],[HARGA SATUAN]]="",),"",NOTA[[#This Row],[QTY]]*NOTA[[#This Row],[HARGA SATUAN]])</f>
        <v/>
      </c>
      <c r="AH533" s="60" t="str">
        <f ca="1">IF(NOTA[ID_H]="","",INDEX(NOTA[TANGGAL],MATCH(,INDIRECT(ADDRESS(ROW(NOTA[TANGGAL]),COLUMN(NOTA[TANGGAL]))&amp;":"&amp;ADDRESS(ROW(),COLUMN(NOTA[TANGGAL]))),-1)))</f>
        <v/>
      </c>
      <c r="AI533" s="55" t="str">
        <f ca="1">IF(NOTA[[#This Row],[NAMA BARANG]]="","",INDEX(NOTA[SUPPLIER],MATCH(,INDIRECT(ADDRESS(ROW(NOTA[ID]),COLUMN(NOTA[ID]))&amp;":"&amp;ADDRESS(ROW(),COLUMN(NOTA[ID]))),-1)))</f>
        <v/>
      </c>
      <c r="AJ533" s="55" t="str">
        <f ca="1">IF(NOTA[[#This Row],[ID_H]]="","",IF(NOTA[[#This Row],[FAKTUR]]="",INDIRECT(ADDRESS(ROW()-1,COLUMN())),NOTA[[#This Row],[FAKTUR]]))</f>
        <v/>
      </c>
      <c r="AK533" s="56" t="str">
        <f ca="1">IF(NOTA[[#This Row],[ID]]="","",COUNTIF(NOTA[ID_H],NOTA[[#This Row],[ID_H]]))</f>
        <v/>
      </c>
      <c r="AL533" s="56" t="str">
        <f ca="1">IF(NOTA[[#This Row],[TGL.NOTA]]="",IF(NOTA[[#This Row],[SUPPLIER_H]]="","",AL532),MONTH(NOTA[[#This Row],[TGL.NOTA]]))</f>
        <v/>
      </c>
      <c r="AM533" s="56" t="str">
        <f>LOWER(SUBSTITUTE(SUBSTITUTE(SUBSTITUTE(SUBSTITUTE(SUBSTITUTE(SUBSTITUTE(SUBSTITUTE(SUBSTITUTE(SUBSTITUTE(NOTA[NAMA BARANG]," ",),".",""),"-",""),"(",""),")",""),",",""),"/",""),"""",""),"+",""))</f>
        <v/>
      </c>
      <c r="AN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3" s="56" t="str">
        <f>IF(NOTA[[#This Row],[CONCAT4]]="","",_xlfn.IFNA(MATCH(NOTA[[#This Row],[CONCAT4]],[2]!RAW[CONCAT_H],0),FALSE))</f>
        <v/>
      </c>
      <c r="AR533" s="56" t="str">
        <f>IF(NOTA[[#This Row],[CONCAT1]]="","",MATCH(NOTA[[#This Row],[CONCAT1]],[3]!db[NB NOTA_C],0))</f>
        <v/>
      </c>
      <c r="AS533" s="56" t="str">
        <f>IF(NOTA[[#This Row],[QTY/ CTN]]="","",TRUE)</f>
        <v/>
      </c>
      <c r="AT533" s="56" t="str">
        <f ca="1">IF(NOTA[[#This Row],[ID_H]]="","",IF(NOTA[[#This Row],[Column3]]=TRUE,NOTA[[#This Row],[QTY/ CTN]],INDEX([3]!db[QTY/ CTN],NOTA[[#This Row],[//DB]])))</f>
        <v/>
      </c>
      <c r="AU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3" s="56" t="str">
        <f ca="1">IF(NOTA[[#This Row],[ID_H]]="","",MATCH(NOTA[[#This Row],[NB NOTA_C_QTY]],[4]!db[NB NOTA_C_QTY+F],0))</f>
        <v/>
      </c>
      <c r="AW533" s="68" t="str">
        <f ca="1">IF(NOTA[[#This Row],[NB NOTA_C_QTY]]="","",ROW()-2)</f>
        <v/>
      </c>
    </row>
    <row r="534" spans="1:49" s="38" customFormat="1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ATA_2709_837-3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96</v>
      </c>
      <c r="E534" s="57"/>
      <c r="F534" s="37" t="s">
        <v>24</v>
      </c>
      <c r="G534" s="37" t="s">
        <v>23</v>
      </c>
      <c r="H534" s="47" t="s">
        <v>637</v>
      </c>
      <c r="I534" s="58"/>
      <c r="J534" s="60">
        <v>45191</v>
      </c>
      <c r="K534" s="58"/>
      <c r="L534" s="37" t="s">
        <v>471</v>
      </c>
      <c r="M534" s="61">
        <v>1</v>
      </c>
      <c r="N534" s="56">
        <v>48</v>
      </c>
      <c r="O534" s="37" t="s">
        <v>132</v>
      </c>
      <c r="P534" s="55">
        <v>29600</v>
      </c>
      <c r="Q534" s="62"/>
      <c r="R534" s="63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1420800</v>
      </c>
      <c r="Y534" s="66">
        <f>IF(NOTA[[#This Row],[JUMLAH]]="","",NOTA[[#This Row],[JUMLAH]]*NOTA[[#This Row],[DISC 1]])</f>
        <v>177600</v>
      </c>
      <c r="Z534" s="66">
        <f>IF(NOTA[[#This Row],[JUMLAH]]="","",(NOTA[[#This Row],[JUMLAH]]-NOTA[[#This Row],[DISC 1-]])*NOTA[[#This Row],[DISC 2]])</f>
        <v>62160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239760</v>
      </c>
      <c r="AC534" s="66">
        <f>IF(NOTA[[#This Row],[JUMLAH]]="","",NOTA[[#This Row],[JUMLAH]]-NOTA[[#This Row],[DISC]])</f>
        <v>1181040</v>
      </c>
      <c r="AD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4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534" s="66">
        <f>IF(OR(NOTA[[#This Row],[QTY]]="",NOTA[[#This Row],[HARGA SATUAN]]="",),"",NOTA[[#This Row],[QTY]]*NOTA[[#This Row],[HARGA SATUAN]])</f>
        <v>1420800</v>
      </c>
      <c r="AH534" s="60">
        <f ca="1">IF(NOTA[ID_H]="","",INDEX(NOTA[TANGGAL],MATCH(,INDIRECT(ADDRESS(ROW(NOTA[TANGGAL]),COLUMN(NOTA[TANGGAL]))&amp;":"&amp;ADDRESS(ROW(),COLUMN(NOTA[TANGGAL]))),-1)))</f>
        <v>45196</v>
      </c>
      <c r="AI534" s="55" t="str">
        <f ca="1">IF(NOTA[[#This Row],[NAMA BARANG]]="","",INDEX(NOTA[SUPPLIER],MATCH(,INDIRECT(ADDRESS(ROW(NOTA[ID]),COLUMN(NOTA[ID]))&amp;":"&amp;ADDRESS(ROW(),COLUMN(NOTA[ID]))),-1)))</f>
        <v>ATALI MAKMUR</v>
      </c>
      <c r="AJ534" s="55" t="str">
        <f ca="1">IF(NOTA[[#This Row],[ID_H]]="","",IF(NOTA[[#This Row],[FAKTUR]]="",INDIRECT(ADDRESS(ROW()-1,COLUMN())),NOTA[[#This Row],[FAKTUR]]))</f>
        <v>ARTO MORO</v>
      </c>
      <c r="AK534" s="56">
        <f ca="1">IF(NOTA[[#This Row],[ID]]="","",COUNTIF(NOTA[ID_H],NOTA[[#This Row],[ID_H]]))</f>
        <v>3</v>
      </c>
      <c r="AL534" s="56">
        <f>IF(NOTA[[#This Row],[TGL.NOTA]]="",IF(NOTA[[#This Row],[SUPPLIER_H]]="","",AL533),MONTH(NOTA[[#This Row],[TGL.NOTA]]))</f>
        <v>9</v>
      </c>
      <c r="AM534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3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MOROSA23091683745191oilpastelop24sppcaseseaworldjk</v>
      </c>
      <c r="AQ534" s="56" t="e">
        <f>IF(NOTA[[#This Row],[CONCAT4]]="","",_xlfn.IFNA(MATCH(NOTA[[#This Row],[CONCAT4]],[2]!RAW[CONCAT_H],0),FALSE))</f>
        <v>#REF!</v>
      </c>
      <c r="AR534" s="56">
        <f>IF(NOTA[[#This Row],[CONCAT1]]="","",MATCH(NOTA[[#This Row],[CONCAT1]],[3]!db[NB NOTA_C],0))</f>
        <v>1897</v>
      </c>
      <c r="AS534" s="56" t="str">
        <f>IF(NOTA[[#This Row],[QTY/ CTN]]="","",TRUE)</f>
        <v/>
      </c>
      <c r="AT534" s="56" t="str">
        <f ca="1">IF(NOTA[[#This Row],[ID_H]]="","",IF(NOTA[[#This Row],[Column3]]=TRUE,NOTA[[#This Row],[QTY/ CTN]],INDEX([3]!db[QTY/ CTN],NOTA[[#This Row],[//DB]])))</f>
        <v>8 BOX (6 SET)</v>
      </c>
      <c r="AU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534" s="56" t="e">
        <f ca="1">IF(NOTA[[#This Row],[ID_H]]="","",MATCH(NOTA[[#This Row],[NB NOTA_C_QTY]],[4]!db[NB NOTA_C_QTY+F],0))</f>
        <v>#REF!</v>
      </c>
      <c r="AW534" s="68">
        <f ca="1">IF(NOTA[[#This Row],[NB NOTA_C_QTY]]="","",ROW()-2)</f>
        <v>532</v>
      </c>
    </row>
    <row r="535" spans="1:49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96</v>
      </c>
      <c r="E535" s="57"/>
      <c r="F535" s="58"/>
      <c r="G535" s="58"/>
      <c r="H535" s="59"/>
      <c r="I535" s="58"/>
      <c r="J535" s="60"/>
      <c r="K535" s="58"/>
      <c r="L535" s="37" t="s">
        <v>638</v>
      </c>
      <c r="M535" s="61">
        <v>1</v>
      </c>
      <c r="N535" s="56">
        <v>12</v>
      </c>
      <c r="O535" s="37" t="s">
        <v>212</v>
      </c>
      <c r="P535" s="55">
        <v>176400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2116800</v>
      </c>
      <c r="Y535" s="66">
        <f>IF(NOTA[[#This Row],[JUMLAH]]="","",NOTA[[#This Row],[JUMLAH]]*NOTA[[#This Row],[DISC 1]])</f>
        <v>264600</v>
      </c>
      <c r="Z535" s="66">
        <f>IF(NOTA[[#This Row],[JUMLAH]]="","",(NOTA[[#This Row],[JUMLAH]]-NOTA[[#This Row],[DISC 1-]])*NOTA[[#This Row],[DISC 2]])</f>
        <v>92610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357210</v>
      </c>
      <c r="AC535" s="66">
        <f>IF(NOTA[[#This Row],[JUMLAH]]="","",NOTA[[#This Row],[JUMLAH]]-NOTA[[#This Row],[DISC]])</f>
        <v>1759590</v>
      </c>
      <c r="AD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5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G535" s="66">
        <f>IF(OR(NOTA[[#This Row],[QTY]]="",NOTA[[#This Row],[HARGA SATUAN]]="",),"",NOTA[[#This Row],[QTY]]*NOTA[[#This Row],[HARGA SATUAN]])</f>
        <v>2116800</v>
      </c>
      <c r="AH535" s="60">
        <f ca="1">IF(NOTA[ID_H]="","",INDEX(NOTA[TANGGAL],MATCH(,INDIRECT(ADDRESS(ROW(NOTA[TANGGAL]),COLUMN(NOTA[TANGGAL]))&amp;":"&amp;ADDRESS(ROW(),COLUMN(NOTA[TANGGAL]))),-1)))</f>
        <v>45196</v>
      </c>
      <c r="AI535" s="55" t="str">
        <f ca="1">IF(NOTA[[#This Row],[NAMA BARANG]]="","",INDEX(NOTA[SUPPLIER],MATCH(,INDIRECT(ADDRESS(ROW(NOTA[ID]),COLUMN(NOTA[ID]))&amp;":"&amp;ADDRESS(ROW(),COLUMN(NOTA[ID]))),-1)))</f>
        <v>ATALI MAKMUR</v>
      </c>
      <c r="AJ535" s="55" t="str">
        <f ca="1">IF(NOTA[[#This Row],[ID_H]]="","",IF(NOTA[[#This Row],[FAKTUR]]="",INDIRECT(ADDRESS(ROW()-1,COLUMN())),NOTA[[#This Row],[FAKTUR]]))</f>
        <v>ARTO MORO</v>
      </c>
      <c r="AK535" s="56" t="str">
        <f ca="1">IF(NOTA[[#This Row],[ID]]="","",COUNTIF(NOTA[ID_H],NOTA[[#This Row],[ID_H]]))</f>
        <v/>
      </c>
      <c r="AL535" s="56">
        <f ca="1">IF(NOTA[[#This Row],[TGL.NOTA]]="",IF(NOTA[[#This Row],[SUPPLIER_H]]="","",AL534),MONTH(NOTA[[#This Row],[TGL.NOTA]]))</f>
        <v>9</v>
      </c>
      <c r="AM535" s="5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N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O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P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5" s="56" t="str">
        <f>IF(NOTA[[#This Row],[CONCAT4]]="","",_xlfn.IFNA(MATCH(NOTA[[#This Row],[CONCAT4]],[2]!RAW[CONCAT_H],0),FALSE))</f>
        <v/>
      </c>
      <c r="AR535" s="56">
        <f>IF(NOTA[[#This Row],[CONCAT1]]="","",MATCH(NOTA[[#This Row],[CONCAT1]],[3]!db[NB NOTA_C],0))</f>
        <v>2169</v>
      </c>
      <c r="AS535" s="56" t="str">
        <f>IF(NOTA[[#This Row],[QTY/ CTN]]="","",TRUE)</f>
        <v/>
      </c>
      <c r="AT535" s="56" t="str">
        <f ca="1">IF(NOTA[[#This Row],[ID_H]]="","",IF(NOTA[[#This Row],[Column3]]=TRUE,NOTA[[#This Row],[QTY/ CTN]],INDEX([3]!db[QTY/ CTN],NOTA[[#This Row],[//DB]])))</f>
        <v>12 GRS</v>
      </c>
      <c r="AU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V535" s="56" t="e">
        <f ca="1">IF(NOTA[[#This Row],[ID_H]]="","",MATCH(NOTA[[#This Row],[NB NOTA_C_QTY]],[4]!db[NB NOTA_C_QTY+F],0))</f>
        <v>#REF!</v>
      </c>
      <c r="AW535" s="68">
        <f ca="1">IF(NOTA[[#This Row],[NB NOTA_C_QTY]]="","",ROW()-2)</f>
        <v>533</v>
      </c>
    </row>
    <row r="536" spans="1:49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96</v>
      </c>
      <c r="E536" s="57"/>
      <c r="F536" s="58"/>
      <c r="G536" s="58"/>
      <c r="H536" s="59"/>
      <c r="I536" s="58"/>
      <c r="J536" s="60"/>
      <c r="K536" s="58"/>
      <c r="L536" s="37" t="s">
        <v>208</v>
      </c>
      <c r="M536" s="61">
        <v>1</v>
      </c>
      <c r="N536" s="56">
        <v>144</v>
      </c>
      <c r="O536" s="37" t="s">
        <v>132</v>
      </c>
      <c r="P536" s="55">
        <v>23900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3441600</v>
      </c>
      <c r="Y536" s="66">
        <f>IF(NOTA[[#This Row],[JUMLAH]]="","",NOTA[[#This Row],[JUMLAH]]*NOTA[[#This Row],[DISC 1]])</f>
        <v>430200</v>
      </c>
      <c r="Z536" s="66">
        <f>IF(NOTA[[#This Row],[JUMLAH]]="","",(NOTA[[#This Row],[JUMLAH]]-NOTA[[#This Row],[DISC 1-]])*NOTA[[#This Row],[DISC 2]])</f>
        <v>150570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580770</v>
      </c>
      <c r="AC536" s="66">
        <f>IF(NOTA[[#This Row],[JUMLAH]]="","",NOTA[[#This Row],[JUMLAH]]-NOTA[[#This Row],[DISC]])</f>
        <v>2860830</v>
      </c>
      <c r="AD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1177740</v>
      </c>
      <c r="AE5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5801460</v>
      </c>
      <c r="AF53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G536" s="66">
        <f>IF(OR(NOTA[[#This Row],[QTY]]="",NOTA[[#This Row],[HARGA SATUAN]]="",),"",NOTA[[#This Row],[QTY]]*NOTA[[#This Row],[HARGA SATUAN]])</f>
        <v>3441600</v>
      </c>
      <c r="AH536" s="60">
        <f ca="1">IF(NOTA[ID_H]="","",INDEX(NOTA[TANGGAL],MATCH(,INDIRECT(ADDRESS(ROW(NOTA[TANGGAL]),COLUMN(NOTA[TANGGAL]))&amp;":"&amp;ADDRESS(ROW(),COLUMN(NOTA[TANGGAL]))),-1)))</f>
        <v>45196</v>
      </c>
      <c r="AI536" s="55" t="str">
        <f ca="1">IF(NOTA[[#This Row],[NAMA BARANG]]="","",INDEX(NOTA[SUPPLIER],MATCH(,INDIRECT(ADDRESS(ROW(NOTA[ID]),COLUMN(NOTA[ID]))&amp;":"&amp;ADDRESS(ROW(),COLUMN(NOTA[ID]))),-1)))</f>
        <v>ATALI MAKMUR</v>
      </c>
      <c r="AJ536" s="55" t="str">
        <f ca="1">IF(NOTA[[#This Row],[ID_H]]="","",IF(NOTA[[#This Row],[FAKTUR]]="",INDIRECT(ADDRESS(ROW()-1,COLUMN())),NOTA[[#This Row],[FAKTUR]]))</f>
        <v>ARTO MORO</v>
      </c>
      <c r="AK536" s="56" t="str">
        <f ca="1">IF(NOTA[[#This Row],[ID]]="","",COUNTIF(NOTA[ID_H],NOTA[[#This Row],[ID_H]]))</f>
        <v/>
      </c>
      <c r="AL536" s="56">
        <f ca="1">IF(NOTA[[#This Row],[TGL.NOTA]]="",IF(NOTA[[#This Row],[SUPPLIER_H]]="","",AL535),MONTH(NOTA[[#This Row],[TGL.NOTA]]))</f>
        <v>9</v>
      </c>
      <c r="AM536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56" t="str">
        <f>IF(NOTA[[#This Row],[CONCAT4]]="","",_xlfn.IFNA(MATCH(NOTA[[#This Row],[CONCAT4]],[2]!RAW[CONCAT_H],0),FALSE))</f>
        <v/>
      </c>
      <c r="AR536" s="56">
        <f>IF(NOTA[[#This Row],[CONCAT1]]="","",MATCH(NOTA[[#This Row],[CONCAT1]],[3]!db[NB NOTA_C],0))</f>
        <v>669</v>
      </c>
      <c r="AS536" s="56" t="str">
        <f>IF(NOTA[[#This Row],[QTY/ CTN]]="","",TRUE)</f>
        <v/>
      </c>
      <c r="AT536" s="56" t="str">
        <f ca="1">IF(NOTA[[#This Row],[ID_H]]="","",IF(NOTA[[#This Row],[Column3]]=TRUE,NOTA[[#This Row],[QTY/ CTN]],INDEX([3]!db[QTY/ CTN],NOTA[[#This Row],[//DB]])))</f>
        <v>12 LSN</v>
      </c>
      <c r="AU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V536" s="56" t="e">
        <f ca="1">IF(NOTA[[#This Row],[ID_H]]="","",MATCH(NOTA[[#This Row],[NB NOTA_C_QTY]],[4]!db[NB NOTA_C_QTY+F],0))</f>
        <v>#REF!</v>
      </c>
      <c r="AW536" s="68">
        <f ca="1">IF(NOTA[[#This Row],[NB NOTA_C_QTY]]="","",ROW()-2)</f>
        <v>534</v>
      </c>
    </row>
    <row r="537" spans="1:49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58"/>
      <c r="M537" s="61"/>
      <c r="N537" s="56"/>
      <c r="O537" s="58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7" s="66" t="str">
        <f>IF(OR(NOTA[[#This Row],[QTY]]="",NOTA[[#This Row],[HARGA SATUAN]]="",),"",NOTA[[#This Row],[QTY]]*NOTA[[#This Row],[HARGA SATUAN]])</f>
        <v/>
      </c>
      <c r="AH537" s="60" t="str">
        <f ca="1">IF(NOTA[ID_H]="","",INDEX(NOTA[TANGGAL],MATCH(,INDIRECT(ADDRESS(ROW(NOTA[TANGGAL]),COLUMN(NOTA[TANGGAL]))&amp;":"&amp;ADDRESS(ROW(),COLUMN(NOTA[TANGGAL]))),-1)))</f>
        <v/>
      </c>
      <c r="AI537" s="55" t="str">
        <f ca="1">IF(NOTA[[#This Row],[NAMA BARANG]]="","",INDEX(NOTA[SUPPLIER],MATCH(,INDIRECT(ADDRESS(ROW(NOTA[ID]),COLUMN(NOTA[ID]))&amp;":"&amp;ADDRESS(ROW(),COLUMN(NOTA[ID]))),-1)))</f>
        <v/>
      </c>
      <c r="AJ537" s="55" t="str">
        <f ca="1">IF(NOTA[[#This Row],[ID_H]]="","",IF(NOTA[[#This Row],[FAKTUR]]="",INDIRECT(ADDRESS(ROW()-1,COLUMN())),NOTA[[#This Row],[FAKTUR]]))</f>
        <v/>
      </c>
      <c r="AK537" s="56" t="str">
        <f ca="1">IF(NOTA[[#This Row],[ID]]="","",COUNTIF(NOTA[ID_H],NOTA[[#This Row],[ID_H]]))</f>
        <v/>
      </c>
      <c r="AL537" s="56" t="str">
        <f ca="1">IF(NOTA[[#This Row],[TGL.NOTA]]="",IF(NOTA[[#This Row],[SUPPLIER_H]]="","",AL536),MONTH(NOTA[[#This Row],[TGL.NOTA]]))</f>
        <v/>
      </c>
      <c r="AM537" s="56" t="str">
        <f>LOWER(SUBSTITUTE(SUBSTITUTE(SUBSTITUTE(SUBSTITUTE(SUBSTITUTE(SUBSTITUTE(SUBSTITUTE(SUBSTITUTE(SUBSTITUTE(NOTA[NAMA BARANG]," ",),".",""),"-",""),"(",""),")",""),",",""),"/",""),"""",""),"+",""))</f>
        <v/>
      </c>
      <c r="AN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7" s="56" t="str">
        <f>IF(NOTA[[#This Row],[CONCAT4]]="","",_xlfn.IFNA(MATCH(NOTA[[#This Row],[CONCAT4]],[2]!RAW[CONCAT_H],0),FALSE))</f>
        <v/>
      </c>
      <c r="AR537" s="56" t="str">
        <f>IF(NOTA[[#This Row],[CONCAT1]]="","",MATCH(NOTA[[#This Row],[CONCAT1]],[3]!db[NB NOTA_C],0))</f>
        <v/>
      </c>
      <c r="AS537" s="56" t="str">
        <f>IF(NOTA[[#This Row],[QTY/ CTN]]="","",TRUE)</f>
        <v/>
      </c>
      <c r="AT537" s="56" t="str">
        <f ca="1">IF(NOTA[[#This Row],[ID_H]]="","",IF(NOTA[[#This Row],[Column3]]=TRUE,NOTA[[#This Row],[QTY/ CTN]],INDEX([3]!db[QTY/ CTN],NOTA[[#This Row],[//DB]])))</f>
        <v/>
      </c>
      <c r="AU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7" s="56" t="str">
        <f ca="1">IF(NOTA[[#This Row],[ID_H]]="","",MATCH(NOTA[[#This Row],[NB NOTA_C_QTY]],[4]!db[NB NOTA_C_QTY+F],0))</f>
        <v/>
      </c>
      <c r="AW537" s="68" t="str">
        <f ca="1">IF(NOTA[[#This Row],[NB NOTA_C_QTY]]="","",ROW()-2)</f>
        <v/>
      </c>
    </row>
    <row r="538" spans="1:49" s="38" customFormat="1" ht="20.100000000000001" customHeight="1" x14ac:dyDescent="0.25">
      <c r="A538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ERA_2709_ 22-1</v>
      </c>
      <c r="C538" s="56" t="e">
        <f ca="1">IF(NOTA[[#This Row],[ID_P]]="","",MATCH(NOTA[[#This Row],[ID_P]],[1]!B_MSK[N_ID],0))</f>
        <v>#REF!</v>
      </c>
      <c r="D538" s="56">
        <f ca="1">IF(NOTA[[#This Row],[NAMA BARANG]]="","",INDEX(NOTA[ID],MATCH(,INDIRECT(ADDRESS(ROW(NOTA[ID]),COLUMN(NOTA[ID]))&amp;":"&amp;ADDRESS(ROW(),COLUMN(NOTA[ID]))),-1)))</f>
        <v>97</v>
      </c>
      <c r="E538" s="46">
        <v>45196</v>
      </c>
      <c r="F538" s="37" t="s">
        <v>639</v>
      </c>
      <c r="G538" s="37" t="s">
        <v>123</v>
      </c>
      <c r="H538" s="47" t="s">
        <v>640</v>
      </c>
      <c r="I538" s="58"/>
      <c r="J538" s="60">
        <v>45191</v>
      </c>
      <c r="K538" s="58"/>
      <c r="L538" s="37" t="s">
        <v>641</v>
      </c>
      <c r="M538" s="61">
        <v>10</v>
      </c>
      <c r="N538" s="56">
        <v>120</v>
      </c>
      <c r="O538" s="37" t="s">
        <v>138</v>
      </c>
      <c r="P538" s="55">
        <v>34000</v>
      </c>
      <c r="Q538" s="62"/>
      <c r="R538" s="48" t="s">
        <v>215</v>
      </c>
      <c r="S538" s="64"/>
      <c r="T538" s="65"/>
      <c r="U538" s="65"/>
      <c r="V538" s="66"/>
      <c r="W538" s="45" t="s">
        <v>642</v>
      </c>
      <c r="X538" s="66">
        <f>IF(NOTA[[#This Row],[HARGA/ CTN]]="",NOTA[[#This Row],[JUMLAH_H]],NOTA[[#This Row],[HARGA/ CTN]]*IF(NOTA[[#This Row],[C]]="",0,NOTA[[#This Row],[C]]))</f>
        <v>4080000</v>
      </c>
      <c r="Y538" s="66">
        <f>IF(NOTA[[#This Row],[JUMLAH]]="","",NOTA[[#This Row],[JUMLAH]]*NOTA[[#This Row],[DISC 1]])</f>
        <v>0</v>
      </c>
      <c r="Z538" s="66">
        <f>IF(NOTA[[#This Row],[JUMLAH]]="","",(NOTA[[#This Row],[JUMLAH]]-NOTA[[#This Row],[DISC 1-]])*NOTA[[#This Row],[DISC 2]])</f>
        <v>0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0</v>
      </c>
      <c r="AC538" s="66">
        <f>IF(NOTA[[#This Row],[JUMLAH]]="","",NOTA[[#This Row],[JUMLAH]]-NOTA[[#This Row],[DISC]])</f>
        <v>4080000</v>
      </c>
      <c r="AD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F538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G538" s="66">
        <f>IF(OR(NOTA[[#This Row],[QTY]]="",NOTA[[#This Row],[HARGA SATUAN]]="",),"",NOTA[[#This Row],[QTY]]*NOTA[[#This Row],[HARGA SATUAN]])</f>
        <v>4080000</v>
      </c>
      <c r="AH538" s="60">
        <f ca="1">IF(NOTA[ID_H]="","",INDEX(NOTA[TANGGAL],MATCH(,INDIRECT(ADDRESS(ROW(NOTA[TANGGAL]),COLUMN(NOTA[TANGGAL]))&amp;":"&amp;ADDRESS(ROW(),COLUMN(NOTA[TANGGAL]))),-1)))</f>
        <v>45196</v>
      </c>
      <c r="AI538" s="55" t="str">
        <f ca="1">IF(NOTA[[#This Row],[NAMA BARANG]]="","",INDEX(NOTA[SUPPLIER],MATCH(,INDIRECT(ADDRESS(ROW(NOTA[ID]),COLUMN(NOTA[ID]))&amp;":"&amp;ADDRESS(ROW(),COLUMN(NOTA[ID]))),-1)))</f>
        <v>ERA JAYA</v>
      </c>
      <c r="AJ538" s="55" t="str">
        <f ca="1">IF(NOTA[[#This Row],[ID_H]]="","",IF(NOTA[[#This Row],[FAKTUR]]="",INDIRECT(ADDRESS(ROW()-1,COLUMN())),NOTA[[#This Row],[FAKTUR]]))</f>
        <v>UNTANA</v>
      </c>
      <c r="AK538" s="56">
        <f ca="1">IF(NOTA[[#This Row],[ID]]="","",COUNTIF(NOTA[ID_H],NOTA[[#This Row],[ID_H]]))</f>
        <v>1</v>
      </c>
      <c r="AL538" s="56">
        <f>IF(NOTA[[#This Row],[TGL.NOTA]]="",IF(NOTA[[#This Row],[SUPPLIER_H]]="","",AL537),MONTH(NOTA[[#This Row],[TGL.NOTA]]))</f>
        <v>9</v>
      </c>
      <c r="AM538" s="56" t="str">
        <f>LOWER(SUBSTITUTE(SUBSTITUTE(SUBSTITUTE(SUBSTITUTE(SUBSTITUTE(SUBSTITUTE(SUBSTITUTE(SUBSTITUTE(SUBSTITUTE(NOTA[NAMA BARANG]," ",),".",""),"-",""),"(",""),")",""),",",""),"/",""),"""",""),"+",""))</f>
        <v>clipboardkayuphoenix</v>
      </c>
      <c r="AN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clipboardkayuphoenix408000</v>
      </c>
      <c r="AO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clipboardkayuphoenix408000</v>
      </c>
      <c r="AP538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005839/ V/ 2245191clipboardkayuphoenix</v>
      </c>
      <c r="AQ538" s="56" t="e">
        <f>IF(NOTA[[#This Row],[CONCAT4]]="","",_xlfn.IFNA(MATCH(NOTA[[#This Row],[CONCAT4]],[2]!RAW[CONCAT_H],0),FALSE))</f>
        <v>#REF!</v>
      </c>
      <c r="AR538" s="56" t="e">
        <f>IF(NOTA[[#This Row],[CONCAT1]]="","",MATCH(NOTA[[#This Row],[CONCAT1]],[3]!db[NB NOTA_C],0))</f>
        <v>#N/A</v>
      </c>
      <c r="AS538" s="56" t="b">
        <f>IF(NOTA[[#This Row],[QTY/ CTN]]="","",TRUE)</f>
        <v>1</v>
      </c>
      <c r="AT538" s="56" t="str">
        <f ca="1">IF(NOTA[[#This Row],[ID_H]]="","",IF(NOTA[[#This Row],[Column3]]=TRUE,NOTA[[#This Row],[QTY/ CTN]],INDEX([3]!db[QTY/ CTN],NOTA[[#This Row],[//DB]])))</f>
        <v>12 LSN</v>
      </c>
      <c r="AU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clipboardkayuphoenix12lsnuntana</v>
      </c>
      <c r="AV538" s="56" t="e">
        <f ca="1">IF(NOTA[[#This Row],[ID_H]]="","",MATCH(NOTA[[#This Row],[NB NOTA_C_QTY]],[4]!db[NB NOTA_C_QTY+F],0))</f>
        <v>#REF!</v>
      </c>
      <c r="AW538" s="68">
        <f ca="1">IF(NOTA[[#This Row],[NB NOTA_C_QTY]]="","",ROW()-2)</f>
        <v>536</v>
      </c>
    </row>
    <row r="539" spans="1:49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39" s="66" t="str">
        <f>IF(OR(NOTA[[#This Row],[QTY]]="",NOTA[[#This Row],[HARGA SATUAN]]="",),"",NOTA[[#This Row],[QTY]]*NOTA[[#This Row],[HARGA SATUAN]])</f>
        <v/>
      </c>
      <c r="AH539" s="60" t="str">
        <f ca="1">IF(NOTA[ID_H]="","",INDEX(NOTA[TANGGAL],MATCH(,INDIRECT(ADDRESS(ROW(NOTA[TANGGAL]),COLUMN(NOTA[TANGGAL]))&amp;":"&amp;ADDRESS(ROW(),COLUMN(NOTA[TANGGAL]))),-1)))</f>
        <v/>
      </c>
      <c r="AI539" s="55" t="str">
        <f ca="1">IF(NOTA[[#This Row],[NAMA BARANG]]="","",INDEX(NOTA[SUPPLIER],MATCH(,INDIRECT(ADDRESS(ROW(NOTA[ID]),COLUMN(NOTA[ID]))&amp;":"&amp;ADDRESS(ROW(),COLUMN(NOTA[ID]))),-1)))</f>
        <v/>
      </c>
      <c r="AJ539" s="55" t="str">
        <f ca="1">IF(NOTA[[#This Row],[ID_H]]="","",IF(NOTA[[#This Row],[FAKTUR]]="",INDIRECT(ADDRESS(ROW()-1,COLUMN())),NOTA[[#This Row],[FAKTUR]]))</f>
        <v/>
      </c>
      <c r="AK539" s="56" t="str">
        <f ca="1">IF(NOTA[[#This Row],[ID]]="","",COUNTIF(NOTA[ID_H],NOTA[[#This Row],[ID_H]]))</f>
        <v/>
      </c>
      <c r="AL539" s="56" t="str">
        <f ca="1">IF(NOTA[[#This Row],[TGL.NOTA]]="",IF(NOTA[[#This Row],[SUPPLIER_H]]="","",AL538),MONTH(NOTA[[#This Row],[TGL.NOTA]]))</f>
        <v/>
      </c>
      <c r="AM539" s="56" t="str">
        <f>LOWER(SUBSTITUTE(SUBSTITUTE(SUBSTITUTE(SUBSTITUTE(SUBSTITUTE(SUBSTITUTE(SUBSTITUTE(SUBSTITUTE(SUBSTITUTE(NOTA[NAMA BARANG]," ",),".",""),"-",""),"(",""),")",""),",",""),"/",""),"""",""),"+",""))</f>
        <v/>
      </c>
      <c r="AN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56" t="str">
        <f>IF(NOTA[[#This Row],[CONCAT4]]="","",_xlfn.IFNA(MATCH(NOTA[[#This Row],[CONCAT4]],[2]!RAW[CONCAT_H],0),FALSE))</f>
        <v/>
      </c>
      <c r="AR539" s="56" t="str">
        <f>IF(NOTA[[#This Row],[CONCAT1]]="","",MATCH(NOTA[[#This Row],[CONCAT1]],[3]!db[NB NOTA_C],0))</f>
        <v/>
      </c>
      <c r="AS539" s="56" t="str">
        <f>IF(NOTA[[#This Row],[QTY/ CTN]]="","",TRUE)</f>
        <v/>
      </c>
      <c r="AT539" s="56" t="str">
        <f ca="1">IF(NOTA[[#This Row],[ID_H]]="","",IF(NOTA[[#This Row],[Column3]]=TRUE,NOTA[[#This Row],[QTY/ CTN]],INDEX([3]!db[QTY/ CTN],NOTA[[#This Row],[//DB]])))</f>
        <v/>
      </c>
      <c r="AU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9" s="56" t="str">
        <f ca="1">IF(NOTA[[#This Row],[ID_H]]="","",MATCH(NOTA[[#This Row],[NB NOTA_C_QTY]],[4]!db[NB NOTA_C_QTY+F],0))</f>
        <v/>
      </c>
      <c r="AW539" s="68" t="str">
        <f ca="1">IF(NOTA[[#This Row],[NB NOTA_C_QTY]]="","",ROW()-2)</f>
        <v/>
      </c>
    </row>
    <row r="540" spans="1:49" s="38" customFormat="1" ht="20.100000000000001" customHeight="1" x14ac:dyDescent="0.25">
      <c r="A540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PPW_2709_X23-2</v>
      </c>
      <c r="C540" s="56" t="e">
        <f ca="1">IF(NOTA[[#This Row],[ID_P]]="","",MATCH(NOTA[[#This Row],[ID_P]],[1]!B_MSK[N_ID],0))</f>
        <v>#REF!</v>
      </c>
      <c r="D540" s="56">
        <f ca="1">IF(NOTA[[#This Row],[NAMA BARANG]]="","",INDEX(NOTA[ID],MATCH(,INDIRECT(ADDRESS(ROW(NOTA[ID]),COLUMN(NOTA[ID]))&amp;":"&amp;ADDRESS(ROW(),COLUMN(NOTA[ID]))),-1)))</f>
        <v>98</v>
      </c>
      <c r="E540" s="57">
        <v>45196</v>
      </c>
      <c r="F540" s="37" t="s">
        <v>290</v>
      </c>
      <c r="G540" s="37" t="s">
        <v>123</v>
      </c>
      <c r="H540" s="47" t="s">
        <v>643</v>
      </c>
      <c r="I540" s="58"/>
      <c r="J540" s="60">
        <v>45192</v>
      </c>
      <c r="K540" s="58"/>
      <c r="L540" s="37" t="s">
        <v>294</v>
      </c>
      <c r="M540" s="61"/>
      <c r="N540" s="56">
        <v>16</v>
      </c>
      <c r="O540" s="37" t="s">
        <v>138</v>
      </c>
      <c r="P540" s="55">
        <v>63180</v>
      </c>
      <c r="Q540" s="62"/>
      <c r="R540" s="48" t="s">
        <v>295</v>
      </c>
      <c r="S540" s="64">
        <v>0.2</v>
      </c>
      <c r="T540" s="65">
        <v>0.04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1010880</v>
      </c>
      <c r="Y540" s="66">
        <f>IF(NOTA[[#This Row],[JUMLAH]]="","",NOTA[[#This Row],[JUMLAH]]*NOTA[[#This Row],[DISC 1]])</f>
        <v>202176</v>
      </c>
      <c r="Z540" s="66">
        <f>IF(NOTA[[#This Row],[JUMLAH]]="","",(NOTA[[#This Row],[JUMLAH]]-NOTA[[#This Row],[DISC 1-]])*NOTA[[#This Row],[DISC 2]])</f>
        <v>32348.16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234524.16</v>
      </c>
      <c r="AC540" s="66">
        <f>IF(NOTA[[#This Row],[JUMLAH]]="","",NOTA[[#This Row],[JUMLAH]]-NOTA[[#This Row],[DISC]])</f>
        <v>776355.83999999997</v>
      </c>
      <c r="AD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0" s="5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G540" s="66">
        <f>IF(OR(NOTA[[#This Row],[QTY]]="",NOTA[[#This Row],[HARGA SATUAN]]="",),"",NOTA[[#This Row],[QTY]]*NOTA[[#This Row],[HARGA SATUAN]])</f>
        <v>1010880</v>
      </c>
      <c r="AH540" s="60">
        <f ca="1">IF(NOTA[ID_H]="","",INDEX(NOTA[TANGGAL],MATCH(,INDIRECT(ADDRESS(ROW(NOTA[TANGGAL]),COLUMN(NOTA[TANGGAL]))&amp;":"&amp;ADDRESS(ROW(),COLUMN(NOTA[TANGGAL]))),-1)))</f>
        <v>45196</v>
      </c>
      <c r="AI540" s="55" t="str">
        <f ca="1">IF(NOTA[[#This Row],[NAMA BARANG]]="","",INDEX(NOTA[SUPPLIER],MATCH(,INDIRECT(ADDRESS(ROW(NOTA[ID]),COLUMN(NOTA[ID]))&amp;":"&amp;ADDRESS(ROW(),COLUMN(NOTA[ID]))),-1)))</f>
        <v>PPW</v>
      </c>
      <c r="AJ540" s="55" t="str">
        <f ca="1">IF(NOTA[[#This Row],[ID_H]]="","",IF(NOTA[[#This Row],[FAKTUR]]="",INDIRECT(ADDRESS(ROW()-1,COLUMN())),NOTA[[#This Row],[FAKTUR]]))</f>
        <v>UNTANA</v>
      </c>
      <c r="AK540" s="56">
        <f ca="1">IF(NOTA[[#This Row],[ID]]="","",COUNTIF(NOTA[ID_H],NOTA[[#This Row],[ID_H]]))</f>
        <v>2</v>
      </c>
      <c r="AL540" s="56">
        <f>IF(NOTA[[#This Row],[TGL.NOTA]]="",IF(NOTA[[#This Row],[SUPPLIER_H]]="","",AL539),MONTH(NOTA[[#This Row],[TGL.NOTA]]))</f>
        <v>9</v>
      </c>
      <c r="AM540" s="56" t="str">
        <f>LOWER(SUBSTITUTE(SUBSTITUTE(SUBSTITUTE(SUBSTITUTE(SUBSTITUTE(SUBSTITUTE(SUBSTITUTE(SUBSTITUTE(SUBSTITUTE(NOTA[NAMA BARANG]," ",),".",""),"-",""),"(",""),")",""),",",""),"/",""),"""",""),"+",""))</f>
        <v>segitigabtno6</v>
      </c>
      <c r="AN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segitigabtno610108800.20.04</v>
      </c>
      <c r="AO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segitigabtno6631800.20.04</v>
      </c>
      <c r="AP540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PPWUNTANA0290/HW/IX/2345192segitigabtno6</v>
      </c>
      <c r="AQ540" s="56" t="e">
        <f>IF(NOTA[[#This Row],[CONCAT4]]="","",_xlfn.IFNA(MATCH(NOTA[[#This Row],[CONCAT4]],[2]!RAW[CONCAT_H],0),FALSE))</f>
        <v>#REF!</v>
      </c>
      <c r="AR540" s="56">
        <f>IF(NOTA[[#This Row],[CONCAT1]]="","",MATCH(NOTA[[#This Row],[CONCAT1]],[3]!db[NB NOTA_C],0))</f>
        <v>2415</v>
      </c>
      <c r="AS540" s="56" t="b">
        <f>IF(NOTA[[#This Row],[QTY/ CTN]]="","",TRUE)</f>
        <v>1</v>
      </c>
      <c r="AT540" s="56" t="str">
        <f ca="1">IF(NOTA[[#This Row],[ID_H]]="","",IF(NOTA[[#This Row],[Column3]]=TRUE,NOTA[[#This Row],[QTY/ CTN]],INDEX([3]!db[QTY/ CTN],NOTA[[#This Row],[//DB]])))</f>
        <v>16 LSN</v>
      </c>
      <c r="AU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segitigabtno616lsnuntana</v>
      </c>
      <c r="AV540" s="56" t="e">
        <f ca="1">IF(NOTA[[#This Row],[ID_H]]="","",MATCH(NOTA[[#This Row],[NB NOTA_C_QTY]],[4]!db[NB NOTA_C_QTY+F],0))</f>
        <v>#REF!</v>
      </c>
      <c r="AW540" s="68">
        <f ca="1">IF(NOTA[[#This Row],[NB NOTA_C_QTY]]="","",ROW()-2)</f>
        <v>538</v>
      </c>
    </row>
    <row r="541" spans="1:49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98</v>
      </c>
      <c r="E541" s="57"/>
      <c r="F541" s="58"/>
      <c r="G541" s="58"/>
      <c r="H541" s="59"/>
      <c r="I541" s="58"/>
      <c r="J541" s="60"/>
      <c r="K541" s="69"/>
      <c r="L541" s="37" t="s">
        <v>644</v>
      </c>
      <c r="M541" s="61"/>
      <c r="N541" s="38">
        <v>16</v>
      </c>
      <c r="O541" s="37" t="s">
        <v>138</v>
      </c>
      <c r="P541" s="55">
        <v>179780</v>
      </c>
      <c r="Q541" s="62"/>
      <c r="R541" s="48" t="s">
        <v>295</v>
      </c>
      <c r="S541" s="64">
        <v>0.2</v>
      </c>
      <c r="T541" s="65">
        <v>0.04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2876480</v>
      </c>
      <c r="Y541" s="66">
        <f>IF(NOTA[[#This Row],[JUMLAH]]="","",NOTA[[#This Row],[JUMLAH]]*NOTA[[#This Row],[DISC 1]])</f>
        <v>575296</v>
      </c>
      <c r="Z541" s="66">
        <f>IF(NOTA[[#This Row],[JUMLAH]]="","",(NOTA[[#This Row],[JUMLAH]]-NOTA[[#This Row],[DISC 1-]])*NOTA[[#This Row],[DISC 2]])</f>
        <v>92047.360000000001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667343.35999999999</v>
      </c>
      <c r="AC541" s="66">
        <f>IF(NOTA[[#This Row],[JUMLAH]]="","",NOTA[[#This Row],[JUMLAH]]-NOTA[[#This Row],[DISC]])</f>
        <v>2209136.6400000001</v>
      </c>
      <c r="AD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901867.52000000002</v>
      </c>
      <c r="AE54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2985492.48</v>
      </c>
      <c r="AF541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G541" s="66">
        <f>IF(OR(NOTA[[#This Row],[QTY]]="",NOTA[[#This Row],[HARGA SATUAN]]="",),"",NOTA[[#This Row],[QTY]]*NOTA[[#This Row],[HARGA SATUAN]])</f>
        <v>2876480</v>
      </c>
      <c r="AH541" s="60">
        <f ca="1">IF(NOTA[ID_H]="","",INDEX(NOTA[TANGGAL],MATCH(,INDIRECT(ADDRESS(ROW(NOTA[TANGGAL]),COLUMN(NOTA[TANGGAL]))&amp;":"&amp;ADDRESS(ROW(),COLUMN(NOTA[TANGGAL]))),-1)))</f>
        <v>45196</v>
      </c>
      <c r="AI541" s="55" t="str">
        <f ca="1">IF(NOTA[[#This Row],[NAMA BARANG]]="","",INDEX(NOTA[SUPPLIER],MATCH(,INDIRECT(ADDRESS(ROW(NOTA[ID]),COLUMN(NOTA[ID]))&amp;":"&amp;ADDRESS(ROW(),COLUMN(NOTA[ID]))),-1)))</f>
        <v>PPW</v>
      </c>
      <c r="AJ541" s="55" t="str">
        <f ca="1">IF(NOTA[[#This Row],[ID_H]]="","",IF(NOTA[[#This Row],[FAKTUR]]="",INDIRECT(ADDRESS(ROW()-1,COLUMN())),NOTA[[#This Row],[FAKTUR]]))</f>
        <v>UNTANA</v>
      </c>
      <c r="AK541" s="56" t="str">
        <f ca="1">IF(NOTA[[#This Row],[ID]]="","",COUNTIF(NOTA[ID_H],NOTA[[#This Row],[ID_H]]))</f>
        <v/>
      </c>
      <c r="AL541" s="56">
        <f ca="1">IF(NOTA[[#This Row],[TGL.NOTA]]="",IF(NOTA[[#This Row],[SUPPLIER_H]]="","",AL540),MONTH(NOTA[[#This Row],[TGL.NOTA]]))</f>
        <v>9</v>
      </c>
      <c r="AM541" s="56" t="str">
        <f>LOWER(SUBSTITUTE(SUBSTITUTE(SUBSTITUTE(SUBSTITUTE(SUBSTITUTE(SUBSTITUTE(SUBSTITUTE(SUBSTITUTE(SUBSTITUTE(NOTA[NAMA BARANG]," ",),".",""),"-",""),"(",""),")",""),",",""),"/",""),"""",""),"+",""))</f>
        <v>segitigabtno10</v>
      </c>
      <c r="AN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O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segitigabtno101797800.20.04</v>
      </c>
      <c r="AP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56" t="str">
        <f>IF(NOTA[[#This Row],[CONCAT4]]="","",_xlfn.IFNA(MATCH(NOTA[[#This Row],[CONCAT4]],[2]!RAW[CONCAT_H],0),FALSE))</f>
        <v/>
      </c>
      <c r="AR541" s="56">
        <f>IF(NOTA[[#This Row],[CONCAT1]]="","",MATCH(NOTA[[#This Row],[CONCAT1]],[3]!db[NB NOTA_C],0))</f>
        <v>2411</v>
      </c>
      <c r="AS541" s="56" t="b">
        <f>IF(NOTA[[#This Row],[QTY/ CTN]]="","",TRUE)</f>
        <v>1</v>
      </c>
      <c r="AT541" s="56" t="str">
        <f ca="1">IF(NOTA[[#This Row],[ID_H]]="","",IF(NOTA[[#This Row],[Column3]]=TRUE,NOTA[[#This Row],[QTY/ CTN]],INDEX([3]!db[QTY/ CTN],NOTA[[#This Row],[//DB]])))</f>
        <v>16 LSN</v>
      </c>
      <c r="AU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V541" s="56" t="e">
        <f ca="1">IF(NOTA[[#This Row],[ID_H]]="","",MATCH(NOTA[[#This Row],[NB NOTA_C_QTY]],[4]!db[NB NOTA_C_QTY+F],0))</f>
        <v>#REF!</v>
      </c>
      <c r="AW541" s="68">
        <f ca="1">IF(NOTA[[#This Row],[NB NOTA_C_QTY]]="","",ROW()-2)</f>
        <v>539</v>
      </c>
    </row>
    <row r="542" spans="1:49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58"/>
      <c r="G542" s="58"/>
      <c r="H542" s="59"/>
      <c r="I542" s="58"/>
      <c r="J542" s="60"/>
      <c r="K542" s="58"/>
      <c r="L542" s="58"/>
      <c r="M542" s="61"/>
      <c r="N542" s="56"/>
      <c r="O542" s="58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2" s="66" t="str">
        <f>IF(OR(NOTA[[#This Row],[QTY]]="",NOTA[[#This Row],[HARGA SATUAN]]="",),"",NOTA[[#This Row],[QTY]]*NOTA[[#This Row],[HARGA SATUAN]])</f>
        <v/>
      </c>
      <c r="AH542" s="60" t="str">
        <f ca="1">IF(NOTA[ID_H]="","",INDEX(NOTA[TANGGAL],MATCH(,INDIRECT(ADDRESS(ROW(NOTA[TANGGAL]),COLUMN(NOTA[TANGGAL]))&amp;":"&amp;ADDRESS(ROW(),COLUMN(NOTA[TANGGAL]))),-1)))</f>
        <v/>
      </c>
      <c r="AI542" s="55" t="str">
        <f ca="1">IF(NOTA[[#This Row],[NAMA BARANG]]="","",INDEX(NOTA[SUPPLIER],MATCH(,INDIRECT(ADDRESS(ROW(NOTA[ID]),COLUMN(NOTA[ID]))&amp;":"&amp;ADDRESS(ROW(),COLUMN(NOTA[ID]))),-1)))</f>
        <v/>
      </c>
      <c r="AJ542" s="55" t="str">
        <f ca="1">IF(NOTA[[#This Row],[ID_H]]="","",IF(NOTA[[#This Row],[FAKTUR]]="",INDIRECT(ADDRESS(ROW()-1,COLUMN())),NOTA[[#This Row],[FAKTUR]]))</f>
        <v/>
      </c>
      <c r="AK542" s="56" t="str">
        <f ca="1">IF(NOTA[[#This Row],[ID]]="","",COUNTIF(NOTA[ID_H],NOTA[[#This Row],[ID_H]]))</f>
        <v/>
      </c>
      <c r="AL542" s="56" t="str">
        <f ca="1">IF(NOTA[[#This Row],[TGL.NOTA]]="",IF(NOTA[[#This Row],[SUPPLIER_H]]="","",AL541),MONTH(NOTA[[#This Row],[TGL.NOTA]]))</f>
        <v/>
      </c>
      <c r="AM542" s="56" t="str">
        <f>LOWER(SUBSTITUTE(SUBSTITUTE(SUBSTITUTE(SUBSTITUTE(SUBSTITUTE(SUBSTITUTE(SUBSTITUTE(SUBSTITUTE(SUBSTITUTE(NOTA[NAMA BARANG]," ",),".",""),"-",""),"(",""),")",""),",",""),"/",""),"""",""),"+",""))</f>
        <v/>
      </c>
      <c r="AN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56" t="str">
        <f>IF(NOTA[[#This Row],[CONCAT4]]="","",_xlfn.IFNA(MATCH(NOTA[[#This Row],[CONCAT4]],[2]!RAW[CONCAT_H],0),FALSE))</f>
        <v/>
      </c>
      <c r="AR542" s="56" t="str">
        <f>IF(NOTA[[#This Row],[CONCAT1]]="","",MATCH(NOTA[[#This Row],[CONCAT1]],[3]!db[NB NOTA_C],0))</f>
        <v/>
      </c>
      <c r="AS542" s="56" t="str">
        <f>IF(NOTA[[#This Row],[QTY/ CTN]]="","",TRUE)</f>
        <v/>
      </c>
      <c r="AT542" s="56" t="str">
        <f ca="1">IF(NOTA[[#This Row],[ID_H]]="","",IF(NOTA[[#This Row],[Column3]]=TRUE,NOTA[[#This Row],[QTY/ CTN]],INDEX([3]!db[QTY/ CTN],NOTA[[#This Row],[//DB]])))</f>
        <v/>
      </c>
      <c r="AU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2" s="56" t="str">
        <f ca="1">IF(NOTA[[#This Row],[ID_H]]="","",MATCH(NOTA[[#This Row],[NB NOTA_C_QTY]],[4]!db[NB NOTA_C_QTY+F],0))</f>
        <v/>
      </c>
      <c r="AW542" s="68" t="str">
        <f ca="1">IF(NOTA[[#This Row],[NB NOTA_C_QTY]]="","",ROW()-2)</f>
        <v/>
      </c>
    </row>
    <row r="543" spans="1:49" s="38" customFormat="1" ht="20.100000000000001" customHeight="1" x14ac:dyDescent="0.25">
      <c r="A54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GUN_2709_164-1</v>
      </c>
      <c r="C543" s="56" t="e">
        <f ca="1">IF(NOTA[[#This Row],[ID_P]]="","",MATCH(NOTA[[#This Row],[ID_P]],[1]!B_MSK[N_ID],0))</f>
        <v>#REF!</v>
      </c>
      <c r="D543" s="56">
        <f ca="1">IF(NOTA[[#This Row],[NAMA BARANG]]="","",INDEX(NOTA[ID],MATCH(,INDIRECT(ADDRESS(ROW(NOTA[ID]),COLUMN(NOTA[ID]))&amp;":"&amp;ADDRESS(ROW(),COLUMN(NOTA[ID]))),-1)))</f>
        <v>99</v>
      </c>
      <c r="E543" s="57">
        <v>45196</v>
      </c>
      <c r="F543" s="37" t="s">
        <v>309</v>
      </c>
      <c r="G543" s="37" t="s">
        <v>123</v>
      </c>
      <c r="H543" s="47" t="s">
        <v>645</v>
      </c>
      <c r="I543" s="58"/>
      <c r="J543" s="60">
        <v>45190</v>
      </c>
      <c r="K543" s="58"/>
      <c r="L543" s="37" t="s">
        <v>646</v>
      </c>
      <c r="M543" s="61">
        <v>2</v>
      </c>
      <c r="N543" s="56">
        <v>120</v>
      </c>
      <c r="O543" s="37" t="s">
        <v>138</v>
      </c>
      <c r="P543" s="55">
        <v>49200</v>
      </c>
      <c r="Q543" s="62"/>
      <c r="R543" s="48" t="s">
        <v>314</v>
      </c>
      <c r="S543" s="64">
        <v>0.05</v>
      </c>
      <c r="T543" s="65">
        <v>0.1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5904000</v>
      </c>
      <c r="Y543" s="66">
        <f>IF(NOTA[[#This Row],[JUMLAH]]="","",NOTA[[#This Row],[JUMLAH]]*NOTA[[#This Row],[DISC 1]])</f>
        <v>295200</v>
      </c>
      <c r="Z543" s="66">
        <f>IF(NOTA[[#This Row],[JUMLAH]]="","",(NOTA[[#This Row],[JUMLAH]]-NOTA[[#This Row],[DISC 1-]])*NOTA[[#This Row],[DISC 2]])</f>
        <v>560880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856080</v>
      </c>
      <c r="AC543" s="66">
        <f>IF(NOTA[[#This Row],[JUMLAH]]="","",NOTA[[#This Row],[JUMLAH]]-NOTA[[#This Row],[DISC]])</f>
        <v>5047920</v>
      </c>
      <c r="AD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E5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F54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543" s="66">
        <f>IF(OR(NOTA[[#This Row],[QTY]]="",NOTA[[#This Row],[HARGA SATUAN]]="",),"",NOTA[[#This Row],[QTY]]*NOTA[[#This Row],[HARGA SATUAN]])</f>
        <v>5904000</v>
      </c>
      <c r="AH543" s="60">
        <f ca="1">IF(NOTA[ID_H]="","",INDEX(NOTA[TANGGAL],MATCH(,INDIRECT(ADDRESS(ROW(NOTA[TANGGAL]),COLUMN(NOTA[TANGGAL]))&amp;":"&amp;ADDRESS(ROW(),COLUMN(NOTA[TANGGAL]))),-1)))</f>
        <v>45196</v>
      </c>
      <c r="AI543" s="55" t="str">
        <f ca="1">IF(NOTA[[#This Row],[NAMA BARANG]]="","",INDEX(NOTA[SUPPLIER],MATCH(,INDIRECT(ADDRESS(ROW(NOTA[ID]),COLUMN(NOTA[ID]))&amp;":"&amp;ADDRESS(ROW(),COLUMN(NOTA[ID]))),-1)))</f>
        <v>GUNINDO</v>
      </c>
      <c r="AJ543" s="55" t="str">
        <f ca="1">IF(NOTA[[#This Row],[ID_H]]="","",IF(NOTA[[#This Row],[FAKTUR]]="",INDIRECT(ADDRESS(ROW()-1,COLUMN())),NOTA[[#This Row],[FAKTUR]]))</f>
        <v>UNTANA</v>
      </c>
      <c r="AK543" s="56">
        <f ca="1">IF(NOTA[[#This Row],[ID]]="","",COUNTIF(NOTA[ID_H],NOTA[[#This Row],[ID_H]]))</f>
        <v>1</v>
      </c>
      <c r="AL543" s="56">
        <f>IF(NOTA[[#This Row],[TGL.NOTA]]="",IF(NOTA[[#This Row],[SUPPLIER_H]]="","",AL542),MONTH(NOTA[[#This Row],[TGL.NOTA]]))</f>
        <v>9</v>
      </c>
      <c r="AM543" s="56" t="str">
        <f>LOWER(SUBSTITUTE(SUBSTITUTE(SUBSTITUTE(SUBSTITUTE(SUBSTITUTE(SUBSTITUTE(SUBSTITUTE(SUBSTITUTE(SUBSTITUTE(NOTA[NAMA BARANG]," ",),".",""),"-",""),"(",""),")",""),",",""),"/",""),"""",""),"+",""))</f>
        <v>ossgunindo</v>
      </c>
      <c r="AN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54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GUNINDOUNTANA230916445190ossgunindo</v>
      </c>
      <c r="AQ543" s="56" t="e">
        <f>IF(NOTA[[#This Row],[CONCAT4]]="","",_xlfn.IFNA(MATCH(NOTA[[#This Row],[CONCAT4]],[2]!RAW[CONCAT_H],0),FALSE))</f>
        <v>#REF!</v>
      </c>
      <c r="AR543" s="56">
        <f>IF(NOTA[[#This Row],[CONCAT1]]="","",MATCH(NOTA[[#This Row],[CONCAT1]],[3]!db[NB NOTA_C],0))</f>
        <v>1916</v>
      </c>
      <c r="AS543" s="56" t="b">
        <f>IF(NOTA[[#This Row],[QTY/ CTN]]="","",TRUE)</f>
        <v>1</v>
      </c>
      <c r="AT543" s="56" t="str">
        <f ca="1">IF(NOTA[[#This Row],[ID_H]]="","",IF(NOTA[[#This Row],[Column3]]=TRUE,NOTA[[#This Row],[QTY/ CTN]],INDEX([3]!db[QTY/ CTN],NOTA[[#This Row],[//DB]])))</f>
        <v>60 LSN</v>
      </c>
      <c r="AU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V543" s="56" t="e">
        <f ca="1">IF(NOTA[[#This Row],[ID_H]]="","",MATCH(NOTA[[#This Row],[NB NOTA_C_QTY]],[4]!db[NB NOTA_C_QTY+F],0))</f>
        <v>#REF!</v>
      </c>
      <c r="AW543" s="68">
        <f ca="1">IF(NOTA[[#This Row],[NB NOTA_C_QTY]]="","",ROW()-2)</f>
        <v>541</v>
      </c>
    </row>
    <row r="544" spans="1:49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4" s="66" t="str">
        <f>IF(OR(NOTA[[#This Row],[QTY]]="",NOTA[[#This Row],[HARGA SATUAN]]="",),"",NOTA[[#This Row],[QTY]]*NOTA[[#This Row],[HARGA SATUAN]])</f>
        <v/>
      </c>
      <c r="AH544" s="60" t="str">
        <f ca="1">IF(NOTA[ID_H]="","",INDEX(NOTA[TANGGAL],MATCH(,INDIRECT(ADDRESS(ROW(NOTA[TANGGAL]),COLUMN(NOTA[TANGGAL]))&amp;":"&amp;ADDRESS(ROW(),COLUMN(NOTA[TANGGAL]))),-1)))</f>
        <v/>
      </c>
      <c r="AI544" s="55" t="str">
        <f ca="1">IF(NOTA[[#This Row],[NAMA BARANG]]="","",INDEX(NOTA[SUPPLIER],MATCH(,INDIRECT(ADDRESS(ROW(NOTA[ID]),COLUMN(NOTA[ID]))&amp;":"&amp;ADDRESS(ROW(),COLUMN(NOTA[ID]))),-1)))</f>
        <v/>
      </c>
      <c r="AJ544" s="55" t="str">
        <f ca="1">IF(NOTA[[#This Row],[ID_H]]="","",IF(NOTA[[#This Row],[FAKTUR]]="",INDIRECT(ADDRESS(ROW()-1,COLUMN())),NOTA[[#This Row],[FAKTUR]]))</f>
        <v/>
      </c>
      <c r="AK544" s="56" t="str">
        <f ca="1">IF(NOTA[[#This Row],[ID]]="","",COUNTIF(NOTA[ID_H],NOTA[[#This Row],[ID_H]]))</f>
        <v/>
      </c>
      <c r="AL544" s="56" t="str">
        <f ca="1">IF(NOTA[[#This Row],[TGL.NOTA]]="",IF(NOTA[[#This Row],[SUPPLIER_H]]="","",AL543),MONTH(NOTA[[#This Row],[TGL.NOTA]]))</f>
        <v/>
      </c>
      <c r="AM544" s="56" t="str">
        <f>LOWER(SUBSTITUTE(SUBSTITUTE(SUBSTITUTE(SUBSTITUTE(SUBSTITUTE(SUBSTITUTE(SUBSTITUTE(SUBSTITUTE(SUBSTITUTE(NOTA[NAMA BARANG]," ",),".",""),"-",""),"(",""),")",""),",",""),"/",""),"""",""),"+",""))</f>
        <v/>
      </c>
      <c r="AN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56" t="str">
        <f>IF(NOTA[[#This Row],[CONCAT4]]="","",_xlfn.IFNA(MATCH(NOTA[[#This Row],[CONCAT4]],[2]!RAW[CONCAT_H],0),FALSE))</f>
        <v/>
      </c>
      <c r="AR544" s="56" t="str">
        <f>IF(NOTA[[#This Row],[CONCAT1]]="","",MATCH(NOTA[[#This Row],[CONCAT1]],[3]!db[NB NOTA_C],0))</f>
        <v/>
      </c>
      <c r="AS544" s="56" t="str">
        <f>IF(NOTA[[#This Row],[QTY/ CTN]]="","",TRUE)</f>
        <v/>
      </c>
      <c r="AT544" s="56" t="str">
        <f ca="1">IF(NOTA[[#This Row],[ID_H]]="","",IF(NOTA[[#This Row],[Column3]]=TRUE,NOTA[[#This Row],[QTY/ CTN]],INDEX([3]!db[QTY/ CTN],NOTA[[#This Row],[//DB]])))</f>
        <v/>
      </c>
      <c r="AU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4" s="56" t="str">
        <f ca="1">IF(NOTA[[#This Row],[ID_H]]="","",MATCH(NOTA[[#This Row],[NB NOTA_C_QTY]],[4]!db[NB NOTA_C_QTY+F],0))</f>
        <v/>
      </c>
      <c r="AW544" s="68" t="str">
        <f ca="1">IF(NOTA[[#This Row],[NB NOTA_C_QTY]]="","",ROW()-2)</f>
        <v/>
      </c>
    </row>
    <row r="545" spans="1:49" s="38" customFormat="1" ht="20.100000000000001" customHeight="1" x14ac:dyDescent="0.25">
      <c r="A545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HAN_2709_251-1</v>
      </c>
      <c r="C545" s="56" t="e">
        <f ca="1">IF(NOTA[[#This Row],[ID_P]]="","",MATCH(NOTA[[#This Row],[ID_P]],[1]!B_MSK[N_ID],0))</f>
        <v>#REF!</v>
      </c>
      <c r="D545" s="56">
        <f ca="1">IF(NOTA[[#This Row],[NAMA BARANG]]="","",INDEX(NOTA[ID],MATCH(,INDIRECT(ADDRESS(ROW(NOTA[ID]),COLUMN(NOTA[ID]))&amp;":"&amp;ADDRESS(ROW(),COLUMN(NOTA[ID]))),-1)))</f>
        <v>100</v>
      </c>
      <c r="E545" s="57">
        <v>45196</v>
      </c>
      <c r="F545" s="37" t="s">
        <v>122</v>
      </c>
      <c r="G545" s="37" t="s">
        <v>123</v>
      </c>
      <c r="H545" s="47" t="s">
        <v>647</v>
      </c>
      <c r="I545" s="58"/>
      <c r="J545" s="60">
        <v>45196</v>
      </c>
      <c r="K545" s="58"/>
      <c r="L545" s="37" t="s">
        <v>498</v>
      </c>
      <c r="M545" s="61"/>
      <c r="N545" s="56">
        <v>4</v>
      </c>
      <c r="O545" s="37" t="s">
        <v>138</v>
      </c>
      <c r="P545" s="55">
        <v>13000</v>
      </c>
      <c r="Q545" s="62"/>
      <c r="R545" s="63"/>
      <c r="S545" s="64"/>
      <c r="T545" s="65"/>
      <c r="U545" s="65"/>
      <c r="V545" s="66"/>
      <c r="W545" s="45" t="s">
        <v>648</v>
      </c>
      <c r="X545" s="66">
        <f>IF(NOTA[[#This Row],[HARGA/ CTN]]="",NOTA[[#This Row],[JUMLAH_H]],NOTA[[#This Row],[HARGA/ CTN]]*IF(NOTA[[#This Row],[C]]="",0,NOTA[[#This Row],[C]]))</f>
        <v>52000</v>
      </c>
      <c r="Y545" s="66">
        <f>IF(NOTA[[#This Row],[JUMLAH]]="","",NOTA[[#This Row],[JUMLAH]]*NOTA[[#This Row],[DISC 1]])</f>
        <v>0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0</v>
      </c>
      <c r="AC545" s="66">
        <f>IF(NOTA[[#This Row],[JUMLAH]]="","",NOTA[[#This Row],[JUMLAH]]-NOTA[[#This Row],[DISC]])</f>
        <v>52000</v>
      </c>
      <c r="AD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F545" s="55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G545" s="66">
        <f>IF(OR(NOTA[[#This Row],[QTY]]="",NOTA[[#This Row],[HARGA SATUAN]]="",),"",NOTA[[#This Row],[QTY]]*NOTA[[#This Row],[HARGA SATUAN]])</f>
        <v>52000</v>
      </c>
      <c r="AH545" s="60">
        <f ca="1">IF(NOTA[ID_H]="","",INDEX(NOTA[TANGGAL],MATCH(,INDIRECT(ADDRESS(ROW(NOTA[TANGGAL]),COLUMN(NOTA[TANGGAL]))&amp;":"&amp;ADDRESS(ROW(),COLUMN(NOTA[TANGGAL]))),-1)))</f>
        <v>45196</v>
      </c>
      <c r="AI545" s="55" t="str">
        <f ca="1">IF(NOTA[[#This Row],[NAMA BARANG]]="","",INDEX(NOTA[SUPPLIER],MATCH(,INDIRECT(ADDRESS(ROW(NOTA[ID]),COLUMN(NOTA[ID]))&amp;":"&amp;ADDRESS(ROW(),COLUMN(NOTA[ID]))),-1)))</f>
        <v>HANSA</v>
      </c>
      <c r="AJ545" s="55" t="str">
        <f ca="1">IF(NOTA[[#This Row],[ID_H]]="","",IF(NOTA[[#This Row],[FAKTUR]]="",INDIRECT(ADDRESS(ROW()-1,COLUMN())),NOTA[[#This Row],[FAKTUR]]))</f>
        <v>UNTANA</v>
      </c>
      <c r="AK545" s="56">
        <f ca="1">IF(NOTA[[#This Row],[ID]]="","",COUNTIF(NOTA[ID_H],NOTA[[#This Row],[ID_H]]))</f>
        <v>1</v>
      </c>
      <c r="AL545" s="56">
        <f>IF(NOTA[[#This Row],[TGL.NOTA]]="",IF(NOTA[[#This Row],[SUPPLIER_H]]="","",AL544),MONTH(NOTA[[#This Row],[TGL.NOTA]]))</f>
        <v>9</v>
      </c>
      <c r="AM545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45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HANSAUNTANAHN09202325145196lilinangkashintoeng</v>
      </c>
      <c r="AQ545" s="56" t="e">
        <f>IF(NOTA[[#This Row],[CONCAT4]]="","",_xlfn.IFNA(MATCH(NOTA[[#This Row],[CONCAT4]],[2]!RAW[CONCAT_H],0),FALSE))</f>
        <v>#REF!</v>
      </c>
      <c r="AR545" s="56">
        <f>IF(NOTA[[#This Row],[CONCAT1]]="","",MATCH(NOTA[[#This Row],[CONCAT1]],[3]!db[NB NOTA_C],0))</f>
        <v>1655</v>
      </c>
      <c r="AS545" s="56" t="str">
        <f>IF(NOTA[[#This Row],[QTY/ CTN]]="","",TRUE)</f>
        <v/>
      </c>
      <c r="AT545" s="56" t="str">
        <f ca="1">IF(NOTA[[#This Row],[ID_H]]="","",IF(NOTA[[#This Row],[Column3]]=TRUE,NOTA[[#This Row],[QTY/ CTN]],INDEX([3]!db[QTY/ CTN],NOTA[[#This Row],[//DB]])))</f>
        <v>100 LSN</v>
      </c>
      <c r="AU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V545" s="56" t="e">
        <f ca="1">IF(NOTA[[#This Row],[ID_H]]="","",MATCH(NOTA[[#This Row],[NB NOTA_C_QTY]],[4]!db[NB NOTA_C_QTY+F],0))</f>
        <v>#REF!</v>
      </c>
      <c r="AW545" s="68">
        <f ca="1">IF(NOTA[[#This Row],[NB NOTA_C_QTY]]="","",ROW()-2)</f>
        <v>543</v>
      </c>
    </row>
    <row r="546" spans="1:49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6" s="66" t="str">
        <f>IF(OR(NOTA[[#This Row],[QTY]]="",NOTA[[#This Row],[HARGA SATUAN]]="",),"",NOTA[[#This Row],[QTY]]*NOTA[[#This Row],[HARGA SATUAN]])</f>
        <v/>
      </c>
      <c r="AH546" s="60" t="str">
        <f ca="1">IF(NOTA[ID_H]="","",INDEX(NOTA[TANGGAL],MATCH(,INDIRECT(ADDRESS(ROW(NOTA[TANGGAL]),COLUMN(NOTA[TANGGAL]))&amp;":"&amp;ADDRESS(ROW(),COLUMN(NOTA[TANGGAL]))),-1)))</f>
        <v/>
      </c>
      <c r="AI546" s="55" t="str">
        <f ca="1">IF(NOTA[[#This Row],[NAMA BARANG]]="","",INDEX(NOTA[SUPPLIER],MATCH(,INDIRECT(ADDRESS(ROW(NOTA[ID]),COLUMN(NOTA[ID]))&amp;":"&amp;ADDRESS(ROW(),COLUMN(NOTA[ID]))),-1)))</f>
        <v/>
      </c>
      <c r="AJ546" s="55" t="str">
        <f ca="1">IF(NOTA[[#This Row],[ID_H]]="","",IF(NOTA[[#This Row],[FAKTUR]]="",INDIRECT(ADDRESS(ROW()-1,COLUMN())),NOTA[[#This Row],[FAKTUR]]))</f>
        <v/>
      </c>
      <c r="AK546" s="56" t="str">
        <f ca="1">IF(NOTA[[#This Row],[ID]]="","",COUNTIF(NOTA[ID_H],NOTA[[#This Row],[ID_H]]))</f>
        <v/>
      </c>
      <c r="AL546" s="56" t="str">
        <f ca="1">IF(NOTA[[#This Row],[TGL.NOTA]]="",IF(NOTA[[#This Row],[SUPPLIER_H]]="","",AL545),MONTH(NOTA[[#This Row],[TGL.NOTA]]))</f>
        <v/>
      </c>
      <c r="AM546" s="56" t="str">
        <f>LOWER(SUBSTITUTE(SUBSTITUTE(SUBSTITUTE(SUBSTITUTE(SUBSTITUTE(SUBSTITUTE(SUBSTITUTE(SUBSTITUTE(SUBSTITUTE(NOTA[NAMA BARANG]," ",),".",""),"-",""),"(",""),")",""),",",""),"/",""),"""",""),"+",""))</f>
        <v/>
      </c>
      <c r="AN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56" t="str">
        <f>IF(NOTA[[#This Row],[CONCAT4]]="","",_xlfn.IFNA(MATCH(NOTA[[#This Row],[CONCAT4]],[2]!RAW[CONCAT_H],0),FALSE))</f>
        <v/>
      </c>
      <c r="AR546" s="56" t="str">
        <f>IF(NOTA[[#This Row],[CONCAT1]]="","",MATCH(NOTA[[#This Row],[CONCAT1]],[3]!db[NB NOTA_C],0))</f>
        <v/>
      </c>
      <c r="AS546" s="56" t="str">
        <f>IF(NOTA[[#This Row],[QTY/ CTN]]="","",TRUE)</f>
        <v/>
      </c>
      <c r="AT546" s="56" t="str">
        <f ca="1">IF(NOTA[[#This Row],[ID_H]]="","",IF(NOTA[[#This Row],[Column3]]=TRUE,NOTA[[#This Row],[QTY/ CTN]],INDEX([3]!db[QTY/ CTN],NOTA[[#This Row],[//DB]])))</f>
        <v/>
      </c>
      <c r="AU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6" s="56" t="str">
        <f ca="1">IF(NOTA[[#This Row],[ID_H]]="","",MATCH(NOTA[[#This Row],[NB NOTA_C_QTY]],[4]!db[NB NOTA_C_QTY+F],0))</f>
        <v/>
      </c>
      <c r="AW546" s="68" t="str">
        <f ca="1">IF(NOTA[[#This Row],[NB NOTA_C_QTY]]="","",ROW()-2)</f>
        <v/>
      </c>
    </row>
    <row r="547" spans="1:49" s="38" customFormat="1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DUT_2909_23H-1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101</v>
      </c>
      <c r="E547" s="57">
        <v>45198</v>
      </c>
      <c r="F547" s="37" t="s">
        <v>418</v>
      </c>
      <c r="G547" s="37" t="s">
        <v>123</v>
      </c>
      <c r="H547" s="47" t="s">
        <v>649</v>
      </c>
      <c r="I547" s="58"/>
      <c r="J547" s="60">
        <v>45194</v>
      </c>
      <c r="K547" s="58"/>
      <c r="L547" s="37" t="s">
        <v>650</v>
      </c>
      <c r="M547" s="61">
        <v>3</v>
      </c>
      <c r="N547" s="56">
        <v>288</v>
      </c>
      <c r="O547" s="37" t="s">
        <v>138</v>
      </c>
      <c r="P547" s="55">
        <v>30500</v>
      </c>
      <c r="Q547" s="62"/>
      <c r="R547" s="48" t="s">
        <v>300</v>
      </c>
      <c r="S547" s="64">
        <v>0.03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8784000</v>
      </c>
      <c r="Y547" s="66">
        <f>IF(NOTA[[#This Row],[JUMLAH]]="","",NOTA[[#This Row],[JUMLAH]]*NOTA[[#This Row],[DISC 1]])</f>
        <v>263520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263520</v>
      </c>
      <c r="AC547" s="66">
        <f>IF(NOTA[[#This Row],[JUMLAH]]="","",NOTA[[#This Row],[JUMLAH]]-NOTA[[#This Row],[DISC]])</f>
        <v>8520480</v>
      </c>
      <c r="AD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263520</v>
      </c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8520480</v>
      </c>
      <c r="AF547" s="5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G547" s="66">
        <f>IF(OR(NOTA[[#This Row],[QTY]]="",NOTA[[#This Row],[HARGA SATUAN]]="",),"",NOTA[[#This Row],[QTY]]*NOTA[[#This Row],[HARGA SATUAN]])</f>
        <v>8784000</v>
      </c>
      <c r="AH547" s="60">
        <f ca="1">IF(NOTA[ID_H]="","",INDEX(NOTA[TANGGAL],MATCH(,INDIRECT(ADDRESS(ROW(NOTA[TANGGAL]),COLUMN(NOTA[TANGGAL]))&amp;":"&amp;ADDRESS(ROW(),COLUMN(NOTA[TANGGAL]))),-1)))</f>
        <v>45198</v>
      </c>
      <c r="AI547" s="55" t="str">
        <f ca="1">IF(NOTA[[#This Row],[NAMA BARANG]]="","",INDEX(NOTA[SUPPLIER],MATCH(,INDIRECT(ADDRESS(ROW(NOTA[ID]),COLUMN(NOTA[ID]))&amp;":"&amp;ADDRESS(ROW(),COLUMN(NOTA[ID]))),-1)))</f>
        <v>DUTA BUANA</v>
      </c>
      <c r="AJ547" s="55" t="str">
        <f ca="1">IF(NOTA[[#This Row],[ID_H]]="","",IF(NOTA[[#This Row],[FAKTUR]]="",INDIRECT(ADDRESS(ROW()-1,COLUMN())),NOTA[[#This Row],[FAKTUR]]))</f>
        <v>UNTANA</v>
      </c>
      <c r="AK547" s="56">
        <f ca="1">IF(NOTA[[#This Row],[ID]]="","",COUNTIF(NOTA[ID_H],NOTA[[#This Row],[ID_H]]))</f>
        <v>1</v>
      </c>
      <c r="AL547" s="56">
        <f>IF(NOTA[[#This Row],[TGL.NOTA]]="",IF(NOTA[[#This Row],[SUPPLIER_H]]="","",AL546),MONTH(NOTA[[#This Row],[TGL.NOTA]]))</f>
        <v>9</v>
      </c>
      <c r="AM547" s="56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N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O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547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BUANAUNTANAHM/266/09-23H45194ballpengeltf311503mmhightechknock</v>
      </c>
      <c r="AQ547" s="56" t="e">
        <f>IF(NOTA[[#This Row],[CONCAT4]]="","",_xlfn.IFNA(MATCH(NOTA[[#This Row],[CONCAT4]],[2]!RAW[CONCAT_H],0),FALSE))</f>
        <v>#REF!</v>
      </c>
      <c r="AR547" s="56">
        <f>IF(NOTA[[#This Row],[CONCAT1]]="","",MATCH(NOTA[[#This Row],[CONCAT1]],[3]!db[NB NOTA_C],0))</f>
        <v>120</v>
      </c>
      <c r="AS547" s="56" t="b">
        <f>IF(NOTA[[#This Row],[QTY/ CTN]]="","",TRUE)</f>
        <v>1</v>
      </c>
      <c r="AT547" s="56" t="str">
        <f ca="1">IF(NOTA[[#This Row],[ID_H]]="","",IF(NOTA[[#This Row],[Column3]]=TRUE,NOTA[[#This Row],[QTY/ CTN]],INDEX([3]!db[QTY/ CTN],NOTA[[#This Row],[//DB]])))</f>
        <v>96 LSN</v>
      </c>
      <c r="AU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V547" s="56" t="e">
        <f ca="1">IF(NOTA[[#This Row],[ID_H]]="","",MATCH(NOTA[[#This Row],[NB NOTA_C_QTY]],[4]!db[NB NOTA_C_QTY+F],0))</f>
        <v>#REF!</v>
      </c>
      <c r="AW547" s="68">
        <f ca="1">IF(NOTA[[#This Row],[NB NOTA_C_QTY]]="","",ROW()-2)</f>
        <v>545</v>
      </c>
    </row>
    <row r="548" spans="1:49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48" s="66" t="str">
        <f>IF(OR(NOTA[[#This Row],[QTY]]="",NOTA[[#This Row],[HARGA SATUAN]]="",),"",NOTA[[#This Row],[QTY]]*NOTA[[#This Row],[HARGA SATUAN]])</f>
        <v/>
      </c>
      <c r="AH548" s="60" t="str">
        <f ca="1">IF(NOTA[ID_H]="","",INDEX(NOTA[TANGGAL],MATCH(,INDIRECT(ADDRESS(ROW(NOTA[TANGGAL]),COLUMN(NOTA[TANGGAL]))&amp;":"&amp;ADDRESS(ROW(),COLUMN(NOTA[TANGGAL]))),-1)))</f>
        <v/>
      </c>
      <c r="AI548" s="55" t="str">
        <f ca="1">IF(NOTA[[#This Row],[NAMA BARANG]]="","",INDEX(NOTA[SUPPLIER],MATCH(,INDIRECT(ADDRESS(ROW(NOTA[ID]),COLUMN(NOTA[ID]))&amp;":"&amp;ADDRESS(ROW(),COLUMN(NOTA[ID]))),-1)))</f>
        <v/>
      </c>
      <c r="AJ548" s="55" t="str">
        <f ca="1">IF(NOTA[[#This Row],[ID_H]]="","",IF(NOTA[[#This Row],[FAKTUR]]="",INDIRECT(ADDRESS(ROW()-1,COLUMN())),NOTA[[#This Row],[FAKTUR]]))</f>
        <v/>
      </c>
      <c r="AK548" s="56" t="str">
        <f ca="1">IF(NOTA[[#This Row],[ID]]="","",COUNTIF(NOTA[ID_H],NOTA[[#This Row],[ID_H]]))</f>
        <v/>
      </c>
      <c r="AL548" s="56" t="str">
        <f ca="1">IF(NOTA[[#This Row],[TGL.NOTA]]="",IF(NOTA[[#This Row],[SUPPLIER_H]]="","",AL547),MONTH(NOTA[[#This Row],[TGL.NOTA]]))</f>
        <v/>
      </c>
      <c r="AM548" s="56" t="str">
        <f>LOWER(SUBSTITUTE(SUBSTITUTE(SUBSTITUTE(SUBSTITUTE(SUBSTITUTE(SUBSTITUTE(SUBSTITUTE(SUBSTITUTE(SUBSTITUTE(NOTA[NAMA BARANG]," ",),".",""),"-",""),"(",""),")",""),",",""),"/",""),"""",""),"+",""))</f>
        <v/>
      </c>
      <c r="AN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8" s="56" t="str">
        <f>IF(NOTA[[#This Row],[CONCAT4]]="","",_xlfn.IFNA(MATCH(NOTA[[#This Row],[CONCAT4]],[2]!RAW[CONCAT_H],0),FALSE))</f>
        <v/>
      </c>
      <c r="AR548" s="56" t="str">
        <f>IF(NOTA[[#This Row],[CONCAT1]]="","",MATCH(NOTA[[#This Row],[CONCAT1]],[3]!db[NB NOTA_C],0))</f>
        <v/>
      </c>
      <c r="AS548" s="56" t="str">
        <f>IF(NOTA[[#This Row],[QTY/ CTN]]="","",TRUE)</f>
        <v/>
      </c>
      <c r="AT548" s="56" t="str">
        <f ca="1">IF(NOTA[[#This Row],[ID_H]]="","",IF(NOTA[[#This Row],[Column3]]=TRUE,NOTA[[#This Row],[QTY/ CTN]],INDEX([3]!db[QTY/ CTN],NOTA[[#This Row],[//DB]])))</f>
        <v/>
      </c>
      <c r="AU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8" s="56" t="str">
        <f ca="1">IF(NOTA[[#This Row],[ID_H]]="","",MATCH(NOTA[[#This Row],[NB NOTA_C_QTY]],[4]!db[NB NOTA_C_QTY+F],0))</f>
        <v/>
      </c>
      <c r="AW548" s="68" t="str">
        <f ca="1">IF(NOTA[[#This Row],[NB NOTA_C_QTY]]="","",ROW()-2)</f>
        <v/>
      </c>
    </row>
    <row r="549" spans="1:49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S_2709_601-1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102</v>
      </c>
      <c r="E549" s="57">
        <v>45196</v>
      </c>
      <c r="F549" s="37" t="s">
        <v>651</v>
      </c>
      <c r="G549" s="37" t="s">
        <v>123</v>
      </c>
      <c r="H549" s="47" t="s">
        <v>652</v>
      </c>
      <c r="I549" s="58"/>
      <c r="J549" s="60">
        <v>45196</v>
      </c>
      <c r="K549" s="58"/>
      <c r="L549" s="37" t="s">
        <v>653</v>
      </c>
      <c r="M549" s="61">
        <v>18</v>
      </c>
      <c r="N549" s="56">
        <v>900</v>
      </c>
      <c r="O549" s="37" t="s">
        <v>126</v>
      </c>
      <c r="P549" s="55">
        <v>30000</v>
      </c>
      <c r="Q549" s="62"/>
      <c r="R549" s="48" t="s">
        <v>654</v>
      </c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27000000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27000000</v>
      </c>
      <c r="AD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F549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G549" s="66">
        <f>IF(OR(NOTA[[#This Row],[QTY]]="",NOTA[[#This Row],[HARGA SATUAN]]="",),"",NOTA[[#This Row],[QTY]]*NOTA[[#This Row],[HARGA SATUAN]])</f>
        <v>27000000</v>
      </c>
      <c r="AH549" s="60">
        <f ca="1">IF(NOTA[ID_H]="","",INDEX(NOTA[TANGGAL],MATCH(,INDIRECT(ADDRESS(ROW(NOTA[TANGGAL]),COLUMN(NOTA[TANGGAL]))&amp;":"&amp;ADDRESS(ROW(),COLUMN(NOTA[TANGGAL]))),-1)))</f>
        <v>45196</v>
      </c>
      <c r="AI549" s="55" t="str">
        <f ca="1">IF(NOTA[[#This Row],[NAMA BARANG]]="","",INDEX(NOTA[SUPPLIER],MATCH(,INDIRECT(ADDRESS(ROW(NOTA[ID]),COLUMN(NOTA[ID]))&amp;":"&amp;ADDRESS(ROW(),COLUMN(NOTA[ID]))),-1)))</f>
        <v>S</v>
      </c>
      <c r="AJ549" s="55" t="str">
        <f ca="1">IF(NOTA[[#This Row],[ID_H]]="","",IF(NOTA[[#This Row],[FAKTUR]]="",INDIRECT(ADDRESS(ROW()-1,COLUMN())),NOTA[[#This Row],[FAKTUR]]))</f>
        <v>UNTANA</v>
      </c>
      <c r="AK549" s="56">
        <f ca="1">IF(NOTA[[#This Row],[ID]]="","",COUNTIF(NOTA[ID_H],NOTA[[#This Row],[ID_H]]))</f>
        <v>1</v>
      </c>
      <c r="AL549" s="56">
        <f>IF(NOTA[[#This Row],[TGL.NOTA]]="",IF(NOTA[[#This Row],[SUPPLIER_H]]="","",AL548),MONTH(NOTA[[#This Row],[TGL.NOTA]]))</f>
        <v>9</v>
      </c>
      <c r="AM549" s="56" t="str">
        <f>LOWER(SUBSTITUTE(SUBSTITUTE(SUBSTITUTE(SUBSTITUTE(SUBSTITUTE(SUBSTITUTE(SUBSTITUTE(SUBSTITUTE(SUBSTITUTE(NOTA[NAMA BARANG]," ",),".",""),"-",""),"(",""),")",""),",",""),"/",""),"""",""),"+",""))</f>
        <v>sulingyamaha</v>
      </c>
      <c r="AN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sulingyamaha1500000</v>
      </c>
      <c r="AO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sulingyamaha1500000</v>
      </c>
      <c r="AP549" s="56" t="str">
        <f>IF(NOTA[[#This Row],[SUPPLIER]]="","",NOTA[[#This Row],[SUPPLIER]]&amp;NOTA[[#This Row],[FAKTUR]]&amp;NOTA[[#This Row],[NO.NOTA]]&amp;NOTA[[#This Row],[NO.SJ]]&amp;NOTA[[#This Row],[TGL.NOTA]]&amp;NOTA[[#This Row],[CONCAT1]])</f>
        <v>SUNTANA07960145196sulingyamaha</v>
      </c>
      <c r="AQ549" s="56" t="e">
        <f>IF(NOTA[[#This Row],[CONCAT4]]="","",_xlfn.IFNA(MATCH(NOTA[[#This Row],[CONCAT4]],[2]!RAW[CONCAT_H],0),FALSE))</f>
        <v>#REF!</v>
      </c>
      <c r="AR549" s="56">
        <f>IF(NOTA[[#This Row],[CONCAT1]]="","",MATCH(NOTA[[#This Row],[CONCAT1]],[3]!db[NB NOTA_C],0))</f>
        <v>2492</v>
      </c>
      <c r="AS549" s="56" t="b">
        <f>IF(NOTA[[#This Row],[QTY/ CTN]]="","",TRUE)</f>
        <v>1</v>
      </c>
      <c r="AT549" s="56" t="str">
        <f ca="1">IF(NOTA[[#This Row],[ID_H]]="","",IF(NOTA[[#This Row],[Column3]]=TRUE,NOTA[[#This Row],[QTY/ CTN]],INDEX([3]!db[QTY/ CTN],NOTA[[#This Row],[//DB]])))</f>
        <v>50 PCS</v>
      </c>
      <c r="AU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sulingyamaha50pcsuntana</v>
      </c>
      <c r="AV549" s="56" t="e">
        <f ca="1">IF(NOTA[[#This Row],[ID_H]]="","",MATCH(NOTA[[#This Row],[NB NOTA_C_QTY]],[4]!db[NB NOTA_C_QTY+F],0))</f>
        <v>#REF!</v>
      </c>
      <c r="AW549" s="68">
        <f ca="1">IF(NOTA[[#This Row],[NB NOTA_C_QTY]]="","",ROW()-2)</f>
        <v>547</v>
      </c>
    </row>
    <row r="550" spans="1:49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50" s="66" t="str">
        <f>IF(OR(NOTA[[#This Row],[QTY]]="",NOTA[[#This Row],[HARGA SATUAN]]="",),"",NOTA[[#This Row],[QTY]]*NOTA[[#This Row],[HARGA SATUAN]])</f>
        <v/>
      </c>
      <c r="AH550" s="60" t="str">
        <f ca="1">IF(NOTA[ID_H]="","",INDEX(NOTA[TANGGAL],MATCH(,INDIRECT(ADDRESS(ROW(NOTA[TANGGAL]),COLUMN(NOTA[TANGGAL]))&amp;":"&amp;ADDRESS(ROW(),COLUMN(NOTA[TANGGAL]))),-1)))</f>
        <v/>
      </c>
      <c r="AI550" s="55" t="str">
        <f ca="1">IF(NOTA[[#This Row],[NAMA BARANG]]="","",INDEX(NOTA[SUPPLIER],MATCH(,INDIRECT(ADDRESS(ROW(NOTA[ID]),COLUMN(NOTA[ID]))&amp;":"&amp;ADDRESS(ROW(),COLUMN(NOTA[ID]))),-1)))</f>
        <v/>
      </c>
      <c r="AJ550" s="55" t="str">
        <f ca="1">IF(NOTA[[#This Row],[ID_H]]="","",IF(NOTA[[#This Row],[FAKTUR]]="",INDIRECT(ADDRESS(ROW()-1,COLUMN())),NOTA[[#This Row],[FAKTUR]]))</f>
        <v/>
      </c>
      <c r="AK550" s="56" t="str">
        <f ca="1">IF(NOTA[[#This Row],[ID]]="","",COUNTIF(NOTA[ID_H],NOTA[[#This Row],[ID_H]]))</f>
        <v/>
      </c>
      <c r="AL550" s="56" t="str">
        <f ca="1">IF(NOTA[[#This Row],[TGL.NOTA]]="",IF(NOTA[[#This Row],[SUPPLIER_H]]="","",AL549),MONTH(NOTA[[#This Row],[TGL.NOTA]]))</f>
        <v/>
      </c>
      <c r="AM550" s="56" t="str">
        <f>LOWER(SUBSTITUTE(SUBSTITUTE(SUBSTITUTE(SUBSTITUTE(SUBSTITUTE(SUBSTITUTE(SUBSTITUTE(SUBSTITUTE(SUBSTITUTE(NOTA[NAMA BARANG]," ",),".",""),"-",""),"(",""),")",""),",",""),"/",""),"""",""),"+",""))</f>
        <v/>
      </c>
      <c r="AN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56" t="str">
        <f>IF(NOTA[[#This Row],[CONCAT4]]="","",_xlfn.IFNA(MATCH(NOTA[[#This Row],[CONCAT4]],[2]!RAW[CONCAT_H],0),FALSE))</f>
        <v/>
      </c>
      <c r="AR550" s="56" t="str">
        <f>IF(NOTA[[#This Row],[CONCAT1]]="","",MATCH(NOTA[[#This Row],[CONCAT1]],[3]!db[NB NOTA_C],0))</f>
        <v/>
      </c>
      <c r="AS550" s="56" t="str">
        <f>IF(NOTA[[#This Row],[QTY/ CTN]]="","",TRUE)</f>
        <v/>
      </c>
      <c r="AT550" s="56" t="str">
        <f ca="1">IF(NOTA[[#This Row],[ID_H]]="","",IF(NOTA[[#This Row],[Column3]]=TRUE,NOTA[[#This Row],[QTY/ CTN]],INDEX([3]!db[QTY/ CTN],NOTA[[#This Row],[//DB]])))</f>
        <v/>
      </c>
      <c r="AU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0" s="56" t="str">
        <f ca="1">IF(NOTA[[#This Row],[ID_H]]="","",MATCH(NOTA[[#This Row],[NB NOTA_C_QTY]],[4]!db[NB NOTA_C_QTY+F],0))</f>
        <v/>
      </c>
      <c r="AW550" s="68" t="str">
        <f ca="1">IF(NOTA[[#This Row],[NB NOTA_C_QTY]]="","",ROW()-2)</f>
        <v/>
      </c>
    </row>
    <row r="551" spans="1:49" s="38" customFormat="1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ATA_2909_941-6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103</v>
      </c>
      <c r="E551" s="57">
        <v>45198</v>
      </c>
      <c r="F551" s="37" t="s">
        <v>24</v>
      </c>
      <c r="G551" s="37" t="s">
        <v>23</v>
      </c>
      <c r="H551" s="47" t="s">
        <v>655</v>
      </c>
      <c r="I551" s="58"/>
      <c r="J551" s="60">
        <v>45192</v>
      </c>
      <c r="K551" s="58"/>
      <c r="L551" s="37" t="s">
        <v>241</v>
      </c>
      <c r="M551" s="61">
        <v>1</v>
      </c>
      <c r="N551" s="56">
        <v>720</v>
      </c>
      <c r="O551" s="37" t="s">
        <v>126</v>
      </c>
      <c r="P551" s="55">
        <v>3700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2664000</v>
      </c>
      <c r="Y551" s="66">
        <f>IF(NOTA[[#This Row],[JUMLAH]]="","",NOTA[[#This Row],[JUMLAH]]*NOTA[[#This Row],[DISC 1]])</f>
        <v>333000</v>
      </c>
      <c r="Z551" s="66">
        <f>IF(NOTA[[#This Row],[JUMLAH]]="","",(NOTA[[#This Row],[JUMLAH]]-NOTA[[#This Row],[DISC 1-]])*NOTA[[#This Row],[DISC 2]])</f>
        <v>116550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449550</v>
      </c>
      <c r="AC551" s="66">
        <f>IF(NOTA[[#This Row],[JUMLAH]]="","",NOTA[[#This Row],[JUMLAH]]-NOTA[[#This Row],[DISC]])</f>
        <v>2214450</v>
      </c>
      <c r="AD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1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G551" s="66">
        <f>IF(OR(NOTA[[#This Row],[QTY]]="",NOTA[[#This Row],[HARGA SATUAN]]="",),"",NOTA[[#This Row],[QTY]]*NOTA[[#This Row],[HARGA SATUAN]])</f>
        <v>2664000</v>
      </c>
      <c r="AH551" s="60">
        <f ca="1">IF(NOTA[ID_H]="","",INDEX(NOTA[TANGGAL],MATCH(,INDIRECT(ADDRESS(ROW(NOTA[TANGGAL]),COLUMN(NOTA[TANGGAL]))&amp;":"&amp;ADDRESS(ROW(),COLUMN(NOTA[TANGGAL]))),-1)))</f>
        <v>45198</v>
      </c>
      <c r="AI551" s="55" t="str">
        <f ca="1">IF(NOTA[[#This Row],[NAMA BARANG]]="","",INDEX(NOTA[SUPPLIER],MATCH(,INDIRECT(ADDRESS(ROW(NOTA[ID]),COLUMN(NOTA[ID]))&amp;":"&amp;ADDRESS(ROW(),COLUMN(NOTA[ID]))),-1)))</f>
        <v>ATALI MAKMUR</v>
      </c>
      <c r="AJ551" s="55" t="str">
        <f ca="1">IF(NOTA[[#This Row],[ID_H]]="","",IF(NOTA[[#This Row],[FAKTUR]]="",INDIRECT(ADDRESS(ROW()-1,COLUMN())),NOTA[[#This Row],[FAKTUR]]))</f>
        <v>ARTO MORO</v>
      </c>
      <c r="AK551" s="56">
        <f ca="1">IF(NOTA[[#This Row],[ID]]="","",COUNTIF(NOTA[ID_H],NOTA[[#This Row],[ID_H]]))</f>
        <v>6</v>
      </c>
      <c r="AL551" s="56">
        <f>IF(NOTA[[#This Row],[TGL.NOTA]]="",IF(NOTA[[#This Row],[SUPPLIER_H]]="","",AL550),MONTH(NOTA[[#This Row],[TGL.NOTA]]))</f>
        <v>9</v>
      </c>
      <c r="AM55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N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O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P55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MOROSA23091694145192highlighterhl1yellowjk</v>
      </c>
      <c r="AQ551" s="56" t="e">
        <f>IF(NOTA[[#This Row],[CONCAT4]]="","",_xlfn.IFNA(MATCH(NOTA[[#This Row],[CONCAT4]],[2]!RAW[CONCAT_H],0),FALSE))</f>
        <v>#REF!</v>
      </c>
      <c r="AR551" s="56">
        <f>IF(NOTA[[#This Row],[CONCAT1]]="","",MATCH(NOTA[[#This Row],[CONCAT1]],[3]!db[NB NOTA_C],0))</f>
        <v>1190</v>
      </c>
      <c r="AS551" s="56" t="str">
        <f>IF(NOTA[[#This Row],[QTY/ CTN]]="","",TRUE)</f>
        <v/>
      </c>
      <c r="AT551" s="56" t="str">
        <f ca="1">IF(NOTA[[#This Row],[ID_H]]="","",IF(NOTA[[#This Row],[Column3]]=TRUE,NOTA[[#This Row],[QTY/ CTN]],INDEX([3]!db[QTY/ CTN],NOTA[[#This Row],[//DB]])))</f>
        <v>72 BOX (10 PCS)</v>
      </c>
      <c r="AU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V551" s="56" t="e">
        <f ca="1">IF(NOTA[[#This Row],[ID_H]]="","",MATCH(NOTA[[#This Row],[NB NOTA_C_QTY]],[4]!db[NB NOTA_C_QTY+F],0))</f>
        <v>#REF!</v>
      </c>
      <c r="AW551" s="68">
        <f ca="1">IF(NOTA[[#This Row],[NB NOTA_C_QTY]]="","",ROW()-2)</f>
        <v>549</v>
      </c>
    </row>
    <row r="552" spans="1:49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103</v>
      </c>
      <c r="E552" s="57"/>
      <c r="F552" s="58"/>
      <c r="G552" s="58"/>
      <c r="H552" s="59"/>
      <c r="I552" s="58"/>
      <c r="J552" s="60"/>
      <c r="K552" s="58"/>
      <c r="L552" s="37" t="s">
        <v>656</v>
      </c>
      <c r="M552" s="61"/>
      <c r="N552" s="56">
        <v>180</v>
      </c>
      <c r="O552" s="37" t="s">
        <v>126</v>
      </c>
      <c r="P552" s="55">
        <v>3700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666000</v>
      </c>
      <c r="Y552" s="66">
        <f>IF(NOTA[[#This Row],[JUMLAH]]="","",NOTA[[#This Row],[JUMLAH]]*NOTA[[#This Row],[DISC 1]])</f>
        <v>83250</v>
      </c>
      <c r="Z552" s="66">
        <f>IF(NOTA[[#This Row],[JUMLAH]]="","",(NOTA[[#This Row],[JUMLAH]]-NOTA[[#This Row],[DISC 1-]])*NOTA[[#This Row],[DISC 2]])</f>
        <v>29137.5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112387.5</v>
      </c>
      <c r="AC552" s="66">
        <f>IF(NOTA[[#This Row],[JUMLAH]]="","",NOTA[[#This Row],[JUMLAH]]-NOTA[[#This Row],[DISC]])</f>
        <v>553612.5</v>
      </c>
      <c r="AD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2" s="66">
        <f>IF(OR(NOTA[[#This Row],[QTY]]="",NOTA[[#This Row],[HARGA SATUAN]]="",),"",NOTA[[#This Row],[QTY]]*NOTA[[#This Row],[HARGA SATUAN]])</f>
        <v>666000</v>
      </c>
      <c r="AH552" s="60">
        <f ca="1">IF(NOTA[ID_H]="","",INDEX(NOTA[TANGGAL],MATCH(,INDIRECT(ADDRESS(ROW(NOTA[TANGGAL]),COLUMN(NOTA[TANGGAL]))&amp;":"&amp;ADDRESS(ROW(),COLUMN(NOTA[TANGGAL]))),-1)))</f>
        <v>45198</v>
      </c>
      <c r="AI552" s="55" t="str">
        <f ca="1">IF(NOTA[[#This Row],[NAMA BARANG]]="","",INDEX(NOTA[SUPPLIER],MATCH(,INDIRECT(ADDRESS(ROW(NOTA[ID]),COLUMN(NOTA[ID]))&amp;":"&amp;ADDRESS(ROW(),COLUMN(NOTA[ID]))),-1)))</f>
        <v>ATALI MAKMUR</v>
      </c>
      <c r="AJ552" s="55" t="str">
        <f ca="1">IF(NOTA[[#This Row],[ID_H]]="","",IF(NOTA[[#This Row],[FAKTUR]]="",INDIRECT(ADDRESS(ROW()-1,COLUMN())),NOTA[[#This Row],[FAKTUR]]))</f>
        <v>ARTO MORO</v>
      </c>
      <c r="AK552" s="56" t="str">
        <f ca="1">IF(NOTA[[#This Row],[ID]]="","",COUNTIF(NOTA[ID_H],NOTA[[#This Row],[ID_H]]))</f>
        <v/>
      </c>
      <c r="AL552" s="56">
        <f ca="1">IF(NOTA[[#This Row],[TGL.NOTA]]="",IF(NOTA[[#This Row],[SUPPLIER_H]]="","",AL551),MONTH(NOTA[[#This Row],[TGL.NOTA]]))</f>
        <v>9</v>
      </c>
      <c r="AM55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N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O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P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56" t="str">
        <f>IF(NOTA[[#This Row],[CONCAT4]]="","",_xlfn.IFNA(MATCH(NOTA[[#This Row],[CONCAT4]],[2]!RAW[CONCAT_H],0),FALSE))</f>
        <v/>
      </c>
      <c r="AR552" s="56">
        <f>IF(NOTA[[#This Row],[CONCAT1]]="","",MATCH(NOTA[[#This Row],[CONCAT1]],[3]!db[NB NOTA_C],0))</f>
        <v>1192</v>
      </c>
      <c r="AS552" s="56" t="str">
        <f>IF(NOTA[[#This Row],[QTY/ CTN]]="","",TRUE)</f>
        <v/>
      </c>
      <c r="AT552" s="56" t="str">
        <f ca="1">IF(NOTA[[#This Row],[ID_H]]="","",IF(NOTA[[#This Row],[Column3]]=TRUE,NOTA[[#This Row],[QTY/ CTN]],INDEX([3]!db[QTY/ CTN],NOTA[[#This Row],[//DB]])))</f>
        <v>72 BOX (10 PCS)</v>
      </c>
      <c r="AU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V552" s="56" t="e">
        <f ca="1">IF(NOTA[[#This Row],[ID_H]]="","",MATCH(NOTA[[#This Row],[NB NOTA_C_QTY]],[4]!db[NB NOTA_C_QTY+F],0))</f>
        <v>#REF!</v>
      </c>
      <c r="AW552" s="68">
        <f ca="1">IF(NOTA[[#This Row],[NB NOTA_C_QTY]]="","",ROW()-2)</f>
        <v>550</v>
      </c>
    </row>
    <row r="553" spans="1:49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103</v>
      </c>
      <c r="E553" s="57"/>
      <c r="F553" s="58"/>
      <c r="G553" s="58"/>
      <c r="H553" s="59"/>
      <c r="I553" s="58"/>
      <c r="J553" s="60"/>
      <c r="K553" s="58"/>
      <c r="L553" s="37" t="s">
        <v>246</v>
      </c>
      <c r="M553" s="61"/>
      <c r="N553" s="56">
        <v>180</v>
      </c>
      <c r="O553" s="37" t="s">
        <v>126</v>
      </c>
      <c r="P553" s="55">
        <v>3700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666000</v>
      </c>
      <c r="Y553" s="66">
        <f>IF(NOTA[[#This Row],[JUMLAH]]="","",NOTA[[#This Row],[JUMLAH]]*NOTA[[#This Row],[DISC 1]])</f>
        <v>83250</v>
      </c>
      <c r="Z553" s="66">
        <f>IF(NOTA[[#This Row],[JUMLAH]]="","",(NOTA[[#This Row],[JUMLAH]]-NOTA[[#This Row],[DISC 1-]])*NOTA[[#This Row],[DISC 2]])</f>
        <v>29137.5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112387.5</v>
      </c>
      <c r="AC553" s="66">
        <f>IF(NOTA[[#This Row],[JUMLAH]]="","",NOTA[[#This Row],[JUMLAH]]-NOTA[[#This Row],[DISC]])</f>
        <v>553612.5</v>
      </c>
      <c r="AD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3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3" s="66">
        <f>IF(OR(NOTA[[#This Row],[QTY]]="",NOTA[[#This Row],[HARGA SATUAN]]="",),"",NOTA[[#This Row],[QTY]]*NOTA[[#This Row],[HARGA SATUAN]])</f>
        <v>666000</v>
      </c>
      <c r="AH553" s="60">
        <f ca="1">IF(NOTA[ID_H]="","",INDEX(NOTA[TANGGAL],MATCH(,INDIRECT(ADDRESS(ROW(NOTA[TANGGAL]),COLUMN(NOTA[TANGGAL]))&amp;":"&amp;ADDRESS(ROW(),COLUMN(NOTA[TANGGAL]))),-1)))</f>
        <v>45198</v>
      </c>
      <c r="AI553" s="55" t="str">
        <f ca="1">IF(NOTA[[#This Row],[NAMA BARANG]]="","",INDEX(NOTA[SUPPLIER],MATCH(,INDIRECT(ADDRESS(ROW(NOTA[ID]),COLUMN(NOTA[ID]))&amp;":"&amp;ADDRESS(ROW(),COLUMN(NOTA[ID]))),-1)))</f>
        <v>ATALI MAKMUR</v>
      </c>
      <c r="AJ553" s="55" t="str">
        <f ca="1">IF(NOTA[[#This Row],[ID_H]]="","",IF(NOTA[[#This Row],[FAKTUR]]="",INDIRECT(ADDRESS(ROW()-1,COLUMN())),NOTA[[#This Row],[FAKTUR]]))</f>
        <v>ARTO MORO</v>
      </c>
      <c r="AK553" s="56" t="str">
        <f ca="1">IF(NOTA[[#This Row],[ID]]="","",COUNTIF(NOTA[ID_H],NOTA[[#This Row],[ID_H]]))</f>
        <v/>
      </c>
      <c r="AL553" s="56">
        <f ca="1">IF(NOTA[[#This Row],[TGL.NOTA]]="",IF(NOTA[[#This Row],[SUPPLIER_H]]="","",AL552),MONTH(NOTA[[#This Row],[TGL.NOTA]]))</f>
        <v>9</v>
      </c>
      <c r="AM55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N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highlighterhl3bluejk6660000.1250.05</v>
      </c>
      <c r="AO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P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56" t="str">
        <f>IF(NOTA[[#This Row],[CONCAT4]]="","",_xlfn.IFNA(MATCH(NOTA[[#This Row],[CONCAT4]],[2]!RAW[CONCAT_H],0),FALSE))</f>
        <v/>
      </c>
      <c r="AR553" s="56">
        <f>IF(NOTA[[#This Row],[CONCAT1]]="","",MATCH(NOTA[[#This Row],[CONCAT1]],[3]!db[NB NOTA_C],0))</f>
        <v>1193</v>
      </c>
      <c r="AS553" s="56" t="str">
        <f>IF(NOTA[[#This Row],[QTY/ CTN]]="","",TRUE)</f>
        <v/>
      </c>
      <c r="AT553" s="56" t="str">
        <f ca="1">IF(NOTA[[#This Row],[ID_H]]="","",IF(NOTA[[#This Row],[Column3]]=TRUE,NOTA[[#This Row],[QTY/ CTN]],INDEX([3]!db[QTY/ CTN],NOTA[[#This Row],[//DB]])))</f>
        <v>72 BOX (10 PCS)</v>
      </c>
      <c r="AU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V553" s="56" t="e">
        <f ca="1">IF(NOTA[[#This Row],[ID_H]]="","",MATCH(NOTA[[#This Row],[NB NOTA_C_QTY]],[4]!db[NB NOTA_C_QTY+F],0))</f>
        <v>#REF!</v>
      </c>
      <c r="AW553" s="68">
        <f ca="1">IF(NOTA[[#This Row],[NB NOTA_C_QTY]]="","",ROW()-2)</f>
        <v>551</v>
      </c>
    </row>
    <row r="554" spans="1:49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103</v>
      </c>
      <c r="E554" s="57"/>
      <c r="F554" s="58"/>
      <c r="G554" s="58"/>
      <c r="H554" s="59"/>
      <c r="I554" s="58"/>
      <c r="J554" s="60"/>
      <c r="K554" s="58"/>
      <c r="L554" s="37" t="s">
        <v>242</v>
      </c>
      <c r="M554" s="61"/>
      <c r="N554" s="56">
        <v>180</v>
      </c>
      <c r="O554" s="37" t="s">
        <v>126</v>
      </c>
      <c r="P554" s="55">
        <v>3700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666000</v>
      </c>
      <c r="Y554" s="66">
        <f>IF(NOTA[[#This Row],[JUMLAH]]="","",NOTA[[#This Row],[JUMLAH]]*NOTA[[#This Row],[DISC 1]])</f>
        <v>83250</v>
      </c>
      <c r="Z554" s="66">
        <f>IF(NOTA[[#This Row],[JUMLAH]]="","",(NOTA[[#This Row],[JUMLAH]]-NOTA[[#This Row],[DISC 1-]])*NOTA[[#This Row],[DISC 2]])</f>
        <v>29137.5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112387.5</v>
      </c>
      <c r="AC554" s="66">
        <f>IF(NOTA[[#This Row],[JUMLAH]]="","",NOTA[[#This Row],[JUMLAH]]-NOTA[[#This Row],[DISC]])</f>
        <v>553612.5</v>
      </c>
      <c r="AD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4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4" s="66">
        <f>IF(OR(NOTA[[#This Row],[QTY]]="",NOTA[[#This Row],[HARGA SATUAN]]="",),"",NOTA[[#This Row],[QTY]]*NOTA[[#This Row],[HARGA SATUAN]])</f>
        <v>666000</v>
      </c>
      <c r="AH554" s="60">
        <f ca="1">IF(NOTA[ID_H]="","",INDEX(NOTA[TANGGAL],MATCH(,INDIRECT(ADDRESS(ROW(NOTA[TANGGAL]),COLUMN(NOTA[TANGGAL]))&amp;":"&amp;ADDRESS(ROW(),COLUMN(NOTA[TANGGAL]))),-1)))</f>
        <v>45198</v>
      </c>
      <c r="AI554" s="55" t="str">
        <f ca="1">IF(NOTA[[#This Row],[NAMA BARANG]]="","",INDEX(NOTA[SUPPLIER],MATCH(,INDIRECT(ADDRESS(ROW(NOTA[ID]),COLUMN(NOTA[ID]))&amp;":"&amp;ADDRESS(ROW(),COLUMN(NOTA[ID]))),-1)))</f>
        <v>ATALI MAKMUR</v>
      </c>
      <c r="AJ554" s="55" t="str">
        <f ca="1">IF(NOTA[[#This Row],[ID_H]]="","",IF(NOTA[[#This Row],[FAKTUR]]="",INDIRECT(ADDRESS(ROW()-1,COLUMN())),NOTA[[#This Row],[FAKTUR]]))</f>
        <v>ARTO MORO</v>
      </c>
      <c r="AK554" s="56" t="str">
        <f ca="1">IF(NOTA[[#This Row],[ID]]="","",COUNTIF(NOTA[ID_H],NOTA[[#This Row],[ID_H]]))</f>
        <v/>
      </c>
      <c r="AL554" s="56">
        <f ca="1">IF(NOTA[[#This Row],[TGL.NOTA]]="",IF(NOTA[[#This Row],[SUPPLIER_H]]="","",AL553),MONTH(NOTA[[#This Row],[TGL.NOTA]]))</f>
        <v>9</v>
      </c>
      <c r="AM55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N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highlighterhl4pinkjk6660000.1250.05</v>
      </c>
      <c r="AO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P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56" t="str">
        <f>IF(NOTA[[#This Row],[CONCAT4]]="","",_xlfn.IFNA(MATCH(NOTA[[#This Row],[CONCAT4]],[2]!RAW[CONCAT_H],0),FALSE))</f>
        <v/>
      </c>
      <c r="AR554" s="56">
        <f>IF(NOTA[[#This Row],[CONCAT1]]="","",MATCH(NOTA[[#This Row],[CONCAT1]],[3]!db[NB NOTA_C],0))</f>
        <v>1194</v>
      </c>
      <c r="AS554" s="56" t="str">
        <f>IF(NOTA[[#This Row],[QTY/ CTN]]="","",TRUE)</f>
        <v/>
      </c>
      <c r="AT554" s="56" t="str">
        <f ca="1">IF(NOTA[[#This Row],[ID_H]]="","",IF(NOTA[[#This Row],[Column3]]=TRUE,NOTA[[#This Row],[QTY/ CTN]],INDEX([3]!db[QTY/ CTN],NOTA[[#This Row],[//DB]])))</f>
        <v>72 BOX (10 PCS)</v>
      </c>
      <c r="AU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V554" s="56" t="e">
        <f ca="1">IF(NOTA[[#This Row],[ID_H]]="","",MATCH(NOTA[[#This Row],[NB NOTA_C_QTY]],[4]!db[NB NOTA_C_QTY+F],0))</f>
        <v>#REF!</v>
      </c>
      <c r="AW554" s="68">
        <f ca="1">IF(NOTA[[#This Row],[NB NOTA_C_QTY]]="","",ROW()-2)</f>
        <v>552</v>
      </c>
    </row>
    <row r="555" spans="1:49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103</v>
      </c>
      <c r="E555" s="57"/>
      <c r="F555" s="58"/>
      <c r="G555" s="58"/>
      <c r="H555" s="59"/>
      <c r="I555" s="58"/>
      <c r="J555" s="60"/>
      <c r="K555" s="58"/>
      <c r="L555" s="37" t="s">
        <v>243</v>
      </c>
      <c r="M555" s="61"/>
      <c r="N555" s="56">
        <v>180</v>
      </c>
      <c r="O555" s="37" t="s">
        <v>126</v>
      </c>
      <c r="P555" s="55">
        <v>3700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666000</v>
      </c>
      <c r="Y555" s="66">
        <f>IF(NOTA[[#This Row],[JUMLAH]]="","",NOTA[[#This Row],[JUMLAH]]*NOTA[[#This Row],[DISC 1]])</f>
        <v>83250</v>
      </c>
      <c r="Z555" s="66">
        <f>IF(NOTA[[#This Row],[JUMLAH]]="","",(NOTA[[#This Row],[JUMLAH]]-NOTA[[#This Row],[DISC 1-]])*NOTA[[#This Row],[DISC 2]])</f>
        <v>29137.5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112387.5</v>
      </c>
      <c r="AC555" s="66">
        <f>IF(NOTA[[#This Row],[JUMLAH]]="","",NOTA[[#This Row],[JUMLAH]]-NOTA[[#This Row],[DISC]])</f>
        <v>553612.5</v>
      </c>
      <c r="AD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5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G555" s="66">
        <f>IF(OR(NOTA[[#This Row],[QTY]]="",NOTA[[#This Row],[HARGA SATUAN]]="",),"",NOTA[[#This Row],[QTY]]*NOTA[[#This Row],[HARGA SATUAN]])</f>
        <v>666000</v>
      </c>
      <c r="AH555" s="60">
        <f ca="1">IF(NOTA[ID_H]="","",INDEX(NOTA[TANGGAL],MATCH(,INDIRECT(ADDRESS(ROW(NOTA[TANGGAL]),COLUMN(NOTA[TANGGAL]))&amp;":"&amp;ADDRESS(ROW(),COLUMN(NOTA[TANGGAL]))),-1)))</f>
        <v>45198</v>
      </c>
      <c r="AI555" s="55" t="str">
        <f ca="1">IF(NOTA[[#This Row],[NAMA BARANG]]="","",INDEX(NOTA[SUPPLIER],MATCH(,INDIRECT(ADDRESS(ROW(NOTA[ID]),COLUMN(NOTA[ID]))&amp;":"&amp;ADDRESS(ROW(),COLUMN(NOTA[ID]))),-1)))</f>
        <v>ATALI MAKMUR</v>
      </c>
      <c r="AJ555" s="55" t="str">
        <f ca="1">IF(NOTA[[#This Row],[ID_H]]="","",IF(NOTA[[#This Row],[FAKTUR]]="",INDIRECT(ADDRESS(ROW()-1,COLUMN())),NOTA[[#This Row],[FAKTUR]]))</f>
        <v>ARTO MORO</v>
      </c>
      <c r="AK555" s="56" t="str">
        <f ca="1">IF(NOTA[[#This Row],[ID]]="","",COUNTIF(NOTA[ID_H],NOTA[[#This Row],[ID_H]]))</f>
        <v/>
      </c>
      <c r="AL555" s="56">
        <f ca="1">IF(NOTA[[#This Row],[TGL.NOTA]]="",IF(NOTA[[#This Row],[SUPPLIER_H]]="","",AL554),MONTH(NOTA[[#This Row],[TGL.NOTA]]))</f>
        <v>9</v>
      </c>
      <c r="AM55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N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highlighterhl5orangejk6660000.1250.05</v>
      </c>
      <c r="AO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P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56" t="str">
        <f>IF(NOTA[[#This Row],[CONCAT4]]="","",_xlfn.IFNA(MATCH(NOTA[[#This Row],[CONCAT4]],[2]!RAW[CONCAT_H],0),FALSE))</f>
        <v/>
      </c>
      <c r="AR555" s="56">
        <f>IF(NOTA[[#This Row],[CONCAT1]]="","",MATCH(NOTA[[#This Row],[CONCAT1]],[3]!db[NB NOTA_C],0))</f>
        <v>1195</v>
      </c>
      <c r="AS555" s="56" t="str">
        <f>IF(NOTA[[#This Row],[QTY/ CTN]]="","",TRUE)</f>
        <v/>
      </c>
      <c r="AT555" s="56" t="str">
        <f ca="1">IF(NOTA[[#This Row],[ID_H]]="","",IF(NOTA[[#This Row],[Column3]]=TRUE,NOTA[[#This Row],[QTY/ CTN]],INDEX([3]!db[QTY/ CTN],NOTA[[#This Row],[//DB]])))</f>
        <v>72 BOX (10 PCS)</v>
      </c>
      <c r="AU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V555" s="56" t="e">
        <f ca="1">IF(NOTA[[#This Row],[ID_H]]="","",MATCH(NOTA[[#This Row],[NB NOTA_C_QTY]],[4]!db[NB NOTA_C_QTY+F],0))</f>
        <v>#REF!</v>
      </c>
      <c r="AW555" s="68">
        <f ca="1">IF(NOTA[[#This Row],[NB NOTA_C_QTY]]="","",ROW()-2)</f>
        <v>553</v>
      </c>
    </row>
    <row r="556" spans="1:49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103</v>
      </c>
      <c r="E556" s="57"/>
      <c r="F556" s="58"/>
      <c r="G556" s="58"/>
      <c r="H556" s="59"/>
      <c r="I556" s="58"/>
      <c r="J556" s="60"/>
      <c r="K556" s="58"/>
      <c r="L556" s="37" t="s">
        <v>240</v>
      </c>
      <c r="M556" s="61">
        <v>4</v>
      </c>
      <c r="N556" s="56">
        <v>2880</v>
      </c>
      <c r="O556" s="37" t="s">
        <v>126</v>
      </c>
      <c r="P556" s="55">
        <v>4800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13824000</v>
      </c>
      <c r="Y556" s="66">
        <f>IF(NOTA[[#This Row],[JUMLAH]]="","",NOTA[[#This Row],[JUMLAH]]*NOTA[[#This Row],[DISC 1]])</f>
        <v>1728000</v>
      </c>
      <c r="Z556" s="66">
        <f>IF(NOTA[[#This Row],[JUMLAH]]="","",(NOTA[[#This Row],[JUMLAH]]-NOTA[[#This Row],[DISC 1-]])*NOTA[[#This Row],[DISC 2]])</f>
        <v>604800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2332800</v>
      </c>
      <c r="AC556" s="66">
        <f>IF(NOTA[[#This Row],[JUMLAH]]="","",NOTA[[#This Row],[JUMLAH]]-NOTA[[#This Row],[DISC]])</f>
        <v>11491200</v>
      </c>
      <c r="AD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3231900</v>
      </c>
      <c r="AE5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15920100</v>
      </c>
      <c r="AF556" s="5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G556" s="66">
        <f>IF(OR(NOTA[[#This Row],[QTY]]="",NOTA[[#This Row],[HARGA SATUAN]]="",),"",NOTA[[#This Row],[QTY]]*NOTA[[#This Row],[HARGA SATUAN]])</f>
        <v>13824000</v>
      </c>
      <c r="AH556" s="60">
        <f ca="1">IF(NOTA[ID_H]="","",INDEX(NOTA[TANGGAL],MATCH(,INDIRECT(ADDRESS(ROW(NOTA[TANGGAL]),COLUMN(NOTA[TANGGAL]))&amp;":"&amp;ADDRESS(ROW(),COLUMN(NOTA[TANGGAL]))),-1)))</f>
        <v>45198</v>
      </c>
      <c r="AI556" s="55" t="str">
        <f ca="1">IF(NOTA[[#This Row],[NAMA BARANG]]="","",INDEX(NOTA[SUPPLIER],MATCH(,INDIRECT(ADDRESS(ROW(NOTA[ID]),COLUMN(NOTA[ID]))&amp;":"&amp;ADDRESS(ROW(),COLUMN(NOTA[ID]))),-1)))</f>
        <v>ATALI MAKMUR</v>
      </c>
      <c r="AJ556" s="55" t="str">
        <f ca="1">IF(NOTA[[#This Row],[ID_H]]="","",IF(NOTA[[#This Row],[FAKTUR]]="",INDIRECT(ADDRESS(ROW()-1,COLUMN())),NOTA[[#This Row],[FAKTUR]]))</f>
        <v>ARTO MORO</v>
      </c>
      <c r="AK556" s="56" t="str">
        <f ca="1">IF(NOTA[[#This Row],[ID]]="","",COUNTIF(NOTA[ID_H],NOTA[[#This Row],[ID_H]]))</f>
        <v/>
      </c>
      <c r="AL556" s="56">
        <f ca="1">IF(NOTA[[#This Row],[TGL.NOTA]]="",IF(NOTA[[#This Row],[SUPPLIER_H]]="","",AL555),MONTH(NOTA[[#This Row],[TGL.NOTA]]))</f>
        <v>9</v>
      </c>
      <c r="AM556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6" s="56" t="str">
        <f>IF(NOTA[[#This Row],[CONCAT4]]="","",_xlfn.IFNA(MATCH(NOTA[[#This Row],[CONCAT4]],[2]!RAW[CONCAT_H],0),FALSE))</f>
        <v/>
      </c>
      <c r="AR556" s="56">
        <f>IF(NOTA[[#This Row],[CONCAT1]]="","",MATCH(NOTA[[#This Row],[CONCAT1]],[3]!db[NB NOTA_C],0))</f>
        <v>631</v>
      </c>
      <c r="AS556" s="56" t="str">
        <f>IF(NOTA[[#This Row],[QTY/ CTN]]="","",TRUE)</f>
        <v/>
      </c>
      <c r="AT556" s="56" t="str">
        <f ca="1">IF(NOTA[[#This Row],[ID_H]]="","",IF(NOTA[[#This Row],[Column3]]=TRUE,NOTA[[#This Row],[QTY/ CTN]],INDEX([3]!db[QTY/ CTN],NOTA[[#This Row],[//DB]])))</f>
        <v>60 LSN</v>
      </c>
      <c r="AU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V556" s="56" t="e">
        <f ca="1">IF(NOTA[[#This Row],[ID_H]]="","",MATCH(NOTA[[#This Row],[NB NOTA_C_QTY]],[4]!db[NB NOTA_C_QTY+F],0))</f>
        <v>#REF!</v>
      </c>
      <c r="AW556" s="68">
        <f ca="1">IF(NOTA[[#This Row],[NB NOTA_C_QTY]]="","",ROW()-2)</f>
        <v>554</v>
      </c>
    </row>
    <row r="557" spans="1:49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58"/>
      <c r="M557" s="61"/>
      <c r="N557" s="56"/>
      <c r="O557" s="58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57" s="66" t="str">
        <f>IF(OR(NOTA[[#This Row],[QTY]]="",NOTA[[#This Row],[HARGA SATUAN]]="",),"",NOTA[[#This Row],[QTY]]*NOTA[[#This Row],[HARGA SATUAN]])</f>
        <v/>
      </c>
      <c r="AH557" s="60" t="str">
        <f ca="1">IF(NOTA[ID_H]="","",INDEX(NOTA[TANGGAL],MATCH(,INDIRECT(ADDRESS(ROW(NOTA[TANGGAL]),COLUMN(NOTA[TANGGAL]))&amp;":"&amp;ADDRESS(ROW(),COLUMN(NOTA[TANGGAL]))),-1)))</f>
        <v/>
      </c>
      <c r="AI557" s="55" t="str">
        <f ca="1">IF(NOTA[[#This Row],[NAMA BARANG]]="","",INDEX(NOTA[SUPPLIER],MATCH(,INDIRECT(ADDRESS(ROW(NOTA[ID]),COLUMN(NOTA[ID]))&amp;":"&amp;ADDRESS(ROW(),COLUMN(NOTA[ID]))),-1)))</f>
        <v/>
      </c>
      <c r="AJ557" s="55" t="str">
        <f ca="1">IF(NOTA[[#This Row],[ID_H]]="","",IF(NOTA[[#This Row],[FAKTUR]]="",INDIRECT(ADDRESS(ROW()-1,COLUMN())),NOTA[[#This Row],[FAKTUR]]))</f>
        <v/>
      </c>
      <c r="AK557" s="56" t="str">
        <f ca="1">IF(NOTA[[#This Row],[ID]]="","",COUNTIF(NOTA[ID_H],NOTA[[#This Row],[ID_H]]))</f>
        <v/>
      </c>
      <c r="AL557" s="56" t="str">
        <f ca="1">IF(NOTA[[#This Row],[TGL.NOTA]]="",IF(NOTA[[#This Row],[SUPPLIER_H]]="","",AL556),MONTH(NOTA[[#This Row],[TGL.NOTA]]))</f>
        <v/>
      </c>
      <c r="AM557" s="56" t="str">
        <f>LOWER(SUBSTITUTE(SUBSTITUTE(SUBSTITUTE(SUBSTITUTE(SUBSTITUTE(SUBSTITUTE(SUBSTITUTE(SUBSTITUTE(SUBSTITUTE(NOTA[NAMA BARANG]," ",),".",""),"-",""),"(",""),")",""),",",""),"/",""),"""",""),"+",""))</f>
        <v/>
      </c>
      <c r="AN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56" t="str">
        <f>IF(NOTA[[#This Row],[CONCAT4]]="","",_xlfn.IFNA(MATCH(NOTA[[#This Row],[CONCAT4]],[2]!RAW[CONCAT_H],0),FALSE))</f>
        <v/>
      </c>
      <c r="AR557" s="56" t="str">
        <f>IF(NOTA[[#This Row],[CONCAT1]]="","",MATCH(NOTA[[#This Row],[CONCAT1]],[3]!db[NB NOTA_C],0))</f>
        <v/>
      </c>
      <c r="AS557" s="56" t="str">
        <f>IF(NOTA[[#This Row],[QTY/ CTN]]="","",TRUE)</f>
        <v/>
      </c>
      <c r="AT557" s="56" t="str">
        <f ca="1">IF(NOTA[[#This Row],[ID_H]]="","",IF(NOTA[[#This Row],[Column3]]=TRUE,NOTA[[#This Row],[QTY/ CTN]],INDEX([3]!db[QTY/ CTN],NOTA[[#This Row],[//DB]])))</f>
        <v/>
      </c>
      <c r="AU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7" s="56" t="str">
        <f ca="1">IF(NOTA[[#This Row],[ID_H]]="","",MATCH(NOTA[[#This Row],[NB NOTA_C_QTY]],[4]!db[NB NOTA_C_QTY+F],0))</f>
        <v/>
      </c>
      <c r="AW557" s="68" t="str">
        <f ca="1">IF(NOTA[[#This Row],[NB NOTA_C_QTY]]="","",ROW()-2)</f>
        <v/>
      </c>
    </row>
    <row r="558" spans="1:49" s="38" customFormat="1" ht="20.100000000000001" customHeight="1" x14ac:dyDescent="0.25">
      <c r="A558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KEN_2909_171-7</v>
      </c>
      <c r="C558" s="56" t="e">
        <f ca="1">IF(NOTA[[#This Row],[ID_P]]="","",MATCH(NOTA[[#This Row],[ID_P]],[1]!B_MSK[N_ID],0))</f>
        <v>#REF!</v>
      </c>
      <c r="D558" s="56">
        <f ca="1">IF(NOTA[[#This Row],[NAMA BARANG]]="","",INDEX(NOTA[ID],MATCH(,INDIRECT(ADDRESS(ROW(NOTA[ID]),COLUMN(NOTA[ID]))&amp;":"&amp;ADDRESS(ROW(),COLUMN(NOTA[ID]))),-1)))</f>
        <v>104</v>
      </c>
      <c r="E558" s="57">
        <v>45198</v>
      </c>
      <c r="F558" s="37" t="s">
        <v>22</v>
      </c>
      <c r="G558" s="37" t="s">
        <v>23</v>
      </c>
      <c r="H558" s="47" t="s">
        <v>657</v>
      </c>
      <c r="I558" s="58"/>
      <c r="J558" s="60">
        <v>45194</v>
      </c>
      <c r="K558" s="58"/>
      <c r="L558" s="37" t="s">
        <v>104</v>
      </c>
      <c r="M558" s="61">
        <v>50</v>
      </c>
      <c r="N558" s="56"/>
      <c r="O558" s="58"/>
      <c r="P558" s="55"/>
      <c r="Q558" s="62">
        <v>1860000</v>
      </c>
      <c r="R558" s="63"/>
      <c r="S558" s="64">
        <v>0.17</v>
      </c>
      <c r="T558" s="65">
        <v>0.03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93000000</v>
      </c>
      <c r="Y558" s="66">
        <f>IF(NOTA[[#This Row],[JUMLAH]]="","",NOTA[[#This Row],[JUMLAH]]*NOTA[[#This Row],[DISC 1]])</f>
        <v>15810000.000000002</v>
      </c>
      <c r="Z558" s="66">
        <f>IF(NOTA[[#This Row],[JUMLAH]]="","",(NOTA[[#This Row],[JUMLAH]]-NOTA[[#This Row],[DISC 1-]])*NOTA[[#This Row],[DISC 2]])</f>
        <v>2315700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18125700</v>
      </c>
      <c r="AC558" s="66">
        <f>IF(NOTA[[#This Row],[JUMLAH]]="","",NOTA[[#This Row],[JUMLAH]]-NOTA[[#This Row],[DISC]])</f>
        <v>74874300</v>
      </c>
      <c r="AD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8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G558" s="66" t="str">
        <f>IF(OR(NOTA[[#This Row],[QTY]]="",NOTA[[#This Row],[HARGA SATUAN]]="",),"",NOTA[[#This Row],[QTY]]*NOTA[[#This Row],[HARGA SATUAN]])</f>
        <v/>
      </c>
      <c r="AH558" s="60">
        <f ca="1">IF(NOTA[ID_H]="","",INDEX(NOTA[TANGGAL],MATCH(,INDIRECT(ADDRESS(ROW(NOTA[TANGGAL]),COLUMN(NOTA[TANGGAL]))&amp;":"&amp;ADDRESS(ROW(),COLUMN(NOTA[TANGGAL]))),-1)))</f>
        <v>45198</v>
      </c>
      <c r="AI558" s="55" t="str">
        <f ca="1">IF(NOTA[[#This Row],[NAMA BARANG]]="","",INDEX(NOTA[SUPPLIER],MATCH(,INDIRECT(ADDRESS(ROW(NOTA[ID]),COLUMN(NOTA[ID]))&amp;":"&amp;ADDRESS(ROW(),COLUMN(NOTA[ID]))),-1)))</f>
        <v>KENKO SINAR INDONESIA</v>
      </c>
      <c r="AJ558" s="55" t="str">
        <f ca="1">IF(NOTA[[#This Row],[ID_H]]="","",IF(NOTA[[#This Row],[FAKTUR]]="",INDIRECT(ADDRESS(ROW()-1,COLUMN())),NOTA[[#This Row],[FAKTUR]]))</f>
        <v>ARTO MORO</v>
      </c>
      <c r="AK558" s="56">
        <f ca="1">IF(NOTA[[#This Row],[ID]]="","",COUNTIF(NOTA[ID_H],NOTA[[#This Row],[ID_H]]))</f>
        <v>7</v>
      </c>
      <c r="AL558" s="56">
        <f>IF(NOTA[[#This Row],[TGL.NOTA]]="",IF(NOTA[[#This Row],[SUPPLIER_H]]="","",AL557),MONTH(NOTA[[#This Row],[TGL.NOTA]]))</f>
        <v>9</v>
      </c>
      <c r="AM558" s="5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O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P5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MORO2309217145194kenkostaplerhd10</v>
      </c>
      <c r="AQ558" s="56" t="e">
        <f>IF(NOTA[[#This Row],[CONCAT4]]="","",_xlfn.IFNA(MATCH(NOTA[[#This Row],[CONCAT4]],[2]!RAW[CONCAT_H],0),FALSE))</f>
        <v>#REF!</v>
      </c>
      <c r="AR558" s="56">
        <f>IF(NOTA[[#This Row],[CONCAT1]]="","",MATCH(NOTA[[#This Row],[CONCAT1]],[3]!db[NB NOTA_C],0))</f>
        <v>1559</v>
      </c>
      <c r="AS558" s="56" t="str">
        <f>IF(NOTA[[#This Row],[QTY/ CTN]]="","",TRUE)</f>
        <v/>
      </c>
      <c r="AT558" s="56" t="str">
        <f ca="1">IF(NOTA[[#This Row],[ID_H]]="","",IF(NOTA[[#This Row],[Column3]]=TRUE,NOTA[[#This Row],[QTY/ CTN]],INDEX([3]!db[QTY/ CTN],NOTA[[#This Row],[//DB]])))</f>
        <v>20 LSN</v>
      </c>
      <c r="AU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V558" s="56" t="e">
        <f ca="1">IF(NOTA[[#This Row],[ID_H]]="","",MATCH(NOTA[[#This Row],[NB NOTA_C_QTY]],[4]!db[NB NOTA_C_QTY+F],0))</f>
        <v>#REF!</v>
      </c>
      <c r="AW558" s="68">
        <f ca="1">IF(NOTA[[#This Row],[NB NOTA_C_QTY]]="","",ROW()-2)</f>
        <v>556</v>
      </c>
    </row>
    <row r="559" spans="1:49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104</v>
      </c>
      <c r="E559" s="57"/>
      <c r="F559" s="58"/>
      <c r="G559" s="58"/>
      <c r="H559" s="59"/>
      <c r="I559" s="58"/>
      <c r="J559" s="60"/>
      <c r="K559" s="58"/>
      <c r="L559" s="37" t="s">
        <v>146</v>
      </c>
      <c r="M559" s="61">
        <v>7</v>
      </c>
      <c r="N559" s="56"/>
      <c r="O559" s="58"/>
      <c r="P559" s="55"/>
      <c r="Q559" s="62">
        <v>2376000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16632000</v>
      </c>
      <c r="Y559" s="66">
        <f>IF(NOTA[[#This Row],[JUMLAH]]="","",NOTA[[#This Row],[JUMLAH]]*NOTA[[#This Row],[DISC 1]])</f>
        <v>2827440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2827440</v>
      </c>
      <c r="AC559" s="66">
        <f>IF(NOTA[[#This Row],[JUMLAH]]="","",NOTA[[#This Row],[JUMLAH]]-NOTA[[#This Row],[DISC]])</f>
        <v>13804560</v>
      </c>
      <c r="AD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59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G559" s="66" t="str">
        <f>IF(OR(NOTA[[#This Row],[QTY]]="",NOTA[[#This Row],[HARGA SATUAN]]="",),"",NOTA[[#This Row],[QTY]]*NOTA[[#This Row],[HARGA SATUAN]])</f>
        <v/>
      </c>
      <c r="AH559" s="60">
        <f ca="1">IF(NOTA[ID_H]="","",INDEX(NOTA[TANGGAL],MATCH(,INDIRECT(ADDRESS(ROW(NOTA[TANGGAL]),COLUMN(NOTA[TANGGAL]))&amp;":"&amp;ADDRESS(ROW(),COLUMN(NOTA[TANGGAL]))),-1)))</f>
        <v>45198</v>
      </c>
      <c r="AI559" s="55" t="str">
        <f ca="1">IF(NOTA[[#This Row],[NAMA BARANG]]="","",INDEX(NOTA[SUPPLIER],MATCH(,INDIRECT(ADDRESS(ROW(NOTA[ID]),COLUMN(NOTA[ID]))&amp;":"&amp;ADDRESS(ROW(),COLUMN(NOTA[ID]))),-1)))</f>
        <v>KENKO SINAR INDONESIA</v>
      </c>
      <c r="AJ559" s="55" t="str">
        <f ca="1">IF(NOTA[[#This Row],[ID_H]]="","",IF(NOTA[[#This Row],[FAKTUR]]="",INDIRECT(ADDRESS(ROW()-1,COLUMN())),NOTA[[#This Row],[FAKTUR]]))</f>
        <v>ARTO MORO</v>
      </c>
      <c r="AK559" s="56" t="str">
        <f ca="1">IF(NOTA[[#This Row],[ID]]="","",COUNTIF(NOTA[ID_H],NOTA[[#This Row],[ID_H]]))</f>
        <v/>
      </c>
      <c r="AL559" s="56">
        <f ca="1">IF(NOTA[[#This Row],[TGL.NOTA]]="",IF(NOTA[[#This Row],[SUPPLIER_H]]="","",AL558),MONTH(NOTA[[#This Row],[TGL.NOTA]]))</f>
        <v>9</v>
      </c>
      <c r="AM559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9" s="56" t="str">
        <f>IF(NOTA[[#This Row],[CONCAT4]]="","",_xlfn.IFNA(MATCH(NOTA[[#This Row],[CONCAT4]],[2]!RAW[CONCAT_H],0),FALSE))</f>
        <v/>
      </c>
      <c r="AR559" s="56">
        <f>IF(NOTA[[#This Row],[CONCAT1]]="","",MATCH(NOTA[[#This Row],[CONCAT1]],[3]!db[NB NOTA_C],0))</f>
        <v>1447</v>
      </c>
      <c r="AS559" s="56" t="str">
        <f>IF(NOTA[[#This Row],[QTY/ CTN]]="","",TRUE)</f>
        <v/>
      </c>
      <c r="AT559" s="56" t="str">
        <f ca="1">IF(NOTA[[#This Row],[ID_H]]="","",IF(NOTA[[#This Row],[Column3]]=TRUE,NOTA[[#This Row],[QTY/ CTN]],INDEX([3]!db[QTY/ CTN],NOTA[[#This Row],[//DB]])))</f>
        <v>36 BOX (30 PCS)</v>
      </c>
      <c r="AU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V559" s="56" t="e">
        <f ca="1">IF(NOTA[[#This Row],[ID_H]]="","",MATCH(NOTA[[#This Row],[NB NOTA_C_QTY]],[4]!db[NB NOTA_C_QTY+F],0))</f>
        <v>#REF!</v>
      </c>
      <c r="AW559" s="68">
        <f ca="1">IF(NOTA[[#This Row],[NB NOTA_C_QTY]]="","",ROW()-2)</f>
        <v>557</v>
      </c>
    </row>
    <row r="560" spans="1:49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104</v>
      </c>
      <c r="E560" s="57"/>
      <c r="F560" s="58"/>
      <c r="G560" s="58"/>
      <c r="H560" s="59"/>
      <c r="I560" s="58"/>
      <c r="J560" s="60"/>
      <c r="K560" s="58"/>
      <c r="L560" s="37" t="s">
        <v>147</v>
      </c>
      <c r="M560" s="61">
        <v>1</v>
      </c>
      <c r="N560" s="56"/>
      <c r="O560" s="58"/>
      <c r="P560" s="55"/>
      <c r="Q560" s="62">
        <v>2592000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2592000</v>
      </c>
      <c r="Y560" s="66">
        <f>IF(NOTA[[#This Row],[JUMLAH]]="","",NOTA[[#This Row],[JUMLAH]]*NOTA[[#This Row],[DISC 1]])</f>
        <v>440640.00000000006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440640.00000000006</v>
      </c>
      <c r="AC560" s="66">
        <f>IF(NOTA[[#This Row],[JUMLAH]]="","",NOTA[[#This Row],[JUMLAH]]-NOTA[[#This Row],[DISC]])</f>
        <v>2151360</v>
      </c>
      <c r="AD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0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G560" s="66" t="str">
        <f>IF(OR(NOTA[[#This Row],[QTY]]="",NOTA[[#This Row],[HARGA SATUAN]]="",),"",NOTA[[#This Row],[QTY]]*NOTA[[#This Row],[HARGA SATUAN]])</f>
        <v/>
      </c>
      <c r="AH560" s="60">
        <f ca="1">IF(NOTA[ID_H]="","",INDEX(NOTA[TANGGAL],MATCH(,INDIRECT(ADDRESS(ROW(NOTA[TANGGAL]),COLUMN(NOTA[TANGGAL]))&amp;":"&amp;ADDRESS(ROW(),COLUMN(NOTA[TANGGAL]))),-1)))</f>
        <v>45198</v>
      </c>
      <c r="AI560" s="55" t="str">
        <f ca="1">IF(NOTA[[#This Row],[NAMA BARANG]]="","",INDEX(NOTA[SUPPLIER],MATCH(,INDIRECT(ADDRESS(ROW(NOTA[ID]),COLUMN(NOTA[ID]))&amp;":"&amp;ADDRESS(ROW(),COLUMN(NOTA[ID]))),-1)))</f>
        <v>KENKO SINAR INDONESIA</v>
      </c>
      <c r="AJ560" s="55" t="str">
        <f ca="1">IF(NOTA[[#This Row],[ID_H]]="","",IF(NOTA[[#This Row],[FAKTUR]]="",INDIRECT(ADDRESS(ROW()-1,COLUMN())),NOTA[[#This Row],[FAKTUR]]))</f>
        <v>ARTO MORO</v>
      </c>
      <c r="AK560" s="56" t="str">
        <f ca="1">IF(NOTA[[#This Row],[ID]]="","",COUNTIF(NOTA[ID_H],NOTA[[#This Row],[ID_H]]))</f>
        <v/>
      </c>
      <c r="AL560" s="56">
        <f ca="1">IF(NOTA[[#This Row],[TGL.NOTA]]="",IF(NOTA[[#This Row],[SUPPLIER_H]]="","",AL559),MONTH(NOTA[[#This Row],[TGL.NOTA]]))</f>
        <v>9</v>
      </c>
      <c r="AM560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56" t="str">
        <f>IF(NOTA[[#This Row],[CONCAT4]]="","",_xlfn.IFNA(MATCH(NOTA[[#This Row],[CONCAT4]],[2]!RAW[CONCAT_H],0),FALSE))</f>
        <v/>
      </c>
      <c r="AR560" s="56">
        <f>IF(NOTA[[#This Row],[CONCAT1]]="","",MATCH(NOTA[[#This Row],[CONCAT1]],[3]!db[NB NOTA_C],0))</f>
        <v>1445</v>
      </c>
      <c r="AS560" s="56" t="str">
        <f>IF(NOTA[[#This Row],[QTY/ CTN]]="","",TRUE)</f>
        <v/>
      </c>
      <c r="AT560" s="56" t="str">
        <f ca="1">IF(NOTA[[#This Row],[ID_H]]="","",IF(NOTA[[#This Row],[Column3]]=TRUE,NOTA[[#This Row],[QTY/ CTN]],INDEX([3]!db[QTY/ CTN],NOTA[[#This Row],[//DB]])))</f>
        <v>36 BOX (20 PCS)</v>
      </c>
      <c r="AU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V560" s="56" t="e">
        <f ca="1">IF(NOTA[[#This Row],[ID_H]]="","",MATCH(NOTA[[#This Row],[NB NOTA_C_QTY]],[4]!db[NB NOTA_C_QTY+F],0))</f>
        <v>#REF!</v>
      </c>
      <c r="AW560" s="68">
        <f ca="1">IF(NOTA[[#This Row],[NB NOTA_C_QTY]]="","",ROW()-2)</f>
        <v>558</v>
      </c>
    </row>
    <row r="561" spans="1:49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104</v>
      </c>
      <c r="E561" s="57"/>
      <c r="F561" s="58"/>
      <c r="G561" s="58"/>
      <c r="H561" s="59"/>
      <c r="I561" s="58"/>
      <c r="J561" s="60"/>
      <c r="K561" s="58"/>
      <c r="L561" s="37" t="s">
        <v>148</v>
      </c>
      <c r="M561" s="61">
        <v>2</v>
      </c>
      <c r="N561" s="56"/>
      <c r="O561" s="58"/>
      <c r="P561" s="55"/>
      <c r="Q561" s="62">
        <v>2160000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4320000</v>
      </c>
      <c r="Y561" s="66">
        <f>IF(NOTA[[#This Row],[JUMLAH]]="","",NOTA[[#This Row],[JUMLAH]]*NOTA[[#This Row],[DISC 1]])</f>
        <v>734400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734400</v>
      </c>
      <c r="AC561" s="66">
        <f>IF(NOTA[[#This Row],[JUMLAH]]="","",NOTA[[#This Row],[JUMLAH]]-NOTA[[#This Row],[DISC]])</f>
        <v>3585600</v>
      </c>
      <c r="AD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1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G561" s="66" t="str">
        <f>IF(OR(NOTA[[#This Row],[QTY]]="",NOTA[[#This Row],[HARGA SATUAN]]="",),"",NOTA[[#This Row],[QTY]]*NOTA[[#This Row],[HARGA SATUAN]])</f>
        <v/>
      </c>
      <c r="AH561" s="60">
        <f ca="1">IF(NOTA[ID_H]="","",INDEX(NOTA[TANGGAL],MATCH(,INDIRECT(ADDRESS(ROW(NOTA[TANGGAL]),COLUMN(NOTA[TANGGAL]))&amp;":"&amp;ADDRESS(ROW(),COLUMN(NOTA[TANGGAL]))),-1)))</f>
        <v>45198</v>
      </c>
      <c r="AI561" s="55" t="str">
        <f ca="1">IF(NOTA[[#This Row],[NAMA BARANG]]="","",INDEX(NOTA[SUPPLIER],MATCH(,INDIRECT(ADDRESS(ROW(NOTA[ID]),COLUMN(NOTA[ID]))&amp;":"&amp;ADDRESS(ROW(),COLUMN(NOTA[ID]))),-1)))</f>
        <v>KENKO SINAR INDONESIA</v>
      </c>
      <c r="AJ561" s="55" t="str">
        <f ca="1">IF(NOTA[[#This Row],[ID_H]]="","",IF(NOTA[[#This Row],[FAKTUR]]="",INDIRECT(ADDRESS(ROW()-1,COLUMN())),NOTA[[#This Row],[FAKTUR]]))</f>
        <v>ARTO MORO</v>
      </c>
      <c r="AK561" s="56" t="str">
        <f ca="1">IF(NOTA[[#This Row],[ID]]="","",COUNTIF(NOTA[ID_H],NOTA[[#This Row],[ID_H]]))</f>
        <v/>
      </c>
      <c r="AL561" s="56">
        <f ca="1">IF(NOTA[[#This Row],[TGL.NOTA]]="",IF(NOTA[[#This Row],[SUPPLIER_H]]="","",AL560),MONTH(NOTA[[#This Row],[TGL.NOTA]]))</f>
        <v>9</v>
      </c>
      <c r="AM561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56" t="str">
        <f>IF(NOTA[[#This Row],[CONCAT4]]="","",_xlfn.IFNA(MATCH(NOTA[[#This Row],[CONCAT4]],[2]!RAW[CONCAT_H],0),FALSE))</f>
        <v/>
      </c>
      <c r="AR561" s="56">
        <f>IF(NOTA[[#This Row],[CONCAT1]]="","",MATCH(NOTA[[#This Row],[CONCAT1]],[3]!db[NB NOTA_C],0))</f>
        <v>1446</v>
      </c>
      <c r="AS561" s="56" t="str">
        <f>IF(NOTA[[#This Row],[QTY/ CTN]]="","",TRUE)</f>
        <v/>
      </c>
      <c r="AT561" s="56" t="str">
        <f ca="1">IF(NOTA[[#This Row],[ID_H]]="","",IF(NOTA[[#This Row],[Column3]]=TRUE,NOTA[[#This Row],[QTY/ CTN]],INDEX([3]!db[QTY/ CTN],NOTA[[#This Row],[//DB]])))</f>
        <v>36 LSN</v>
      </c>
      <c r="AU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V561" s="56" t="e">
        <f ca="1">IF(NOTA[[#This Row],[ID_H]]="","",MATCH(NOTA[[#This Row],[NB NOTA_C_QTY]],[4]!db[NB NOTA_C_QTY+F],0))</f>
        <v>#REF!</v>
      </c>
      <c r="AW561" s="68">
        <f ca="1">IF(NOTA[[#This Row],[NB NOTA_C_QTY]]="","",ROW()-2)</f>
        <v>559</v>
      </c>
    </row>
    <row r="562" spans="1:49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104</v>
      </c>
      <c r="E562" s="57"/>
      <c r="F562" s="58"/>
      <c r="G562" s="58"/>
      <c r="H562" s="59"/>
      <c r="I562" s="58"/>
      <c r="J562" s="60"/>
      <c r="K562" s="58"/>
      <c r="L562" s="37" t="s">
        <v>155</v>
      </c>
      <c r="M562" s="61">
        <v>2</v>
      </c>
      <c r="N562" s="56"/>
      <c r="O562" s="58"/>
      <c r="P562" s="55"/>
      <c r="Q562" s="62">
        <v>1695600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3391200</v>
      </c>
      <c r="Y562" s="66">
        <f>IF(NOTA[[#This Row],[JUMLAH]]="","",NOTA[[#This Row],[JUMLAH]]*NOTA[[#This Row],[DISC 1]])</f>
        <v>576504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576504</v>
      </c>
      <c r="AC562" s="66">
        <f>IF(NOTA[[#This Row],[JUMLAH]]="","",NOTA[[#This Row],[JUMLAH]]-NOTA[[#This Row],[DISC]])</f>
        <v>2814696</v>
      </c>
      <c r="AD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2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G562" s="66" t="str">
        <f>IF(OR(NOTA[[#This Row],[QTY]]="",NOTA[[#This Row],[HARGA SATUAN]]="",),"",NOTA[[#This Row],[QTY]]*NOTA[[#This Row],[HARGA SATUAN]])</f>
        <v/>
      </c>
      <c r="AH562" s="60">
        <f ca="1">IF(NOTA[ID_H]="","",INDEX(NOTA[TANGGAL],MATCH(,INDIRECT(ADDRESS(ROW(NOTA[TANGGAL]),COLUMN(NOTA[TANGGAL]))&amp;":"&amp;ADDRESS(ROW(),COLUMN(NOTA[TANGGAL]))),-1)))</f>
        <v>45198</v>
      </c>
      <c r="AI562" s="55" t="str">
        <f ca="1">IF(NOTA[[#This Row],[NAMA BARANG]]="","",INDEX(NOTA[SUPPLIER],MATCH(,INDIRECT(ADDRESS(ROW(NOTA[ID]),COLUMN(NOTA[ID]))&amp;":"&amp;ADDRESS(ROW(),COLUMN(NOTA[ID]))),-1)))</f>
        <v>KENKO SINAR INDONESIA</v>
      </c>
      <c r="AJ562" s="55" t="str">
        <f ca="1">IF(NOTA[[#This Row],[ID_H]]="","",IF(NOTA[[#This Row],[FAKTUR]]="",INDIRECT(ADDRESS(ROW()-1,COLUMN())),NOTA[[#This Row],[FAKTUR]]))</f>
        <v>ARTO MORO</v>
      </c>
      <c r="AK562" s="56" t="str">
        <f ca="1">IF(NOTA[[#This Row],[ID]]="","",COUNTIF(NOTA[ID_H],NOTA[[#This Row],[ID_H]]))</f>
        <v/>
      </c>
      <c r="AL562" s="56">
        <f ca="1">IF(NOTA[[#This Row],[TGL.NOTA]]="",IF(NOTA[[#This Row],[SUPPLIER_H]]="","",AL561),MONTH(NOTA[[#This Row],[TGL.NOTA]]))</f>
        <v>9</v>
      </c>
      <c r="AM562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56" t="str">
        <f>IF(NOTA[[#This Row],[CONCAT4]]="","",_xlfn.IFNA(MATCH(NOTA[[#This Row],[CONCAT4]],[2]!RAW[CONCAT_H],0),FALSE))</f>
        <v/>
      </c>
      <c r="AR562" s="56">
        <f>IF(NOTA[[#This Row],[CONCAT1]]="","",MATCH(NOTA[[#This Row],[CONCAT1]],[3]!db[NB NOTA_C],0))</f>
        <v>1345</v>
      </c>
      <c r="AS562" s="56" t="str">
        <f>IF(NOTA[[#This Row],[QTY/ CTN]]="","",TRUE)</f>
        <v/>
      </c>
      <c r="AT562" s="56" t="str">
        <f ca="1">IF(NOTA[[#This Row],[ID_H]]="","",IF(NOTA[[#This Row],[Column3]]=TRUE,NOTA[[#This Row],[QTY/ CTN]],INDEX([3]!db[QTY/ CTN],NOTA[[#This Row],[//DB]])))</f>
        <v>36 LSN</v>
      </c>
      <c r="AU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V562" s="56" t="e">
        <f ca="1">IF(NOTA[[#This Row],[ID_H]]="","",MATCH(NOTA[[#This Row],[NB NOTA_C_QTY]],[4]!db[NB NOTA_C_QTY+F],0))</f>
        <v>#REF!</v>
      </c>
      <c r="AW562" s="68">
        <f ca="1">IF(NOTA[[#This Row],[NB NOTA_C_QTY]]="","",ROW()-2)</f>
        <v>560</v>
      </c>
    </row>
    <row r="563" spans="1:49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104</v>
      </c>
      <c r="E563" s="57"/>
      <c r="F563" s="58"/>
      <c r="G563" s="58"/>
      <c r="H563" s="59"/>
      <c r="I563" s="58"/>
      <c r="J563" s="60"/>
      <c r="K563" s="58"/>
      <c r="L563" s="37" t="s">
        <v>658</v>
      </c>
      <c r="M563" s="61">
        <v>1</v>
      </c>
      <c r="N563" s="56"/>
      <c r="O563" s="58"/>
      <c r="P563" s="55"/>
      <c r="Q563" s="62">
        <v>1200000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1200000</v>
      </c>
      <c r="Y563" s="66">
        <f>IF(NOTA[[#This Row],[JUMLAH]]="","",NOTA[[#This Row],[JUMLAH]]*NOTA[[#This Row],[DISC 1]])</f>
        <v>204000.00000000003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204000.00000000003</v>
      </c>
      <c r="AC563" s="66">
        <f>IF(NOTA[[#This Row],[JUMLAH]]="","",NOTA[[#This Row],[JUMLAH]]-NOTA[[#This Row],[DISC]])</f>
        <v>996000</v>
      </c>
      <c r="AD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3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G563" s="66" t="str">
        <f>IF(OR(NOTA[[#This Row],[QTY]]="",NOTA[[#This Row],[HARGA SATUAN]]="",),"",NOTA[[#This Row],[QTY]]*NOTA[[#This Row],[HARGA SATUAN]])</f>
        <v/>
      </c>
      <c r="AH563" s="60">
        <f ca="1">IF(NOTA[ID_H]="","",INDEX(NOTA[TANGGAL],MATCH(,INDIRECT(ADDRESS(ROW(NOTA[TANGGAL]),COLUMN(NOTA[TANGGAL]))&amp;":"&amp;ADDRESS(ROW(),COLUMN(NOTA[TANGGAL]))),-1)))</f>
        <v>45198</v>
      </c>
      <c r="AI563" s="55" t="str">
        <f ca="1">IF(NOTA[[#This Row],[NAMA BARANG]]="","",INDEX(NOTA[SUPPLIER],MATCH(,INDIRECT(ADDRESS(ROW(NOTA[ID]),COLUMN(NOTA[ID]))&amp;":"&amp;ADDRESS(ROW(),COLUMN(NOTA[ID]))),-1)))</f>
        <v>KENKO SINAR INDONESIA</v>
      </c>
      <c r="AJ563" s="55" t="str">
        <f ca="1">IF(NOTA[[#This Row],[ID_H]]="","",IF(NOTA[[#This Row],[FAKTUR]]="",INDIRECT(ADDRESS(ROW()-1,COLUMN())),NOTA[[#This Row],[FAKTUR]]))</f>
        <v>ARTO MORO</v>
      </c>
      <c r="AK563" s="56" t="str">
        <f ca="1">IF(NOTA[[#This Row],[ID]]="","",COUNTIF(NOTA[ID_H],NOTA[[#This Row],[ID_H]]))</f>
        <v/>
      </c>
      <c r="AL563" s="56">
        <f ca="1">IF(NOTA[[#This Row],[TGL.NOTA]]="",IF(NOTA[[#This Row],[SUPPLIER_H]]="","",AL562),MONTH(NOTA[[#This Row],[TGL.NOTA]]))</f>
        <v>9</v>
      </c>
      <c r="AM563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N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O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P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56" t="str">
        <f>IF(NOTA[[#This Row],[CONCAT4]]="","",_xlfn.IFNA(MATCH(NOTA[[#This Row],[CONCAT4]],[2]!RAW[CONCAT_H],0),FALSE))</f>
        <v/>
      </c>
      <c r="AR563" s="56">
        <f>IF(NOTA[[#This Row],[CONCAT1]]="","",MATCH(NOTA[[#This Row],[CONCAT1]],[3]!db[NB NOTA_C],0))</f>
        <v>1286</v>
      </c>
      <c r="AS563" s="56" t="str">
        <f>IF(NOTA[[#This Row],[QTY/ CTN]]="","",TRUE)</f>
        <v/>
      </c>
      <c r="AT563" s="56" t="str">
        <f ca="1">IF(NOTA[[#This Row],[ID_H]]="","",IF(NOTA[[#This Row],[Column3]]=TRUE,NOTA[[#This Row],[QTY/ CTN]],INDEX([3]!db[QTY/ CTN],NOTA[[#This Row],[//DB]])))</f>
        <v>10 GRS</v>
      </c>
      <c r="AU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V563" s="56" t="e">
        <f ca="1">IF(NOTA[[#This Row],[ID_H]]="","",MATCH(NOTA[[#This Row],[NB NOTA_C_QTY]],[4]!db[NB NOTA_C_QTY+F],0))</f>
        <v>#REF!</v>
      </c>
      <c r="AW563" s="68">
        <f ca="1">IF(NOTA[[#This Row],[NB NOTA_C_QTY]]="","",ROW()-2)</f>
        <v>561</v>
      </c>
    </row>
    <row r="564" spans="1:49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104</v>
      </c>
      <c r="E564" s="57"/>
      <c r="F564" s="58"/>
      <c r="G564" s="58"/>
      <c r="H564" s="59"/>
      <c r="I564" s="58"/>
      <c r="J564" s="60"/>
      <c r="K564" s="58"/>
      <c r="L564" s="37" t="s">
        <v>106</v>
      </c>
      <c r="M564" s="61">
        <v>1</v>
      </c>
      <c r="N564" s="56"/>
      <c r="O564" s="58"/>
      <c r="P564" s="55"/>
      <c r="Q564" s="62">
        <v>900000</v>
      </c>
      <c r="R564" s="63"/>
      <c r="S564" s="64">
        <v>0.17</v>
      </c>
      <c r="T564" s="65"/>
      <c r="U564" s="65"/>
      <c r="V564" s="66"/>
      <c r="W564" s="67"/>
      <c r="X564" s="66">
        <f>IF(NOTA[[#This Row],[HARGA/ CTN]]="",NOTA[[#This Row],[JUMLAH_H]],NOTA[[#This Row],[HARGA/ CTN]]*IF(NOTA[[#This Row],[C]]="",0,NOTA[[#This Row],[C]]))</f>
        <v>900000</v>
      </c>
      <c r="Y564" s="66">
        <f>IF(NOTA[[#This Row],[JUMLAH]]="","",NOTA[[#This Row],[JUMLAH]]*NOTA[[#This Row],[DISC 1]])</f>
        <v>153000</v>
      </c>
      <c r="Z564" s="66">
        <f>IF(NOTA[[#This Row],[JUMLAH]]="","",(NOTA[[#This Row],[JUMLAH]]-NOTA[[#This Row],[DISC 1-]])*NOTA[[#This Row],[DISC 2]])</f>
        <v>0</v>
      </c>
      <c r="AA564" s="66">
        <f>IF(NOTA[[#This Row],[JUMLAH]]="","",(NOTA[[#This Row],[JUMLAH]]-NOTA[[#This Row],[DISC 1-]]-NOTA[[#This Row],[DISC 2-]])*NOTA[[#This Row],[DISC 3]])</f>
        <v>0</v>
      </c>
      <c r="AB564" s="66">
        <f>IF(NOTA[[#This Row],[JUMLAH]]="","",NOTA[[#This Row],[DISC 1-]]+NOTA[[#This Row],[DISC 2-]]+NOTA[[#This Row],[DISC 3-]])</f>
        <v>153000</v>
      </c>
      <c r="AC564" s="66">
        <f>IF(NOTA[[#This Row],[JUMLAH]]="","",NOTA[[#This Row],[JUMLAH]]-NOTA[[#This Row],[DISC]])</f>
        <v>747000</v>
      </c>
      <c r="AD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23061684</v>
      </c>
      <c r="AE56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98973516</v>
      </c>
      <c r="AF56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564" s="66" t="str">
        <f>IF(OR(NOTA[[#This Row],[QTY]]="",NOTA[[#This Row],[HARGA SATUAN]]="",),"",NOTA[[#This Row],[QTY]]*NOTA[[#This Row],[HARGA SATUAN]])</f>
        <v/>
      </c>
      <c r="AH564" s="60">
        <f ca="1">IF(NOTA[ID_H]="","",INDEX(NOTA[TANGGAL],MATCH(,INDIRECT(ADDRESS(ROW(NOTA[TANGGAL]),COLUMN(NOTA[TANGGAL]))&amp;":"&amp;ADDRESS(ROW(),COLUMN(NOTA[TANGGAL]))),-1)))</f>
        <v>45198</v>
      </c>
      <c r="AI564" s="55" t="str">
        <f ca="1">IF(NOTA[[#This Row],[NAMA BARANG]]="","",INDEX(NOTA[SUPPLIER],MATCH(,INDIRECT(ADDRESS(ROW(NOTA[ID]),COLUMN(NOTA[ID]))&amp;":"&amp;ADDRESS(ROW(),COLUMN(NOTA[ID]))),-1)))</f>
        <v>KENKO SINAR INDONESIA</v>
      </c>
      <c r="AJ564" s="55" t="str">
        <f ca="1">IF(NOTA[[#This Row],[ID_H]]="","",IF(NOTA[[#This Row],[FAKTUR]]="",INDIRECT(ADDRESS(ROW()-1,COLUMN())),NOTA[[#This Row],[FAKTUR]]))</f>
        <v>ARTO MORO</v>
      </c>
      <c r="AK564" s="56" t="str">
        <f ca="1">IF(NOTA[[#This Row],[ID]]="","",COUNTIF(NOTA[ID_H],NOTA[[#This Row],[ID_H]]))</f>
        <v/>
      </c>
      <c r="AL564" s="56">
        <f ca="1">IF(NOTA[[#This Row],[TGL.NOTA]]="",IF(NOTA[[#This Row],[SUPPLIER_H]]="","",AL563),MONTH(NOTA[[#This Row],[TGL.NOTA]]))</f>
        <v>9</v>
      </c>
      <c r="AM56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56" t="str">
        <f>IF(NOTA[[#This Row],[CONCAT4]]="","",_xlfn.IFNA(MATCH(NOTA[[#This Row],[CONCAT4]],[2]!RAW[CONCAT_H],0),FALSE))</f>
        <v/>
      </c>
      <c r="AR564" s="56">
        <f>IF(NOTA[[#This Row],[CONCAT1]]="","",MATCH(NOTA[[#This Row],[CONCAT1]],[3]!db[NB NOTA_C],0))</f>
        <v>1287</v>
      </c>
      <c r="AS564" s="56" t="str">
        <f>IF(NOTA[[#This Row],[QTY/ CTN]]="","",TRUE)</f>
        <v/>
      </c>
      <c r="AT564" s="56" t="str">
        <f ca="1">IF(NOTA[[#This Row],[ID_H]]="","",IF(NOTA[[#This Row],[Column3]]=TRUE,NOTA[[#This Row],[QTY/ CTN]],INDEX([3]!db[QTY/ CTN],NOTA[[#This Row],[//DB]])))</f>
        <v>5 GRS</v>
      </c>
      <c r="AU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V564" s="56" t="e">
        <f ca="1">IF(NOTA[[#This Row],[ID_H]]="","",MATCH(NOTA[[#This Row],[NB NOTA_C_QTY]],[4]!db[NB NOTA_C_QTY+F],0))</f>
        <v>#REF!</v>
      </c>
      <c r="AW564" s="68">
        <f ca="1">IF(NOTA[[#This Row],[NB NOTA_C_QTY]]="","",ROW()-2)</f>
        <v>562</v>
      </c>
    </row>
    <row r="565" spans="1:49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58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65" s="66" t="str">
        <f>IF(OR(NOTA[[#This Row],[QTY]]="",NOTA[[#This Row],[HARGA SATUAN]]="",),"",NOTA[[#This Row],[QTY]]*NOTA[[#This Row],[HARGA SATUAN]])</f>
        <v/>
      </c>
      <c r="AH565" s="60" t="str">
        <f ca="1">IF(NOTA[ID_H]="","",INDEX(NOTA[TANGGAL],MATCH(,INDIRECT(ADDRESS(ROW(NOTA[TANGGAL]),COLUMN(NOTA[TANGGAL]))&amp;":"&amp;ADDRESS(ROW(),COLUMN(NOTA[TANGGAL]))),-1)))</f>
        <v/>
      </c>
      <c r="AI565" s="55" t="str">
        <f ca="1">IF(NOTA[[#This Row],[NAMA BARANG]]="","",INDEX(NOTA[SUPPLIER],MATCH(,INDIRECT(ADDRESS(ROW(NOTA[ID]),COLUMN(NOTA[ID]))&amp;":"&amp;ADDRESS(ROW(),COLUMN(NOTA[ID]))),-1)))</f>
        <v/>
      </c>
      <c r="AJ565" s="55" t="str">
        <f ca="1">IF(NOTA[[#This Row],[ID_H]]="","",IF(NOTA[[#This Row],[FAKTUR]]="",INDIRECT(ADDRESS(ROW()-1,COLUMN())),NOTA[[#This Row],[FAKTUR]]))</f>
        <v/>
      </c>
      <c r="AK565" s="56" t="str">
        <f ca="1">IF(NOTA[[#This Row],[ID]]="","",COUNTIF(NOTA[ID_H],NOTA[[#This Row],[ID_H]]))</f>
        <v/>
      </c>
      <c r="AL565" s="56" t="str">
        <f ca="1">IF(NOTA[[#This Row],[TGL.NOTA]]="",IF(NOTA[[#This Row],[SUPPLIER_H]]="","",AL564),MONTH(NOTA[[#This Row],[TGL.NOTA]]))</f>
        <v/>
      </c>
      <c r="AM565" s="56" t="str">
        <f>LOWER(SUBSTITUTE(SUBSTITUTE(SUBSTITUTE(SUBSTITUTE(SUBSTITUTE(SUBSTITUTE(SUBSTITUTE(SUBSTITUTE(SUBSTITUTE(NOTA[NAMA BARANG]," ",),".",""),"-",""),"(",""),")",""),",",""),"/",""),"""",""),"+",""))</f>
        <v/>
      </c>
      <c r="AN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5" s="56" t="str">
        <f>IF(NOTA[[#This Row],[CONCAT4]]="","",_xlfn.IFNA(MATCH(NOTA[[#This Row],[CONCAT4]],[2]!RAW[CONCAT_H],0),FALSE))</f>
        <v/>
      </c>
      <c r="AR565" s="56" t="str">
        <f>IF(NOTA[[#This Row],[CONCAT1]]="","",MATCH(NOTA[[#This Row],[CONCAT1]],[3]!db[NB NOTA_C],0))</f>
        <v/>
      </c>
      <c r="AS565" s="56" t="str">
        <f>IF(NOTA[[#This Row],[QTY/ CTN]]="","",TRUE)</f>
        <v/>
      </c>
      <c r="AT565" s="56" t="str">
        <f ca="1">IF(NOTA[[#This Row],[ID_H]]="","",IF(NOTA[[#This Row],[Column3]]=TRUE,NOTA[[#This Row],[QTY/ CTN]],INDEX([3]!db[QTY/ CTN],NOTA[[#This Row],[//DB]])))</f>
        <v/>
      </c>
      <c r="AU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5" s="56" t="str">
        <f ca="1">IF(NOTA[[#This Row],[ID_H]]="","",MATCH(NOTA[[#This Row],[NB NOTA_C_QTY]],[4]!db[NB NOTA_C_QTY+F],0))</f>
        <v/>
      </c>
      <c r="AW565" s="68" t="str">
        <f ca="1">IF(NOTA[[#This Row],[NB NOTA_C_QTY]]="","",ROW()-2)</f>
        <v/>
      </c>
    </row>
    <row r="566" spans="1:49" s="38" customFormat="1" ht="20.100000000000001" customHeight="1" x14ac:dyDescent="0.25">
      <c r="A56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KEN_0210_311-2</v>
      </c>
      <c r="C566" s="56" t="e">
        <f ca="1">IF(NOTA[[#This Row],[ID_P]]="","",MATCH(NOTA[[#This Row],[ID_P]],[1]!B_MSK[N_ID],0))</f>
        <v>#REF!</v>
      </c>
      <c r="D566" s="56">
        <f ca="1">IF(NOTA[[#This Row],[NAMA BARANG]]="","",INDEX(NOTA[ID],MATCH(,INDIRECT(ADDRESS(ROW(NOTA[ID]),COLUMN(NOTA[ID]))&amp;":"&amp;ADDRESS(ROW(),COLUMN(NOTA[ID]))),-1)))</f>
        <v>105</v>
      </c>
      <c r="E566" s="57">
        <v>45201</v>
      </c>
      <c r="F566" s="37" t="s">
        <v>22</v>
      </c>
      <c r="G566" s="37" t="s">
        <v>23</v>
      </c>
      <c r="H566" s="47" t="s">
        <v>663</v>
      </c>
      <c r="I566" s="58"/>
      <c r="J566" s="60">
        <v>45196</v>
      </c>
      <c r="K566" s="58"/>
      <c r="L566" s="37" t="s">
        <v>146</v>
      </c>
      <c r="M566" s="61">
        <v>2</v>
      </c>
      <c r="N566" s="56"/>
      <c r="O566" s="58"/>
      <c r="P566" s="55"/>
      <c r="Q566" s="62">
        <v>2376000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4752000</v>
      </c>
      <c r="Y566" s="66">
        <f>IF(NOTA[[#This Row],[JUMLAH]]="","",NOTA[[#This Row],[JUMLAH]]*NOTA[[#This Row],[DISC 1]])</f>
        <v>807840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807840</v>
      </c>
      <c r="AC566" s="66">
        <f>IF(NOTA[[#This Row],[JUMLAH]]="","",NOTA[[#This Row],[JUMLAH]]-NOTA[[#This Row],[DISC]])</f>
        <v>3944160</v>
      </c>
      <c r="AD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6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G566" s="66" t="str">
        <f>IF(OR(NOTA[[#This Row],[QTY]]="",NOTA[[#This Row],[HARGA SATUAN]]="",),"",NOTA[[#This Row],[QTY]]*NOTA[[#This Row],[HARGA SATUAN]])</f>
        <v/>
      </c>
      <c r="AH566" s="60">
        <f ca="1">IF(NOTA[ID_H]="","",INDEX(NOTA[TANGGAL],MATCH(,INDIRECT(ADDRESS(ROW(NOTA[TANGGAL]),COLUMN(NOTA[TANGGAL]))&amp;":"&amp;ADDRESS(ROW(),COLUMN(NOTA[TANGGAL]))),-1)))</f>
        <v>45201</v>
      </c>
      <c r="AI566" s="55" t="str">
        <f ca="1">IF(NOTA[[#This Row],[NAMA BARANG]]="","",INDEX(NOTA[SUPPLIER],MATCH(,INDIRECT(ADDRESS(ROW(NOTA[ID]),COLUMN(NOTA[ID]))&amp;":"&amp;ADDRESS(ROW(),COLUMN(NOTA[ID]))),-1)))</f>
        <v>KENKO SINAR INDONESIA</v>
      </c>
      <c r="AJ566" s="55" t="str">
        <f ca="1">IF(NOTA[[#This Row],[ID_H]]="","",IF(NOTA[[#This Row],[FAKTUR]]="",INDIRECT(ADDRESS(ROW()-1,COLUMN())),NOTA[[#This Row],[FAKTUR]]))</f>
        <v>ARTO MORO</v>
      </c>
      <c r="AK566" s="56">
        <f ca="1">IF(NOTA[[#This Row],[ID]]="","",COUNTIF(NOTA[ID_H],NOTA[[#This Row],[ID_H]]))</f>
        <v>2</v>
      </c>
      <c r="AL566" s="56">
        <f>IF(NOTA[[#This Row],[TGL.NOTA]]="",IF(NOTA[[#This Row],[SUPPLIER_H]]="","",#REF!),MONTH(NOTA[[#This Row],[TGL.NOTA]]))</f>
        <v>9</v>
      </c>
      <c r="AM566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56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MORO2309231145196kenkogluestick8grsmall</v>
      </c>
      <c r="AQ566" s="56" t="e">
        <f>IF(NOTA[[#This Row],[CONCAT4]]="","",_xlfn.IFNA(MATCH(NOTA[[#This Row],[CONCAT4]],[2]!RAW[CONCAT_H],0),FALSE))</f>
        <v>#REF!</v>
      </c>
      <c r="AR566" s="56">
        <f>IF(NOTA[[#This Row],[CONCAT1]]="","",MATCH(NOTA[[#This Row],[CONCAT1]],[3]!db[NB NOTA_C],0))</f>
        <v>1447</v>
      </c>
      <c r="AS566" s="56" t="str">
        <f>IF(NOTA[[#This Row],[QTY/ CTN]]="","",TRUE)</f>
        <v/>
      </c>
      <c r="AT566" s="56" t="str">
        <f ca="1">IF(NOTA[[#This Row],[ID_H]]="","",IF(NOTA[[#This Row],[Column3]]=TRUE,NOTA[[#This Row],[QTY/ CTN]],INDEX([3]!db[QTY/ CTN],NOTA[[#This Row],[//DB]])))</f>
        <v>36 BOX (30 PCS)</v>
      </c>
      <c r="AU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V566" s="56" t="e">
        <f ca="1">IF(NOTA[[#This Row],[ID_H]]="","",MATCH(NOTA[[#This Row],[NB NOTA_C_QTY]],[4]!db[NB NOTA_C_QTY+F],0))</f>
        <v>#REF!</v>
      </c>
      <c r="AW566" s="68">
        <f ca="1">IF(NOTA[[#This Row],[NB NOTA_C_QTY]]="","",ROW()-2)</f>
        <v>564</v>
      </c>
    </row>
    <row r="567" spans="1:49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105</v>
      </c>
      <c r="E567" s="57"/>
      <c r="F567" s="58"/>
      <c r="G567" s="58"/>
      <c r="H567" s="59"/>
      <c r="I567" s="58"/>
      <c r="J567" s="60"/>
      <c r="K567" s="58"/>
      <c r="L567" s="37" t="s">
        <v>110</v>
      </c>
      <c r="M567" s="61">
        <v>1</v>
      </c>
      <c r="N567" s="56"/>
      <c r="O567" s="58"/>
      <c r="P567" s="55"/>
      <c r="Q567" s="62">
        <v>2980800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2980800</v>
      </c>
      <c r="Y567" s="66">
        <f>IF(NOTA[[#This Row],[JUMLAH]]="","",NOTA[[#This Row],[JUMLAH]]*NOTA[[#This Row],[DISC 1]])</f>
        <v>506736.00000000006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506736.00000000006</v>
      </c>
      <c r="AC567" s="66">
        <f>IF(NOTA[[#This Row],[JUMLAH]]="","",NOTA[[#This Row],[JUMLAH]]-NOTA[[#This Row],[DISC]])</f>
        <v>2474064</v>
      </c>
      <c r="AD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1314576</v>
      </c>
      <c r="AE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6418224</v>
      </c>
      <c r="AF56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G567" s="66" t="str">
        <f>IF(OR(NOTA[[#This Row],[QTY]]="",NOTA[[#This Row],[HARGA SATUAN]]="",),"",NOTA[[#This Row],[QTY]]*NOTA[[#This Row],[HARGA SATUAN]])</f>
        <v/>
      </c>
      <c r="AH567" s="60">
        <f ca="1">IF(NOTA[ID_H]="","",INDEX(NOTA[TANGGAL],MATCH(,INDIRECT(ADDRESS(ROW(NOTA[TANGGAL]),COLUMN(NOTA[TANGGAL]))&amp;":"&amp;ADDRESS(ROW(),COLUMN(NOTA[TANGGAL]))),-1)))</f>
        <v>45201</v>
      </c>
      <c r="AI567" s="55" t="str">
        <f ca="1">IF(NOTA[[#This Row],[NAMA BARANG]]="","",INDEX(NOTA[SUPPLIER],MATCH(,INDIRECT(ADDRESS(ROW(NOTA[ID]),COLUMN(NOTA[ID]))&amp;":"&amp;ADDRESS(ROW(),COLUMN(NOTA[ID]))),-1)))</f>
        <v>KENKO SINAR INDONESIA</v>
      </c>
      <c r="AJ567" s="55" t="str">
        <f ca="1">IF(NOTA[[#This Row],[ID_H]]="","",IF(NOTA[[#This Row],[FAKTUR]]="",INDIRECT(ADDRESS(ROW()-1,COLUMN())),NOTA[[#This Row],[FAKTUR]]))</f>
        <v>ARTO MORO</v>
      </c>
      <c r="AK567" s="56" t="str">
        <f ca="1">IF(NOTA[[#This Row],[ID]]="","",COUNTIF(NOTA[ID_H],NOTA[[#This Row],[ID_H]]))</f>
        <v/>
      </c>
      <c r="AL567" s="56">
        <f ca="1">IF(NOTA[[#This Row],[TGL.NOTA]]="",IF(NOTA[[#This Row],[SUPPLIER_H]]="","",AL566),MONTH(NOTA[[#This Row],[TGL.NOTA]]))</f>
        <v>9</v>
      </c>
      <c r="AM567" s="56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56" t="str">
        <f>IF(NOTA[[#This Row],[CONCAT4]]="","",_xlfn.IFNA(MATCH(NOTA[[#This Row],[CONCAT4]],[2]!RAW[CONCAT_H],0),FALSE))</f>
        <v/>
      </c>
      <c r="AR567" s="56">
        <f>IF(NOTA[[#This Row],[CONCAT1]]="","",MATCH(NOTA[[#This Row],[CONCAT1]],[3]!db[NB NOTA_C],0))</f>
        <v>1265</v>
      </c>
      <c r="AS567" s="56" t="str">
        <f>IF(NOTA[[#This Row],[QTY/ CTN]]="","",TRUE)</f>
        <v/>
      </c>
      <c r="AT567" s="56" t="str">
        <f ca="1">IF(NOTA[[#This Row],[ID_H]]="","",IF(NOTA[[#This Row],[Column3]]=TRUE,NOTA[[#This Row],[QTY/ CTN]],INDEX([3]!db[QTY/ CTN],NOTA[[#This Row],[//DB]])))</f>
        <v>24 LSN</v>
      </c>
      <c r="AU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V567" s="56" t="e">
        <f ca="1">IF(NOTA[[#This Row],[ID_H]]="","",MATCH(NOTA[[#This Row],[NB NOTA_C_QTY]],[4]!db[NB NOTA_C_QTY+F],0))</f>
        <v>#REF!</v>
      </c>
      <c r="AW567" s="68">
        <f ca="1">IF(NOTA[[#This Row],[NB NOTA_C_QTY]]="","",ROW()-2)</f>
        <v>565</v>
      </c>
    </row>
    <row r="568" spans="1:49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68" s="66" t="str">
        <f>IF(OR(NOTA[[#This Row],[QTY]]="",NOTA[[#This Row],[HARGA SATUAN]]="",),"",NOTA[[#This Row],[QTY]]*NOTA[[#This Row],[HARGA SATUAN]])</f>
        <v/>
      </c>
      <c r="AH568" s="60" t="str">
        <f ca="1">IF(NOTA[ID_H]="","",INDEX(NOTA[TANGGAL],MATCH(,INDIRECT(ADDRESS(ROW(NOTA[TANGGAL]),COLUMN(NOTA[TANGGAL]))&amp;":"&amp;ADDRESS(ROW(),COLUMN(NOTA[TANGGAL]))),-1)))</f>
        <v/>
      </c>
      <c r="AI568" s="55" t="str">
        <f ca="1">IF(NOTA[[#This Row],[NAMA BARANG]]="","",INDEX(NOTA[SUPPLIER],MATCH(,INDIRECT(ADDRESS(ROW(NOTA[ID]),COLUMN(NOTA[ID]))&amp;":"&amp;ADDRESS(ROW(),COLUMN(NOTA[ID]))),-1)))</f>
        <v/>
      </c>
      <c r="AJ568" s="55" t="str">
        <f ca="1">IF(NOTA[[#This Row],[ID_H]]="","",IF(NOTA[[#This Row],[FAKTUR]]="",INDIRECT(ADDRESS(ROW()-1,COLUMN())),NOTA[[#This Row],[FAKTUR]]))</f>
        <v/>
      </c>
      <c r="AK568" s="56" t="str">
        <f ca="1">IF(NOTA[[#This Row],[ID]]="","",COUNTIF(NOTA[ID_H],NOTA[[#This Row],[ID_H]]))</f>
        <v/>
      </c>
      <c r="AL568" s="56" t="str">
        <f ca="1">IF(NOTA[[#This Row],[TGL.NOTA]]="",IF(NOTA[[#This Row],[SUPPLIER_H]]="","",AL567),MONTH(NOTA[[#This Row],[TGL.NOTA]]))</f>
        <v/>
      </c>
      <c r="AM568" s="56" t="str">
        <f>LOWER(SUBSTITUTE(SUBSTITUTE(SUBSTITUTE(SUBSTITUTE(SUBSTITUTE(SUBSTITUTE(SUBSTITUTE(SUBSTITUTE(SUBSTITUTE(NOTA[NAMA BARANG]," ",),".",""),"-",""),"(",""),")",""),",",""),"/",""),"""",""),"+",""))</f>
        <v/>
      </c>
      <c r="AN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56" t="str">
        <f>IF(NOTA[[#This Row],[CONCAT4]]="","",_xlfn.IFNA(MATCH(NOTA[[#This Row],[CONCAT4]],[2]!RAW[CONCAT_H],0),FALSE))</f>
        <v/>
      </c>
      <c r="AR568" s="56" t="str">
        <f>IF(NOTA[[#This Row],[CONCAT1]]="","",MATCH(NOTA[[#This Row],[CONCAT1]],[3]!db[NB NOTA_C],0))</f>
        <v/>
      </c>
      <c r="AS568" s="56" t="str">
        <f>IF(NOTA[[#This Row],[QTY/ CTN]]="","",TRUE)</f>
        <v/>
      </c>
      <c r="AT568" s="56" t="str">
        <f ca="1">IF(NOTA[[#This Row],[ID_H]]="","",IF(NOTA[[#This Row],[Column3]]=TRUE,NOTA[[#This Row],[QTY/ CTN]],INDEX([3]!db[QTY/ CTN],NOTA[[#This Row],[//DB]])))</f>
        <v/>
      </c>
      <c r="AU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8" s="56" t="str">
        <f ca="1">IF(NOTA[[#This Row],[ID_H]]="","",MATCH(NOTA[[#This Row],[NB NOTA_C_QTY]],[4]!db[NB NOTA_C_QTY+F],0))</f>
        <v/>
      </c>
      <c r="AW568" s="68" t="str">
        <f ca="1">IF(NOTA[[#This Row],[NB NOTA_C_QTY]]="","",ROW()-2)</f>
        <v/>
      </c>
    </row>
    <row r="569" spans="1:49" s="38" customFormat="1" ht="20.100000000000001" customHeight="1" x14ac:dyDescent="0.25">
      <c r="A56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KEN_0210_214-2</v>
      </c>
      <c r="C569" s="56" t="e">
        <f ca="1">IF(NOTA[[#This Row],[ID_P]]="","",MATCH(NOTA[[#This Row],[ID_P]],[1]!B_MSK[N_ID],0))</f>
        <v>#REF!</v>
      </c>
      <c r="D569" s="56">
        <f ca="1">IF(NOTA[[#This Row],[NAMA BARANG]]="","",INDEX(NOTA[ID],MATCH(,INDIRECT(ADDRESS(ROW(NOTA[ID]),COLUMN(NOTA[ID]))&amp;":"&amp;ADDRESS(ROW(),COLUMN(NOTA[ID]))),-1)))</f>
        <v>106</v>
      </c>
      <c r="E569" s="57"/>
      <c r="F569" s="37" t="s">
        <v>22</v>
      </c>
      <c r="G569" s="37" t="s">
        <v>23</v>
      </c>
      <c r="H569" s="47" t="s">
        <v>664</v>
      </c>
      <c r="I569" s="58"/>
      <c r="J569" s="60">
        <v>45195</v>
      </c>
      <c r="K569" s="58"/>
      <c r="L569" s="37" t="s">
        <v>665</v>
      </c>
      <c r="M569" s="61">
        <v>1</v>
      </c>
      <c r="N569" s="56"/>
      <c r="O569" s="58"/>
      <c r="P569" s="55"/>
      <c r="Q569" s="62">
        <v>5702400</v>
      </c>
      <c r="R569" s="63"/>
      <c r="S569" s="64">
        <v>0.17</v>
      </c>
      <c r="T569" s="65"/>
      <c r="U569" s="65"/>
      <c r="V569" s="66"/>
      <c r="W569" s="67"/>
      <c r="X569" s="66">
        <f>IF(NOTA[[#This Row],[HARGA/ CTN]]="",NOTA[[#This Row],[JUMLAH_H]],NOTA[[#This Row],[HARGA/ CTN]]*IF(NOTA[[#This Row],[C]]="",0,NOTA[[#This Row],[C]]))</f>
        <v>5702400</v>
      </c>
      <c r="Y569" s="66">
        <f>IF(NOTA[[#This Row],[JUMLAH]]="","",NOTA[[#This Row],[JUMLAH]]*NOTA[[#This Row],[DISC 1]])</f>
        <v>969408.00000000012</v>
      </c>
      <c r="Z569" s="66">
        <f>IF(NOTA[[#This Row],[JUMLAH]]="","",(NOTA[[#This Row],[JUMLAH]]-NOTA[[#This Row],[DISC 1-]])*NOTA[[#This Row],[DISC 2]])</f>
        <v>0</v>
      </c>
      <c r="AA569" s="66">
        <f>IF(NOTA[[#This Row],[JUMLAH]]="","",(NOTA[[#This Row],[JUMLAH]]-NOTA[[#This Row],[DISC 1-]]-NOTA[[#This Row],[DISC 2-]])*NOTA[[#This Row],[DISC 3]])</f>
        <v>0</v>
      </c>
      <c r="AB569" s="66">
        <f>IF(NOTA[[#This Row],[JUMLAH]]="","",NOTA[[#This Row],[DISC 1-]]+NOTA[[#This Row],[DISC 2-]]+NOTA[[#This Row],[DISC 3-]])</f>
        <v>969408.00000000012</v>
      </c>
      <c r="AC569" s="66">
        <f>IF(NOTA[[#This Row],[JUMLAH]]="","",NOTA[[#This Row],[JUMLAH]]-NOTA[[#This Row],[DISC]])</f>
        <v>4732992</v>
      </c>
      <c r="AD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69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G569" s="66" t="str">
        <f>IF(OR(NOTA[[#This Row],[QTY]]="",NOTA[[#This Row],[HARGA SATUAN]]="",),"",NOTA[[#This Row],[QTY]]*NOTA[[#This Row],[HARGA SATUAN]])</f>
        <v/>
      </c>
      <c r="AH569" s="60">
        <f ca="1">IF(NOTA[ID_H]="","",INDEX(NOTA[TANGGAL],MATCH(,INDIRECT(ADDRESS(ROW(NOTA[TANGGAL]),COLUMN(NOTA[TANGGAL]))&amp;":"&amp;ADDRESS(ROW(),COLUMN(NOTA[TANGGAL]))),-1)))</f>
        <v>45201</v>
      </c>
      <c r="AI569" s="55" t="str">
        <f ca="1">IF(NOTA[[#This Row],[NAMA BARANG]]="","",INDEX(NOTA[SUPPLIER],MATCH(,INDIRECT(ADDRESS(ROW(NOTA[ID]),COLUMN(NOTA[ID]))&amp;":"&amp;ADDRESS(ROW(),COLUMN(NOTA[ID]))),-1)))</f>
        <v>KENKO SINAR INDONESIA</v>
      </c>
      <c r="AJ569" s="55" t="str">
        <f ca="1">IF(NOTA[[#This Row],[ID_H]]="","",IF(NOTA[[#This Row],[FAKTUR]]="",INDIRECT(ADDRESS(ROW()-1,COLUMN())),NOTA[[#This Row],[FAKTUR]]))</f>
        <v>ARTO MORO</v>
      </c>
      <c r="AK569" s="56">
        <f ca="1">IF(NOTA[[#This Row],[ID]]="","",COUNTIF(NOTA[ID_H],NOTA[[#This Row],[ID_H]]))</f>
        <v>2</v>
      </c>
      <c r="AL569" s="56">
        <f>IF(NOTA[[#This Row],[TGL.NOTA]]="",IF(NOTA[[#This Row],[SUPPLIER_H]]="","",AL568),MONTH(NOTA[[#This Row],[TGL.NOTA]]))</f>
        <v>9</v>
      </c>
      <c r="AM569" s="56" t="str">
        <f>LOWER(SUBSTITUTE(SUBSTITUTE(SUBSTITUTE(SUBSTITUTE(SUBSTITUTE(SUBSTITUTE(SUBSTITUTE(SUBSTITUTE(SUBSTITUTE(NOTA[NAMA BARANG]," ",),".",""),"-",""),"(",""),")",""),",",""),"/",""),"""",""),"+",""))</f>
        <v>kenkogelpenk1blue</v>
      </c>
      <c r="AN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kenkogelpenk1blue57024000.17</v>
      </c>
      <c r="AO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kenkogelpenk1blue57024000.17</v>
      </c>
      <c r="AP56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MORO2309221445195kenkogelpenk1blue</v>
      </c>
      <c r="AQ569" s="56" t="e">
        <f>IF(NOTA[[#This Row],[CONCAT4]]="","",_xlfn.IFNA(MATCH(NOTA[[#This Row],[CONCAT4]],[2]!RAW[CONCAT_H],0),FALSE))</f>
        <v>#REF!</v>
      </c>
      <c r="AR569" s="56">
        <f>IF(NOTA[[#This Row],[CONCAT1]]="","",MATCH(NOTA[[#This Row],[CONCAT1]],[3]!db[NB NOTA_C],0))</f>
        <v>1420</v>
      </c>
      <c r="AS569" s="56" t="str">
        <f>IF(NOTA[[#This Row],[QTY/ CTN]]="","",TRUE)</f>
        <v/>
      </c>
      <c r="AT569" s="56" t="str">
        <f ca="1">IF(NOTA[[#This Row],[ID_H]]="","",IF(NOTA[[#This Row],[Column3]]=TRUE,NOTA[[#This Row],[QTY/ CTN]],INDEX([3]!db[QTY/ CTN],NOTA[[#This Row],[//DB]])))</f>
        <v>144 LSN</v>
      </c>
      <c r="AU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kenkogelpenk1blue144lsnartomoro</v>
      </c>
      <c r="AV569" s="56" t="e">
        <f ca="1">IF(NOTA[[#This Row],[ID_H]]="","",MATCH(NOTA[[#This Row],[NB NOTA_C_QTY]],[4]!db[NB NOTA_C_QTY+F],0))</f>
        <v>#REF!</v>
      </c>
      <c r="AW569" s="68">
        <f ca="1">IF(NOTA[[#This Row],[NB NOTA_C_QTY]]="","",ROW()-2)</f>
        <v>567</v>
      </c>
    </row>
    <row r="570" spans="1:49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>
        <f ca="1">IF(NOTA[[#This Row],[NAMA BARANG]]="","",INDEX(NOTA[ID],MATCH(,INDIRECT(ADDRESS(ROW(NOTA[ID]),COLUMN(NOTA[ID]))&amp;":"&amp;ADDRESS(ROW(),COLUMN(NOTA[ID]))),-1)))</f>
        <v>106</v>
      </c>
      <c r="E570" s="57"/>
      <c r="F570" s="58"/>
      <c r="G570" s="58"/>
      <c r="H570" s="59"/>
      <c r="I570" s="58"/>
      <c r="J570" s="60"/>
      <c r="K570" s="58"/>
      <c r="L570" s="37" t="s">
        <v>666</v>
      </c>
      <c r="M570" s="61">
        <v>1</v>
      </c>
      <c r="N570" s="56"/>
      <c r="O570" s="58"/>
      <c r="P570" s="55"/>
      <c r="Q570" s="62">
        <v>1188000</v>
      </c>
      <c r="R570" s="63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1188000</v>
      </c>
      <c r="Y570" s="66">
        <f>IF(NOTA[[#This Row],[JUMLAH]]="","",NOTA[[#This Row],[JUMLAH]]*NOTA[[#This Row],[DISC 1]])</f>
        <v>201960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201960</v>
      </c>
      <c r="AC570" s="66">
        <f>IF(NOTA[[#This Row],[JUMLAH]]="","",NOTA[[#This Row],[JUMLAH]]-NOTA[[#This Row],[DISC]])</f>
        <v>986040</v>
      </c>
      <c r="AD5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1171368</v>
      </c>
      <c r="AE5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5719032</v>
      </c>
      <c r="AF570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G570" s="66" t="str">
        <f>IF(OR(NOTA[[#This Row],[QTY]]="",NOTA[[#This Row],[HARGA SATUAN]]="",),"",NOTA[[#This Row],[QTY]]*NOTA[[#This Row],[HARGA SATUAN]])</f>
        <v/>
      </c>
      <c r="AH570" s="60">
        <f ca="1">IF(NOTA[ID_H]="","",INDEX(NOTA[TANGGAL],MATCH(,INDIRECT(ADDRESS(ROW(NOTA[TANGGAL]),COLUMN(NOTA[TANGGAL]))&amp;":"&amp;ADDRESS(ROW(),COLUMN(NOTA[TANGGAL]))),-1)))</f>
        <v>45201</v>
      </c>
      <c r="AI570" s="55" t="str">
        <f ca="1">IF(NOTA[[#This Row],[NAMA BARANG]]="","",INDEX(NOTA[SUPPLIER],MATCH(,INDIRECT(ADDRESS(ROW(NOTA[ID]),COLUMN(NOTA[ID]))&amp;":"&amp;ADDRESS(ROW(),COLUMN(NOTA[ID]))),-1)))</f>
        <v>KENKO SINAR INDONESIA</v>
      </c>
      <c r="AJ570" s="55" t="str">
        <f ca="1">IF(NOTA[[#This Row],[ID_H]]="","",IF(NOTA[[#This Row],[FAKTUR]]="",INDIRECT(ADDRESS(ROW()-1,COLUMN())),NOTA[[#This Row],[FAKTUR]]))</f>
        <v>ARTO MORO</v>
      </c>
      <c r="AK570" s="56" t="str">
        <f ca="1">IF(NOTA[[#This Row],[ID]]="","",COUNTIF(NOTA[ID_H],NOTA[[#This Row],[ID_H]]))</f>
        <v/>
      </c>
      <c r="AL570" s="56">
        <f ca="1">IF(NOTA[[#This Row],[TGL.NOTA]]="",IF(NOTA[[#This Row],[SUPPLIER_H]]="","",AL569),MONTH(NOTA[[#This Row],[TGL.NOTA]]))</f>
        <v>9</v>
      </c>
      <c r="AM570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56" t="str">
        <f>IF(NOTA[[#This Row],[CONCAT4]]="","",_xlfn.IFNA(MATCH(NOTA[[#This Row],[CONCAT4]],[2]!RAW[CONCAT_H],0),FALSE))</f>
        <v/>
      </c>
      <c r="AR570" s="56">
        <f>IF(NOTA[[#This Row],[CONCAT1]]="","",MATCH(NOTA[[#This Row],[CONCAT1]],[3]!db[NB NOTA_C],0))</f>
        <v>1538</v>
      </c>
      <c r="AS570" s="56" t="str">
        <f>IF(NOTA[[#This Row],[QTY/ CTN]]="","",TRUE)</f>
        <v/>
      </c>
      <c r="AT570" s="56" t="str">
        <f ca="1">IF(NOTA[[#This Row],[ID_H]]="","",IF(NOTA[[#This Row],[Column3]]=TRUE,NOTA[[#This Row],[QTY/ CTN]],INDEX([3]!db[QTY/ CTN],NOTA[[#This Row],[//DB]])))</f>
        <v>10 LSN</v>
      </c>
      <c r="AU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V570" s="56" t="e">
        <f ca="1">IF(NOTA[[#This Row],[ID_H]]="","",MATCH(NOTA[[#This Row],[NB NOTA_C_QTY]],[4]!db[NB NOTA_C_QTY+F],0))</f>
        <v>#REF!</v>
      </c>
      <c r="AW570" s="68">
        <f ca="1">IF(NOTA[[#This Row],[NB NOTA_C_QTY]]="","",ROW()-2)</f>
        <v>568</v>
      </c>
    </row>
    <row r="571" spans="1:49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58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71" s="66" t="str">
        <f>IF(OR(NOTA[[#This Row],[QTY]]="",NOTA[[#This Row],[HARGA SATUAN]]="",),"",NOTA[[#This Row],[QTY]]*NOTA[[#This Row],[HARGA SATUAN]])</f>
        <v/>
      </c>
      <c r="AH571" s="60" t="str">
        <f ca="1">IF(NOTA[ID_H]="","",INDEX(NOTA[TANGGAL],MATCH(,INDIRECT(ADDRESS(ROW(NOTA[TANGGAL]),COLUMN(NOTA[TANGGAL]))&amp;":"&amp;ADDRESS(ROW(),COLUMN(NOTA[TANGGAL]))),-1)))</f>
        <v/>
      </c>
      <c r="AI571" s="55" t="str">
        <f ca="1">IF(NOTA[[#This Row],[NAMA BARANG]]="","",INDEX(NOTA[SUPPLIER],MATCH(,INDIRECT(ADDRESS(ROW(NOTA[ID]),COLUMN(NOTA[ID]))&amp;":"&amp;ADDRESS(ROW(),COLUMN(NOTA[ID]))),-1)))</f>
        <v/>
      </c>
      <c r="AJ571" s="55" t="str">
        <f ca="1">IF(NOTA[[#This Row],[ID_H]]="","",IF(NOTA[[#This Row],[FAKTUR]]="",INDIRECT(ADDRESS(ROW()-1,COLUMN())),NOTA[[#This Row],[FAKTUR]]))</f>
        <v/>
      </c>
      <c r="AK571" s="56" t="str">
        <f ca="1">IF(NOTA[[#This Row],[ID]]="","",COUNTIF(NOTA[ID_H],NOTA[[#This Row],[ID_H]]))</f>
        <v/>
      </c>
      <c r="AL571" s="56" t="str">
        <f ca="1">IF(NOTA[[#This Row],[TGL.NOTA]]="",IF(NOTA[[#This Row],[SUPPLIER_H]]="","",AL570),MONTH(NOTA[[#This Row],[TGL.NOTA]]))</f>
        <v/>
      </c>
      <c r="AM571" s="56" t="str">
        <f>LOWER(SUBSTITUTE(SUBSTITUTE(SUBSTITUTE(SUBSTITUTE(SUBSTITUTE(SUBSTITUTE(SUBSTITUTE(SUBSTITUTE(SUBSTITUTE(NOTA[NAMA BARANG]," ",),".",""),"-",""),"(",""),")",""),",",""),"/",""),"""",""),"+",""))</f>
        <v/>
      </c>
      <c r="AN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56" t="str">
        <f>IF(NOTA[[#This Row],[CONCAT4]]="","",_xlfn.IFNA(MATCH(NOTA[[#This Row],[CONCAT4]],[2]!RAW[CONCAT_H],0),FALSE))</f>
        <v/>
      </c>
      <c r="AR571" s="56" t="str">
        <f>IF(NOTA[[#This Row],[CONCAT1]]="","",MATCH(NOTA[[#This Row],[CONCAT1]],[3]!db[NB NOTA_C],0))</f>
        <v/>
      </c>
      <c r="AS571" s="56" t="str">
        <f>IF(NOTA[[#This Row],[QTY/ CTN]]="","",TRUE)</f>
        <v/>
      </c>
      <c r="AT571" s="56" t="str">
        <f ca="1">IF(NOTA[[#This Row],[ID_H]]="","",IF(NOTA[[#This Row],[Column3]]=TRUE,NOTA[[#This Row],[QTY/ CTN]],INDEX([3]!db[QTY/ CTN],NOTA[[#This Row],[//DB]])))</f>
        <v/>
      </c>
      <c r="AU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71" s="56" t="str">
        <f ca="1">IF(NOTA[[#This Row],[ID_H]]="","",MATCH(NOTA[[#This Row],[NB NOTA_C_QTY]],[4]!db[NB NOTA_C_QTY+F],0))</f>
        <v/>
      </c>
      <c r="AW571" s="68" t="str">
        <f ca="1">IF(NOTA[[#This Row],[NB NOTA_C_QTY]]="","",ROW()-2)</f>
        <v/>
      </c>
    </row>
    <row r="572" spans="1:49" s="38" customFormat="1" ht="20.100000000000001" customHeight="1" x14ac:dyDescent="0.25">
      <c r="A572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ATA_0210_133-8</v>
      </c>
      <c r="C572" s="56" t="e">
        <f ca="1">IF(NOTA[[#This Row],[ID_P]]="","",MATCH(NOTA[[#This Row],[ID_P]],[1]!B_MSK[N_ID],0))</f>
        <v>#REF!</v>
      </c>
      <c r="D572" s="56">
        <f ca="1">IF(NOTA[[#This Row],[NAMA BARANG]]="","",INDEX(NOTA[ID],MATCH(,INDIRECT(ADDRESS(ROW(NOTA[ID]),COLUMN(NOTA[ID]))&amp;":"&amp;ADDRESS(ROW(),COLUMN(NOTA[ID]))),-1)))</f>
        <v>107</v>
      </c>
      <c r="E572" s="57"/>
      <c r="F572" s="37" t="s">
        <v>24</v>
      </c>
      <c r="G572" s="37" t="s">
        <v>23</v>
      </c>
      <c r="H572" s="47" t="s">
        <v>667</v>
      </c>
      <c r="I572" s="58"/>
      <c r="J572" s="60">
        <v>45196</v>
      </c>
      <c r="K572" s="58"/>
      <c r="L572" s="37" t="s">
        <v>471</v>
      </c>
      <c r="M572" s="61">
        <v>2</v>
      </c>
      <c r="N572" s="56">
        <v>96</v>
      </c>
      <c r="O572" s="37" t="s">
        <v>132</v>
      </c>
      <c r="P572" s="55">
        <v>29600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2841600</v>
      </c>
      <c r="Y572" s="66">
        <f>IF(NOTA[[#This Row],[JUMLAH]]="","",NOTA[[#This Row],[JUMLAH]]*NOTA[[#This Row],[DISC 1]])</f>
        <v>355200</v>
      </c>
      <c r="Z572" s="66">
        <f>IF(NOTA[[#This Row],[JUMLAH]]="","",(NOTA[[#This Row],[JUMLAH]]-NOTA[[#This Row],[DISC 1-]])*NOTA[[#This Row],[DISC 2]])</f>
        <v>124320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479520</v>
      </c>
      <c r="AC572" s="66">
        <f>IF(NOTA[[#This Row],[JUMLAH]]="","",NOTA[[#This Row],[JUMLAH]]-NOTA[[#This Row],[DISC]])</f>
        <v>2362080</v>
      </c>
      <c r="AD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572" s="66">
        <f>IF(OR(NOTA[[#This Row],[QTY]]="",NOTA[[#This Row],[HARGA SATUAN]]="",),"",NOTA[[#This Row],[QTY]]*NOTA[[#This Row],[HARGA SATUAN]])</f>
        <v>2841600</v>
      </c>
      <c r="AH572" s="60">
        <f ca="1">IF(NOTA[ID_H]="","",INDEX(NOTA[TANGGAL],MATCH(,INDIRECT(ADDRESS(ROW(NOTA[TANGGAL]),COLUMN(NOTA[TANGGAL]))&amp;":"&amp;ADDRESS(ROW(),COLUMN(NOTA[TANGGAL]))),-1)))</f>
        <v>45201</v>
      </c>
      <c r="AI572" s="55" t="str">
        <f ca="1">IF(NOTA[[#This Row],[NAMA BARANG]]="","",INDEX(NOTA[SUPPLIER],MATCH(,INDIRECT(ADDRESS(ROW(NOTA[ID]),COLUMN(NOTA[ID]))&amp;":"&amp;ADDRESS(ROW(),COLUMN(NOTA[ID]))),-1)))</f>
        <v>ATALI MAKMUR</v>
      </c>
      <c r="AJ572" s="55" t="str">
        <f ca="1">IF(NOTA[[#This Row],[ID_H]]="","",IF(NOTA[[#This Row],[FAKTUR]]="",INDIRECT(ADDRESS(ROW()-1,COLUMN())),NOTA[[#This Row],[FAKTUR]]))</f>
        <v>ARTO MORO</v>
      </c>
      <c r="AK572" s="56">
        <f ca="1">IF(NOTA[[#This Row],[ID]]="","",COUNTIF(NOTA[ID_H],NOTA[[#This Row],[ID_H]]))</f>
        <v>8</v>
      </c>
      <c r="AL572" s="56">
        <f>IF(NOTA[[#This Row],[TGL.NOTA]]="",IF(NOTA[[#This Row],[SUPPLIER_H]]="","",AL571),MONTH(NOTA[[#This Row],[TGL.NOTA]]))</f>
        <v>9</v>
      </c>
      <c r="AM57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MOROSA23091713345196oilpastelop24sppcaseseaworldjk</v>
      </c>
      <c r="AQ572" s="56" t="e">
        <f>IF(NOTA[[#This Row],[CONCAT4]]="","",_xlfn.IFNA(MATCH(NOTA[[#This Row],[CONCAT4]],[2]!RAW[CONCAT_H],0),FALSE))</f>
        <v>#REF!</v>
      </c>
      <c r="AR572" s="56">
        <f>IF(NOTA[[#This Row],[CONCAT1]]="","",MATCH(NOTA[[#This Row],[CONCAT1]],[3]!db[NB NOTA_C],0))</f>
        <v>1897</v>
      </c>
      <c r="AS572" s="56" t="str">
        <f>IF(NOTA[[#This Row],[QTY/ CTN]]="","",TRUE)</f>
        <v/>
      </c>
      <c r="AT572" s="56" t="str">
        <f ca="1">IF(NOTA[[#This Row],[ID_H]]="","",IF(NOTA[[#This Row],[Column3]]=TRUE,NOTA[[#This Row],[QTY/ CTN]],INDEX([3]!db[QTY/ CTN],NOTA[[#This Row],[//DB]])))</f>
        <v>8 BOX (6 SET)</v>
      </c>
      <c r="AU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572" s="56" t="e">
        <f ca="1">IF(NOTA[[#This Row],[ID_H]]="","",MATCH(NOTA[[#This Row],[NB NOTA_C_QTY]],[4]!db[NB NOTA_C_QTY+F],0))</f>
        <v>#REF!</v>
      </c>
      <c r="AW572" s="68">
        <f ca="1">IF(NOTA[[#This Row],[NB NOTA_C_QTY]]="","",ROW()-2)</f>
        <v>570</v>
      </c>
    </row>
    <row r="573" spans="1:49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107</v>
      </c>
      <c r="E573" s="57"/>
      <c r="F573" s="58"/>
      <c r="G573" s="58"/>
      <c r="H573" s="59"/>
      <c r="I573" s="58"/>
      <c r="J573" s="60"/>
      <c r="K573" s="58"/>
      <c r="L573" s="37" t="s">
        <v>398</v>
      </c>
      <c r="M573" s="61">
        <v>1</v>
      </c>
      <c r="N573" s="56">
        <v>36</v>
      </c>
      <c r="O573" s="37" t="s">
        <v>132</v>
      </c>
      <c r="P573" s="55">
        <v>41500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1494000</v>
      </c>
      <c r="Y573" s="66">
        <f>IF(NOTA[[#This Row],[JUMLAH]]="","",NOTA[[#This Row],[JUMLAH]]*NOTA[[#This Row],[DISC 1]])</f>
        <v>186750</v>
      </c>
      <c r="Z573" s="66">
        <f>IF(NOTA[[#This Row],[JUMLAH]]="","",(NOTA[[#This Row],[JUMLAH]]-NOTA[[#This Row],[DISC 1-]])*NOTA[[#This Row],[DISC 2]])</f>
        <v>65362.5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252112.5</v>
      </c>
      <c r="AC573" s="66">
        <f>IF(NOTA[[#This Row],[JUMLAH]]="","",NOTA[[#This Row],[JUMLAH]]-NOTA[[#This Row],[DISC]])</f>
        <v>1241887.5</v>
      </c>
      <c r="AD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3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G573" s="66">
        <f>IF(OR(NOTA[[#This Row],[QTY]]="",NOTA[[#This Row],[HARGA SATUAN]]="",),"",NOTA[[#This Row],[QTY]]*NOTA[[#This Row],[HARGA SATUAN]])</f>
        <v>1494000</v>
      </c>
      <c r="AH573" s="60">
        <f ca="1">IF(NOTA[ID_H]="","",INDEX(NOTA[TANGGAL],MATCH(,INDIRECT(ADDRESS(ROW(NOTA[TANGGAL]),COLUMN(NOTA[TANGGAL]))&amp;":"&amp;ADDRESS(ROW(),COLUMN(NOTA[TANGGAL]))),-1)))</f>
        <v>45201</v>
      </c>
      <c r="AI573" s="55" t="str">
        <f ca="1">IF(NOTA[[#This Row],[NAMA BARANG]]="","",INDEX(NOTA[SUPPLIER],MATCH(,INDIRECT(ADDRESS(ROW(NOTA[ID]),COLUMN(NOTA[ID]))&amp;":"&amp;ADDRESS(ROW(),COLUMN(NOTA[ID]))),-1)))</f>
        <v>ATALI MAKMUR</v>
      </c>
      <c r="AJ573" s="55" t="str">
        <f ca="1">IF(NOTA[[#This Row],[ID_H]]="","",IF(NOTA[[#This Row],[FAKTUR]]="",INDIRECT(ADDRESS(ROW()-1,COLUMN())),NOTA[[#This Row],[FAKTUR]]))</f>
        <v>ARTO MORO</v>
      </c>
      <c r="AK573" s="56" t="str">
        <f ca="1">IF(NOTA[[#This Row],[ID]]="","",COUNTIF(NOTA[ID_H],NOTA[[#This Row],[ID_H]]))</f>
        <v/>
      </c>
      <c r="AL573" s="56">
        <f ca="1">IF(NOTA[[#This Row],[TGL.NOTA]]="",IF(NOTA[[#This Row],[SUPPLIER_H]]="","",AL572),MONTH(NOTA[[#This Row],[TGL.NOTA]]))</f>
        <v>9</v>
      </c>
      <c r="AM573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56" t="str">
        <f>IF(NOTA[[#This Row],[CONCAT4]]="","",_xlfn.IFNA(MATCH(NOTA[[#This Row],[CONCAT4]],[2]!RAW[CONCAT_H],0),FALSE))</f>
        <v/>
      </c>
      <c r="AR573" s="56">
        <f>IF(NOTA[[#This Row],[CONCAT1]]="","",MATCH(NOTA[[#This Row],[CONCAT1]],[3]!db[NB NOTA_C],0))</f>
        <v>1898</v>
      </c>
      <c r="AS573" s="56" t="str">
        <f>IF(NOTA[[#This Row],[QTY/ CTN]]="","",TRUE)</f>
        <v/>
      </c>
      <c r="AT573" s="56" t="str">
        <f ca="1">IF(NOTA[[#This Row],[ID_H]]="","",IF(NOTA[[#This Row],[Column3]]=TRUE,NOTA[[#This Row],[QTY/ CTN]],INDEX([3]!db[QTY/ CTN],NOTA[[#This Row],[//DB]])))</f>
        <v>6 BOX (6 SET)</v>
      </c>
      <c r="AU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V573" s="56" t="e">
        <f ca="1">IF(NOTA[[#This Row],[ID_H]]="","",MATCH(NOTA[[#This Row],[NB NOTA_C_QTY]],[4]!db[NB NOTA_C_QTY+F],0))</f>
        <v>#REF!</v>
      </c>
      <c r="AW573" s="68">
        <f ca="1">IF(NOTA[[#This Row],[NB NOTA_C_QTY]]="","",ROW()-2)</f>
        <v>571</v>
      </c>
    </row>
    <row r="574" spans="1:49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107</v>
      </c>
      <c r="E574" s="57"/>
      <c r="F574" s="58"/>
      <c r="G574" s="58"/>
      <c r="H574" s="59"/>
      <c r="I574" s="58"/>
      <c r="J574" s="60"/>
      <c r="K574" s="58"/>
      <c r="L574" s="37" t="s">
        <v>245</v>
      </c>
      <c r="M574" s="61">
        <v>1</v>
      </c>
      <c r="N574" s="56">
        <v>24</v>
      </c>
      <c r="O574" s="37" t="s">
        <v>132</v>
      </c>
      <c r="P574" s="55">
        <v>58900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1413600</v>
      </c>
      <c r="Y574" s="66">
        <f>IF(NOTA[[#This Row],[JUMLAH]]="","",NOTA[[#This Row],[JUMLAH]]*NOTA[[#This Row],[DISC 1]])</f>
        <v>176700</v>
      </c>
      <c r="Z574" s="66">
        <f>IF(NOTA[[#This Row],[JUMLAH]]="","",(NOTA[[#This Row],[JUMLAH]]-NOTA[[#This Row],[DISC 1-]])*NOTA[[#This Row],[DISC 2]])</f>
        <v>61845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238545</v>
      </c>
      <c r="AC574" s="66">
        <f>IF(NOTA[[#This Row],[JUMLAH]]="","",NOTA[[#This Row],[JUMLAH]]-NOTA[[#This Row],[DISC]])</f>
        <v>1175055</v>
      </c>
      <c r="AD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4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G574" s="66">
        <f>IF(OR(NOTA[[#This Row],[QTY]]="",NOTA[[#This Row],[HARGA SATUAN]]="",),"",NOTA[[#This Row],[QTY]]*NOTA[[#This Row],[HARGA SATUAN]])</f>
        <v>1413600</v>
      </c>
      <c r="AH574" s="60">
        <f ca="1">IF(NOTA[ID_H]="","",INDEX(NOTA[TANGGAL],MATCH(,INDIRECT(ADDRESS(ROW(NOTA[TANGGAL]),COLUMN(NOTA[TANGGAL]))&amp;":"&amp;ADDRESS(ROW(),COLUMN(NOTA[TANGGAL]))),-1)))</f>
        <v>45201</v>
      </c>
      <c r="AI574" s="55" t="str">
        <f ca="1">IF(NOTA[[#This Row],[NAMA BARANG]]="","",INDEX(NOTA[SUPPLIER],MATCH(,INDIRECT(ADDRESS(ROW(NOTA[ID]),COLUMN(NOTA[ID]))&amp;":"&amp;ADDRESS(ROW(),COLUMN(NOTA[ID]))),-1)))</f>
        <v>ATALI MAKMUR</v>
      </c>
      <c r="AJ574" s="55" t="str">
        <f ca="1">IF(NOTA[[#This Row],[ID_H]]="","",IF(NOTA[[#This Row],[FAKTUR]]="",INDIRECT(ADDRESS(ROW()-1,COLUMN())),NOTA[[#This Row],[FAKTUR]]))</f>
        <v>ARTO MORO</v>
      </c>
      <c r="AK574" s="56" t="str">
        <f ca="1">IF(NOTA[[#This Row],[ID]]="","",COUNTIF(NOTA[ID_H],NOTA[[#This Row],[ID_H]]))</f>
        <v/>
      </c>
      <c r="AL574" s="56">
        <f ca="1">IF(NOTA[[#This Row],[TGL.NOTA]]="",IF(NOTA[[#This Row],[SUPPLIER_H]]="","",AL573),MONTH(NOTA[[#This Row],[TGL.NOTA]]))</f>
        <v>9</v>
      </c>
      <c r="AM574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4" s="56" t="str">
        <f>IF(NOTA[[#This Row],[CONCAT4]]="","",_xlfn.IFNA(MATCH(NOTA[[#This Row],[CONCAT4]],[2]!RAW[CONCAT_H],0),FALSE))</f>
        <v/>
      </c>
      <c r="AR574" s="56">
        <f>IF(NOTA[[#This Row],[CONCAT1]]="","",MATCH(NOTA[[#This Row],[CONCAT1]],[3]!db[NB NOTA_C],0))</f>
        <v>1899</v>
      </c>
      <c r="AS574" s="56" t="str">
        <f>IF(NOTA[[#This Row],[QTY/ CTN]]="","",TRUE)</f>
        <v/>
      </c>
      <c r="AT574" s="56" t="str">
        <f ca="1">IF(NOTA[[#This Row],[ID_H]]="","",IF(NOTA[[#This Row],[Column3]]=TRUE,NOTA[[#This Row],[QTY/ CTN]],INDEX([3]!db[QTY/ CTN],NOTA[[#This Row],[//DB]])))</f>
        <v>4 BOX (6 SET)</v>
      </c>
      <c r="AU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V574" s="56" t="e">
        <f ca="1">IF(NOTA[[#This Row],[ID_H]]="","",MATCH(NOTA[[#This Row],[NB NOTA_C_QTY]],[4]!db[NB NOTA_C_QTY+F],0))</f>
        <v>#REF!</v>
      </c>
      <c r="AW574" s="68">
        <f ca="1">IF(NOTA[[#This Row],[NB NOTA_C_QTY]]="","",ROW()-2)</f>
        <v>572</v>
      </c>
    </row>
    <row r="575" spans="1:49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107</v>
      </c>
      <c r="E575" s="57"/>
      <c r="F575" s="58"/>
      <c r="G575" s="58"/>
      <c r="H575" s="59"/>
      <c r="I575" s="58"/>
      <c r="J575" s="60"/>
      <c r="K575" s="58"/>
      <c r="L575" s="37" t="s">
        <v>225</v>
      </c>
      <c r="M575" s="61">
        <v>1</v>
      </c>
      <c r="N575" s="56">
        <v>24</v>
      </c>
      <c r="O575" s="37" t="s">
        <v>126</v>
      </c>
      <c r="P575" s="55">
        <v>19000</v>
      </c>
      <c r="Q575" s="62"/>
      <c r="R575" s="63"/>
      <c r="S575" s="64">
        <v>0.125</v>
      </c>
      <c r="T575" s="65">
        <v>0.05</v>
      </c>
      <c r="U575" s="65"/>
      <c r="V575" s="66"/>
      <c r="W575" s="67"/>
      <c r="X575" s="66">
        <f>IF(NOTA[[#This Row],[HARGA/ CTN]]="",NOTA[[#This Row],[JUMLAH_H]],NOTA[[#This Row],[HARGA/ CTN]]*IF(NOTA[[#This Row],[C]]="",0,NOTA[[#This Row],[C]]))</f>
        <v>456000</v>
      </c>
      <c r="Y575" s="66">
        <f>IF(NOTA[[#This Row],[JUMLAH]]="","",NOTA[[#This Row],[JUMLAH]]*NOTA[[#This Row],[DISC 1]])</f>
        <v>57000</v>
      </c>
      <c r="Z575" s="66">
        <f>IF(NOTA[[#This Row],[JUMLAH]]="","",(NOTA[[#This Row],[JUMLAH]]-NOTA[[#This Row],[DISC 1-]])*NOTA[[#This Row],[DISC 2]])</f>
        <v>19950</v>
      </c>
      <c r="AA575" s="66">
        <f>IF(NOTA[[#This Row],[JUMLAH]]="","",(NOTA[[#This Row],[JUMLAH]]-NOTA[[#This Row],[DISC 1-]]-NOTA[[#This Row],[DISC 2-]])*NOTA[[#This Row],[DISC 3]])</f>
        <v>0</v>
      </c>
      <c r="AB575" s="66">
        <f>IF(NOTA[[#This Row],[JUMLAH]]="","",NOTA[[#This Row],[DISC 1-]]+NOTA[[#This Row],[DISC 2-]]+NOTA[[#This Row],[DISC 3-]])</f>
        <v>76950</v>
      </c>
      <c r="AC575" s="66">
        <f>IF(NOTA[[#This Row],[JUMLAH]]="","",NOTA[[#This Row],[JUMLAH]]-NOTA[[#This Row],[DISC]])</f>
        <v>379050</v>
      </c>
      <c r="AD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5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G575" s="66">
        <f>IF(OR(NOTA[[#This Row],[QTY]]="",NOTA[[#This Row],[HARGA SATUAN]]="",),"",NOTA[[#This Row],[QTY]]*NOTA[[#This Row],[HARGA SATUAN]])</f>
        <v>456000</v>
      </c>
      <c r="AH575" s="60">
        <f ca="1">IF(NOTA[ID_H]="","",INDEX(NOTA[TANGGAL],MATCH(,INDIRECT(ADDRESS(ROW(NOTA[TANGGAL]),COLUMN(NOTA[TANGGAL]))&amp;":"&amp;ADDRESS(ROW(),COLUMN(NOTA[TANGGAL]))),-1)))</f>
        <v>45201</v>
      </c>
      <c r="AI575" s="55" t="str">
        <f ca="1">IF(NOTA[[#This Row],[NAMA BARANG]]="","",INDEX(NOTA[SUPPLIER],MATCH(,INDIRECT(ADDRESS(ROW(NOTA[ID]),COLUMN(NOTA[ID]))&amp;":"&amp;ADDRESS(ROW(),COLUMN(NOTA[ID]))),-1)))</f>
        <v>ATALI MAKMUR</v>
      </c>
      <c r="AJ575" s="55" t="str">
        <f ca="1">IF(NOTA[[#This Row],[ID_H]]="","",IF(NOTA[[#This Row],[FAKTUR]]="",INDIRECT(ADDRESS(ROW()-1,COLUMN())),NOTA[[#This Row],[FAKTUR]]))</f>
        <v>ARTO MORO</v>
      </c>
      <c r="AK575" s="56" t="str">
        <f ca="1">IF(NOTA[[#This Row],[ID]]="","",COUNTIF(NOTA[ID_H],NOTA[[#This Row],[ID_H]]))</f>
        <v/>
      </c>
      <c r="AL575" s="56">
        <f ca="1">IF(NOTA[[#This Row],[TGL.NOTA]]="",IF(NOTA[[#This Row],[SUPPLIER_H]]="","",AL574),MONTH(NOTA[[#This Row],[TGL.NOTA]]))</f>
        <v>9</v>
      </c>
      <c r="AM575" s="5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56" t="str">
        <f>IF(NOTA[[#This Row],[CONCAT4]]="","",_xlfn.IFNA(MATCH(NOTA[[#This Row],[CONCAT4]],[2]!RAW[CONCAT_H],0),FALSE))</f>
        <v/>
      </c>
      <c r="AR575" s="56">
        <f>IF(NOTA[[#This Row],[CONCAT1]]="","",MATCH(NOTA[[#This Row],[CONCAT1]],[3]!db[NB NOTA_C],0))</f>
        <v>2527</v>
      </c>
      <c r="AS575" s="56" t="str">
        <f>IF(NOTA[[#This Row],[QTY/ CTN]]="","",TRUE)</f>
        <v/>
      </c>
      <c r="AT575" s="56" t="str">
        <f ca="1">IF(NOTA[[#This Row],[ID_H]]="","",IF(NOTA[[#This Row],[Column3]]=TRUE,NOTA[[#This Row],[QTY/ CTN]],INDEX([3]!db[QTY/ CTN],NOTA[[#This Row],[//DB]])))</f>
        <v>24 PCS</v>
      </c>
      <c r="AU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575" s="56" t="e">
        <f ca="1">IF(NOTA[[#This Row],[ID_H]]="","",MATCH(NOTA[[#This Row],[NB NOTA_C_QTY]],[4]!db[NB NOTA_C_QTY+F],0))</f>
        <v>#REF!</v>
      </c>
      <c r="AW575" s="68">
        <f ca="1">IF(NOTA[[#This Row],[NB NOTA_C_QTY]]="","",ROW()-2)</f>
        <v>573</v>
      </c>
    </row>
    <row r="576" spans="1:49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107</v>
      </c>
      <c r="E576" s="57"/>
      <c r="F576" s="58"/>
      <c r="G576" s="58"/>
      <c r="H576" s="59"/>
      <c r="I576" s="58"/>
      <c r="J576" s="60"/>
      <c r="K576" s="58"/>
      <c r="L576" s="37" t="s">
        <v>668</v>
      </c>
      <c r="M576" s="61">
        <v>1</v>
      </c>
      <c r="N576" s="56">
        <v>24</v>
      </c>
      <c r="O576" s="37" t="s">
        <v>126</v>
      </c>
      <c r="P576" s="55">
        <v>12300</v>
      </c>
      <c r="Q576" s="62"/>
      <c r="R576" s="63"/>
      <c r="S576" s="64">
        <v>0.125</v>
      </c>
      <c r="T576" s="65">
        <v>0.05</v>
      </c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295200</v>
      </c>
      <c r="Y576" s="66">
        <f>IF(NOTA[[#This Row],[JUMLAH]]="","",NOTA[[#This Row],[JUMLAH]]*NOTA[[#This Row],[DISC 1]])</f>
        <v>36900</v>
      </c>
      <c r="Z576" s="66">
        <f>IF(NOTA[[#This Row],[JUMLAH]]="","",(NOTA[[#This Row],[JUMLAH]]-NOTA[[#This Row],[DISC 1-]])*NOTA[[#This Row],[DISC 2]])</f>
        <v>12915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49815</v>
      </c>
      <c r="AC576" s="66">
        <f>IF(NOTA[[#This Row],[JUMLAH]]="","",NOTA[[#This Row],[JUMLAH]]-NOTA[[#This Row],[DISC]])</f>
        <v>245385</v>
      </c>
      <c r="AD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6" s="55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G576" s="66">
        <f>IF(OR(NOTA[[#This Row],[QTY]]="",NOTA[[#This Row],[HARGA SATUAN]]="",),"",NOTA[[#This Row],[QTY]]*NOTA[[#This Row],[HARGA SATUAN]])</f>
        <v>295200</v>
      </c>
      <c r="AH576" s="60">
        <f ca="1">IF(NOTA[ID_H]="","",INDEX(NOTA[TANGGAL],MATCH(,INDIRECT(ADDRESS(ROW(NOTA[TANGGAL]),COLUMN(NOTA[TANGGAL]))&amp;":"&amp;ADDRESS(ROW(),COLUMN(NOTA[TANGGAL]))),-1)))</f>
        <v>45201</v>
      </c>
      <c r="AI576" s="55" t="str">
        <f ca="1">IF(NOTA[[#This Row],[NAMA BARANG]]="","",INDEX(NOTA[SUPPLIER],MATCH(,INDIRECT(ADDRESS(ROW(NOTA[ID]),COLUMN(NOTA[ID]))&amp;":"&amp;ADDRESS(ROW(),COLUMN(NOTA[ID]))),-1)))</f>
        <v>ATALI MAKMUR</v>
      </c>
      <c r="AJ576" s="55" t="str">
        <f ca="1">IF(NOTA[[#This Row],[ID_H]]="","",IF(NOTA[[#This Row],[FAKTUR]]="",INDIRECT(ADDRESS(ROW()-1,COLUMN())),NOTA[[#This Row],[FAKTUR]]))</f>
        <v>ARTO MORO</v>
      </c>
      <c r="AK576" s="56" t="str">
        <f ca="1">IF(NOTA[[#This Row],[ID]]="","",COUNTIF(NOTA[ID_H],NOTA[[#This Row],[ID_H]]))</f>
        <v/>
      </c>
      <c r="AL576" s="56">
        <f ca="1">IF(NOTA[[#This Row],[TGL.NOTA]]="",IF(NOTA[[#This Row],[SUPPLIER_H]]="","",AL575),MONTH(NOTA[[#This Row],[TGL.NOTA]]))</f>
        <v>9</v>
      </c>
      <c r="AM576" s="56" t="str">
        <f>LOWER(SUBSTITUTE(SUBSTITUTE(SUBSTITUTE(SUBSTITUTE(SUBSTITUTE(SUBSTITUTE(SUBSTITUTE(SUBSTITUTE(SUBSTITUTE(NOTA[NAMA BARANG]," ",),".",""),"-",""),"(",""),")",""),",",""),"/",""),"""",""),"+",""))</f>
        <v>tapecuttertc111jk</v>
      </c>
      <c r="AN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O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P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6" s="56" t="str">
        <f>IF(NOTA[[#This Row],[CONCAT4]]="","",_xlfn.IFNA(MATCH(NOTA[[#This Row],[CONCAT4]],[2]!RAW[CONCAT_H],0),FALSE))</f>
        <v/>
      </c>
      <c r="AR576" s="56">
        <f>IF(NOTA[[#This Row],[CONCAT1]]="","",MATCH(NOTA[[#This Row],[CONCAT1]],[3]!db[NB NOTA_C],0))</f>
        <v>2519</v>
      </c>
      <c r="AS576" s="56" t="str">
        <f>IF(NOTA[[#This Row],[QTY/ CTN]]="","",TRUE)</f>
        <v/>
      </c>
      <c r="AT576" s="56" t="str">
        <f ca="1">IF(NOTA[[#This Row],[ID_H]]="","",IF(NOTA[[#This Row],[Column3]]=TRUE,NOTA[[#This Row],[QTY/ CTN]],INDEX([3]!db[QTY/ CTN],NOTA[[#This Row],[//DB]])))</f>
        <v>24 PCS</v>
      </c>
      <c r="AU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V576" s="56" t="e">
        <f ca="1">IF(NOTA[[#This Row],[ID_H]]="","",MATCH(NOTA[[#This Row],[NB NOTA_C_QTY]],[4]!db[NB NOTA_C_QTY+F],0))</f>
        <v>#REF!</v>
      </c>
      <c r="AW576" s="68">
        <f ca="1">IF(NOTA[[#This Row],[NB NOTA_C_QTY]]="","",ROW()-2)</f>
        <v>574</v>
      </c>
    </row>
    <row r="577" spans="1:49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107</v>
      </c>
      <c r="E577" s="57"/>
      <c r="F577" s="58"/>
      <c r="G577" s="58"/>
      <c r="H577" s="59"/>
      <c r="I577" s="58"/>
      <c r="J577" s="60"/>
      <c r="K577" s="58"/>
      <c r="L577" s="37" t="s">
        <v>267</v>
      </c>
      <c r="M577" s="61">
        <v>1</v>
      </c>
      <c r="N577" s="56">
        <v>144</v>
      </c>
      <c r="O577" s="37" t="s">
        <v>138</v>
      </c>
      <c r="P577" s="55">
        <v>27600</v>
      </c>
      <c r="Q577" s="62"/>
      <c r="R577" s="63"/>
      <c r="S577" s="64">
        <v>0.125</v>
      </c>
      <c r="T577" s="65">
        <v>0.05</v>
      </c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3974400</v>
      </c>
      <c r="Y577" s="66">
        <f>IF(NOTA[[#This Row],[JUMLAH]]="","",NOTA[[#This Row],[JUMLAH]]*NOTA[[#This Row],[DISC 1]])</f>
        <v>496800</v>
      </c>
      <c r="Z577" s="66">
        <f>IF(NOTA[[#This Row],[JUMLAH]]="","",(NOTA[[#This Row],[JUMLAH]]-NOTA[[#This Row],[DISC 1-]])*NOTA[[#This Row],[DISC 2]])</f>
        <v>173880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670680</v>
      </c>
      <c r="AC577" s="66">
        <f>IF(NOTA[[#This Row],[JUMLAH]]="","",NOTA[[#This Row],[JUMLAH]]-NOTA[[#This Row],[DISC]])</f>
        <v>3303720</v>
      </c>
      <c r="AD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7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G577" s="66">
        <f>IF(OR(NOTA[[#This Row],[QTY]]="",NOTA[[#This Row],[HARGA SATUAN]]="",),"",NOTA[[#This Row],[QTY]]*NOTA[[#This Row],[HARGA SATUAN]])</f>
        <v>3974400</v>
      </c>
      <c r="AH577" s="60">
        <f ca="1">IF(NOTA[ID_H]="","",INDEX(NOTA[TANGGAL],MATCH(,INDIRECT(ADDRESS(ROW(NOTA[TANGGAL]),COLUMN(NOTA[TANGGAL]))&amp;":"&amp;ADDRESS(ROW(),COLUMN(NOTA[TANGGAL]))),-1)))</f>
        <v>45201</v>
      </c>
      <c r="AI577" s="55" t="str">
        <f ca="1">IF(NOTA[[#This Row],[NAMA BARANG]]="","",INDEX(NOTA[SUPPLIER],MATCH(,INDIRECT(ADDRESS(ROW(NOTA[ID]),COLUMN(NOTA[ID]))&amp;":"&amp;ADDRESS(ROW(),COLUMN(NOTA[ID]))),-1)))</f>
        <v>ATALI MAKMUR</v>
      </c>
      <c r="AJ577" s="55" t="str">
        <f ca="1">IF(NOTA[[#This Row],[ID_H]]="","",IF(NOTA[[#This Row],[FAKTUR]]="",INDIRECT(ADDRESS(ROW()-1,COLUMN())),NOTA[[#This Row],[FAKTUR]]))</f>
        <v>ARTO MORO</v>
      </c>
      <c r="AK577" s="56" t="str">
        <f ca="1">IF(NOTA[[#This Row],[ID]]="","",COUNTIF(NOTA[ID_H],NOTA[[#This Row],[ID_H]]))</f>
        <v/>
      </c>
      <c r="AL577" s="56">
        <f ca="1">IF(NOTA[[#This Row],[TGL.NOTA]]="",IF(NOTA[[#This Row],[SUPPLIER_H]]="","",AL576),MONTH(NOTA[[#This Row],[TGL.NOTA]]))</f>
        <v>9</v>
      </c>
      <c r="AM577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56" t="str">
        <f>IF(NOTA[[#This Row],[CONCAT4]]="","",_xlfn.IFNA(MATCH(NOTA[[#This Row],[CONCAT4]],[2]!RAW[CONCAT_H],0),FALSE))</f>
        <v/>
      </c>
      <c r="AR577" s="56">
        <f>IF(NOTA[[#This Row],[CONCAT1]]="","",MATCH(NOTA[[#This Row],[CONCAT1]],[3]!db[NB NOTA_C],0))</f>
        <v>902</v>
      </c>
      <c r="AS577" s="56" t="str">
        <f>IF(NOTA[[#This Row],[QTY/ CTN]]="","",TRUE)</f>
        <v/>
      </c>
      <c r="AT577" s="56" t="str">
        <f ca="1">IF(NOTA[[#This Row],[ID_H]]="","",IF(NOTA[[#This Row],[Column3]]=TRUE,NOTA[[#This Row],[QTY/ CTN]],INDEX([3]!db[QTY/ CTN],NOTA[[#This Row],[//DB]])))</f>
        <v>144 LSN</v>
      </c>
      <c r="AU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V577" s="56" t="e">
        <f ca="1">IF(NOTA[[#This Row],[ID_H]]="","",MATCH(NOTA[[#This Row],[NB NOTA_C_QTY]],[4]!db[NB NOTA_C_QTY+F],0))</f>
        <v>#REF!</v>
      </c>
      <c r="AW577" s="68">
        <f ca="1">IF(NOTA[[#This Row],[NB NOTA_C_QTY]]="","",ROW()-2)</f>
        <v>575</v>
      </c>
    </row>
    <row r="578" spans="1:49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107</v>
      </c>
      <c r="E578" s="57"/>
      <c r="F578" s="58"/>
      <c r="G578" s="58"/>
      <c r="H578" s="59"/>
      <c r="I578" s="58"/>
      <c r="J578" s="60"/>
      <c r="K578" s="58"/>
      <c r="L578" s="37" t="s">
        <v>669</v>
      </c>
      <c r="M578" s="61">
        <v>1</v>
      </c>
      <c r="N578" s="56">
        <v>192</v>
      </c>
      <c r="O578" s="37" t="s">
        <v>132</v>
      </c>
      <c r="P578" s="55">
        <v>16800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3225600</v>
      </c>
      <c r="Y578" s="66">
        <f>IF(NOTA[[#This Row],[JUMLAH]]="","",NOTA[[#This Row],[JUMLAH]]*NOTA[[#This Row],[DISC 1]])</f>
        <v>403200</v>
      </c>
      <c r="Z578" s="66">
        <f>IF(NOTA[[#This Row],[JUMLAH]]="","",(NOTA[[#This Row],[JUMLAH]]-NOTA[[#This Row],[DISC 1-]])*NOTA[[#This Row],[DISC 2]])</f>
        <v>141120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544320</v>
      </c>
      <c r="AC578" s="66">
        <f>IF(NOTA[[#This Row],[JUMLAH]]="","",NOTA[[#This Row],[JUMLAH]]-NOTA[[#This Row],[DISC]])</f>
        <v>2681280</v>
      </c>
      <c r="AD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78" s="55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G578" s="66">
        <f>IF(OR(NOTA[[#This Row],[QTY]]="",NOTA[[#This Row],[HARGA SATUAN]]="",),"",NOTA[[#This Row],[QTY]]*NOTA[[#This Row],[HARGA SATUAN]])</f>
        <v>3225600</v>
      </c>
      <c r="AH578" s="60">
        <f ca="1">IF(NOTA[ID_H]="","",INDEX(NOTA[TANGGAL],MATCH(,INDIRECT(ADDRESS(ROW(NOTA[TANGGAL]),COLUMN(NOTA[TANGGAL]))&amp;":"&amp;ADDRESS(ROW(),COLUMN(NOTA[TANGGAL]))),-1)))</f>
        <v>45201</v>
      </c>
      <c r="AI578" s="55" t="str">
        <f ca="1">IF(NOTA[[#This Row],[NAMA BARANG]]="","",INDEX(NOTA[SUPPLIER],MATCH(,INDIRECT(ADDRESS(ROW(NOTA[ID]),COLUMN(NOTA[ID]))&amp;":"&amp;ADDRESS(ROW(),COLUMN(NOTA[ID]))),-1)))</f>
        <v>ATALI MAKMUR</v>
      </c>
      <c r="AJ578" s="55" t="str">
        <f ca="1">IF(NOTA[[#This Row],[ID_H]]="","",IF(NOTA[[#This Row],[FAKTUR]]="",INDIRECT(ADDRESS(ROW()-1,COLUMN())),NOTA[[#This Row],[FAKTUR]]))</f>
        <v>ARTO MORO</v>
      </c>
      <c r="AK578" s="56" t="str">
        <f ca="1">IF(NOTA[[#This Row],[ID]]="","",COUNTIF(NOTA[ID_H],NOTA[[#This Row],[ID_H]]))</f>
        <v/>
      </c>
      <c r="AL578" s="56">
        <f ca="1">IF(NOTA[[#This Row],[TGL.NOTA]]="",IF(NOTA[[#This Row],[SUPPLIER_H]]="","",AL577),MONTH(NOTA[[#This Row],[TGL.NOTA]]))</f>
        <v>9</v>
      </c>
      <c r="AM578" s="5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N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8" s="56" t="str">
        <f>IF(NOTA[[#This Row],[CONCAT4]]="","",_xlfn.IFNA(MATCH(NOTA[[#This Row],[CONCAT4]],[2]!RAW[CONCAT_H],0),FALSE))</f>
        <v/>
      </c>
      <c r="AR578" s="56">
        <f>IF(NOTA[[#This Row],[CONCAT1]]="","",MATCH(NOTA[[#This Row],[CONCAT1]],[3]!db[NB NOTA_C],0))</f>
        <v>910</v>
      </c>
      <c r="AS578" s="56" t="str">
        <f>IF(NOTA[[#This Row],[QTY/ CTN]]="","",TRUE)</f>
        <v/>
      </c>
      <c r="AT578" s="56" t="str">
        <f ca="1">IF(NOTA[[#This Row],[ID_H]]="","",IF(NOTA[[#This Row],[Column3]]=TRUE,NOTA[[#This Row],[QTY/ CTN]],INDEX([3]!db[QTY/ CTN],NOTA[[#This Row],[//DB]])))</f>
        <v>8 BOX (24 SET)</v>
      </c>
      <c r="AU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V578" s="56" t="e">
        <f ca="1">IF(NOTA[[#This Row],[ID_H]]="","",MATCH(NOTA[[#This Row],[NB NOTA_C_QTY]],[4]!db[NB NOTA_C_QTY+F],0))</f>
        <v>#REF!</v>
      </c>
      <c r="AW578" s="68">
        <f ca="1">IF(NOTA[[#This Row],[NB NOTA_C_QTY]]="","",ROW()-2)</f>
        <v>576</v>
      </c>
    </row>
    <row r="579" spans="1:49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107</v>
      </c>
      <c r="E579" s="57"/>
      <c r="F579" s="58"/>
      <c r="G579" s="58"/>
      <c r="H579" s="59"/>
      <c r="I579" s="58"/>
      <c r="J579" s="60"/>
      <c r="K579" s="58"/>
      <c r="L579" s="37" t="s">
        <v>452</v>
      </c>
      <c r="M579" s="61">
        <v>2</v>
      </c>
      <c r="N579" s="56">
        <v>288</v>
      </c>
      <c r="O579" s="37" t="s">
        <v>132</v>
      </c>
      <c r="P579" s="55">
        <v>10600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3052800</v>
      </c>
      <c r="Y579" s="66">
        <f>IF(NOTA[[#This Row],[JUMLAH]]="","",NOTA[[#This Row],[JUMLAH]]*NOTA[[#This Row],[DISC 1]])</f>
        <v>381600</v>
      </c>
      <c r="Z579" s="66">
        <f>IF(NOTA[[#This Row],[JUMLAH]]="","",(NOTA[[#This Row],[JUMLAH]]-NOTA[[#This Row],[DISC 1-]])*NOTA[[#This Row],[DISC 2]])</f>
        <v>133560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515160</v>
      </c>
      <c r="AC579" s="66">
        <f>IF(NOTA[[#This Row],[JUMLAH]]="","",NOTA[[#This Row],[JUMLAH]]-NOTA[[#This Row],[DISC]])</f>
        <v>2537640</v>
      </c>
      <c r="AD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2827102.5</v>
      </c>
      <c r="AE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13926097.5</v>
      </c>
      <c r="AF57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579" s="66">
        <f>IF(OR(NOTA[[#This Row],[QTY]]="",NOTA[[#This Row],[HARGA SATUAN]]="",),"",NOTA[[#This Row],[QTY]]*NOTA[[#This Row],[HARGA SATUAN]])</f>
        <v>3052800</v>
      </c>
      <c r="AH579" s="60">
        <f ca="1">IF(NOTA[ID_H]="","",INDEX(NOTA[TANGGAL],MATCH(,INDIRECT(ADDRESS(ROW(NOTA[TANGGAL]),COLUMN(NOTA[TANGGAL]))&amp;":"&amp;ADDRESS(ROW(),COLUMN(NOTA[TANGGAL]))),-1)))</f>
        <v>45201</v>
      </c>
      <c r="AI579" s="55" t="str">
        <f ca="1">IF(NOTA[[#This Row],[NAMA BARANG]]="","",INDEX(NOTA[SUPPLIER],MATCH(,INDIRECT(ADDRESS(ROW(NOTA[ID]),COLUMN(NOTA[ID]))&amp;":"&amp;ADDRESS(ROW(),COLUMN(NOTA[ID]))),-1)))</f>
        <v>ATALI MAKMUR</v>
      </c>
      <c r="AJ579" s="55" t="str">
        <f ca="1">IF(NOTA[[#This Row],[ID_H]]="","",IF(NOTA[[#This Row],[FAKTUR]]="",INDIRECT(ADDRESS(ROW()-1,COLUMN())),NOTA[[#This Row],[FAKTUR]]))</f>
        <v>ARTO MORO</v>
      </c>
      <c r="AK579" s="56" t="str">
        <f ca="1">IF(NOTA[[#This Row],[ID]]="","",COUNTIF(NOTA[ID_H],NOTA[[#This Row],[ID_H]]))</f>
        <v/>
      </c>
      <c r="AL579" s="56">
        <f ca="1">IF(NOTA[[#This Row],[TGL.NOTA]]="",IF(NOTA[[#This Row],[SUPPLIER_H]]="","",AL578),MONTH(NOTA[[#This Row],[TGL.NOTA]]))</f>
        <v>9</v>
      </c>
      <c r="AM57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56" t="str">
        <f>IF(NOTA[[#This Row],[CONCAT4]]="","",_xlfn.IFNA(MATCH(NOTA[[#This Row],[CONCAT4]],[2]!RAW[CONCAT_H],0),FALSE))</f>
        <v/>
      </c>
      <c r="AR579" s="56">
        <f>IF(NOTA[[#This Row],[CONCAT1]]="","",MATCH(NOTA[[#This Row],[CONCAT1]],[3]!db[NB NOTA_C],0))</f>
        <v>591</v>
      </c>
      <c r="AS579" s="56" t="str">
        <f>IF(NOTA[[#This Row],[QTY/ CTN]]="","",TRUE)</f>
        <v/>
      </c>
      <c r="AT579" s="56" t="str">
        <f ca="1">IF(NOTA[[#This Row],[ID_H]]="","",IF(NOTA[[#This Row],[Column3]]=TRUE,NOTA[[#This Row],[QTY/ CTN]],INDEX([3]!db[QTY/ CTN],NOTA[[#This Row],[//DB]])))</f>
        <v>12 LSN</v>
      </c>
      <c r="AU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V579" s="56" t="e">
        <f ca="1">IF(NOTA[[#This Row],[ID_H]]="","",MATCH(NOTA[[#This Row],[NB NOTA_C_QTY]],[4]!db[NB NOTA_C_QTY+F],0))</f>
        <v>#REF!</v>
      </c>
      <c r="AW579" s="68">
        <f ca="1">IF(NOTA[[#This Row],[NB NOTA_C_QTY]]="","",ROW()-2)</f>
        <v>577</v>
      </c>
    </row>
    <row r="580" spans="1:49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58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80" s="66" t="str">
        <f>IF(OR(NOTA[[#This Row],[QTY]]="",NOTA[[#This Row],[HARGA SATUAN]]="",),"",NOTA[[#This Row],[QTY]]*NOTA[[#This Row],[HARGA SATUAN]])</f>
        <v/>
      </c>
      <c r="AH580" s="60" t="str">
        <f ca="1">IF(NOTA[ID_H]="","",INDEX(NOTA[TANGGAL],MATCH(,INDIRECT(ADDRESS(ROW(NOTA[TANGGAL]),COLUMN(NOTA[TANGGAL]))&amp;":"&amp;ADDRESS(ROW(),COLUMN(NOTA[TANGGAL]))),-1)))</f>
        <v/>
      </c>
      <c r="AI580" s="55" t="str">
        <f ca="1">IF(NOTA[[#This Row],[NAMA BARANG]]="","",INDEX(NOTA[SUPPLIER],MATCH(,INDIRECT(ADDRESS(ROW(NOTA[ID]),COLUMN(NOTA[ID]))&amp;":"&amp;ADDRESS(ROW(),COLUMN(NOTA[ID]))),-1)))</f>
        <v/>
      </c>
      <c r="AJ580" s="55" t="str">
        <f ca="1">IF(NOTA[[#This Row],[ID_H]]="","",IF(NOTA[[#This Row],[FAKTUR]]="",INDIRECT(ADDRESS(ROW()-1,COLUMN())),NOTA[[#This Row],[FAKTUR]]))</f>
        <v/>
      </c>
      <c r="AK580" s="56" t="str">
        <f ca="1">IF(NOTA[[#This Row],[ID]]="","",COUNTIF(NOTA[ID_H],NOTA[[#This Row],[ID_H]]))</f>
        <v/>
      </c>
      <c r="AL580" s="56" t="str">
        <f ca="1">IF(NOTA[[#This Row],[TGL.NOTA]]="",IF(NOTA[[#This Row],[SUPPLIER_H]]="","",AL579),MONTH(NOTA[[#This Row],[TGL.NOTA]]))</f>
        <v/>
      </c>
      <c r="AM580" s="56" t="str">
        <f>LOWER(SUBSTITUTE(SUBSTITUTE(SUBSTITUTE(SUBSTITUTE(SUBSTITUTE(SUBSTITUTE(SUBSTITUTE(SUBSTITUTE(SUBSTITUTE(NOTA[NAMA BARANG]," ",),".",""),"-",""),"(",""),")",""),",",""),"/",""),"""",""),"+",""))</f>
        <v/>
      </c>
      <c r="AN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0" s="56" t="str">
        <f>IF(NOTA[[#This Row],[CONCAT4]]="","",_xlfn.IFNA(MATCH(NOTA[[#This Row],[CONCAT4]],[2]!RAW[CONCAT_H],0),FALSE))</f>
        <v/>
      </c>
      <c r="AR580" s="56" t="str">
        <f>IF(NOTA[[#This Row],[CONCAT1]]="","",MATCH(NOTA[[#This Row],[CONCAT1]],[3]!db[NB NOTA_C],0))</f>
        <v/>
      </c>
      <c r="AS580" s="56" t="str">
        <f>IF(NOTA[[#This Row],[QTY/ CTN]]="","",TRUE)</f>
        <v/>
      </c>
      <c r="AT580" s="56" t="str">
        <f ca="1">IF(NOTA[[#This Row],[ID_H]]="","",IF(NOTA[[#This Row],[Column3]]=TRUE,NOTA[[#This Row],[QTY/ CTN]],INDEX([3]!db[QTY/ CTN],NOTA[[#This Row],[//DB]])))</f>
        <v/>
      </c>
      <c r="AU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0" s="56" t="str">
        <f ca="1">IF(NOTA[[#This Row],[ID_H]]="","",MATCH(NOTA[[#This Row],[NB NOTA_C_QTY]],[4]!db[NB NOTA_C_QTY+F],0))</f>
        <v/>
      </c>
      <c r="AW580" s="68" t="str">
        <f ca="1">IF(NOTA[[#This Row],[NB NOTA_C_QTY]]="","",ROW()-2)</f>
        <v/>
      </c>
    </row>
    <row r="581" spans="1:49" s="38" customFormat="1" ht="20.100000000000001" customHeight="1" x14ac:dyDescent="0.25">
      <c r="A581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ATA_0210_106-2</v>
      </c>
      <c r="C581" s="56" t="e">
        <f ca="1">IF(NOTA[[#This Row],[ID_P]]="","",MATCH(NOTA[[#This Row],[ID_P]],[1]!B_MSK[N_ID],0))</f>
        <v>#REF!</v>
      </c>
      <c r="D581" s="56">
        <f ca="1">IF(NOTA[[#This Row],[NAMA BARANG]]="","",INDEX(NOTA[ID],MATCH(,INDIRECT(ADDRESS(ROW(NOTA[ID]),COLUMN(NOTA[ID]))&amp;":"&amp;ADDRESS(ROW(),COLUMN(NOTA[ID]))),-1)))</f>
        <v>108</v>
      </c>
      <c r="E581" s="57"/>
      <c r="F581" s="37" t="s">
        <v>24</v>
      </c>
      <c r="G581" s="37" t="s">
        <v>23</v>
      </c>
      <c r="H581" s="47" t="s">
        <v>670</v>
      </c>
      <c r="I581" s="58"/>
      <c r="J581" s="60">
        <v>45196</v>
      </c>
      <c r="K581" s="58"/>
      <c r="L581" s="37" t="s">
        <v>451</v>
      </c>
      <c r="M581" s="61">
        <v>2</v>
      </c>
      <c r="N581" s="56">
        <v>144</v>
      </c>
      <c r="O581" s="37" t="s">
        <v>132</v>
      </c>
      <c r="P581" s="55">
        <v>21200</v>
      </c>
      <c r="Q581" s="62"/>
      <c r="R581" s="63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3052800</v>
      </c>
      <c r="Y581" s="66">
        <f>IF(NOTA[[#This Row],[JUMLAH]]="","",NOTA[[#This Row],[JUMLAH]]*NOTA[[#This Row],[DISC 1]])</f>
        <v>381600</v>
      </c>
      <c r="Z581" s="66">
        <f>IF(NOTA[[#This Row],[JUMLAH]]="","",(NOTA[[#This Row],[JUMLAH]]-NOTA[[#This Row],[DISC 1-]])*NOTA[[#This Row],[DISC 2]])</f>
        <v>133560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515160</v>
      </c>
      <c r="AC581" s="66">
        <f>IF(NOTA[[#This Row],[JUMLAH]]="","",NOTA[[#This Row],[JUMLAH]]-NOTA[[#This Row],[DISC]])</f>
        <v>2537640</v>
      </c>
      <c r="AD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1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G581" s="66">
        <f>IF(OR(NOTA[[#This Row],[QTY]]="",NOTA[[#This Row],[HARGA SATUAN]]="",),"",NOTA[[#This Row],[QTY]]*NOTA[[#This Row],[HARGA SATUAN]])</f>
        <v>3052800</v>
      </c>
      <c r="AH581" s="60">
        <f ca="1">IF(NOTA[ID_H]="","",INDEX(NOTA[TANGGAL],MATCH(,INDIRECT(ADDRESS(ROW(NOTA[TANGGAL]),COLUMN(NOTA[TANGGAL]))&amp;":"&amp;ADDRESS(ROW(),COLUMN(NOTA[TANGGAL]))),-1)))</f>
        <v>45201</v>
      </c>
      <c r="AI581" s="55" t="str">
        <f ca="1">IF(NOTA[[#This Row],[NAMA BARANG]]="","",INDEX(NOTA[SUPPLIER],MATCH(,INDIRECT(ADDRESS(ROW(NOTA[ID]),COLUMN(NOTA[ID]))&amp;":"&amp;ADDRESS(ROW(),COLUMN(NOTA[ID]))),-1)))</f>
        <v>ATALI MAKMUR</v>
      </c>
      <c r="AJ581" s="55" t="str">
        <f ca="1">IF(NOTA[[#This Row],[ID_H]]="","",IF(NOTA[[#This Row],[FAKTUR]]="",INDIRECT(ADDRESS(ROW()-1,COLUMN())),NOTA[[#This Row],[FAKTUR]]))</f>
        <v>ARTO MORO</v>
      </c>
      <c r="AK581" s="56">
        <f ca="1">IF(NOTA[[#This Row],[ID]]="","",COUNTIF(NOTA[ID_H],NOTA[[#This Row],[ID_H]]))</f>
        <v>2</v>
      </c>
      <c r="AL581" s="56">
        <f>IF(NOTA[[#This Row],[TGL.NOTA]]="",IF(NOTA[[#This Row],[SUPPLIER_H]]="","",AL580),MONTH(NOTA[[#This Row],[TGL.NOTA]]))</f>
        <v>9</v>
      </c>
      <c r="AM581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81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MOROSA23091710645196colorpencilcp24pbjk</v>
      </c>
      <c r="AQ581" s="56" t="e">
        <f>IF(NOTA[[#This Row],[CONCAT4]]="","",_xlfn.IFNA(MATCH(NOTA[[#This Row],[CONCAT4]],[2]!RAW[CONCAT_H],0),FALSE))</f>
        <v>#REF!</v>
      </c>
      <c r="AR581" s="56">
        <f>IF(NOTA[[#This Row],[CONCAT1]]="","",MATCH(NOTA[[#This Row],[CONCAT1]],[3]!db[NB NOTA_C],0))</f>
        <v>593</v>
      </c>
      <c r="AS581" s="56" t="str">
        <f>IF(NOTA[[#This Row],[QTY/ CTN]]="","",TRUE)</f>
        <v/>
      </c>
      <c r="AT581" s="56" t="str">
        <f ca="1">IF(NOTA[[#This Row],[ID_H]]="","",IF(NOTA[[#This Row],[Column3]]=TRUE,NOTA[[#This Row],[QTY/ CTN]],INDEX([3]!db[QTY/ CTN],NOTA[[#This Row],[//DB]])))</f>
        <v>12 BOX (6 SET)</v>
      </c>
      <c r="AU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V581" s="56" t="e">
        <f ca="1">IF(NOTA[[#This Row],[ID_H]]="","",MATCH(NOTA[[#This Row],[NB NOTA_C_QTY]],[4]!db[NB NOTA_C_QTY+F],0))</f>
        <v>#REF!</v>
      </c>
      <c r="AW581" s="68">
        <f ca="1">IF(NOTA[[#This Row],[NB NOTA_C_QTY]]="","",ROW()-2)</f>
        <v>579</v>
      </c>
    </row>
    <row r="582" spans="1:49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108</v>
      </c>
      <c r="E582" s="57"/>
      <c r="F582" s="58"/>
      <c r="G582" s="58"/>
      <c r="H582" s="59"/>
      <c r="I582" s="58"/>
      <c r="J582" s="60"/>
      <c r="K582" s="58"/>
      <c r="L582" s="37" t="s">
        <v>702</v>
      </c>
      <c r="M582" s="61">
        <v>2</v>
      </c>
      <c r="N582" s="56">
        <v>576</v>
      </c>
      <c r="O582" s="37" t="s">
        <v>132</v>
      </c>
      <c r="P582" s="55">
        <v>6700</v>
      </c>
      <c r="Q582" s="62"/>
      <c r="R582" s="48" t="s">
        <v>671</v>
      </c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3859200</v>
      </c>
      <c r="Y582" s="66">
        <f>IF(NOTA[[#This Row],[JUMLAH]]="","",NOTA[[#This Row],[JUMLAH]]*NOTA[[#This Row],[DISC 1]])</f>
        <v>482400</v>
      </c>
      <c r="Z582" s="66">
        <f>IF(NOTA[[#This Row],[JUMLAH]]="","",(NOTA[[#This Row],[JUMLAH]]-NOTA[[#This Row],[DISC 1-]])*NOTA[[#This Row],[DISC 2]])</f>
        <v>168840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651240</v>
      </c>
      <c r="AC582" s="66">
        <f>IF(NOTA[[#This Row],[JUMLAH]]="","",NOTA[[#This Row],[JUMLAH]]-NOTA[[#This Row],[DISC]])</f>
        <v>3207960</v>
      </c>
      <c r="AD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E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F582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G582" s="66">
        <f>IF(OR(NOTA[[#This Row],[QTY]]="",NOTA[[#This Row],[HARGA SATUAN]]="",),"",NOTA[[#This Row],[QTY]]*NOTA[[#This Row],[HARGA SATUAN]])</f>
        <v>3859200</v>
      </c>
      <c r="AH582" s="60">
        <f ca="1">IF(NOTA[ID_H]="","",INDEX(NOTA[TANGGAL],MATCH(,INDIRECT(ADDRESS(ROW(NOTA[TANGGAL]),COLUMN(NOTA[TANGGAL]))&amp;":"&amp;ADDRESS(ROW(),COLUMN(NOTA[TANGGAL]))),-1)))</f>
        <v>45201</v>
      </c>
      <c r="AI582" s="55" t="str">
        <f ca="1">IF(NOTA[[#This Row],[NAMA BARANG]]="","",INDEX(NOTA[SUPPLIER],MATCH(,INDIRECT(ADDRESS(ROW(NOTA[ID]),COLUMN(NOTA[ID]))&amp;":"&amp;ADDRESS(ROW(),COLUMN(NOTA[ID]))),-1)))</f>
        <v>ATALI MAKMUR</v>
      </c>
      <c r="AJ582" s="55" t="str">
        <f ca="1">IF(NOTA[[#This Row],[ID_H]]="","",IF(NOTA[[#This Row],[FAKTUR]]="",INDIRECT(ADDRESS(ROW()-1,COLUMN())),NOTA[[#This Row],[FAKTUR]]))</f>
        <v>ARTO MORO</v>
      </c>
      <c r="AK582" s="56" t="str">
        <f ca="1">IF(NOTA[[#This Row],[ID]]="","",COUNTIF(NOTA[ID_H],NOTA[[#This Row],[ID_H]]))</f>
        <v/>
      </c>
      <c r="AL582" s="56">
        <f ca="1">IF(NOTA[[#This Row],[TGL.NOTA]]="",IF(NOTA[[#This Row],[SUPPLIER_H]]="","",AL581),MONTH(NOTA[[#This Row],[TGL.NOTA]]))</f>
        <v>9</v>
      </c>
      <c r="AM582" s="56" t="str">
        <f>LOWER(SUBSTITUTE(SUBSTITUTE(SUBSTITUTE(SUBSTITUTE(SUBSTITUTE(SUBSTITUTE(SUBSTITUTE(SUBSTITUTE(SUBSTITUTE(NOTA[NAMA BARANG]," ",),".",""),"-",""),"(",""),")",""),",",""),"/",""),"""",""),"+",""))</f>
        <v>colorpencilcp812jk</v>
      </c>
      <c r="AN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colorpencilcp812jk19296000.1250.05</v>
      </c>
      <c r="AO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colorpencilcp812jk19296000.1250.05</v>
      </c>
      <c r="AP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2" s="56" t="str">
        <f>IF(NOTA[[#This Row],[CONCAT4]]="","",_xlfn.IFNA(MATCH(NOTA[[#This Row],[CONCAT4]],[2]!RAW[CONCAT_H],0),FALSE))</f>
        <v/>
      </c>
      <c r="AR582" s="56">
        <f>IF(NOTA[[#This Row],[CONCAT1]]="","",MATCH(NOTA[[#This Row],[CONCAT1]],[3]!db[NB NOTA_C],0))</f>
        <v>597</v>
      </c>
      <c r="AS582" s="56" t="b">
        <f>IF(NOTA[[#This Row],[QTY/ CTN]]="","",TRUE)</f>
        <v>1</v>
      </c>
      <c r="AT582" s="56" t="str">
        <f ca="1">IF(NOTA[[#This Row],[ID_H]]="","",IF(NOTA[[#This Row],[Column3]]=TRUE,NOTA[[#This Row],[QTY/ CTN]],INDEX([3]!db[QTY/ CTN],NOTA[[#This Row],[//DB]])))</f>
        <v>12 BOX (24 SET)</v>
      </c>
      <c r="AU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colorpencilcp812jk12box24setartomoro</v>
      </c>
      <c r="AV582" s="56" t="e">
        <f ca="1">IF(NOTA[[#This Row],[ID_H]]="","",MATCH(NOTA[[#This Row],[NB NOTA_C_QTY]],[4]!db[NB NOTA_C_QTY+F],0))</f>
        <v>#REF!</v>
      </c>
      <c r="AW582" s="68">
        <f ca="1">IF(NOTA[[#This Row],[NB NOTA_C_QTY]]="","",ROW()-2)</f>
        <v>580</v>
      </c>
    </row>
    <row r="583" spans="1:49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83" s="66" t="str">
        <f>IF(OR(NOTA[[#This Row],[QTY]]="",NOTA[[#This Row],[HARGA SATUAN]]="",),"",NOTA[[#This Row],[QTY]]*NOTA[[#This Row],[HARGA SATUAN]])</f>
        <v/>
      </c>
      <c r="AH583" s="60" t="str">
        <f ca="1">IF(NOTA[ID_H]="","",INDEX(NOTA[TANGGAL],MATCH(,INDIRECT(ADDRESS(ROW(NOTA[TANGGAL]),COLUMN(NOTA[TANGGAL]))&amp;":"&amp;ADDRESS(ROW(),COLUMN(NOTA[TANGGAL]))),-1)))</f>
        <v/>
      </c>
      <c r="AI583" s="55" t="str">
        <f ca="1">IF(NOTA[[#This Row],[NAMA BARANG]]="","",INDEX(NOTA[SUPPLIER],MATCH(,INDIRECT(ADDRESS(ROW(NOTA[ID]),COLUMN(NOTA[ID]))&amp;":"&amp;ADDRESS(ROW(),COLUMN(NOTA[ID]))),-1)))</f>
        <v/>
      </c>
      <c r="AJ583" s="55" t="str">
        <f ca="1">IF(NOTA[[#This Row],[ID_H]]="","",IF(NOTA[[#This Row],[FAKTUR]]="",INDIRECT(ADDRESS(ROW()-1,COLUMN())),NOTA[[#This Row],[FAKTUR]]))</f>
        <v/>
      </c>
      <c r="AK583" s="56" t="str">
        <f ca="1">IF(NOTA[[#This Row],[ID]]="","",COUNTIF(NOTA[ID_H],NOTA[[#This Row],[ID_H]]))</f>
        <v/>
      </c>
      <c r="AL583" s="56" t="str">
        <f ca="1">IF(NOTA[[#This Row],[TGL.NOTA]]="",IF(NOTA[[#This Row],[SUPPLIER_H]]="","",AL582),MONTH(NOTA[[#This Row],[TGL.NOTA]]))</f>
        <v/>
      </c>
      <c r="AM583" s="56" t="str">
        <f>LOWER(SUBSTITUTE(SUBSTITUTE(SUBSTITUTE(SUBSTITUTE(SUBSTITUTE(SUBSTITUTE(SUBSTITUTE(SUBSTITUTE(SUBSTITUTE(NOTA[NAMA BARANG]," ",),".",""),"-",""),"(",""),")",""),",",""),"/",""),"""",""),"+",""))</f>
        <v/>
      </c>
      <c r="AN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56" t="str">
        <f>IF(NOTA[[#This Row],[CONCAT4]]="","",_xlfn.IFNA(MATCH(NOTA[[#This Row],[CONCAT4]],[2]!RAW[CONCAT_H],0),FALSE))</f>
        <v/>
      </c>
      <c r="AR583" s="56" t="str">
        <f>IF(NOTA[[#This Row],[CONCAT1]]="","",MATCH(NOTA[[#This Row],[CONCAT1]],[3]!db[NB NOTA_C],0))</f>
        <v/>
      </c>
      <c r="AS583" s="56" t="str">
        <f>IF(NOTA[[#This Row],[QTY/ CTN]]="","",TRUE)</f>
        <v/>
      </c>
      <c r="AT583" s="56" t="str">
        <f ca="1">IF(NOTA[[#This Row],[ID_H]]="","",IF(NOTA[[#This Row],[Column3]]=TRUE,NOTA[[#This Row],[QTY/ CTN]],INDEX([3]!db[QTY/ CTN],NOTA[[#This Row],[//DB]])))</f>
        <v/>
      </c>
      <c r="AU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3" s="56" t="str">
        <f ca="1">IF(NOTA[[#This Row],[ID_H]]="","",MATCH(NOTA[[#This Row],[NB NOTA_C_QTY]],[4]!db[NB NOTA_C_QTY+F],0))</f>
        <v/>
      </c>
      <c r="AW583" s="68" t="str">
        <f ca="1">IF(NOTA[[#This Row],[NB NOTA_C_QTY]]="","",ROW()-2)</f>
        <v/>
      </c>
    </row>
    <row r="584" spans="1:49" s="38" customFormat="1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WIN_0410_LGS-4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109</v>
      </c>
      <c r="E584" s="57">
        <v>45203</v>
      </c>
      <c r="F584" s="37" t="s">
        <v>672</v>
      </c>
      <c r="G584" s="37" t="s">
        <v>123</v>
      </c>
      <c r="H584" s="47" t="s">
        <v>673</v>
      </c>
      <c r="I584" s="58"/>
      <c r="J584" s="60">
        <v>45199</v>
      </c>
      <c r="K584" s="58"/>
      <c r="L584" s="37" t="s">
        <v>674</v>
      </c>
      <c r="M584" s="61">
        <v>5</v>
      </c>
      <c r="N584" s="56">
        <v>700</v>
      </c>
      <c r="O584" s="37" t="s">
        <v>126</v>
      </c>
      <c r="P584" s="55"/>
      <c r="Q584" s="42">
        <v>1925000</v>
      </c>
      <c r="R584" s="63" t="s">
        <v>680</v>
      </c>
      <c r="S584" s="64"/>
      <c r="T584" s="65"/>
      <c r="U584" s="65"/>
      <c r="V584" s="66"/>
      <c r="W584" s="45" t="s">
        <v>681</v>
      </c>
      <c r="X584" s="66">
        <f>IF(NOTA[[#This Row],[HARGA/ CTN]]="",NOTA[[#This Row],[JUMLAH_H]],NOTA[[#This Row],[HARGA/ CTN]]*IF(NOTA[[#This Row],[C]]="",0,NOTA[[#This Row],[C]]))</f>
        <v>9625000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9625000</v>
      </c>
      <c r="AD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4" s="55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G584" s="66" t="str">
        <f>IF(OR(NOTA[[#This Row],[QTY]]="",NOTA[[#This Row],[HARGA SATUAN]]="",),"",NOTA[[#This Row],[QTY]]*NOTA[[#This Row],[HARGA SATUAN]])</f>
        <v/>
      </c>
      <c r="AH584" s="60">
        <f ca="1">IF(NOTA[ID_H]="","",INDEX(NOTA[TANGGAL],MATCH(,INDIRECT(ADDRESS(ROW(NOTA[TANGGAL]),COLUMN(NOTA[TANGGAL]))&amp;":"&amp;ADDRESS(ROW(),COLUMN(NOTA[TANGGAL]))),-1)))</f>
        <v>45203</v>
      </c>
      <c r="AI584" s="55" t="str">
        <f ca="1">IF(NOTA[[#This Row],[NAMA BARANG]]="","",INDEX(NOTA[SUPPLIER],MATCH(,INDIRECT(ADDRESS(ROW(NOTA[ID]),COLUMN(NOTA[ID]))&amp;":"&amp;ADDRESS(ROW(),COLUMN(NOTA[ID]))),-1)))</f>
        <v>WIN*S SENTOSA</v>
      </c>
      <c r="AJ584" s="55" t="str">
        <f ca="1">IF(NOTA[[#This Row],[ID_H]]="","",IF(NOTA[[#This Row],[FAKTUR]]="",INDIRECT(ADDRESS(ROW()-1,COLUMN())),NOTA[[#This Row],[FAKTUR]]))</f>
        <v>UNTANA</v>
      </c>
      <c r="AK584" s="56">
        <f ca="1">IF(NOTA[[#This Row],[ID]]="","",COUNTIF(NOTA[ID_H],NOTA[[#This Row],[ID_H]]))</f>
        <v>4</v>
      </c>
      <c r="AL584" s="56">
        <f>IF(NOTA[[#This Row],[TGL.NOTA]]="",IF(NOTA[[#This Row],[SUPPLIER_H]]="","",AL583),MONTH(NOTA[[#This Row],[TGL.NOTA]]))</f>
        <v>9</v>
      </c>
      <c r="AM584" s="56" t="str">
        <f>LOWER(SUBSTITUTE(SUBSTITUTE(SUBSTITUTE(SUBSTITUTE(SUBSTITUTE(SUBSTITUTE(SUBSTITUTE(SUBSTITUTE(SUBSTITUTE(NOTA[NAMA BARANG]," ",),".",""),"-",""),"(",""),")",""),",",""),"/",""),"""",""),"+",""))</f>
        <v>18x36</v>
      </c>
      <c r="AN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O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P584" s="56" t="str">
        <f>IF(NOTA[[#This Row],[SUPPLIER]]="","",NOTA[[#This Row],[SUPPLIER]]&amp;NOTA[[#This Row],[FAKTUR]]&amp;NOTA[[#This Row],[NO.NOTA]]&amp;NOTA[[#This Row],[NO.SJ]]&amp;NOTA[[#This Row],[TGL.NOTA]]&amp;NOTA[[#This Row],[CONCAT1]])</f>
        <v>WIN*S SENTOSAUNTANASI-2023/09-0281/LGS4519918x36</v>
      </c>
      <c r="AQ584" s="56" t="e">
        <f>IF(NOTA[[#This Row],[CONCAT4]]="","",_xlfn.IFNA(MATCH(NOTA[[#This Row],[CONCAT4]],[2]!RAW[CONCAT_H],0),FALSE))</f>
        <v>#REF!</v>
      </c>
      <c r="AR584" s="56" t="e">
        <f>IF(NOTA[[#This Row],[CONCAT1]]="","",MATCH(NOTA[[#This Row],[CONCAT1]],[3]!db[NB NOTA_C],0))</f>
        <v>#N/A</v>
      </c>
      <c r="AS584" s="56" t="b">
        <f>IF(NOTA[[#This Row],[QTY/ CTN]]="","",TRUE)</f>
        <v>1</v>
      </c>
      <c r="AT584" s="56" t="str">
        <f ca="1">IF(NOTA[[#This Row],[ID_H]]="","",IF(NOTA[[#This Row],[Column3]]=TRUE,NOTA[[#This Row],[QTY/ CTN]],INDEX([3]!db[QTY/ CTN],NOTA[[#This Row],[//DB]])))</f>
        <v>140 PCS</v>
      </c>
      <c r="AU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18x36140pcsuntana</v>
      </c>
      <c r="AV584" s="56" t="e">
        <f ca="1">IF(NOTA[[#This Row],[ID_H]]="","",MATCH(NOTA[[#This Row],[NB NOTA_C_QTY]],[4]!db[NB NOTA_C_QTY+F],0))</f>
        <v>#REF!</v>
      </c>
      <c r="AW584" s="68">
        <f ca="1">IF(NOTA[[#This Row],[NB NOTA_C_QTY]]="","",ROW()-2)</f>
        <v>582</v>
      </c>
    </row>
    <row r="585" spans="1:49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109</v>
      </c>
      <c r="E585" s="57"/>
      <c r="F585" s="58"/>
      <c r="G585" s="58"/>
      <c r="H585" s="59"/>
      <c r="I585" s="58"/>
      <c r="J585" s="60"/>
      <c r="K585" s="58"/>
      <c r="L585" s="37" t="s">
        <v>675</v>
      </c>
      <c r="M585" s="61">
        <v>5</v>
      </c>
      <c r="N585" s="56">
        <v>700</v>
      </c>
      <c r="O585" s="37" t="s">
        <v>126</v>
      </c>
      <c r="P585" s="55"/>
      <c r="Q585" s="42">
        <v>2695000</v>
      </c>
      <c r="R585" s="63" t="s">
        <v>680</v>
      </c>
      <c r="S585" s="64"/>
      <c r="T585" s="65"/>
      <c r="U585" s="65"/>
      <c r="V585" s="66"/>
      <c r="W585" s="45" t="s">
        <v>681</v>
      </c>
      <c r="X585" s="66">
        <f>IF(NOTA[[#This Row],[HARGA/ CTN]]="",NOTA[[#This Row],[JUMLAH_H]],NOTA[[#This Row],[HARGA/ CTN]]*IF(NOTA[[#This Row],[C]]="",0,NOTA[[#This Row],[C]]))</f>
        <v>13475000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13475000</v>
      </c>
      <c r="AD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5" s="55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G585" s="66" t="str">
        <f>IF(OR(NOTA[[#This Row],[QTY]]="",NOTA[[#This Row],[HARGA SATUAN]]="",),"",NOTA[[#This Row],[QTY]]*NOTA[[#This Row],[HARGA SATUAN]])</f>
        <v/>
      </c>
      <c r="AH585" s="60">
        <f ca="1">IF(NOTA[ID_H]="","",INDEX(NOTA[TANGGAL],MATCH(,INDIRECT(ADDRESS(ROW(NOTA[TANGGAL]),COLUMN(NOTA[TANGGAL]))&amp;":"&amp;ADDRESS(ROW(),COLUMN(NOTA[TANGGAL]))),-1)))</f>
        <v>45203</v>
      </c>
      <c r="AI585" s="55" t="str">
        <f ca="1">IF(NOTA[[#This Row],[NAMA BARANG]]="","",INDEX(NOTA[SUPPLIER],MATCH(,INDIRECT(ADDRESS(ROW(NOTA[ID]),COLUMN(NOTA[ID]))&amp;":"&amp;ADDRESS(ROW(),COLUMN(NOTA[ID]))),-1)))</f>
        <v>WIN*S SENTOSA</v>
      </c>
      <c r="AJ585" s="55" t="str">
        <f ca="1">IF(NOTA[[#This Row],[ID_H]]="","",IF(NOTA[[#This Row],[FAKTUR]]="",INDIRECT(ADDRESS(ROW()-1,COLUMN())),NOTA[[#This Row],[FAKTUR]]))</f>
        <v>UNTANA</v>
      </c>
      <c r="AK585" s="56" t="str">
        <f ca="1">IF(NOTA[[#This Row],[ID]]="","",COUNTIF(NOTA[ID_H],NOTA[[#This Row],[ID_H]]))</f>
        <v/>
      </c>
      <c r="AL585" s="56">
        <f ca="1">IF(NOTA[[#This Row],[TGL.NOTA]]="",IF(NOTA[[#This Row],[SUPPLIER_H]]="","",AL584),MONTH(NOTA[[#This Row],[TGL.NOTA]]))</f>
        <v>9</v>
      </c>
      <c r="AM585" s="56" t="str">
        <f>LOWER(SUBSTITUTE(SUBSTITUTE(SUBSTITUTE(SUBSTITUTE(SUBSTITUTE(SUBSTITUTE(SUBSTITUTE(SUBSTITUTE(SUBSTITUTE(NOTA[NAMA BARANG]," ",),".",""),"-",""),"(",""),")",""),",",""),"/",""),"""",""),"+",""))</f>
        <v>20x40</v>
      </c>
      <c r="AN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O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P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56" t="str">
        <f>IF(NOTA[[#This Row],[CONCAT4]]="","",_xlfn.IFNA(MATCH(NOTA[[#This Row],[CONCAT4]],[2]!RAW[CONCAT_H],0),FALSE))</f>
        <v/>
      </c>
      <c r="AR585" s="56" t="e">
        <f>IF(NOTA[[#This Row],[CONCAT1]]="","",MATCH(NOTA[[#This Row],[CONCAT1]],[3]!db[NB NOTA_C],0))</f>
        <v>#N/A</v>
      </c>
      <c r="AS585" s="56" t="b">
        <f>IF(NOTA[[#This Row],[QTY/ CTN]]="","",TRUE)</f>
        <v>1</v>
      </c>
      <c r="AT585" s="56" t="str">
        <f ca="1">IF(NOTA[[#This Row],[ID_H]]="","",IF(NOTA[[#This Row],[Column3]]=TRUE,NOTA[[#This Row],[QTY/ CTN]],INDEX([3]!db[QTY/ CTN],NOTA[[#This Row],[//DB]])))</f>
        <v>140 PCS</v>
      </c>
      <c r="AU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20x40140pcsuntana</v>
      </c>
      <c r="AV585" s="56" t="e">
        <f ca="1">IF(NOTA[[#This Row],[ID_H]]="","",MATCH(NOTA[[#This Row],[NB NOTA_C_QTY]],[4]!db[NB NOTA_C_QTY+F],0))</f>
        <v>#REF!</v>
      </c>
      <c r="AW585" s="68">
        <f ca="1">IF(NOTA[[#This Row],[NB NOTA_C_QTY]]="","",ROW()-2)</f>
        <v>583</v>
      </c>
    </row>
    <row r="586" spans="1:49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109</v>
      </c>
      <c r="E586" s="57"/>
      <c r="F586" s="58"/>
      <c r="G586" s="58"/>
      <c r="H586" s="59"/>
      <c r="I586" s="58"/>
      <c r="J586" s="60"/>
      <c r="K586" s="58"/>
      <c r="L586" s="37" t="s">
        <v>676</v>
      </c>
      <c r="M586" s="61">
        <v>5</v>
      </c>
      <c r="N586" s="56">
        <v>560</v>
      </c>
      <c r="O586" s="37" t="s">
        <v>126</v>
      </c>
      <c r="P586" s="55"/>
      <c r="Q586" s="42">
        <v>2716000</v>
      </c>
      <c r="R586" s="63" t="s">
        <v>679</v>
      </c>
      <c r="S586" s="64"/>
      <c r="T586" s="65"/>
      <c r="U586" s="65"/>
      <c r="V586" s="66"/>
      <c r="W586" s="45" t="s">
        <v>681</v>
      </c>
      <c r="X586" s="66">
        <f>IF(NOTA[[#This Row],[HARGA/ CTN]]="",NOTA[[#This Row],[JUMLAH_H]],NOTA[[#This Row],[HARGA/ CTN]]*IF(NOTA[[#This Row],[C]]="",0,NOTA[[#This Row],[C]]))</f>
        <v>13580000</v>
      </c>
      <c r="Y586" s="66">
        <f>IF(NOTA[[#This Row],[JUMLAH]]="","",NOTA[[#This Row],[JUMLAH]]*NOTA[[#This Row],[DISC 1]])</f>
        <v>0</v>
      </c>
      <c r="Z586" s="66">
        <f>IF(NOTA[[#This Row],[JUMLAH]]="","",(NOTA[[#This Row],[JUMLAH]]-NOTA[[#This Row],[DISC 1-]])*NOTA[[#This Row],[DISC 2]])</f>
        <v>0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0</v>
      </c>
      <c r="AC586" s="66">
        <f>IF(NOTA[[#This Row],[JUMLAH]]="","",NOTA[[#This Row],[JUMLAH]]-NOTA[[#This Row],[DISC]])</f>
        <v>13580000</v>
      </c>
      <c r="AD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6" s="55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G586" s="66" t="str">
        <f>IF(OR(NOTA[[#This Row],[QTY]]="",NOTA[[#This Row],[HARGA SATUAN]]="",),"",NOTA[[#This Row],[QTY]]*NOTA[[#This Row],[HARGA SATUAN]])</f>
        <v/>
      </c>
      <c r="AH586" s="60">
        <f ca="1">IF(NOTA[ID_H]="","",INDEX(NOTA[TANGGAL],MATCH(,INDIRECT(ADDRESS(ROW(NOTA[TANGGAL]),COLUMN(NOTA[TANGGAL]))&amp;":"&amp;ADDRESS(ROW(),COLUMN(NOTA[TANGGAL]))),-1)))</f>
        <v>45203</v>
      </c>
      <c r="AI586" s="55" t="str">
        <f ca="1">IF(NOTA[[#This Row],[NAMA BARANG]]="","",INDEX(NOTA[SUPPLIER],MATCH(,INDIRECT(ADDRESS(ROW(NOTA[ID]),COLUMN(NOTA[ID]))&amp;":"&amp;ADDRESS(ROW(),COLUMN(NOTA[ID]))),-1)))</f>
        <v>WIN*S SENTOSA</v>
      </c>
      <c r="AJ586" s="55" t="str">
        <f ca="1">IF(NOTA[[#This Row],[ID_H]]="","",IF(NOTA[[#This Row],[FAKTUR]]="",INDIRECT(ADDRESS(ROW()-1,COLUMN())),NOTA[[#This Row],[FAKTUR]]))</f>
        <v>UNTANA</v>
      </c>
      <c r="AK586" s="56" t="str">
        <f ca="1">IF(NOTA[[#This Row],[ID]]="","",COUNTIF(NOTA[ID_H],NOTA[[#This Row],[ID_H]]))</f>
        <v/>
      </c>
      <c r="AL586" s="56">
        <f ca="1">IF(NOTA[[#This Row],[TGL.NOTA]]="",IF(NOTA[[#This Row],[SUPPLIER_H]]="","",AL585),MONTH(NOTA[[#This Row],[TGL.NOTA]]))</f>
        <v>9</v>
      </c>
      <c r="AM586" s="56" t="str">
        <f>LOWER(SUBSTITUTE(SUBSTITUTE(SUBSTITUTE(SUBSTITUTE(SUBSTITUTE(SUBSTITUTE(SUBSTITUTE(SUBSTITUTE(SUBSTITUTE(NOTA[NAMA BARANG]," ",),".",""),"-",""),"(",""),")",""),",",""),"/",""),"""",""),"+",""))</f>
        <v>25x50</v>
      </c>
      <c r="AN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O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P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56" t="str">
        <f>IF(NOTA[[#This Row],[CONCAT4]]="","",_xlfn.IFNA(MATCH(NOTA[[#This Row],[CONCAT4]],[2]!RAW[CONCAT_H],0),FALSE))</f>
        <v/>
      </c>
      <c r="AR586" s="56" t="e">
        <f>IF(NOTA[[#This Row],[CONCAT1]]="","",MATCH(NOTA[[#This Row],[CONCAT1]],[3]!db[NB NOTA_C],0))</f>
        <v>#N/A</v>
      </c>
      <c r="AS586" s="56" t="b">
        <f>IF(NOTA[[#This Row],[QTY/ CTN]]="","",TRUE)</f>
        <v>1</v>
      </c>
      <c r="AT586" s="56" t="str">
        <f ca="1">IF(NOTA[[#This Row],[ID_H]]="","",IF(NOTA[[#This Row],[Column3]]=TRUE,NOTA[[#This Row],[QTY/ CTN]],INDEX([3]!db[QTY/ CTN],NOTA[[#This Row],[//DB]])))</f>
        <v>112 PCS</v>
      </c>
      <c r="AU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25x50112pcsuntana</v>
      </c>
      <c r="AV586" s="56" t="e">
        <f ca="1">IF(NOTA[[#This Row],[ID_H]]="","",MATCH(NOTA[[#This Row],[NB NOTA_C_QTY]],[4]!db[NB NOTA_C_QTY+F],0))</f>
        <v>#REF!</v>
      </c>
      <c r="AW586" s="68">
        <f ca="1">IF(NOTA[[#This Row],[NB NOTA_C_QTY]]="","",ROW()-2)</f>
        <v>584</v>
      </c>
    </row>
    <row r="587" spans="1:49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109</v>
      </c>
      <c r="E587" s="57"/>
      <c r="F587" s="58"/>
      <c r="G587" s="58"/>
      <c r="H587" s="59"/>
      <c r="I587" s="58"/>
      <c r="J587" s="60"/>
      <c r="K587" s="58"/>
      <c r="L587" s="37" t="s">
        <v>677</v>
      </c>
      <c r="M587" s="61">
        <v>5</v>
      </c>
      <c r="N587" s="56">
        <f>576*5</f>
        <v>2880</v>
      </c>
      <c r="O587" s="37" t="s">
        <v>126</v>
      </c>
      <c r="P587" s="55"/>
      <c r="Q587" s="42">
        <v>806400</v>
      </c>
      <c r="R587" s="63" t="s">
        <v>678</v>
      </c>
      <c r="S587" s="64"/>
      <c r="T587" s="65"/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4032000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4032000</v>
      </c>
      <c r="AD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40712000</v>
      </c>
      <c r="AF587" s="55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G587" s="66" t="str">
        <f>IF(OR(NOTA[[#This Row],[QTY]]="",NOTA[[#This Row],[HARGA SATUAN]]="",),"",NOTA[[#This Row],[QTY]]*NOTA[[#This Row],[HARGA SATUAN]])</f>
        <v/>
      </c>
      <c r="AH587" s="60">
        <f ca="1">IF(NOTA[ID_H]="","",INDEX(NOTA[TANGGAL],MATCH(,INDIRECT(ADDRESS(ROW(NOTA[TANGGAL]),COLUMN(NOTA[TANGGAL]))&amp;":"&amp;ADDRESS(ROW(),COLUMN(NOTA[TANGGAL]))),-1)))</f>
        <v>45203</v>
      </c>
      <c r="AI587" s="55" t="str">
        <f ca="1">IF(NOTA[[#This Row],[NAMA BARANG]]="","",INDEX(NOTA[SUPPLIER],MATCH(,INDIRECT(ADDRESS(ROW(NOTA[ID]),COLUMN(NOTA[ID]))&amp;":"&amp;ADDRESS(ROW(),COLUMN(NOTA[ID]))),-1)))</f>
        <v>WIN*S SENTOSA</v>
      </c>
      <c r="AJ587" s="55" t="str">
        <f ca="1">IF(NOTA[[#This Row],[ID_H]]="","",IF(NOTA[[#This Row],[FAKTUR]]="",INDIRECT(ADDRESS(ROW()-1,COLUMN())),NOTA[[#This Row],[FAKTUR]]))</f>
        <v>UNTANA</v>
      </c>
      <c r="AK587" s="56" t="str">
        <f ca="1">IF(NOTA[[#This Row],[ID]]="","",COUNTIF(NOTA[ID_H],NOTA[[#This Row],[ID_H]]))</f>
        <v/>
      </c>
      <c r="AL587" s="56">
        <f ca="1">IF(NOTA[[#This Row],[TGL.NOTA]]="",IF(NOTA[[#This Row],[SUPPLIER_H]]="","",AL586),MONTH(NOTA[[#This Row],[TGL.NOTA]]))</f>
        <v>9</v>
      </c>
      <c r="AM587" s="56" t="str">
        <f>LOWER(SUBSTITUTE(SUBSTITUTE(SUBSTITUTE(SUBSTITUTE(SUBSTITUTE(SUBSTITUTE(SUBSTITUTE(SUBSTITUTE(SUBSTITUTE(NOTA[NAMA BARANG]," ",),".",""),"-",""),"(",""),")",""),",",""),"/",""),"""",""),"+",""))</f>
        <v>candleyh332papermint</v>
      </c>
      <c r="AN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candleyh332papermint806400</v>
      </c>
      <c r="AO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candleyh332papermint806400</v>
      </c>
      <c r="AP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7" s="56" t="str">
        <f>IF(NOTA[[#This Row],[CONCAT4]]="","",_xlfn.IFNA(MATCH(NOTA[[#This Row],[CONCAT4]],[2]!RAW[CONCAT_H],0),FALSE))</f>
        <v/>
      </c>
      <c r="AR587" s="56" t="e">
        <f>IF(NOTA[[#This Row],[CONCAT1]]="","",MATCH(NOTA[[#This Row],[CONCAT1]],[3]!db[NB NOTA_C],0))</f>
        <v>#N/A</v>
      </c>
      <c r="AS587" s="56" t="b">
        <f>IF(NOTA[[#This Row],[QTY/ CTN]]="","",TRUE)</f>
        <v>1</v>
      </c>
      <c r="AT587" s="56" t="str">
        <f ca="1">IF(NOTA[[#This Row],[ID_H]]="","",IF(NOTA[[#This Row],[Column3]]=TRUE,NOTA[[#This Row],[QTY/ CTN]],INDEX([3]!db[QTY/ CTN],NOTA[[#This Row],[//DB]])))</f>
        <v>576 PCS</v>
      </c>
      <c r="AU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candleyh332papermint576pcsuntana</v>
      </c>
      <c r="AV587" s="56" t="e">
        <f ca="1">IF(NOTA[[#This Row],[ID_H]]="","",MATCH(NOTA[[#This Row],[NB NOTA_C_QTY]],[4]!db[NB NOTA_C_QTY+F],0))</f>
        <v>#REF!</v>
      </c>
      <c r="AW587" s="68">
        <f ca="1">IF(NOTA[[#This Row],[NB NOTA_C_QTY]]="","",ROW()-2)</f>
        <v>585</v>
      </c>
    </row>
    <row r="588" spans="1:49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88" s="66" t="str">
        <f>IF(OR(NOTA[[#This Row],[QTY]]="",NOTA[[#This Row],[HARGA SATUAN]]="",),"",NOTA[[#This Row],[QTY]]*NOTA[[#This Row],[HARGA SATUAN]])</f>
        <v/>
      </c>
      <c r="AH588" s="60" t="str">
        <f ca="1">IF(NOTA[ID_H]="","",INDEX(NOTA[TANGGAL],MATCH(,INDIRECT(ADDRESS(ROW(NOTA[TANGGAL]),COLUMN(NOTA[TANGGAL]))&amp;":"&amp;ADDRESS(ROW(),COLUMN(NOTA[TANGGAL]))),-1)))</f>
        <v/>
      </c>
      <c r="AI588" s="55" t="str">
        <f ca="1">IF(NOTA[[#This Row],[NAMA BARANG]]="","",INDEX(NOTA[SUPPLIER],MATCH(,INDIRECT(ADDRESS(ROW(NOTA[ID]),COLUMN(NOTA[ID]))&amp;":"&amp;ADDRESS(ROW(),COLUMN(NOTA[ID]))),-1)))</f>
        <v/>
      </c>
      <c r="AJ588" s="55" t="str">
        <f ca="1">IF(NOTA[[#This Row],[ID_H]]="","",IF(NOTA[[#This Row],[FAKTUR]]="",INDIRECT(ADDRESS(ROW()-1,COLUMN())),NOTA[[#This Row],[FAKTUR]]))</f>
        <v/>
      </c>
      <c r="AK588" s="56" t="str">
        <f ca="1">IF(NOTA[[#This Row],[ID]]="","",COUNTIF(NOTA[ID_H],NOTA[[#This Row],[ID_H]]))</f>
        <v/>
      </c>
      <c r="AL588" s="56" t="str">
        <f ca="1">IF(NOTA[[#This Row],[TGL.NOTA]]="",IF(NOTA[[#This Row],[SUPPLIER_H]]="","",AL587),MONTH(NOTA[[#This Row],[TGL.NOTA]]))</f>
        <v/>
      </c>
      <c r="AM588" s="56" t="str">
        <f>LOWER(SUBSTITUTE(SUBSTITUTE(SUBSTITUTE(SUBSTITUTE(SUBSTITUTE(SUBSTITUTE(SUBSTITUTE(SUBSTITUTE(SUBSTITUTE(NOTA[NAMA BARANG]," ",),".",""),"-",""),"(",""),")",""),",",""),"/",""),"""",""),"+",""))</f>
        <v/>
      </c>
      <c r="AN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56" t="str">
        <f>IF(NOTA[[#This Row],[CONCAT4]]="","",_xlfn.IFNA(MATCH(NOTA[[#This Row],[CONCAT4]],[2]!RAW[CONCAT_H],0),FALSE))</f>
        <v/>
      </c>
      <c r="AR588" s="56" t="str">
        <f>IF(NOTA[[#This Row],[CONCAT1]]="","",MATCH(NOTA[[#This Row],[CONCAT1]],[3]!db[NB NOTA_C],0))</f>
        <v/>
      </c>
      <c r="AS588" s="56" t="str">
        <f>IF(NOTA[[#This Row],[QTY/ CTN]]="","",TRUE)</f>
        <v/>
      </c>
      <c r="AT588" s="56" t="str">
        <f ca="1">IF(NOTA[[#This Row],[ID_H]]="","",IF(NOTA[[#This Row],[Column3]]=TRUE,NOTA[[#This Row],[QTY/ CTN]],INDEX([3]!db[QTY/ CTN],NOTA[[#This Row],[//DB]])))</f>
        <v/>
      </c>
      <c r="AU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8" s="56" t="str">
        <f ca="1">IF(NOTA[[#This Row],[ID_H]]="","",MATCH(NOTA[[#This Row],[NB NOTA_C_QTY]],[4]!db[NB NOTA_C_QTY+F],0))</f>
        <v/>
      </c>
      <c r="AW588" s="68" t="str">
        <f ca="1">IF(NOTA[[#This Row],[NB NOTA_C_QTY]]="","",ROW()-2)</f>
        <v/>
      </c>
    </row>
    <row r="589" spans="1:49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GUN_0410_203-1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110</v>
      </c>
      <c r="E589" s="57"/>
      <c r="F589" s="37" t="s">
        <v>309</v>
      </c>
      <c r="G589" s="37" t="s">
        <v>123</v>
      </c>
      <c r="H589" s="47" t="s">
        <v>682</v>
      </c>
      <c r="I589" s="58"/>
      <c r="J589" s="60">
        <v>45195</v>
      </c>
      <c r="K589" s="58"/>
      <c r="L589" s="37" t="s">
        <v>683</v>
      </c>
      <c r="M589" s="61">
        <v>2</v>
      </c>
      <c r="N589" s="56">
        <v>60</v>
      </c>
      <c r="O589" s="37" t="s">
        <v>138</v>
      </c>
      <c r="P589" s="55">
        <v>70000</v>
      </c>
      <c r="Q589" s="62"/>
      <c r="R589" s="48" t="s">
        <v>312</v>
      </c>
      <c r="S589" s="64">
        <v>0.05</v>
      </c>
      <c r="T589" s="65">
        <v>0.1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4200000</v>
      </c>
      <c r="Y589" s="66">
        <f>IF(NOTA[[#This Row],[JUMLAH]]="","",NOTA[[#This Row],[JUMLAH]]*NOTA[[#This Row],[DISC 1]])</f>
        <v>210000</v>
      </c>
      <c r="Z589" s="66">
        <f>IF(NOTA[[#This Row],[JUMLAH]]="","",(NOTA[[#This Row],[JUMLAH]]-NOTA[[#This Row],[DISC 1-]])*NOTA[[#This Row],[DISC 2]])</f>
        <v>399000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609000</v>
      </c>
      <c r="AC589" s="66">
        <f>IF(NOTA[[#This Row],[JUMLAH]]="","",NOTA[[#This Row],[JUMLAH]]-NOTA[[#This Row],[DISC]])</f>
        <v>3591000</v>
      </c>
      <c r="AD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609000</v>
      </c>
      <c r="AE5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F58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G589" s="66">
        <f>IF(OR(NOTA[[#This Row],[QTY]]="",NOTA[[#This Row],[HARGA SATUAN]]="",),"",NOTA[[#This Row],[QTY]]*NOTA[[#This Row],[HARGA SATUAN]])</f>
        <v>4200000</v>
      </c>
      <c r="AH589" s="60">
        <f ca="1">IF(NOTA[ID_H]="","",INDEX(NOTA[TANGGAL],MATCH(,INDIRECT(ADDRESS(ROW(NOTA[TANGGAL]),COLUMN(NOTA[TANGGAL]))&amp;":"&amp;ADDRESS(ROW(),COLUMN(NOTA[TANGGAL]))),-1)))</f>
        <v>45203</v>
      </c>
      <c r="AI589" s="55" t="str">
        <f ca="1">IF(NOTA[[#This Row],[NAMA BARANG]]="","",INDEX(NOTA[SUPPLIER],MATCH(,INDIRECT(ADDRESS(ROW(NOTA[ID]),COLUMN(NOTA[ID]))&amp;":"&amp;ADDRESS(ROW(),COLUMN(NOTA[ID]))),-1)))</f>
        <v>GUNINDO</v>
      </c>
      <c r="AJ589" s="55" t="str">
        <f ca="1">IF(NOTA[[#This Row],[ID_H]]="","",IF(NOTA[[#This Row],[FAKTUR]]="",INDIRECT(ADDRESS(ROW()-1,COLUMN())),NOTA[[#This Row],[FAKTUR]]))</f>
        <v>UNTANA</v>
      </c>
      <c r="AK589" s="56">
        <f ca="1">IF(NOTA[[#This Row],[ID]]="","",COUNTIF(NOTA[ID_H],NOTA[[#This Row],[ID_H]]))</f>
        <v>1</v>
      </c>
      <c r="AL589" s="56">
        <f>IF(NOTA[[#This Row],[TGL.NOTA]]="",IF(NOTA[[#This Row],[SUPPLIER_H]]="","",AL588),MONTH(NOTA[[#This Row],[TGL.NOTA]]))</f>
        <v>9</v>
      </c>
      <c r="AM589" s="56" t="str">
        <f>LOWER(SUBSTITUTE(SUBSTITUTE(SUBSTITUTE(SUBSTITUTE(SUBSTITUTE(SUBSTITUTE(SUBSTITUTE(SUBSTITUTE(SUBSTITUTE(NOTA[NAMA BARANG]," ",),".",""),"-",""),"(",""),")",""),",",""),"/",""),"""",""),"+",""))</f>
        <v>ollgunindo</v>
      </c>
      <c r="AN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O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P58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GUNINDOUNTANA230920345195ollgunindo</v>
      </c>
      <c r="AQ589" s="56" t="e">
        <f>IF(NOTA[[#This Row],[CONCAT4]]="","",_xlfn.IFNA(MATCH(NOTA[[#This Row],[CONCAT4]],[2]!RAW[CONCAT_H],0),FALSE))</f>
        <v>#REF!</v>
      </c>
      <c r="AR589" s="56">
        <f>IF(NOTA[[#This Row],[CONCAT1]]="","",MATCH(NOTA[[#This Row],[CONCAT1]],[3]!db[NB NOTA_C],0))</f>
        <v>1902</v>
      </c>
      <c r="AS589" s="56" t="b">
        <f>IF(NOTA[[#This Row],[QTY/ CTN]]="","",TRUE)</f>
        <v>1</v>
      </c>
      <c r="AT589" s="56" t="str">
        <f ca="1">IF(NOTA[[#This Row],[ID_H]]="","",IF(NOTA[[#This Row],[Column3]]=TRUE,NOTA[[#This Row],[QTY/ CTN]],INDEX([3]!db[QTY/ CTN],NOTA[[#This Row],[//DB]])))</f>
        <v>30 LSN</v>
      </c>
      <c r="AU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V589" s="56" t="e">
        <f ca="1">IF(NOTA[[#This Row],[ID_H]]="","",MATCH(NOTA[[#This Row],[NB NOTA_C_QTY]],[4]!db[NB NOTA_C_QTY+F],0))</f>
        <v>#REF!</v>
      </c>
      <c r="AW589" s="68">
        <f ca="1">IF(NOTA[[#This Row],[NB NOTA_C_QTY]]="","",ROW()-2)</f>
        <v>587</v>
      </c>
    </row>
    <row r="590" spans="1:49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58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0" s="66" t="str">
        <f>IF(OR(NOTA[[#This Row],[QTY]]="",NOTA[[#This Row],[HARGA SATUAN]]="",),"",NOTA[[#This Row],[QTY]]*NOTA[[#This Row],[HARGA SATUAN]])</f>
        <v/>
      </c>
      <c r="AH590" s="60" t="str">
        <f ca="1">IF(NOTA[ID_H]="","",INDEX(NOTA[TANGGAL],MATCH(,INDIRECT(ADDRESS(ROW(NOTA[TANGGAL]),COLUMN(NOTA[TANGGAL]))&amp;":"&amp;ADDRESS(ROW(),COLUMN(NOTA[TANGGAL]))),-1)))</f>
        <v/>
      </c>
      <c r="AI590" s="55" t="str">
        <f ca="1">IF(NOTA[[#This Row],[NAMA BARANG]]="","",INDEX(NOTA[SUPPLIER],MATCH(,INDIRECT(ADDRESS(ROW(NOTA[ID]),COLUMN(NOTA[ID]))&amp;":"&amp;ADDRESS(ROW(),COLUMN(NOTA[ID]))),-1)))</f>
        <v/>
      </c>
      <c r="AJ590" s="55" t="str">
        <f ca="1">IF(NOTA[[#This Row],[ID_H]]="","",IF(NOTA[[#This Row],[FAKTUR]]="",INDIRECT(ADDRESS(ROW()-1,COLUMN())),NOTA[[#This Row],[FAKTUR]]))</f>
        <v/>
      </c>
      <c r="AK590" s="56" t="str">
        <f ca="1">IF(NOTA[[#This Row],[ID]]="","",COUNTIF(NOTA[ID_H],NOTA[[#This Row],[ID_H]]))</f>
        <v/>
      </c>
      <c r="AL590" s="56" t="str">
        <f ca="1">IF(NOTA[[#This Row],[TGL.NOTA]]="",IF(NOTA[[#This Row],[SUPPLIER_H]]="","",AL589),MONTH(NOTA[[#This Row],[TGL.NOTA]]))</f>
        <v/>
      </c>
      <c r="AM590" s="56" t="str">
        <f>LOWER(SUBSTITUTE(SUBSTITUTE(SUBSTITUTE(SUBSTITUTE(SUBSTITUTE(SUBSTITUTE(SUBSTITUTE(SUBSTITUTE(SUBSTITUTE(NOTA[NAMA BARANG]," ",),".",""),"-",""),"(",""),")",""),",",""),"/",""),"""",""),"+",""))</f>
        <v/>
      </c>
      <c r="AN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56" t="str">
        <f>IF(NOTA[[#This Row],[CONCAT4]]="","",_xlfn.IFNA(MATCH(NOTA[[#This Row],[CONCAT4]],[2]!RAW[CONCAT_H],0),FALSE))</f>
        <v/>
      </c>
      <c r="AR590" s="56" t="str">
        <f>IF(NOTA[[#This Row],[CONCAT1]]="","",MATCH(NOTA[[#This Row],[CONCAT1]],[3]!db[NB NOTA_C],0))</f>
        <v/>
      </c>
      <c r="AS590" s="56" t="str">
        <f>IF(NOTA[[#This Row],[QTY/ CTN]]="","",TRUE)</f>
        <v/>
      </c>
      <c r="AT590" s="56" t="str">
        <f ca="1">IF(NOTA[[#This Row],[ID_H]]="","",IF(NOTA[[#This Row],[Column3]]=TRUE,NOTA[[#This Row],[QTY/ CTN]],INDEX([3]!db[QTY/ CTN],NOTA[[#This Row],[//DB]])))</f>
        <v/>
      </c>
      <c r="AU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0" s="56" t="str">
        <f ca="1">IF(NOTA[[#This Row],[ID_H]]="","",MATCH(NOTA[[#This Row],[NB NOTA_C_QTY]],[4]!db[NB NOTA_C_QTY+F],0))</f>
        <v/>
      </c>
      <c r="AW590" s="68" t="str">
        <f ca="1">IF(NOTA[[#This Row],[NB NOTA_C_QTY]]="","",ROW()-2)</f>
        <v/>
      </c>
    </row>
    <row r="591" spans="1:49" s="38" customFormat="1" ht="20.100000000000001" customHeight="1" x14ac:dyDescent="0.25">
      <c r="A59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DBS_0410_323-2</v>
      </c>
      <c r="C591" s="56" t="e">
        <f ca="1">IF(NOTA[[#This Row],[ID_P]]="","",MATCH(NOTA[[#This Row],[ID_P]],[1]!B_MSK[N_ID],0))</f>
        <v>#REF!</v>
      </c>
      <c r="D591" s="56">
        <f ca="1">IF(NOTA[[#This Row],[NAMA BARANG]]="","",INDEX(NOTA[ID],MATCH(,INDIRECT(ADDRESS(ROW(NOTA[ID]),COLUMN(NOTA[ID]))&amp;":"&amp;ADDRESS(ROW(),COLUMN(NOTA[ID]))),-1)))</f>
        <v>111</v>
      </c>
      <c r="E591" s="57"/>
      <c r="F591" s="37" t="s">
        <v>297</v>
      </c>
      <c r="G591" s="37" t="s">
        <v>123</v>
      </c>
      <c r="H591" s="47" t="s">
        <v>684</v>
      </c>
      <c r="I591" s="58"/>
      <c r="J591" s="60">
        <v>45201</v>
      </c>
      <c r="K591" s="58"/>
      <c r="L591" s="37" t="s">
        <v>685</v>
      </c>
      <c r="M591" s="61">
        <v>5</v>
      </c>
      <c r="N591" s="56">
        <v>480</v>
      </c>
      <c r="O591" s="37" t="s">
        <v>138</v>
      </c>
      <c r="P591" s="55">
        <v>31500</v>
      </c>
      <c r="Q591" s="62"/>
      <c r="R591" s="48" t="s">
        <v>300</v>
      </c>
      <c r="S591" s="64"/>
      <c r="T591" s="65"/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15120000</v>
      </c>
      <c r="Y591" s="66">
        <f>IF(NOTA[[#This Row],[JUMLAH]]="","",NOTA[[#This Row],[JUMLAH]]*NOTA[[#This Row],[DISC 1]])</f>
        <v>0</v>
      </c>
      <c r="Z591" s="66">
        <f>IF(NOTA[[#This Row],[JUMLAH]]="","",(NOTA[[#This Row],[JUMLAH]]-NOTA[[#This Row],[DISC 1-]])*NOTA[[#This Row],[DISC 2]])</f>
        <v>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0</v>
      </c>
      <c r="AC591" s="66">
        <f>IF(NOTA[[#This Row],[JUMLAH]]="","",NOTA[[#This Row],[JUMLAH]]-NOTA[[#This Row],[DISC]])</f>
        <v>15120000</v>
      </c>
      <c r="AD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1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G591" s="66">
        <f>IF(OR(NOTA[[#This Row],[QTY]]="",NOTA[[#This Row],[HARGA SATUAN]]="",),"",NOTA[[#This Row],[QTY]]*NOTA[[#This Row],[HARGA SATUAN]])</f>
        <v>15120000</v>
      </c>
      <c r="AH591" s="60">
        <f ca="1">IF(NOTA[ID_H]="","",INDEX(NOTA[TANGGAL],MATCH(,INDIRECT(ADDRESS(ROW(NOTA[TANGGAL]),COLUMN(NOTA[TANGGAL]))&amp;":"&amp;ADDRESS(ROW(),COLUMN(NOTA[TANGGAL]))),-1)))</f>
        <v>45203</v>
      </c>
      <c r="AI591" s="55" t="str">
        <f ca="1">IF(NOTA[[#This Row],[NAMA BARANG]]="","",INDEX(NOTA[SUPPLIER],MATCH(,INDIRECT(ADDRESS(ROW(NOTA[ID]),COLUMN(NOTA[ID]))&amp;":"&amp;ADDRESS(ROW(),COLUMN(NOTA[ID]))),-1)))</f>
        <v>DB STATIONERY</v>
      </c>
      <c r="AJ591" s="55" t="str">
        <f ca="1">IF(NOTA[[#This Row],[ID_H]]="","",IF(NOTA[[#This Row],[FAKTUR]]="",INDIRECT(ADDRESS(ROW()-1,COLUMN())),NOTA[[#This Row],[FAKTUR]]))</f>
        <v>UNTANA</v>
      </c>
      <c r="AK591" s="56">
        <f ca="1">IF(NOTA[[#This Row],[ID]]="","",COUNTIF(NOTA[ID_H],NOTA[[#This Row],[ID_H]]))</f>
        <v>2</v>
      </c>
      <c r="AL591" s="56">
        <f>IF(NOTA[[#This Row],[TGL.NOTA]]="",IF(NOTA[[#This Row],[SUPPLIER_H]]="","",AL590),MONTH(NOTA[[#This Row],[TGL.NOTA]]))</f>
        <v>10</v>
      </c>
      <c r="AM591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N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O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P591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STATIONERYUNTANAJUJ013/2345201gelpentizo10tg340</v>
      </c>
      <c r="AQ591" s="56" t="e">
        <f>IF(NOTA[[#This Row],[CONCAT4]]="","",_xlfn.IFNA(MATCH(NOTA[[#This Row],[CONCAT4]],[2]!RAW[CONCAT_H],0),FALSE))</f>
        <v>#REF!</v>
      </c>
      <c r="AR591" s="56">
        <f>IF(NOTA[[#This Row],[CONCAT1]]="","",MATCH(NOTA[[#This Row],[CONCAT1]],[3]!db[NB NOTA_C],0))</f>
        <v>934</v>
      </c>
      <c r="AS591" s="56" t="b">
        <f>IF(NOTA[[#This Row],[QTY/ CTN]]="","",TRUE)</f>
        <v>1</v>
      </c>
      <c r="AT591" s="56" t="str">
        <f ca="1">IF(NOTA[[#This Row],[ID_H]]="","",IF(NOTA[[#This Row],[Column3]]=TRUE,NOTA[[#This Row],[QTY/ CTN]],INDEX([3]!db[QTY/ CTN],NOTA[[#This Row],[//DB]])))</f>
        <v>96 LSN</v>
      </c>
      <c r="AU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V591" s="56" t="e">
        <f ca="1">IF(NOTA[[#This Row],[ID_H]]="","",MATCH(NOTA[[#This Row],[NB NOTA_C_QTY]],[4]!db[NB NOTA_C_QTY+F],0))</f>
        <v>#REF!</v>
      </c>
      <c r="AW591" s="68">
        <f ca="1">IF(NOTA[[#This Row],[NB NOTA_C_QTY]]="","",ROW()-2)</f>
        <v>589</v>
      </c>
    </row>
    <row r="592" spans="1:49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>
        <f ca="1">IF(NOTA[[#This Row],[NAMA BARANG]]="","",INDEX(NOTA[ID],MATCH(,INDIRECT(ADDRESS(ROW(NOTA[ID]),COLUMN(NOTA[ID]))&amp;":"&amp;ADDRESS(ROW(),COLUMN(NOTA[ID]))),-1)))</f>
        <v>111</v>
      </c>
      <c r="E592" s="57"/>
      <c r="F592" s="58"/>
      <c r="G592" s="58"/>
      <c r="H592" s="59"/>
      <c r="I592" s="58"/>
      <c r="J592" s="60"/>
      <c r="K592" s="58"/>
      <c r="L592" s="37" t="s">
        <v>607</v>
      </c>
      <c r="M592" s="61">
        <v>3</v>
      </c>
      <c r="N592" s="56">
        <v>432</v>
      </c>
      <c r="O592" s="37" t="s">
        <v>138</v>
      </c>
      <c r="P592" s="55">
        <v>22500</v>
      </c>
      <c r="Q592" s="62"/>
      <c r="R592" s="48" t="s">
        <v>216</v>
      </c>
      <c r="S592" s="64"/>
      <c r="T592" s="65"/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9720000</v>
      </c>
      <c r="Y592" s="66">
        <f>IF(NOTA[[#This Row],[JUMLAH]]="","",NOTA[[#This Row],[JUMLAH]]*NOTA[[#This Row],[DISC 1]])</f>
        <v>0</v>
      </c>
      <c r="Z592" s="66">
        <f>IF(NOTA[[#This Row],[JUMLAH]]="","",(NOTA[[#This Row],[JUMLAH]]-NOTA[[#This Row],[DISC 1-]])*NOTA[[#This Row],[DISC 2]])</f>
        <v>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0</v>
      </c>
      <c r="AC592" s="66">
        <f>IF(NOTA[[#This Row],[JUMLAH]]="","",NOTA[[#This Row],[JUMLAH]]-NOTA[[#This Row],[DISC]])</f>
        <v>9720000</v>
      </c>
      <c r="AD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24840000</v>
      </c>
      <c r="AF592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G592" s="66">
        <f>IF(OR(NOTA[[#This Row],[QTY]]="",NOTA[[#This Row],[HARGA SATUAN]]="",),"",NOTA[[#This Row],[QTY]]*NOTA[[#This Row],[HARGA SATUAN]])</f>
        <v>9720000</v>
      </c>
      <c r="AH592" s="60">
        <f ca="1">IF(NOTA[ID_H]="","",INDEX(NOTA[TANGGAL],MATCH(,INDIRECT(ADDRESS(ROW(NOTA[TANGGAL]),COLUMN(NOTA[TANGGAL]))&amp;":"&amp;ADDRESS(ROW(),COLUMN(NOTA[TANGGAL]))),-1)))</f>
        <v>45203</v>
      </c>
      <c r="AI592" s="55" t="str">
        <f ca="1">IF(NOTA[[#This Row],[NAMA BARANG]]="","",INDEX(NOTA[SUPPLIER],MATCH(,INDIRECT(ADDRESS(ROW(NOTA[ID]),COLUMN(NOTA[ID]))&amp;":"&amp;ADDRESS(ROW(),COLUMN(NOTA[ID]))),-1)))</f>
        <v>DB STATIONERY</v>
      </c>
      <c r="AJ592" s="55" t="str">
        <f ca="1">IF(NOTA[[#This Row],[ID_H]]="","",IF(NOTA[[#This Row],[FAKTUR]]="",INDIRECT(ADDRESS(ROW()-1,COLUMN())),NOTA[[#This Row],[FAKTUR]]))</f>
        <v>UNTANA</v>
      </c>
      <c r="AK592" s="56" t="str">
        <f ca="1">IF(NOTA[[#This Row],[ID]]="","",COUNTIF(NOTA[ID_H],NOTA[[#This Row],[ID_H]]))</f>
        <v/>
      </c>
      <c r="AL592" s="56">
        <f ca="1">IF(NOTA[[#This Row],[TGL.NOTA]]="",IF(NOTA[[#This Row],[SUPPLIER_H]]="","",AL591),MONTH(NOTA[[#This Row],[TGL.NOTA]]))</f>
        <v>10</v>
      </c>
      <c r="AM592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N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O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P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56" t="str">
        <f>IF(NOTA[[#This Row],[CONCAT4]]="","",_xlfn.IFNA(MATCH(NOTA[[#This Row],[CONCAT4]],[2]!RAW[CONCAT_H],0),FALSE))</f>
        <v/>
      </c>
      <c r="AR592" s="56">
        <f>IF(NOTA[[#This Row],[CONCAT1]]="","",MATCH(NOTA[[#This Row],[CONCAT1]],[3]!db[NB NOTA_C],0))</f>
        <v>891</v>
      </c>
      <c r="AS592" s="56" t="b">
        <f>IF(NOTA[[#This Row],[QTY/ CTN]]="","",TRUE)</f>
        <v>1</v>
      </c>
      <c r="AT592" s="56" t="str">
        <f ca="1">IF(NOTA[[#This Row],[ID_H]]="","",IF(NOTA[[#This Row],[Column3]]=TRUE,NOTA[[#This Row],[QTY/ CTN]],INDEX([3]!db[QTY/ CTN],NOTA[[#This Row],[//DB]])))</f>
        <v>144 LSN</v>
      </c>
      <c r="AU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V592" s="56" t="e">
        <f ca="1">IF(NOTA[[#This Row],[ID_H]]="","",MATCH(NOTA[[#This Row],[NB NOTA_C_QTY]],[4]!db[NB NOTA_C_QTY+F],0))</f>
        <v>#REF!</v>
      </c>
      <c r="AW592" s="68">
        <f ca="1">IF(NOTA[[#This Row],[NB NOTA_C_QTY]]="","",ROW()-2)</f>
        <v>590</v>
      </c>
    </row>
    <row r="593" spans="1:49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58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3" s="66" t="str">
        <f>IF(OR(NOTA[[#This Row],[QTY]]="",NOTA[[#This Row],[HARGA SATUAN]]="",),"",NOTA[[#This Row],[QTY]]*NOTA[[#This Row],[HARGA SATUAN]])</f>
        <v/>
      </c>
      <c r="AH593" s="60" t="str">
        <f ca="1">IF(NOTA[ID_H]="","",INDEX(NOTA[TANGGAL],MATCH(,INDIRECT(ADDRESS(ROW(NOTA[TANGGAL]),COLUMN(NOTA[TANGGAL]))&amp;":"&amp;ADDRESS(ROW(),COLUMN(NOTA[TANGGAL]))),-1)))</f>
        <v/>
      </c>
      <c r="AI593" s="55" t="str">
        <f ca="1">IF(NOTA[[#This Row],[NAMA BARANG]]="","",INDEX(NOTA[SUPPLIER],MATCH(,INDIRECT(ADDRESS(ROW(NOTA[ID]),COLUMN(NOTA[ID]))&amp;":"&amp;ADDRESS(ROW(),COLUMN(NOTA[ID]))),-1)))</f>
        <v/>
      </c>
      <c r="AJ593" s="55" t="str">
        <f ca="1">IF(NOTA[[#This Row],[ID_H]]="","",IF(NOTA[[#This Row],[FAKTUR]]="",INDIRECT(ADDRESS(ROW()-1,COLUMN())),NOTA[[#This Row],[FAKTUR]]))</f>
        <v/>
      </c>
      <c r="AK593" s="56" t="str">
        <f ca="1">IF(NOTA[[#This Row],[ID]]="","",COUNTIF(NOTA[ID_H],NOTA[[#This Row],[ID_H]]))</f>
        <v/>
      </c>
      <c r="AL593" s="56" t="str">
        <f ca="1">IF(NOTA[[#This Row],[TGL.NOTA]]="",IF(NOTA[[#This Row],[SUPPLIER_H]]="","",AL592),MONTH(NOTA[[#This Row],[TGL.NOTA]]))</f>
        <v/>
      </c>
      <c r="AM593" s="56" t="str">
        <f>LOWER(SUBSTITUTE(SUBSTITUTE(SUBSTITUTE(SUBSTITUTE(SUBSTITUTE(SUBSTITUTE(SUBSTITUTE(SUBSTITUTE(SUBSTITUTE(NOTA[NAMA BARANG]," ",),".",""),"-",""),"(",""),")",""),",",""),"/",""),"""",""),"+",""))</f>
        <v/>
      </c>
      <c r="AN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56" t="str">
        <f>IF(NOTA[[#This Row],[CONCAT4]]="","",_xlfn.IFNA(MATCH(NOTA[[#This Row],[CONCAT4]],[2]!RAW[CONCAT_H],0),FALSE))</f>
        <v/>
      </c>
      <c r="AR593" s="56" t="str">
        <f>IF(NOTA[[#This Row],[CONCAT1]]="","",MATCH(NOTA[[#This Row],[CONCAT1]],[3]!db[NB NOTA_C],0))</f>
        <v/>
      </c>
      <c r="AS593" s="56" t="str">
        <f>IF(NOTA[[#This Row],[QTY/ CTN]]="","",TRUE)</f>
        <v/>
      </c>
      <c r="AT593" s="56" t="str">
        <f ca="1">IF(NOTA[[#This Row],[ID_H]]="","",IF(NOTA[[#This Row],[Column3]]=TRUE,NOTA[[#This Row],[QTY/ CTN]],INDEX([3]!db[QTY/ CTN],NOTA[[#This Row],[//DB]])))</f>
        <v/>
      </c>
      <c r="AU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3" s="56" t="str">
        <f ca="1">IF(NOTA[[#This Row],[ID_H]]="","",MATCH(NOTA[[#This Row],[NB NOTA_C_QTY]],[4]!db[NB NOTA_C_QTY+F],0))</f>
        <v/>
      </c>
      <c r="AW593" s="68" t="str">
        <f ca="1">IF(NOTA[[#This Row],[NB NOTA_C_QTY]]="","",ROW()-2)</f>
        <v/>
      </c>
    </row>
    <row r="594" spans="1:49" s="38" customFormat="1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COM_0410_001-2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112</v>
      </c>
      <c r="E594" s="57"/>
      <c r="F594" s="37" t="s">
        <v>501</v>
      </c>
      <c r="G594" s="37" t="s">
        <v>123</v>
      </c>
      <c r="H594" s="47" t="s">
        <v>686</v>
      </c>
      <c r="I594" s="58"/>
      <c r="J594" s="60">
        <v>45202</v>
      </c>
      <c r="K594" s="58"/>
      <c r="L594" s="37" t="s">
        <v>687</v>
      </c>
      <c r="M594" s="61">
        <v>1</v>
      </c>
      <c r="N594" s="56">
        <v>8</v>
      </c>
      <c r="O594" s="37" t="s">
        <v>138</v>
      </c>
      <c r="P594" s="55">
        <v>213000</v>
      </c>
      <c r="Q594" s="62"/>
      <c r="R594" s="48" t="s">
        <v>351</v>
      </c>
      <c r="S594" s="64"/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1704000</v>
      </c>
      <c r="Y594" s="66">
        <f>IF(NOTA[[#This Row],[JUMLAH]]="","",NOTA[[#This Row],[JUMLAH]]*NOTA[[#This Row],[DISC 1]])</f>
        <v>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0</v>
      </c>
      <c r="AC594" s="66">
        <f>IF(NOTA[[#This Row],[JUMLAH]]="","",NOTA[[#This Row],[JUMLAH]]-NOTA[[#This Row],[DISC]])</f>
        <v>1704000</v>
      </c>
      <c r="AD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4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G594" s="66">
        <f>IF(OR(NOTA[[#This Row],[QTY]]="",NOTA[[#This Row],[HARGA SATUAN]]="",),"",NOTA[[#This Row],[QTY]]*NOTA[[#This Row],[HARGA SATUAN]])</f>
        <v>1704000</v>
      </c>
      <c r="AH594" s="60">
        <f ca="1">IF(NOTA[ID_H]="","",INDEX(NOTA[TANGGAL],MATCH(,INDIRECT(ADDRESS(ROW(NOTA[TANGGAL]),COLUMN(NOTA[TANGGAL]))&amp;":"&amp;ADDRESS(ROW(),COLUMN(NOTA[TANGGAL]))),-1)))</f>
        <v>45203</v>
      </c>
      <c r="AI594" s="55" t="str">
        <f ca="1">IF(NOTA[[#This Row],[NAMA BARANG]]="","",INDEX(NOTA[SUPPLIER],MATCH(,INDIRECT(ADDRESS(ROW(NOTA[ID]),COLUMN(NOTA[ID]))&amp;":"&amp;ADDRESS(ROW(),COLUMN(NOTA[ID]))),-1)))</f>
        <v>COMBI STATIOERY</v>
      </c>
      <c r="AJ594" s="55" t="str">
        <f ca="1">IF(NOTA[[#This Row],[ID_H]]="","",IF(NOTA[[#This Row],[FAKTUR]]="",INDIRECT(ADDRESS(ROW()-1,COLUMN())),NOTA[[#This Row],[FAKTUR]]))</f>
        <v>UNTANA</v>
      </c>
      <c r="AK594" s="56">
        <f ca="1">IF(NOTA[[#This Row],[ID]]="","",COUNTIF(NOTA[ID_H],NOTA[[#This Row],[ID_H]]))</f>
        <v>2</v>
      </c>
      <c r="AL594" s="56">
        <f>IF(NOTA[[#This Row],[TGL.NOTA]]="",IF(NOTA[[#This Row],[SUPPLIER_H]]="","",AL593),MONTH(NOTA[[#This Row],[TGL.NOTA]]))</f>
        <v>10</v>
      </c>
      <c r="AM594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N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O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P594" s="56" t="str">
        <f>IF(NOTA[[#This Row],[SUPPLIER]]="","",NOTA[[#This Row],[SUPPLIER]]&amp;NOTA[[#This Row],[FAKTUR]]&amp;NOTA[[#This Row],[NO.NOTA]]&amp;NOTA[[#This Row],[NO.SJ]]&amp;NOTA[[#This Row],[TGL.NOTA]]&amp;NOTA[[#This Row],[CONCAT1]])</f>
        <v>COMBI STATIOERYUNTANA100145202docritbrilliant</v>
      </c>
      <c r="AQ594" s="56" t="e">
        <f>IF(NOTA[[#This Row],[CONCAT4]]="","",_xlfn.IFNA(MATCH(NOTA[[#This Row],[CONCAT4]],[2]!RAW[CONCAT_H],0),FALSE))</f>
        <v>#REF!</v>
      </c>
      <c r="AR594" s="56">
        <f>IF(NOTA[[#This Row],[CONCAT1]]="","",MATCH(NOTA[[#This Row],[CONCAT1]],[3]!db[NB NOTA_C],0))</f>
        <v>734</v>
      </c>
      <c r="AS594" s="56" t="b">
        <f>IF(NOTA[[#This Row],[QTY/ CTN]]="","",TRUE)</f>
        <v>1</v>
      </c>
      <c r="AT594" s="56" t="str">
        <f ca="1">IF(NOTA[[#This Row],[ID_H]]="","",IF(NOTA[[#This Row],[Column3]]=TRUE,NOTA[[#This Row],[QTY/ CTN]],INDEX([3]!db[QTY/ CTN],NOTA[[#This Row],[//DB]])))</f>
        <v>8 LSN</v>
      </c>
      <c r="AU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V594" s="56" t="e">
        <f ca="1">IF(NOTA[[#This Row],[ID_H]]="","",MATCH(NOTA[[#This Row],[NB NOTA_C_QTY]],[4]!db[NB NOTA_C_QTY+F],0))</f>
        <v>#REF!</v>
      </c>
      <c r="AW594" s="68">
        <f ca="1">IF(NOTA[[#This Row],[NB NOTA_C_QTY]]="","",ROW()-2)</f>
        <v>592</v>
      </c>
    </row>
    <row r="595" spans="1:49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112</v>
      </c>
      <c r="E595" s="57"/>
      <c r="F595" s="58"/>
      <c r="G595" s="58"/>
      <c r="H595" s="59"/>
      <c r="I595" s="58"/>
      <c r="J595" s="60"/>
      <c r="K595" s="58"/>
      <c r="L595" s="37" t="s">
        <v>504</v>
      </c>
      <c r="M595" s="61">
        <v>2</v>
      </c>
      <c r="N595" s="56">
        <v>10</v>
      </c>
      <c r="O595" s="37" t="s">
        <v>138</v>
      </c>
      <c r="P595" s="55">
        <v>260000</v>
      </c>
      <c r="Q595" s="62"/>
      <c r="R595" s="48" t="s">
        <v>688</v>
      </c>
      <c r="S595" s="64"/>
      <c r="T595" s="65"/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2600000</v>
      </c>
      <c r="Y595" s="66">
        <f>IF(NOTA[[#This Row],[JUMLAH]]="","",NOTA[[#This Row],[JUMLAH]]*NOTA[[#This Row],[DISC 1]])</f>
        <v>0</v>
      </c>
      <c r="Z595" s="66">
        <f>IF(NOTA[[#This Row],[JUMLAH]]="","",(NOTA[[#This Row],[JUMLAH]]-NOTA[[#This Row],[DISC 1-]])*NOTA[[#This Row],[DISC 2]])</f>
        <v>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0</v>
      </c>
      <c r="AC595" s="66">
        <f>IF(NOTA[[#This Row],[JUMLAH]]="","",NOTA[[#This Row],[JUMLAH]]-NOTA[[#This Row],[DISC]])</f>
        <v>2600000</v>
      </c>
      <c r="AD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4304000</v>
      </c>
      <c r="AF595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G595" s="66">
        <f>IF(OR(NOTA[[#This Row],[QTY]]="",NOTA[[#This Row],[HARGA SATUAN]]="",),"",NOTA[[#This Row],[QTY]]*NOTA[[#This Row],[HARGA SATUAN]])</f>
        <v>2600000</v>
      </c>
      <c r="AH595" s="60">
        <f ca="1">IF(NOTA[ID_H]="","",INDEX(NOTA[TANGGAL],MATCH(,INDIRECT(ADDRESS(ROW(NOTA[TANGGAL]),COLUMN(NOTA[TANGGAL]))&amp;":"&amp;ADDRESS(ROW(),COLUMN(NOTA[TANGGAL]))),-1)))</f>
        <v>45203</v>
      </c>
      <c r="AI595" s="55" t="str">
        <f ca="1">IF(NOTA[[#This Row],[NAMA BARANG]]="","",INDEX(NOTA[SUPPLIER],MATCH(,INDIRECT(ADDRESS(ROW(NOTA[ID]),COLUMN(NOTA[ID]))&amp;":"&amp;ADDRESS(ROW(),COLUMN(NOTA[ID]))),-1)))</f>
        <v>COMBI STATIOERY</v>
      </c>
      <c r="AJ595" s="55" t="str">
        <f ca="1">IF(NOTA[[#This Row],[ID_H]]="","",IF(NOTA[[#This Row],[FAKTUR]]="",INDIRECT(ADDRESS(ROW()-1,COLUMN())),NOTA[[#This Row],[FAKTUR]]))</f>
        <v>UNTANA</v>
      </c>
      <c r="AK595" s="56" t="str">
        <f ca="1">IF(NOTA[[#This Row],[ID]]="","",COUNTIF(NOTA[ID_H],NOTA[[#This Row],[ID_H]]))</f>
        <v/>
      </c>
      <c r="AL595" s="56">
        <f ca="1">IF(NOTA[[#This Row],[TGL.NOTA]]="",IF(NOTA[[#This Row],[SUPPLIER_H]]="","",AL594),MONTH(NOTA[[#This Row],[TGL.NOTA]]))</f>
        <v>10</v>
      </c>
      <c r="AM595" s="56" t="str">
        <f>LOWER(SUBSTITUTE(SUBSTITUTE(SUBSTITUTE(SUBSTITUTE(SUBSTITUTE(SUBSTITUTE(SUBSTITUTE(SUBSTITUTE(SUBSTITUTE(NOTA[NAMA BARANG]," ",),".",""),"-",""),"(",""),")",""),",",""),"/",""),"""",""),"+",""))</f>
        <v>docritoptima</v>
      </c>
      <c r="AN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docritoptima1300000</v>
      </c>
      <c r="AO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docritoptima1300000</v>
      </c>
      <c r="AP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56" t="str">
        <f>IF(NOTA[[#This Row],[CONCAT4]]="","",_xlfn.IFNA(MATCH(NOTA[[#This Row],[CONCAT4]],[2]!RAW[CONCAT_H],0),FALSE))</f>
        <v/>
      </c>
      <c r="AR595" s="56">
        <f>IF(NOTA[[#This Row],[CONCAT1]]="","",MATCH(NOTA[[#This Row],[CONCAT1]],[3]!db[NB NOTA_C],0))</f>
        <v>743</v>
      </c>
      <c r="AS595" s="56" t="b">
        <f>IF(NOTA[[#This Row],[QTY/ CTN]]="","",TRUE)</f>
        <v>1</v>
      </c>
      <c r="AT595" s="56" t="str">
        <f ca="1">IF(NOTA[[#This Row],[ID_H]]="","",IF(NOTA[[#This Row],[Column3]]=TRUE,NOTA[[#This Row],[QTY/ CTN]],INDEX([3]!db[QTY/ CTN],NOTA[[#This Row],[//DB]])))</f>
        <v>5 LSN</v>
      </c>
      <c r="AU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V595" s="56" t="e">
        <f ca="1">IF(NOTA[[#This Row],[ID_H]]="","",MATCH(NOTA[[#This Row],[NB NOTA_C_QTY]],[4]!db[NB NOTA_C_QTY+F],0))</f>
        <v>#REF!</v>
      </c>
      <c r="AW595" s="68">
        <f ca="1">IF(NOTA[[#This Row],[NB NOTA_C_QTY]]="","",ROW()-2)</f>
        <v>593</v>
      </c>
    </row>
    <row r="596" spans="1:49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6" s="66" t="str">
        <f>IF(OR(NOTA[[#This Row],[QTY]]="",NOTA[[#This Row],[HARGA SATUAN]]="",),"",NOTA[[#This Row],[QTY]]*NOTA[[#This Row],[HARGA SATUAN]])</f>
        <v/>
      </c>
      <c r="AH596" s="60" t="str">
        <f ca="1">IF(NOTA[ID_H]="","",INDEX(NOTA[TANGGAL],MATCH(,INDIRECT(ADDRESS(ROW(NOTA[TANGGAL]),COLUMN(NOTA[TANGGAL]))&amp;":"&amp;ADDRESS(ROW(),COLUMN(NOTA[TANGGAL]))),-1)))</f>
        <v/>
      </c>
      <c r="AI596" s="55" t="str">
        <f ca="1">IF(NOTA[[#This Row],[NAMA BARANG]]="","",INDEX(NOTA[SUPPLIER],MATCH(,INDIRECT(ADDRESS(ROW(NOTA[ID]),COLUMN(NOTA[ID]))&amp;":"&amp;ADDRESS(ROW(),COLUMN(NOTA[ID]))),-1)))</f>
        <v/>
      </c>
      <c r="AJ596" s="55" t="str">
        <f ca="1">IF(NOTA[[#This Row],[ID_H]]="","",IF(NOTA[[#This Row],[FAKTUR]]="",INDIRECT(ADDRESS(ROW()-1,COLUMN())),NOTA[[#This Row],[FAKTUR]]))</f>
        <v/>
      </c>
      <c r="AK596" s="56" t="str">
        <f ca="1">IF(NOTA[[#This Row],[ID]]="","",COUNTIF(NOTA[ID_H],NOTA[[#This Row],[ID_H]]))</f>
        <v/>
      </c>
      <c r="AL596" s="56" t="str">
        <f ca="1">IF(NOTA[[#This Row],[TGL.NOTA]]="",IF(NOTA[[#This Row],[SUPPLIER_H]]="","",AL595),MONTH(NOTA[[#This Row],[TGL.NOTA]]))</f>
        <v/>
      </c>
      <c r="AM596" s="56" t="str">
        <f>LOWER(SUBSTITUTE(SUBSTITUTE(SUBSTITUTE(SUBSTITUTE(SUBSTITUTE(SUBSTITUTE(SUBSTITUTE(SUBSTITUTE(SUBSTITUTE(NOTA[NAMA BARANG]," ",),".",""),"-",""),"(",""),")",""),",",""),"/",""),"""",""),"+",""))</f>
        <v/>
      </c>
      <c r="AN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56" t="str">
        <f>IF(NOTA[[#This Row],[CONCAT4]]="","",_xlfn.IFNA(MATCH(NOTA[[#This Row],[CONCAT4]],[2]!RAW[CONCAT_H],0),FALSE))</f>
        <v/>
      </c>
      <c r="AR596" s="56" t="str">
        <f>IF(NOTA[[#This Row],[CONCAT1]]="","",MATCH(NOTA[[#This Row],[CONCAT1]],[3]!db[NB NOTA_C],0))</f>
        <v/>
      </c>
      <c r="AS596" s="56" t="str">
        <f>IF(NOTA[[#This Row],[QTY/ CTN]]="","",TRUE)</f>
        <v/>
      </c>
      <c r="AT596" s="56" t="str">
        <f ca="1">IF(NOTA[[#This Row],[ID_H]]="","",IF(NOTA[[#This Row],[Column3]]=TRUE,NOTA[[#This Row],[QTY/ CTN]],INDEX([3]!db[QTY/ CTN],NOTA[[#This Row],[//DB]])))</f>
        <v/>
      </c>
      <c r="AU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6" s="56" t="str">
        <f ca="1">IF(NOTA[[#This Row],[ID_H]]="","",MATCH(NOTA[[#This Row],[NB NOTA_C_QTY]],[4]!db[NB NOTA_C_QTY+F],0))</f>
        <v/>
      </c>
      <c r="AW596" s="68" t="str">
        <f ca="1">IF(NOTA[[#This Row],[NB NOTA_C_QTY]]="","",ROW()-2)</f>
        <v/>
      </c>
    </row>
    <row r="597" spans="1:49" s="38" customFormat="1" ht="20.100000000000001" customHeight="1" x14ac:dyDescent="0.25">
      <c r="A597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ERA_0410_823-1</v>
      </c>
      <c r="C597" s="56" t="e">
        <f ca="1">IF(NOTA[[#This Row],[ID_P]]="","",MATCH(NOTA[[#This Row],[ID_P]],[1]!B_MSK[N_ID],0))</f>
        <v>#REF!</v>
      </c>
      <c r="D597" s="56">
        <f ca="1">IF(NOTA[[#This Row],[NAMA BARANG]]="","",INDEX(NOTA[ID],MATCH(,INDIRECT(ADDRESS(ROW(NOTA[ID]),COLUMN(NOTA[ID]))&amp;":"&amp;ADDRESS(ROW(),COLUMN(NOTA[ID]))),-1)))</f>
        <v>113</v>
      </c>
      <c r="E597" s="57"/>
      <c r="F597" s="37" t="s">
        <v>639</v>
      </c>
      <c r="G597" s="37" t="s">
        <v>123</v>
      </c>
      <c r="H597" s="37" t="s">
        <v>689</v>
      </c>
      <c r="I597" s="58"/>
      <c r="J597" s="60">
        <v>45196</v>
      </c>
      <c r="K597" s="58"/>
      <c r="L597" s="37" t="s">
        <v>641</v>
      </c>
      <c r="M597" s="61">
        <v>10</v>
      </c>
      <c r="N597" s="56">
        <v>120</v>
      </c>
      <c r="O597" s="37" t="s">
        <v>138</v>
      </c>
      <c r="P597" s="55">
        <v>34000</v>
      </c>
      <c r="Q597" s="62"/>
      <c r="R597" s="48" t="s">
        <v>690</v>
      </c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4080000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4080000</v>
      </c>
      <c r="AD5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5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4080000</v>
      </c>
      <c r="AF597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G597" s="66">
        <f>IF(OR(NOTA[[#This Row],[QTY]]="",NOTA[[#This Row],[HARGA SATUAN]]="",),"",NOTA[[#This Row],[QTY]]*NOTA[[#This Row],[HARGA SATUAN]])</f>
        <v>4080000</v>
      </c>
      <c r="AH597" s="60">
        <f ca="1">IF(NOTA[ID_H]="","",INDEX(NOTA[TANGGAL],MATCH(,INDIRECT(ADDRESS(ROW(NOTA[TANGGAL]),COLUMN(NOTA[TANGGAL]))&amp;":"&amp;ADDRESS(ROW(),COLUMN(NOTA[TANGGAL]))),-1)))</f>
        <v>45203</v>
      </c>
      <c r="AI597" s="55" t="str">
        <f ca="1">IF(NOTA[[#This Row],[NAMA BARANG]]="","",INDEX(NOTA[SUPPLIER],MATCH(,INDIRECT(ADDRESS(ROW(NOTA[ID]),COLUMN(NOTA[ID]))&amp;":"&amp;ADDRESS(ROW(),COLUMN(NOTA[ID]))),-1)))</f>
        <v>ERA JAYA</v>
      </c>
      <c r="AJ597" s="55" t="str">
        <f ca="1">IF(NOTA[[#This Row],[ID_H]]="","",IF(NOTA[[#This Row],[FAKTUR]]="",INDIRECT(ADDRESS(ROW()-1,COLUMN())),NOTA[[#This Row],[FAKTUR]]))</f>
        <v>UNTANA</v>
      </c>
      <c r="AK597" s="56">
        <f ca="1">IF(NOTA[[#This Row],[ID]]="","",COUNTIF(NOTA[ID_H],NOTA[[#This Row],[ID_H]]))</f>
        <v>1</v>
      </c>
      <c r="AL597" s="56">
        <f>IF(NOTA[[#This Row],[TGL.NOTA]]="",IF(NOTA[[#This Row],[SUPPLIER_H]]="","",AL596),MONTH(NOTA[[#This Row],[TGL.NOTA]]))</f>
        <v>9</v>
      </c>
      <c r="AM597" s="56" t="str">
        <f>LOWER(SUBSTITUTE(SUBSTITUTE(SUBSTITUTE(SUBSTITUTE(SUBSTITUTE(SUBSTITUTE(SUBSTITUTE(SUBSTITUTE(SUBSTITUTE(NOTA[NAMA BARANG]," ",),".",""),"-",""),"(",""),")",""),",",""),"/",""),"""",""),"+",""))</f>
        <v>clipboardkayuphoenix</v>
      </c>
      <c r="AN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clipboardkayuphoenix408000</v>
      </c>
      <c r="AO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clipboardkayuphoenix408000</v>
      </c>
      <c r="AP597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004849/18/2345196clipboardkayuphoenix</v>
      </c>
      <c r="AQ597" s="56" t="e">
        <f>IF(NOTA[[#This Row],[CONCAT4]]="","",_xlfn.IFNA(MATCH(NOTA[[#This Row],[CONCAT4]],[2]!RAW[CONCAT_H],0),FALSE))</f>
        <v>#REF!</v>
      </c>
      <c r="AR597" s="56" t="e">
        <f>IF(NOTA[[#This Row],[CONCAT1]]="","",MATCH(NOTA[[#This Row],[CONCAT1]],[3]!db[NB NOTA_C],0))</f>
        <v>#N/A</v>
      </c>
      <c r="AS597" s="56" t="b">
        <f>IF(NOTA[[#This Row],[QTY/ CTN]]="","",TRUE)</f>
        <v>1</v>
      </c>
      <c r="AT597" s="56" t="str">
        <f ca="1">IF(NOTA[[#This Row],[ID_H]]="","",IF(NOTA[[#This Row],[Column3]]=TRUE,NOTA[[#This Row],[QTY/ CTN]],INDEX([3]!db[QTY/ CTN],NOTA[[#This Row],[//DB]])))</f>
        <v>10 LSLN</v>
      </c>
      <c r="AU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clipboardkayuphoenix10lslnuntana</v>
      </c>
      <c r="AV597" s="56" t="e">
        <f ca="1">IF(NOTA[[#This Row],[ID_H]]="","",MATCH(NOTA[[#This Row],[NB NOTA_C_QTY]],[4]!db[NB NOTA_C_QTY+F],0))</f>
        <v>#REF!</v>
      </c>
      <c r="AW597" s="68">
        <f ca="1">IF(NOTA[[#This Row],[NB NOTA_C_QTY]]="","",ROW()-2)</f>
        <v>595</v>
      </c>
    </row>
    <row r="598" spans="1:49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58"/>
      <c r="G598" s="58"/>
      <c r="H598" s="59"/>
      <c r="I598" s="58"/>
      <c r="J598" s="60"/>
      <c r="K598" s="58"/>
      <c r="L598" s="58"/>
      <c r="M598" s="61"/>
      <c r="N598" s="56"/>
      <c r="O598" s="58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598" s="66" t="str">
        <f>IF(OR(NOTA[[#This Row],[QTY]]="",NOTA[[#This Row],[HARGA SATUAN]]="",),"",NOTA[[#This Row],[QTY]]*NOTA[[#This Row],[HARGA SATUAN]])</f>
        <v/>
      </c>
      <c r="AH598" s="60" t="str">
        <f ca="1">IF(NOTA[ID_H]="","",INDEX(NOTA[TANGGAL],MATCH(,INDIRECT(ADDRESS(ROW(NOTA[TANGGAL]),COLUMN(NOTA[TANGGAL]))&amp;":"&amp;ADDRESS(ROW(),COLUMN(NOTA[TANGGAL]))),-1)))</f>
        <v/>
      </c>
      <c r="AI598" s="55" t="str">
        <f ca="1">IF(NOTA[[#This Row],[NAMA BARANG]]="","",INDEX(NOTA[SUPPLIER],MATCH(,INDIRECT(ADDRESS(ROW(NOTA[ID]),COLUMN(NOTA[ID]))&amp;":"&amp;ADDRESS(ROW(),COLUMN(NOTA[ID]))),-1)))</f>
        <v/>
      </c>
      <c r="AJ598" s="55" t="str">
        <f ca="1">IF(NOTA[[#This Row],[ID_H]]="","",IF(NOTA[[#This Row],[FAKTUR]]="",INDIRECT(ADDRESS(ROW()-1,COLUMN())),NOTA[[#This Row],[FAKTUR]]))</f>
        <v/>
      </c>
      <c r="AK598" s="56" t="str">
        <f ca="1">IF(NOTA[[#This Row],[ID]]="","",COUNTIF(NOTA[ID_H],NOTA[[#This Row],[ID_H]]))</f>
        <v/>
      </c>
      <c r="AL598" s="56" t="str">
        <f ca="1">IF(NOTA[[#This Row],[TGL.NOTA]]="",IF(NOTA[[#This Row],[SUPPLIER_H]]="","",AL597),MONTH(NOTA[[#This Row],[TGL.NOTA]]))</f>
        <v/>
      </c>
      <c r="AM598" s="56" t="str">
        <f>LOWER(SUBSTITUTE(SUBSTITUTE(SUBSTITUTE(SUBSTITUTE(SUBSTITUTE(SUBSTITUTE(SUBSTITUTE(SUBSTITUTE(SUBSTITUTE(NOTA[NAMA BARANG]," ",),".",""),"-",""),"(",""),")",""),",",""),"/",""),"""",""),"+",""))</f>
        <v/>
      </c>
      <c r="AN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56" t="str">
        <f>IF(NOTA[[#This Row],[CONCAT4]]="","",_xlfn.IFNA(MATCH(NOTA[[#This Row],[CONCAT4]],[2]!RAW[CONCAT_H],0),FALSE))</f>
        <v/>
      </c>
      <c r="AR598" s="56" t="str">
        <f>IF(NOTA[[#This Row],[CONCAT1]]="","",MATCH(NOTA[[#This Row],[CONCAT1]],[3]!db[NB NOTA_C],0))</f>
        <v/>
      </c>
      <c r="AS598" s="56" t="str">
        <f>IF(NOTA[[#This Row],[QTY/ CTN]]="","",TRUE)</f>
        <v/>
      </c>
      <c r="AT598" s="56" t="str">
        <f ca="1">IF(NOTA[[#This Row],[ID_H]]="","",IF(NOTA[[#This Row],[Column3]]=TRUE,NOTA[[#This Row],[QTY/ CTN]],INDEX([3]!db[QTY/ CTN],NOTA[[#This Row],[//DB]])))</f>
        <v/>
      </c>
      <c r="AU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8" s="56" t="str">
        <f ca="1">IF(NOTA[[#This Row],[ID_H]]="","",MATCH(NOTA[[#This Row],[NB NOTA_C_QTY]],[4]!db[NB NOTA_C_QTY+F],0))</f>
        <v/>
      </c>
      <c r="AW598" s="68" t="str">
        <f ca="1">IF(NOTA[[#This Row],[NB NOTA_C_QTY]]="","",ROW()-2)</f>
        <v/>
      </c>
    </row>
    <row r="599" spans="1:49" s="38" customFormat="1" ht="20.100000000000001" customHeight="1" x14ac:dyDescent="0.25">
      <c r="A599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BIN_0410_444-2</v>
      </c>
      <c r="C599" s="56" t="e">
        <f ca="1">IF(NOTA[[#This Row],[ID_P]]="","",MATCH(NOTA[[#This Row],[ID_P]],[1]!B_MSK[N_ID],0))</f>
        <v>#REF!</v>
      </c>
      <c r="D599" s="56">
        <f ca="1">IF(NOTA[[#This Row],[NAMA BARANG]]="","",INDEX(NOTA[ID],MATCH(,INDIRECT(ADDRESS(ROW(NOTA[ID]),COLUMN(NOTA[ID]))&amp;":"&amp;ADDRESS(ROW(),COLUMN(NOTA[ID]))),-1)))</f>
        <v>114</v>
      </c>
      <c r="E599" s="57"/>
      <c r="F599" s="37" t="s">
        <v>419</v>
      </c>
      <c r="G599" s="37" t="s">
        <v>123</v>
      </c>
      <c r="H599" s="47" t="s">
        <v>691</v>
      </c>
      <c r="I599" s="58"/>
      <c r="J599" s="60">
        <v>45196</v>
      </c>
      <c r="K599" s="58"/>
      <c r="L599" s="37" t="s">
        <v>692</v>
      </c>
      <c r="M599" s="61">
        <v>2</v>
      </c>
      <c r="N599" s="56">
        <v>60</v>
      </c>
      <c r="O599" s="37" t="s">
        <v>138</v>
      </c>
      <c r="P599" s="55">
        <v>25500</v>
      </c>
      <c r="Q599" s="62"/>
      <c r="R599" s="63"/>
      <c r="S599" s="64"/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1530000</v>
      </c>
      <c r="Y599" s="66">
        <f>IF(NOTA[[#This Row],[JUMLAH]]="","",NOTA[[#This Row],[JUMLAH]]*NOTA[[#This Row],[DISC 1]])</f>
        <v>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0</v>
      </c>
      <c r="AC599" s="66">
        <f>IF(NOTA[[#This Row],[JUMLAH]]="","",NOTA[[#This Row],[JUMLAH]]-NOTA[[#This Row],[DISC]])</f>
        <v>1530000</v>
      </c>
      <c r="AD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59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G599" s="66">
        <f>IF(OR(NOTA[[#This Row],[QTY]]="",NOTA[[#This Row],[HARGA SATUAN]]="",),"",NOTA[[#This Row],[QTY]]*NOTA[[#This Row],[HARGA SATUAN]])</f>
        <v>1530000</v>
      </c>
      <c r="AH599" s="60">
        <f ca="1">IF(NOTA[ID_H]="","",INDEX(NOTA[TANGGAL],MATCH(,INDIRECT(ADDRESS(ROW(NOTA[TANGGAL]),COLUMN(NOTA[TANGGAL]))&amp;":"&amp;ADDRESS(ROW(),COLUMN(NOTA[TANGGAL]))),-1)))</f>
        <v>45203</v>
      </c>
      <c r="AI599" s="55" t="str">
        <f ca="1">IF(NOTA[[#This Row],[NAMA BARANG]]="","",INDEX(NOTA[SUPPLIER],MATCH(,INDIRECT(ADDRESS(ROW(NOTA[ID]),COLUMN(NOTA[ID]))&amp;":"&amp;ADDRESS(ROW(),COLUMN(NOTA[ID]))),-1)))</f>
        <v>BINTANG SAUDARA</v>
      </c>
      <c r="AJ599" s="55" t="str">
        <f ca="1">IF(NOTA[[#This Row],[ID_H]]="","",IF(NOTA[[#This Row],[FAKTUR]]="",INDIRECT(ADDRESS(ROW()-1,COLUMN())),NOTA[[#This Row],[FAKTUR]]))</f>
        <v>UNTANA</v>
      </c>
      <c r="AK599" s="56">
        <f ca="1">IF(NOTA[[#This Row],[ID]]="","",COUNTIF(NOTA[ID_H],NOTA[[#This Row],[ID_H]]))</f>
        <v>2</v>
      </c>
      <c r="AL599" s="56">
        <f>IF(NOTA[[#This Row],[TGL.NOTA]]="",IF(NOTA[[#This Row],[SUPPLIER_H]]="","",AL598),MONTH(NOTA[[#This Row],[TGL.NOTA]]))</f>
        <v>9</v>
      </c>
      <c r="AM59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599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SAUDARAUNTANASO202309008244445196paperbagcoklatbesartebal</v>
      </c>
      <c r="AQ599" s="56" t="e">
        <f>IF(NOTA[[#This Row],[CONCAT4]]="","",_xlfn.IFNA(MATCH(NOTA[[#This Row],[CONCAT4]],[2]!RAW[CONCAT_H],0),FALSE))</f>
        <v>#REF!</v>
      </c>
      <c r="AR599" s="56">
        <f>IF(NOTA[[#This Row],[CONCAT1]]="","",MATCH(NOTA[[#This Row],[CONCAT1]],[3]!db[NB NOTA_C],0))</f>
        <v>1986</v>
      </c>
      <c r="AS599" s="56" t="str">
        <f>IF(NOTA[[#This Row],[QTY/ CTN]]="","",TRUE)</f>
        <v/>
      </c>
      <c r="AT599" s="56" t="str">
        <f ca="1">IF(NOTA[[#This Row],[ID_H]]="","",IF(NOTA[[#This Row],[Column3]]=TRUE,NOTA[[#This Row],[QTY/ CTN]],INDEX([3]!db[QTY/ CTN],NOTA[[#This Row],[//DB]])))</f>
        <v>30 LSN</v>
      </c>
      <c r="AU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V599" s="56" t="e">
        <f ca="1">IF(NOTA[[#This Row],[ID_H]]="","",MATCH(NOTA[[#This Row],[NB NOTA_C_QTY]],[4]!db[NB NOTA_C_QTY+F],0))</f>
        <v>#REF!</v>
      </c>
      <c r="AW599" s="68">
        <f ca="1">IF(NOTA[[#This Row],[NB NOTA_C_QTY]]="","",ROW()-2)</f>
        <v>597</v>
      </c>
    </row>
    <row r="600" spans="1:49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114</v>
      </c>
      <c r="E600" s="57"/>
      <c r="F600" s="58"/>
      <c r="G600" s="58"/>
      <c r="H600" s="59"/>
      <c r="I600" s="58"/>
      <c r="J600" s="60"/>
      <c r="K600" s="58"/>
      <c r="L600" s="37" t="s">
        <v>693</v>
      </c>
      <c r="M600" s="61">
        <v>3</v>
      </c>
      <c r="N600" s="56">
        <v>120</v>
      </c>
      <c r="O600" s="37" t="s">
        <v>138</v>
      </c>
      <c r="P600" s="55">
        <v>22500</v>
      </c>
      <c r="Q600" s="62"/>
      <c r="R600" s="63"/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2700000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2700000</v>
      </c>
      <c r="AD6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60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4230000</v>
      </c>
      <c r="AF60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G600" s="66">
        <f>IF(OR(NOTA[[#This Row],[QTY]]="",NOTA[[#This Row],[HARGA SATUAN]]="",),"",NOTA[[#This Row],[QTY]]*NOTA[[#This Row],[HARGA SATUAN]])</f>
        <v>2700000</v>
      </c>
      <c r="AH600" s="60">
        <f ca="1">IF(NOTA[ID_H]="","",INDEX(NOTA[TANGGAL],MATCH(,INDIRECT(ADDRESS(ROW(NOTA[TANGGAL]),COLUMN(NOTA[TANGGAL]))&amp;":"&amp;ADDRESS(ROW(),COLUMN(NOTA[TANGGAL]))),-1)))</f>
        <v>45203</v>
      </c>
      <c r="AI600" s="55" t="str">
        <f ca="1">IF(NOTA[[#This Row],[NAMA BARANG]]="","",INDEX(NOTA[SUPPLIER],MATCH(,INDIRECT(ADDRESS(ROW(NOTA[ID]),COLUMN(NOTA[ID]))&amp;":"&amp;ADDRESS(ROW(),COLUMN(NOTA[ID]))),-1)))</f>
        <v>BINTANG SAUDARA</v>
      </c>
      <c r="AJ600" s="55" t="str">
        <f ca="1">IF(NOTA[[#This Row],[ID_H]]="","",IF(NOTA[[#This Row],[FAKTUR]]="",INDIRECT(ADDRESS(ROW()-1,COLUMN())),NOTA[[#This Row],[FAKTUR]]))</f>
        <v>UNTANA</v>
      </c>
      <c r="AK600" s="56" t="str">
        <f ca="1">IF(NOTA[[#This Row],[ID]]="","",COUNTIF(NOTA[ID_H],NOTA[[#This Row],[ID_H]]))</f>
        <v/>
      </c>
      <c r="AL600" s="56">
        <f ca="1">IF(NOTA[[#This Row],[TGL.NOTA]]="",IF(NOTA[[#This Row],[SUPPLIER_H]]="","",AL599),MONTH(NOTA[[#This Row],[TGL.NOTA]]))</f>
        <v>9</v>
      </c>
      <c r="AM600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0" s="56" t="str">
        <f>IF(NOTA[[#This Row],[CONCAT4]]="","",_xlfn.IFNA(MATCH(NOTA[[#This Row],[CONCAT4]],[2]!RAW[CONCAT_H],0),FALSE))</f>
        <v/>
      </c>
      <c r="AR600" s="56">
        <f>IF(NOTA[[#This Row],[CONCAT1]]="","",MATCH(NOTA[[#This Row],[CONCAT1]],[3]!db[NB NOTA_C],0))</f>
        <v>1987</v>
      </c>
      <c r="AS600" s="56" t="str">
        <f>IF(NOTA[[#This Row],[QTY/ CTN]]="","",TRUE)</f>
        <v/>
      </c>
      <c r="AT600" s="56" t="str">
        <f ca="1">IF(NOTA[[#This Row],[ID_H]]="","",IF(NOTA[[#This Row],[Column3]]=TRUE,NOTA[[#This Row],[QTY/ CTN]],INDEX([3]!db[QTY/ CTN],NOTA[[#This Row],[//DB]])))</f>
        <v>40 LSN</v>
      </c>
      <c r="AU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V600" s="56" t="e">
        <f ca="1">IF(NOTA[[#This Row],[ID_H]]="","",MATCH(NOTA[[#This Row],[NB NOTA_C_QTY]],[4]!db[NB NOTA_C_QTY+F],0))</f>
        <v>#REF!</v>
      </c>
      <c r="AW600" s="68">
        <f ca="1">IF(NOTA[[#This Row],[NB NOTA_C_QTY]]="","",ROW()-2)</f>
        <v>598</v>
      </c>
    </row>
    <row r="601" spans="1:49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1" s="66" t="str">
        <f>IF(OR(NOTA[[#This Row],[QTY]]="",NOTA[[#This Row],[HARGA SATUAN]]="",),"",NOTA[[#This Row],[QTY]]*NOTA[[#This Row],[HARGA SATUAN]])</f>
        <v/>
      </c>
      <c r="AH601" s="60" t="str">
        <f ca="1">IF(NOTA[ID_H]="","",INDEX(NOTA[TANGGAL],MATCH(,INDIRECT(ADDRESS(ROW(NOTA[TANGGAL]),COLUMN(NOTA[TANGGAL]))&amp;":"&amp;ADDRESS(ROW(),COLUMN(NOTA[TANGGAL]))),-1)))</f>
        <v/>
      </c>
      <c r="AI601" s="55" t="str">
        <f ca="1">IF(NOTA[[#This Row],[NAMA BARANG]]="","",INDEX(NOTA[SUPPLIER],MATCH(,INDIRECT(ADDRESS(ROW(NOTA[ID]),COLUMN(NOTA[ID]))&amp;":"&amp;ADDRESS(ROW(),COLUMN(NOTA[ID]))),-1)))</f>
        <v/>
      </c>
      <c r="AJ601" s="55" t="str">
        <f ca="1">IF(NOTA[[#This Row],[ID_H]]="","",IF(NOTA[[#This Row],[FAKTUR]]="",INDIRECT(ADDRESS(ROW()-1,COLUMN())),NOTA[[#This Row],[FAKTUR]]))</f>
        <v/>
      </c>
      <c r="AK601" s="56" t="str">
        <f ca="1">IF(NOTA[[#This Row],[ID]]="","",COUNTIF(NOTA[ID_H],NOTA[[#This Row],[ID_H]]))</f>
        <v/>
      </c>
      <c r="AL601" s="56" t="str">
        <f ca="1">IF(NOTA[[#This Row],[TGL.NOTA]]="",IF(NOTA[[#This Row],[SUPPLIER_H]]="","",AL600),MONTH(NOTA[[#This Row],[TGL.NOTA]]))</f>
        <v/>
      </c>
      <c r="AM601" s="56" t="str">
        <f>LOWER(SUBSTITUTE(SUBSTITUTE(SUBSTITUTE(SUBSTITUTE(SUBSTITUTE(SUBSTITUTE(SUBSTITUTE(SUBSTITUTE(SUBSTITUTE(NOTA[NAMA BARANG]," ",),".",""),"-",""),"(",""),")",""),",",""),"/",""),"""",""),"+",""))</f>
        <v/>
      </c>
      <c r="AN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56" t="str">
        <f>IF(NOTA[[#This Row],[CONCAT4]]="","",_xlfn.IFNA(MATCH(NOTA[[#This Row],[CONCAT4]],[2]!RAW[CONCAT_H],0),FALSE))</f>
        <v/>
      </c>
      <c r="AR601" s="56" t="str">
        <f>IF(NOTA[[#This Row],[CONCAT1]]="","",MATCH(NOTA[[#This Row],[CONCAT1]],[3]!db[NB NOTA_C],0))</f>
        <v/>
      </c>
      <c r="AS601" s="56" t="str">
        <f>IF(NOTA[[#This Row],[QTY/ CTN]]="","",TRUE)</f>
        <v/>
      </c>
      <c r="AT601" s="56" t="str">
        <f ca="1">IF(NOTA[[#This Row],[ID_H]]="","",IF(NOTA[[#This Row],[Column3]]=TRUE,NOTA[[#This Row],[QTY/ CTN]],INDEX([3]!db[QTY/ CTN],NOTA[[#This Row],[//DB]])))</f>
        <v/>
      </c>
      <c r="AU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1" s="56" t="str">
        <f ca="1">IF(NOTA[[#This Row],[ID_H]]="","",MATCH(NOTA[[#This Row],[NB NOTA_C_QTY]],[4]!db[NB NOTA_C_QTY+F],0))</f>
        <v/>
      </c>
      <c r="AW601" s="68" t="str">
        <f ca="1">IF(NOTA[[#This Row],[NB NOTA_C_QTY]]="","",ROW()-2)</f>
        <v/>
      </c>
    </row>
    <row r="602" spans="1:49" s="38" customFormat="1" ht="20.100000000000001" customHeight="1" x14ac:dyDescent="0.25">
      <c r="A602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BIN_0210_438-1</v>
      </c>
      <c r="C602" s="56" t="e">
        <f ca="1">IF(NOTA[[#This Row],[ID_P]]="","",MATCH(NOTA[[#This Row],[ID_P]],[1]!B_MSK[N_ID],0))</f>
        <v>#REF!</v>
      </c>
      <c r="D602" s="56">
        <f ca="1">IF(NOTA[[#This Row],[NAMA BARANG]]="","",INDEX(NOTA[ID],MATCH(,INDIRECT(ADDRESS(ROW(NOTA[ID]),COLUMN(NOTA[ID]))&amp;":"&amp;ADDRESS(ROW(),COLUMN(NOTA[ID]))),-1)))</f>
        <v>115</v>
      </c>
      <c r="E602" s="57">
        <v>45201</v>
      </c>
      <c r="F602" s="37" t="s">
        <v>419</v>
      </c>
      <c r="G602" s="37" t="s">
        <v>123</v>
      </c>
      <c r="H602" s="47" t="s">
        <v>694</v>
      </c>
      <c r="I602" s="58"/>
      <c r="J602" s="60">
        <v>45195</v>
      </c>
      <c r="K602" s="58"/>
      <c r="L602" s="37" t="s">
        <v>695</v>
      </c>
      <c r="M602" s="61">
        <v>2</v>
      </c>
      <c r="N602" s="56">
        <v>100</v>
      </c>
      <c r="O602" s="37" t="s">
        <v>138</v>
      </c>
      <c r="P602" s="55">
        <v>21500</v>
      </c>
      <c r="Q602" s="62"/>
      <c r="R602" s="48" t="s">
        <v>696</v>
      </c>
      <c r="S602" s="64"/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2150000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2150000</v>
      </c>
      <c r="AD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6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2150000</v>
      </c>
      <c r="AF60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G602" s="66">
        <f>IF(OR(NOTA[[#This Row],[QTY]]="",NOTA[[#This Row],[HARGA SATUAN]]="",),"",NOTA[[#This Row],[QTY]]*NOTA[[#This Row],[HARGA SATUAN]])</f>
        <v>2150000</v>
      </c>
      <c r="AH602" s="60">
        <f ca="1">IF(NOTA[ID_H]="","",INDEX(NOTA[TANGGAL],MATCH(,INDIRECT(ADDRESS(ROW(NOTA[TANGGAL]),COLUMN(NOTA[TANGGAL]))&amp;":"&amp;ADDRESS(ROW(),COLUMN(NOTA[TANGGAL]))),-1)))</f>
        <v>45201</v>
      </c>
      <c r="AI602" s="55" t="str">
        <f ca="1">IF(NOTA[[#This Row],[NAMA BARANG]]="","",INDEX(NOTA[SUPPLIER],MATCH(,INDIRECT(ADDRESS(ROW(NOTA[ID]),COLUMN(NOTA[ID]))&amp;":"&amp;ADDRESS(ROW(),COLUMN(NOTA[ID]))),-1)))</f>
        <v>BINTANG SAUDARA</v>
      </c>
      <c r="AJ602" s="55" t="str">
        <f ca="1">IF(NOTA[[#This Row],[ID_H]]="","",IF(NOTA[[#This Row],[FAKTUR]]="",INDIRECT(ADDRESS(ROW()-1,COLUMN())),NOTA[[#This Row],[FAKTUR]]))</f>
        <v>UNTANA</v>
      </c>
      <c r="AK602" s="56">
        <f ca="1">IF(NOTA[[#This Row],[ID]]="","",COUNTIF(NOTA[ID_H],NOTA[[#This Row],[ID_H]]))</f>
        <v>1</v>
      </c>
      <c r="AL602" s="56">
        <f>IF(NOTA[[#This Row],[TGL.NOTA]]="",IF(NOTA[[#This Row],[SUPPLIER_H]]="","",AL601),MONTH(NOTA[[#This Row],[TGL.NOTA]]))</f>
        <v>9</v>
      </c>
      <c r="AM602" s="56" t="str">
        <f>LOWER(SUBSTITUTE(SUBSTITUTE(SUBSTITUTE(SUBSTITUTE(SUBSTITUTE(SUBSTITUTE(SUBSTITUTE(SUBSTITUTE(SUBSTITUTE(NOTA[NAMA BARANG]," ",),".",""),"-",""),"(",""),")",""),",",""),"/",""),"""",""),"+",""))</f>
        <v>shoppingbagbrandedkecil115</v>
      </c>
      <c r="AN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shoppingbagbrandedkecil1151075000</v>
      </c>
      <c r="AO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shoppingbagbrandedkecil1151075000</v>
      </c>
      <c r="AP602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SAUDARAUNTANA2O202309008243845195shoppingbagbrandedkecil115</v>
      </c>
      <c r="AQ602" s="56" t="e">
        <f>IF(NOTA[[#This Row],[CONCAT4]]="","",_xlfn.IFNA(MATCH(NOTA[[#This Row],[CONCAT4]],[2]!RAW[CONCAT_H],0),FALSE))</f>
        <v>#REF!</v>
      </c>
      <c r="AR602" s="56" t="e">
        <f>IF(NOTA[[#This Row],[CONCAT1]]="","",MATCH(NOTA[[#This Row],[CONCAT1]],[3]!db[NB NOTA_C],0))</f>
        <v>#N/A</v>
      </c>
      <c r="AS602" s="56" t="b">
        <f>IF(NOTA[[#This Row],[QTY/ CTN]]="","",TRUE)</f>
        <v>1</v>
      </c>
      <c r="AT602" s="56" t="str">
        <f ca="1">IF(NOTA[[#This Row],[ID_H]]="","",IF(NOTA[[#This Row],[Column3]]=TRUE,NOTA[[#This Row],[QTY/ CTN]],INDEX([3]!db[QTY/ CTN],NOTA[[#This Row],[//DB]])))</f>
        <v>50 LSN</v>
      </c>
      <c r="AU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shoppingbagbrandedkecil11550lsnuntana</v>
      </c>
      <c r="AV602" s="56" t="e">
        <f ca="1">IF(NOTA[[#This Row],[ID_H]]="","",MATCH(NOTA[[#This Row],[NB NOTA_C_QTY]],[4]!db[NB NOTA_C_QTY+F],0))</f>
        <v>#REF!</v>
      </c>
      <c r="AW602" s="68">
        <f ca="1">IF(NOTA[[#This Row],[NB NOTA_C_QTY]]="","",ROW()-2)</f>
        <v>600</v>
      </c>
    </row>
    <row r="603" spans="1:49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3" s="66" t="str">
        <f>IF(OR(NOTA[[#This Row],[QTY]]="",NOTA[[#This Row],[HARGA SATUAN]]="",),"",NOTA[[#This Row],[QTY]]*NOTA[[#This Row],[HARGA SATUAN]])</f>
        <v/>
      </c>
      <c r="AH603" s="60" t="str">
        <f ca="1">IF(NOTA[ID_H]="","",INDEX(NOTA[TANGGAL],MATCH(,INDIRECT(ADDRESS(ROW(NOTA[TANGGAL]),COLUMN(NOTA[TANGGAL]))&amp;":"&amp;ADDRESS(ROW(),COLUMN(NOTA[TANGGAL]))),-1)))</f>
        <v/>
      </c>
      <c r="AI603" s="55" t="str">
        <f ca="1">IF(NOTA[[#This Row],[NAMA BARANG]]="","",INDEX(NOTA[SUPPLIER],MATCH(,INDIRECT(ADDRESS(ROW(NOTA[ID]),COLUMN(NOTA[ID]))&amp;":"&amp;ADDRESS(ROW(),COLUMN(NOTA[ID]))),-1)))</f>
        <v/>
      </c>
      <c r="AJ603" s="55" t="str">
        <f ca="1">IF(NOTA[[#This Row],[ID_H]]="","",IF(NOTA[[#This Row],[FAKTUR]]="",INDIRECT(ADDRESS(ROW()-1,COLUMN())),NOTA[[#This Row],[FAKTUR]]))</f>
        <v/>
      </c>
      <c r="AK603" s="56" t="str">
        <f ca="1">IF(NOTA[[#This Row],[ID]]="","",COUNTIF(NOTA[ID_H],NOTA[[#This Row],[ID_H]]))</f>
        <v/>
      </c>
      <c r="AL603" s="56" t="str">
        <f ca="1">IF(NOTA[[#This Row],[TGL.NOTA]]="",IF(NOTA[[#This Row],[SUPPLIER_H]]="","",AL602),MONTH(NOTA[[#This Row],[TGL.NOTA]]))</f>
        <v/>
      </c>
      <c r="AM603" s="56" t="str">
        <f>LOWER(SUBSTITUTE(SUBSTITUTE(SUBSTITUTE(SUBSTITUTE(SUBSTITUTE(SUBSTITUTE(SUBSTITUTE(SUBSTITUTE(SUBSTITUTE(NOTA[NAMA BARANG]," ",),".",""),"-",""),"(",""),")",""),",",""),"/",""),"""",""),"+",""))</f>
        <v/>
      </c>
      <c r="AN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3" s="56" t="str">
        <f>IF(NOTA[[#This Row],[CONCAT4]]="","",_xlfn.IFNA(MATCH(NOTA[[#This Row],[CONCAT4]],[2]!RAW[CONCAT_H],0),FALSE))</f>
        <v/>
      </c>
      <c r="AR603" s="56" t="str">
        <f>IF(NOTA[[#This Row],[CONCAT1]]="","",MATCH(NOTA[[#This Row],[CONCAT1]],[3]!db[NB NOTA_C],0))</f>
        <v/>
      </c>
      <c r="AS603" s="56" t="str">
        <f>IF(NOTA[[#This Row],[QTY/ CTN]]="","",TRUE)</f>
        <v/>
      </c>
      <c r="AT603" s="56" t="str">
        <f ca="1">IF(NOTA[[#This Row],[ID_H]]="","",IF(NOTA[[#This Row],[Column3]]=TRUE,NOTA[[#This Row],[QTY/ CTN]],INDEX([3]!db[QTY/ CTN],NOTA[[#This Row],[//DB]])))</f>
        <v/>
      </c>
      <c r="AU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3" s="56" t="str">
        <f ca="1">IF(NOTA[[#This Row],[ID_H]]="","",MATCH(NOTA[[#This Row],[NB NOTA_C_QTY]],[4]!db[NB NOTA_C_QTY+F],0))</f>
        <v/>
      </c>
      <c r="AW603" s="68" t="str">
        <f ca="1">IF(NOTA[[#This Row],[NB NOTA_C_QTY]]="","",ROW()-2)</f>
        <v/>
      </c>
    </row>
    <row r="604" spans="1:49" s="38" customFormat="1" ht="20.100000000000001" customHeight="1" x14ac:dyDescent="0.25">
      <c r="A60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GUN_0210_222-2</v>
      </c>
      <c r="C604" s="56" t="e">
        <f ca="1">IF(NOTA[[#This Row],[ID_P]]="","",MATCH(NOTA[[#This Row],[ID_P]],[1]!B_MSK[N_ID],0))</f>
        <v>#REF!</v>
      </c>
      <c r="D604" s="56">
        <f ca="1">IF(NOTA[[#This Row],[NAMA BARANG]]="","",INDEX(NOTA[ID],MATCH(,INDIRECT(ADDRESS(ROW(NOTA[ID]),COLUMN(NOTA[ID]))&amp;":"&amp;ADDRESS(ROW(),COLUMN(NOTA[ID]))),-1)))</f>
        <v>116</v>
      </c>
      <c r="E604" s="57"/>
      <c r="F604" s="37" t="s">
        <v>309</v>
      </c>
      <c r="G604" s="37" t="s">
        <v>123</v>
      </c>
      <c r="H604" s="47" t="s">
        <v>697</v>
      </c>
      <c r="I604" s="58"/>
      <c r="J604" s="60">
        <v>45196</v>
      </c>
      <c r="K604" s="58"/>
      <c r="L604" s="37" t="s">
        <v>311</v>
      </c>
      <c r="M604" s="61">
        <v>3</v>
      </c>
      <c r="N604" s="56">
        <v>90</v>
      </c>
      <c r="O604" s="37" t="s">
        <v>138</v>
      </c>
      <c r="P604" s="55">
        <v>61000</v>
      </c>
      <c r="Q604" s="62"/>
      <c r="R604" s="48" t="s">
        <v>312</v>
      </c>
      <c r="S604" s="64">
        <v>0.05</v>
      </c>
      <c r="T604" s="65">
        <v>0.1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5490000</v>
      </c>
      <c r="Y604" s="66">
        <f>IF(NOTA[[#This Row],[JUMLAH]]="","",NOTA[[#This Row],[JUMLAH]]*NOTA[[#This Row],[DISC 1]])</f>
        <v>274500</v>
      </c>
      <c r="Z604" s="66">
        <f>IF(NOTA[[#This Row],[JUMLAH]]="","",(NOTA[[#This Row],[JUMLAH]]-NOTA[[#This Row],[DISC 1-]])*NOTA[[#This Row],[DISC 2]])</f>
        <v>521550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796050</v>
      </c>
      <c r="AC604" s="66">
        <f>IF(NOTA[[#This Row],[JUMLAH]]="","",NOTA[[#This Row],[JUMLAH]]-NOTA[[#This Row],[DISC]])</f>
        <v>4693950</v>
      </c>
      <c r="AD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4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G604" s="66">
        <f>IF(OR(NOTA[[#This Row],[QTY]]="",NOTA[[#This Row],[HARGA SATUAN]]="",),"",NOTA[[#This Row],[QTY]]*NOTA[[#This Row],[HARGA SATUAN]])</f>
        <v>5490000</v>
      </c>
      <c r="AH604" s="60">
        <f ca="1">IF(NOTA[ID_H]="","",INDEX(NOTA[TANGGAL],MATCH(,INDIRECT(ADDRESS(ROW(NOTA[TANGGAL]),COLUMN(NOTA[TANGGAL]))&amp;":"&amp;ADDRESS(ROW(),COLUMN(NOTA[TANGGAL]))),-1)))</f>
        <v>45201</v>
      </c>
      <c r="AI604" s="55" t="str">
        <f ca="1">IF(NOTA[[#This Row],[NAMA BARANG]]="","",INDEX(NOTA[SUPPLIER],MATCH(,INDIRECT(ADDRESS(ROW(NOTA[ID]),COLUMN(NOTA[ID]))&amp;":"&amp;ADDRESS(ROW(),COLUMN(NOTA[ID]))),-1)))</f>
        <v>GUNINDO</v>
      </c>
      <c r="AJ604" s="55" t="str">
        <f ca="1">IF(NOTA[[#This Row],[ID_H]]="","",IF(NOTA[[#This Row],[FAKTUR]]="",INDIRECT(ADDRESS(ROW()-1,COLUMN())),NOTA[[#This Row],[FAKTUR]]))</f>
        <v>UNTANA</v>
      </c>
      <c r="AK604" s="56">
        <f ca="1">IF(NOTA[[#This Row],[ID]]="","",COUNTIF(NOTA[ID_H],NOTA[[#This Row],[ID_H]]))</f>
        <v>2</v>
      </c>
      <c r="AL604" s="56">
        <f>IF(NOTA[[#This Row],[TGL.NOTA]]="",IF(NOTA[[#This Row],[SUPPLIER_H]]="","",AL603),MONTH(NOTA[[#This Row],[TGL.NOTA]]))</f>
        <v>9</v>
      </c>
      <c r="AM604" s="56" t="str">
        <f>LOWER(SUBSTITUTE(SUBSTITUTE(SUBSTITUTE(SUBSTITUTE(SUBSTITUTE(SUBSTITUTE(SUBSTITUTE(SUBSTITUTE(SUBSTITUTE(NOTA[NAMA BARANG]," ",),".",""),"-",""),"(",""),")",""),",",""),"/",""),"""",""),"+",""))</f>
        <v>wberaser803</v>
      </c>
      <c r="AN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60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GUNINDOUNTANA280922245196wberaser803</v>
      </c>
      <c r="AQ604" s="56" t="e">
        <f>IF(NOTA[[#This Row],[CONCAT4]]="","",_xlfn.IFNA(MATCH(NOTA[[#This Row],[CONCAT4]],[2]!RAW[CONCAT_H],0),FALSE))</f>
        <v>#REF!</v>
      </c>
      <c r="AR604" s="56">
        <f>IF(NOTA[[#This Row],[CONCAT1]]="","",MATCH(NOTA[[#This Row],[CONCAT1]],[3]!db[NB NOTA_C],0))</f>
        <v>2660</v>
      </c>
      <c r="AS604" s="56" t="b">
        <f>IF(NOTA[[#This Row],[QTY/ CTN]]="","",TRUE)</f>
        <v>1</v>
      </c>
      <c r="AT604" s="56" t="str">
        <f ca="1">IF(NOTA[[#This Row],[ID_H]]="","",IF(NOTA[[#This Row],[Column3]]=TRUE,NOTA[[#This Row],[QTY/ CTN]],INDEX([3]!db[QTY/ CTN],NOTA[[#This Row],[//DB]])))</f>
        <v>30 LSN</v>
      </c>
      <c r="AU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V604" s="56" t="e">
        <f ca="1">IF(NOTA[[#This Row],[ID_H]]="","",MATCH(NOTA[[#This Row],[NB NOTA_C_QTY]],[4]!db[NB NOTA_C_QTY+F],0))</f>
        <v>#REF!</v>
      </c>
      <c r="AW604" s="68">
        <f ca="1">IF(NOTA[[#This Row],[NB NOTA_C_QTY]]="","",ROW()-2)</f>
        <v>602</v>
      </c>
    </row>
    <row r="605" spans="1:49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116</v>
      </c>
      <c r="E605" s="57"/>
      <c r="F605" s="58"/>
      <c r="G605" s="58"/>
      <c r="H605" s="59"/>
      <c r="I605" s="58"/>
      <c r="J605" s="60"/>
      <c r="K605" s="58"/>
      <c r="L605" s="37" t="s">
        <v>646</v>
      </c>
      <c r="M605" s="61">
        <v>2</v>
      </c>
      <c r="N605" s="56">
        <v>120</v>
      </c>
      <c r="O605" s="37" t="s">
        <v>138</v>
      </c>
      <c r="P605" s="55">
        <v>49200</v>
      </c>
      <c r="Q605" s="62"/>
      <c r="R605" s="48" t="s">
        <v>314</v>
      </c>
      <c r="S605" s="64">
        <v>0.05</v>
      </c>
      <c r="T605" s="65">
        <v>0.1</v>
      </c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5904000</v>
      </c>
      <c r="Y605" s="66">
        <f>IF(NOTA[[#This Row],[JUMLAH]]="","",NOTA[[#This Row],[JUMLAH]]*NOTA[[#This Row],[DISC 1]])</f>
        <v>295200</v>
      </c>
      <c r="Z605" s="66">
        <f>IF(NOTA[[#This Row],[JUMLAH]]="","",(NOTA[[#This Row],[JUMLAH]]-NOTA[[#This Row],[DISC 1-]])*NOTA[[#This Row],[DISC 2]])</f>
        <v>560880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856080</v>
      </c>
      <c r="AC605" s="66">
        <f>IF(NOTA[[#This Row],[JUMLAH]]="","",NOTA[[#This Row],[JUMLAH]]-NOTA[[#This Row],[DISC]])</f>
        <v>5047920</v>
      </c>
      <c r="AD6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1652130</v>
      </c>
      <c r="AE60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9741870</v>
      </c>
      <c r="AF605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G605" s="66">
        <f>IF(OR(NOTA[[#This Row],[QTY]]="",NOTA[[#This Row],[HARGA SATUAN]]="",),"",NOTA[[#This Row],[QTY]]*NOTA[[#This Row],[HARGA SATUAN]])</f>
        <v>5904000</v>
      </c>
      <c r="AH605" s="60">
        <f ca="1">IF(NOTA[ID_H]="","",INDEX(NOTA[TANGGAL],MATCH(,INDIRECT(ADDRESS(ROW(NOTA[TANGGAL]),COLUMN(NOTA[TANGGAL]))&amp;":"&amp;ADDRESS(ROW(),COLUMN(NOTA[TANGGAL]))),-1)))</f>
        <v>45201</v>
      </c>
      <c r="AI605" s="55" t="str">
        <f ca="1">IF(NOTA[[#This Row],[NAMA BARANG]]="","",INDEX(NOTA[SUPPLIER],MATCH(,INDIRECT(ADDRESS(ROW(NOTA[ID]),COLUMN(NOTA[ID]))&amp;":"&amp;ADDRESS(ROW(),COLUMN(NOTA[ID]))),-1)))</f>
        <v>GUNINDO</v>
      </c>
      <c r="AJ605" s="55" t="str">
        <f ca="1">IF(NOTA[[#This Row],[ID_H]]="","",IF(NOTA[[#This Row],[FAKTUR]]="",INDIRECT(ADDRESS(ROW()-1,COLUMN())),NOTA[[#This Row],[FAKTUR]]))</f>
        <v>UNTANA</v>
      </c>
      <c r="AK605" s="56" t="str">
        <f ca="1">IF(NOTA[[#This Row],[ID]]="","",COUNTIF(NOTA[ID_H],NOTA[[#This Row],[ID_H]]))</f>
        <v/>
      </c>
      <c r="AL605" s="56">
        <f ca="1">IF(NOTA[[#This Row],[TGL.NOTA]]="",IF(NOTA[[#This Row],[SUPPLIER_H]]="","",AL604),MONTH(NOTA[[#This Row],[TGL.NOTA]]))</f>
        <v>9</v>
      </c>
      <c r="AM605" s="56" t="str">
        <f>LOWER(SUBSTITUTE(SUBSTITUTE(SUBSTITUTE(SUBSTITUTE(SUBSTITUTE(SUBSTITUTE(SUBSTITUTE(SUBSTITUTE(SUBSTITUTE(NOTA[NAMA BARANG]," ",),".",""),"-",""),"(",""),")",""),",",""),"/",""),"""",""),"+",""))</f>
        <v>ossgunindo</v>
      </c>
      <c r="AN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56" t="str">
        <f>IF(NOTA[[#This Row],[CONCAT4]]="","",_xlfn.IFNA(MATCH(NOTA[[#This Row],[CONCAT4]],[2]!RAW[CONCAT_H],0),FALSE))</f>
        <v/>
      </c>
      <c r="AR605" s="56">
        <f>IF(NOTA[[#This Row],[CONCAT1]]="","",MATCH(NOTA[[#This Row],[CONCAT1]],[3]!db[NB NOTA_C],0))</f>
        <v>1916</v>
      </c>
      <c r="AS605" s="56" t="b">
        <f>IF(NOTA[[#This Row],[QTY/ CTN]]="","",TRUE)</f>
        <v>1</v>
      </c>
      <c r="AT605" s="56" t="str">
        <f ca="1">IF(NOTA[[#This Row],[ID_H]]="","",IF(NOTA[[#This Row],[Column3]]=TRUE,NOTA[[#This Row],[QTY/ CTN]],INDEX([3]!db[QTY/ CTN],NOTA[[#This Row],[//DB]])))</f>
        <v>60 LSN</v>
      </c>
      <c r="AU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V605" s="56" t="e">
        <f ca="1">IF(NOTA[[#This Row],[ID_H]]="","",MATCH(NOTA[[#This Row],[NB NOTA_C_QTY]],[4]!db[NB NOTA_C_QTY+F],0))</f>
        <v>#REF!</v>
      </c>
      <c r="AW605" s="68">
        <f ca="1">IF(NOTA[[#This Row],[NB NOTA_C_QTY]]="","",ROW()-2)</f>
        <v>603</v>
      </c>
    </row>
    <row r="606" spans="1:49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6" s="66" t="str">
        <f>IF(OR(NOTA[[#This Row],[QTY]]="",NOTA[[#This Row],[HARGA SATUAN]]="",),"",NOTA[[#This Row],[QTY]]*NOTA[[#This Row],[HARGA SATUAN]])</f>
        <v/>
      </c>
      <c r="AH606" s="60" t="str">
        <f ca="1">IF(NOTA[ID_H]="","",INDEX(NOTA[TANGGAL],MATCH(,INDIRECT(ADDRESS(ROW(NOTA[TANGGAL]),COLUMN(NOTA[TANGGAL]))&amp;":"&amp;ADDRESS(ROW(),COLUMN(NOTA[TANGGAL]))),-1)))</f>
        <v/>
      </c>
      <c r="AI606" s="55" t="str">
        <f ca="1">IF(NOTA[[#This Row],[NAMA BARANG]]="","",INDEX(NOTA[SUPPLIER],MATCH(,INDIRECT(ADDRESS(ROW(NOTA[ID]),COLUMN(NOTA[ID]))&amp;":"&amp;ADDRESS(ROW(),COLUMN(NOTA[ID]))),-1)))</f>
        <v/>
      </c>
      <c r="AJ606" s="55" t="str">
        <f ca="1">IF(NOTA[[#This Row],[ID_H]]="","",IF(NOTA[[#This Row],[FAKTUR]]="",INDIRECT(ADDRESS(ROW()-1,COLUMN())),NOTA[[#This Row],[FAKTUR]]))</f>
        <v/>
      </c>
      <c r="AK606" s="56" t="str">
        <f ca="1">IF(NOTA[[#This Row],[ID]]="","",COUNTIF(NOTA[ID_H],NOTA[[#This Row],[ID_H]]))</f>
        <v/>
      </c>
      <c r="AL606" s="56" t="str">
        <f ca="1">IF(NOTA[[#This Row],[TGL.NOTA]]="",IF(NOTA[[#This Row],[SUPPLIER_H]]="","",AL605),MONTH(NOTA[[#This Row],[TGL.NOTA]]))</f>
        <v/>
      </c>
      <c r="AM606" s="56" t="str">
        <f>LOWER(SUBSTITUTE(SUBSTITUTE(SUBSTITUTE(SUBSTITUTE(SUBSTITUTE(SUBSTITUTE(SUBSTITUTE(SUBSTITUTE(SUBSTITUTE(NOTA[NAMA BARANG]," ",),".",""),"-",""),"(",""),")",""),",",""),"/",""),"""",""),"+",""))</f>
        <v/>
      </c>
      <c r="AN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6" s="56" t="str">
        <f>IF(NOTA[[#This Row],[CONCAT4]]="","",_xlfn.IFNA(MATCH(NOTA[[#This Row],[CONCAT4]],[2]!RAW[CONCAT_H],0),FALSE))</f>
        <v/>
      </c>
      <c r="AR606" s="56" t="str">
        <f>IF(NOTA[[#This Row],[CONCAT1]]="","",MATCH(NOTA[[#This Row],[CONCAT1]],[3]!db[NB NOTA_C],0))</f>
        <v/>
      </c>
      <c r="AS606" s="56" t="str">
        <f>IF(NOTA[[#This Row],[QTY/ CTN]]="","",TRUE)</f>
        <v/>
      </c>
      <c r="AT606" s="56" t="str">
        <f ca="1">IF(NOTA[[#This Row],[ID_H]]="","",IF(NOTA[[#This Row],[Column3]]=TRUE,NOTA[[#This Row],[QTY/ CTN]],INDEX([3]!db[QTY/ CTN],NOTA[[#This Row],[//DB]])))</f>
        <v/>
      </c>
      <c r="AU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6" s="56" t="str">
        <f ca="1">IF(NOTA[[#This Row],[ID_H]]="","",MATCH(NOTA[[#This Row],[NB NOTA_C_QTY]],[4]!db[NB NOTA_C_QTY+F],0))</f>
        <v/>
      </c>
      <c r="AW606" s="68" t="str">
        <f ca="1">IF(NOTA[[#This Row],[NB NOTA_C_QTY]]="","",ROW()-2)</f>
        <v/>
      </c>
    </row>
    <row r="607" spans="1:49" s="38" customFormat="1" ht="20.100000000000001" customHeight="1" x14ac:dyDescent="0.25">
      <c r="A607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BIN_0210_569-2</v>
      </c>
      <c r="C607" s="56" t="e">
        <f ca="1">IF(NOTA[[#This Row],[ID_P]]="","",MATCH(NOTA[[#This Row],[ID_P]],[1]!B_MSK[N_ID],0))</f>
        <v>#REF!</v>
      </c>
      <c r="D607" s="56">
        <f ca="1">IF(NOTA[[#This Row],[NAMA BARANG]]="","",INDEX(NOTA[ID],MATCH(,INDIRECT(ADDRESS(ROW(NOTA[ID]),COLUMN(NOTA[ID]))&amp;":"&amp;ADDRESS(ROW(),COLUMN(NOTA[ID]))),-1)))</f>
        <v>117</v>
      </c>
      <c r="E607" s="57"/>
      <c r="F607" s="37" t="s">
        <v>698</v>
      </c>
      <c r="G607" s="37" t="s">
        <v>123</v>
      </c>
      <c r="H607" s="47" t="s">
        <v>699</v>
      </c>
      <c r="I607" s="58"/>
      <c r="J607" s="60">
        <v>45198</v>
      </c>
      <c r="K607" s="58"/>
      <c r="L607" s="37" t="s">
        <v>700</v>
      </c>
      <c r="M607" s="61">
        <v>25</v>
      </c>
      <c r="N607" s="56">
        <f>144*25</f>
        <v>3600</v>
      </c>
      <c r="O607" s="37" t="s">
        <v>126</v>
      </c>
      <c r="P607" s="55">
        <v>4650</v>
      </c>
      <c r="Q607" s="62"/>
      <c r="R607" s="48" t="s">
        <v>509</v>
      </c>
      <c r="S607" s="64"/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16740000</v>
      </c>
      <c r="Y607" s="66">
        <f>IF(NOTA[[#This Row],[JUMLAH]]="","",NOTA[[#This Row],[JUMLAH]]*NOTA[[#This Row],[DISC 1]])</f>
        <v>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0</v>
      </c>
      <c r="AC607" s="66">
        <f>IF(NOTA[[#This Row],[JUMLAH]]="","",NOTA[[#This Row],[JUMLAH]]-NOTA[[#This Row],[DISC]])</f>
        <v>16740000</v>
      </c>
      <c r="AD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7" s="55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G607" s="66">
        <f>IF(OR(NOTA[[#This Row],[QTY]]="",NOTA[[#This Row],[HARGA SATUAN]]="",),"",NOTA[[#This Row],[QTY]]*NOTA[[#This Row],[HARGA SATUAN]])</f>
        <v>16740000</v>
      </c>
      <c r="AH607" s="60">
        <f ca="1">IF(NOTA[ID_H]="","",INDEX(NOTA[TANGGAL],MATCH(,INDIRECT(ADDRESS(ROW(NOTA[TANGGAL]),COLUMN(NOTA[TANGGAL]))&amp;":"&amp;ADDRESS(ROW(),COLUMN(NOTA[TANGGAL]))),-1)))</f>
        <v>45201</v>
      </c>
      <c r="AI607" s="55" t="str">
        <f ca="1">IF(NOTA[[#This Row],[NAMA BARANG]]="","",INDEX(NOTA[SUPPLIER],MATCH(,INDIRECT(ADDRESS(ROW(NOTA[ID]),COLUMN(NOTA[ID]))&amp;":"&amp;ADDRESS(ROW(),COLUMN(NOTA[ID]))),-1)))</f>
        <v>BINTANG JAYA</v>
      </c>
      <c r="AJ607" s="55" t="str">
        <f ca="1">IF(NOTA[[#This Row],[ID_H]]="","",IF(NOTA[[#This Row],[FAKTUR]]="",INDIRECT(ADDRESS(ROW()-1,COLUMN())),NOTA[[#This Row],[FAKTUR]]))</f>
        <v>UNTANA</v>
      </c>
      <c r="AK607" s="56">
        <f ca="1">IF(NOTA[[#This Row],[ID]]="","",COUNTIF(NOTA[ID_H],NOTA[[#This Row],[ID_H]]))</f>
        <v>2</v>
      </c>
      <c r="AL607" s="56">
        <f>IF(NOTA[[#This Row],[TGL.NOTA]]="",IF(NOTA[[#This Row],[SUPPLIER_H]]="","",AL606),MONTH(NOTA[[#This Row],[TGL.NOTA]]))</f>
        <v>9</v>
      </c>
      <c r="AM607" s="56" t="str">
        <f>LOWER(SUBSTITUTE(SUBSTITUTE(SUBSTITUTE(SUBSTITUTE(SUBSTITUTE(SUBSTITUTE(SUBSTITUTE(SUBSTITUTE(SUBSTITUTE(NOTA[NAMA BARANG]," ",),".",""),"-",""),"(",""),")",""),",",""),"/",""),"""",""),"+",""))</f>
        <v>clipboardwbholosqclphl</v>
      </c>
      <c r="AN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clipboardwbholosqclphl669600</v>
      </c>
      <c r="AO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clipboardwbholosqclphl669600</v>
      </c>
      <c r="AP607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JAYAUNTANASI.2023.09.0056945198clipboardwbholosqclphl</v>
      </c>
      <c r="AQ607" s="56" t="e">
        <f>IF(NOTA[[#This Row],[CONCAT4]]="","",_xlfn.IFNA(MATCH(NOTA[[#This Row],[CONCAT4]],[2]!RAW[CONCAT_H],0),FALSE))</f>
        <v>#REF!</v>
      </c>
      <c r="AR607" s="56">
        <f>IF(NOTA[[#This Row],[CONCAT1]]="","",MATCH(NOTA[[#This Row],[CONCAT1]],[3]!db[NB NOTA_C],0))</f>
        <v>572</v>
      </c>
      <c r="AS607" s="56" t="b">
        <f>IF(NOTA[[#This Row],[QTY/ CTN]]="","",TRUE)</f>
        <v>1</v>
      </c>
      <c r="AT607" s="56" t="str">
        <f ca="1">IF(NOTA[[#This Row],[ID_H]]="","",IF(NOTA[[#This Row],[Column3]]=TRUE,NOTA[[#This Row],[QTY/ CTN]],INDEX([3]!db[QTY/ CTN],NOTA[[#This Row],[//DB]])))</f>
        <v>144 PCS</v>
      </c>
      <c r="AU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clipboardwbholosqclphl144pcsuntana</v>
      </c>
      <c r="AV607" s="56" t="e">
        <f ca="1">IF(NOTA[[#This Row],[ID_H]]="","",MATCH(NOTA[[#This Row],[NB NOTA_C_QTY]],[4]!db[NB NOTA_C_QTY+F],0))</f>
        <v>#REF!</v>
      </c>
      <c r="AW607" s="68">
        <f ca="1">IF(NOTA[[#This Row],[NB NOTA_C_QTY]]="","",ROW()-2)</f>
        <v>605</v>
      </c>
    </row>
    <row r="608" spans="1:49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117</v>
      </c>
      <c r="E608" s="57"/>
      <c r="F608" s="58"/>
      <c r="G608" s="58"/>
      <c r="H608" s="59"/>
      <c r="I608" s="58"/>
      <c r="J608" s="60"/>
      <c r="K608" s="58"/>
      <c r="L608" s="37" t="s">
        <v>701</v>
      </c>
      <c r="M608" s="61">
        <v>25</v>
      </c>
      <c r="N608" s="56">
        <f>144*25</f>
        <v>3600</v>
      </c>
      <c r="O608" s="37" t="s">
        <v>126</v>
      </c>
      <c r="P608" s="55">
        <f>408000/144</f>
        <v>2833.3333333333335</v>
      </c>
      <c r="Q608" s="62"/>
      <c r="R608" s="48" t="s">
        <v>509</v>
      </c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10200000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10200000</v>
      </c>
      <c r="AD6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E6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26940000</v>
      </c>
      <c r="AF608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G608" s="66">
        <f>IF(OR(NOTA[[#This Row],[QTY]]="",NOTA[[#This Row],[HARGA SATUAN]]="",),"",NOTA[[#This Row],[QTY]]*NOTA[[#This Row],[HARGA SATUAN]])</f>
        <v>10200000</v>
      </c>
      <c r="AH608" s="60">
        <f ca="1">IF(NOTA[ID_H]="","",INDEX(NOTA[TANGGAL],MATCH(,INDIRECT(ADDRESS(ROW(NOTA[TANGGAL]),COLUMN(NOTA[TANGGAL]))&amp;":"&amp;ADDRESS(ROW(),COLUMN(NOTA[TANGGAL]))),-1)))</f>
        <v>45201</v>
      </c>
      <c r="AI608" s="55" t="str">
        <f ca="1">IF(NOTA[[#This Row],[NAMA BARANG]]="","",INDEX(NOTA[SUPPLIER],MATCH(,INDIRECT(ADDRESS(ROW(NOTA[ID]),COLUMN(NOTA[ID]))&amp;":"&amp;ADDRESS(ROW(),COLUMN(NOTA[ID]))),-1)))</f>
        <v>BINTANG JAYA</v>
      </c>
      <c r="AJ608" s="55" t="str">
        <f ca="1">IF(NOTA[[#This Row],[ID_H]]="","",IF(NOTA[[#This Row],[FAKTUR]]="",INDIRECT(ADDRESS(ROW()-1,COLUMN())),NOTA[[#This Row],[FAKTUR]]))</f>
        <v>UNTANA</v>
      </c>
      <c r="AK608" s="56" t="str">
        <f ca="1">IF(NOTA[[#This Row],[ID]]="","",COUNTIF(NOTA[ID_H],NOTA[[#This Row],[ID_H]]))</f>
        <v/>
      </c>
      <c r="AL608" s="56">
        <f ca="1">IF(NOTA[[#This Row],[TGL.NOTA]]="",IF(NOTA[[#This Row],[SUPPLIER_H]]="","",AL607),MONTH(NOTA[[#This Row],[TGL.NOTA]]))</f>
        <v>9</v>
      </c>
      <c r="AM608" s="56" t="str">
        <f>LOWER(SUBSTITUTE(SUBSTITUTE(SUBSTITUTE(SUBSTITUTE(SUBSTITUTE(SUBSTITUTE(SUBSTITUTE(SUBSTITUTE(SUBSTITUTE(NOTA[NAMA BARANG]," ",),".",""),"-",""),"(",""),")",""),",",""),"/",""),"""",""),"+",""))</f>
        <v>clipboardkayukotaksqclpky</v>
      </c>
      <c r="AN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clipboardkayukotaksqclpky408000</v>
      </c>
      <c r="AO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clipboardkayukotaksqclpky408000</v>
      </c>
      <c r="AP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8" s="56" t="str">
        <f>IF(NOTA[[#This Row],[CONCAT4]]="","",_xlfn.IFNA(MATCH(NOTA[[#This Row],[CONCAT4]],[2]!RAW[CONCAT_H],0),FALSE))</f>
        <v/>
      </c>
      <c r="AR608" s="56">
        <f>IF(NOTA[[#This Row],[CONCAT1]]="","",MATCH(NOTA[[#This Row],[CONCAT1]],[3]!db[NB NOTA_C],0))</f>
        <v>573</v>
      </c>
      <c r="AS608" s="56" t="b">
        <f>IF(NOTA[[#This Row],[QTY/ CTN]]="","",TRUE)</f>
        <v>1</v>
      </c>
      <c r="AT608" s="56" t="str">
        <f ca="1">IF(NOTA[[#This Row],[ID_H]]="","",IF(NOTA[[#This Row],[Column3]]=TRUE,NOTA[[#This Row],[QTY/ CTN]],INDEX([3]!db[QTY/ CTN],NOTA[[#This Row],[//DB]])))</f>
        <v>144 PCS</v>
      </c>
      <c r="AU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clipboardkayukotaksqclpky144pcsuntana</v>
      </c>
      <c r="AV608" s="56" t="e">
        <f ca="1">IF(NOTA[[#This Row],[ID_H]]="","",MATCH(NOTA[[#This Row],[NB NOTA_C_QTY]],[4]!db[NB NOTA_C_QTY+F],0))</f>
        <v>#REF!</v>
      </c>
      <c r="AW608" s="68">
        <f ca="1">IF(NOTA[[#This Row],[NB NOTA_C_QTY]]="","",ROW()-2)</f>
        <v>606</v>
      </c>
    </row>
    <row r="609" spans="1:49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09" s="66" t="str">
        <f>IF(OR(NOTA[[#This Row],[QTY]]="",NOTA[[#This Row],[HARGA SATUAN]]="",),"",NOTA[[#This Row],[QTY]]*NOTA[[#This Row],[HARGA SATUAN]])</f>
        <v/>
      </c>
      <c r="AH609" s="60" t="str">
        <f ca="1">IF(NOTA[ID_H]="","",INDEX(NOTA[TANGGAL],MATCH(,INDIRECT(ADDRESS(ROW(NOTA[TANGGAL]),COLUMN(NOTA[TANGGAL]))&amp;":"&amp;ADDRESS(ROW(),COLUMN(NOTA[TANGGAL]))),-1)))</f>
        <v/>
      </c>
      <c r="AI609" s="55" t="str">
        <f ca="1">IF(NOTA[[#This Row],[NAMA BARANG]]="","",INDEX(NOTA[SUPPLIER],MATCH(,INDIRECT(ADDRESS(ROW(NOTA[ID]),COLUMN(NOTA[ID]))&amp;":"&amp;ADDRESS(ROW(),COLUMN(NOTA[ID]))),-1)))</f>
        <v/>
      </c>
      <c r="AJ609" s="55" t="str">
        <f ca="1">IF(NOTA[[#This Row],[ID_H]]="","",IF(NOTA[[#This Row],[FAKTUR]]="",INDIRECT(ADDRESS(ROW()-1,COLUMN())),NOTA[[#This Row],[FAKTUR]]))</f>
        <v/>
      </c>
      <c r="AK609" s="56" t="str">
        <f ca="1">IF(NOTA[[#This Row],[ID]]="","",COUNTIF(NOTA[ID_H],NOTA[[#This Row],[ID_H]]))</f>
        <v/>
      </c>
      <c r="AL609" s="56" t="str">
        <f ca="1">IF(NOTA[[#This Row],[TGL.NOTA]]="",IF(NOTA[[#This Row],[SUPPLIER_H]]="","",AL608),MONTH(NOTA[[#This Row],[TGL.NOTA]]))</f>
        <v/>
      </c>
      <c r="AM609" s="56" t="str">
        <f>LOWER(SUBSTITUTE(SUBSTITUTE(SUBSTITUTE(SUBSTITUTE(SUBSTITUTE(SUBSTITUTE(SUBSTITUTE(SUBSTITUTE(SUBSTITUTE(NOTA[NAMA BARANG]," ",),".",""),"-",""),"(",""),")",""),",",""),"/",""),"""",""),"+",""))</f>
        <v/>
      </c>
      <c r="AN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56" t="str">
        <f>IF(NOTA[[#This Row],[CONCAT4]]="","",_xlfn.IFNA(MATCH(NOTA[[#This Row],[CONCAT4]],[2]!RAW[CONCAT_H],0),FALSE))</f>
        <v/>
      </c>
      <c r="AR609" s="56" t="str">
        <f>IF(NOTA[[#This Row],[CONCAT1]]="","",MATCH(NOTA[[#This Row],[CONCAT1]],[3]!db[NB NOTA_C],0))</f>
        <v/>
      </c>
      <c r="AS609" s="56" t="str">
        <f>IF(NOTA[[#This Row],[QTY/ CTN]]="","",TRUE)</f>
        <v/>
      </c>
      <c r="AT609" s="56" t="str">
        <f ca="1">IF(NOTA[[#This Row],[ID_H]]="","",IF(NOTA[[#This Row],[Column3]]=TRUE,NOTA[[#This Row],[QTY/ CTN]],INDEX([3]!db[QTY/ CTN],NOTA[[#This Row],[//DB]])))</f>
        <v/>
      </c>
      <c r="AU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9" s="56" t="str">
        <f ca="1">IF(NOTA[[#This Row],[ID_H]]="","",MATCH(NOTA[[#This Row],[NB NOTA_C_QTY]],[4]!db[NB NOTA_C_QTY+F],0))</f>
        <v/>
      </c>
      <c r="AW609" s="68" t="str">
        <f ca="1">IF(NOTA[[#This Row],[NB NOTA_C_QTY]]="","",ROW()-2)</f>
        <v/>
      </c>
    </row>
    <row r="610" spans="1:49" s="38" customFormat="1" ht="20.100000000000001" customHeight="1" x14ac:dyDescent="0.25">
      <c r="A610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ATA_0410_238-3</v>
      </c>
      <c r="C610" s="56" t="e">
        <f ca="1">IF(NOTA[[#This Row],[ID_P]]="","",MATCH(NOTA[[#This Row],[ID_P]],[1]!B_MSK[N_ID],0))</f>
        <v>#REF!</v>
      </c>
      <c r="D610" s="56">
        <f ca="1">IF(NOTA[[#This Row],[NAMA BARANG]]="","",INDEX(NOTA[ID],MATCH(,INDIRECT(ADDRESS(ROW(NOTA[ID]),COLUMN(NOTA[ID]))&amp;":"&amp;ADDRESS(ROW(),COLUMN(NOTA[ID]))),-1)))</f>
        <v>118</v>
      </c>
      <c r="E610" s="57">
        <v>45203</v>
      </c>
      <c r="F610" s="37" t="s">
        <v>24</v>
      </c>
      <c r="G610" s="37" t="s">
        <v>23</v>
      </c>
      <c r="H610" s="47" t="s">
        <v>704</v>
      </c>
      <c r="I610" s="58"/>
      <c r="J610" s="60">
        <v>45198</v>
      </c>
      <c r="K610" s="58"/>
      <c r="L610" s="37" t="s">
        <v>389</v>
      </c>
      <c r="M610" s="61">
        <v>3</v>
      </c>
      <c r="N610" s="56">
        <v>432</v>
      </c>
      <c r="O610" s="37" t="s">
        <v>132</v>
      </c>
      <c r="P610" s="55">
        <v>11900</v>
      </c>
      <c r="Q610" s="62"/>
      <c r="R610" s="63"/>
      <c r="S610" s="64">
        <v>0.125</v>
      </c>
      <c r="T610" s="65">
        <v>0.05</v>
      </c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5140800</v>
      </c>
      <c r="Y610" s="66">
        <f>IF(NOTA[[#This Row],[JUMLAH]]="","",NOTA[[#This Row],[JUMLAH]]*NOTA[[#This Row],[DISC 1]])</f>
        <v>642600</v>
      </c>
      <c r="Z610" s="66">
        <f>IF(NOTA[[#This Row],[JUMLAH]]="","",(NOTA[[#This Row],[JUMLAH]]-NOTA[[#This Row],[DISC 1-]])*NOTA[[#This Row],[DISC 2]])</f>
        <v>224910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867510</v>
      </c>
      <c r="AC610" s="66">
        <f>IF(NOTA[[#This Row],[JUMLAH]]="","",NOTA[[#This Row],[JUMLAH]]-NOTA[[#This Row],[DISC]])</f>
        <v>4273290</v>
      </c>
      <c r="AD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0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G610" s="66">
        <f>IF(OR(NOTA[[#This Row],[QTY]]="",NOTA[[#This Row],[HARGA SATUAN]]="",),"",NOTA[[#This Row],[QTY]]*NOTA[[#This Row],[HARGA SATUAN]])</f>
        <v>5140800</v>
      </c>
      <c r="AH610" s="60">
        <f ca="1">IF(NOTA[ID_H]="","",INDEX(NOTA[TANGGAL],MATCH(,INDIRECT(ADDRESS(ROW(NOTA[TANGGAL]),COLUMN(NOTA[TANGGAL]))&amp;":"&amp;ADDRESS(ROW(),COLUMN(NOTA[TANGGAL]))),-1)))</f>
        <v>45203</v>
      </c>
      <c r="AI610" s="55" t="str">
        <f ca="1">IF(NOTA[[#This Row],[NAMA BARANG]]="","",INDEX(NOTA[SUPPLIER],MATCH(,INDIRECT(ADDRESS(ROW(NOTA[ID]),COLUMN(NOTA[ID]))&amp;":"&amp;ADDRESS(ROW(),COLUMN(NOTA[ID]))),-1)))</f>
        <v>ATALI MAKMUR</v>
      </c>
      <c r="AJ610" s="55" t="str">
        <f ca="1">IF(NOTA[[#This Row],[ID_H]]="","",IF(NOTA[[#This Row],[FAKTUR]]="",INDIRECT(ADDRESS(ROW()-1,COLUMN())),NOTA[[#This Row],[FAKTUR]]))</f>
        <v>ARTO MORO</v>
      </c>
      <c r="AK610" s="56">
        <f ca="1">IF(NOTA[[#This Row],[ID]]="","",COUNTIF(NOTA[ID_H],NOTA[[#This Row],[ID_H]]))</f>
        <v>3</v>
      </c>
      <c r="AL610" s="56">
        <f>IF(NOTA[[#This Row],[TGL.NOTA]]="",IF(NOTA[[#This Row],[SUPPLIER_H]]="","",AL609),MONTH(NOTA[[#This Row],[TGL.NOTA]]))</f>
        <v>9</v>
      </c>
      <c r="AM610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1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MOROSA23091723845198oilpastelop12sppcaseseaworldjk</v>
      </c>
      <c r="AQ610" s="56" t="e">
        <f>IF(NOTA[[#This Row],[CONCAT4]]="","",_xlfn.IFNA(MATCH(NOTA[[#This Row],[CONCAT4]],[2]!RAW[CONCAT_H],0),FALSE))</f>
        <v>#REF!</v>
      </c>
      <c r="AR610" s="56">
        <f>IF(NOTA[[#This Row],[CONCAT1]]="","",MATCH(NOTA[[#This Row],[CONCAT1]],[3]!db[NB NOTA_C],0))</f>
        <v>1895</v>
      </c>
      <c r="AS610" s="56" t="str">
        <f>IF(NOTA[[#This Row],[QTY/ CTN]]="","",TRUE)</f>
        <v/>
      </c>
      <c r="AT610" s="56" t="str">
        <f ca="1">IF(NOTA[[#This Row],[ID_H]]="","",IF(NOTA[[#This Row],[Column3]]=TRUE,NOTA[[#This Row],[QTY/ CTN]],INDEX([3]!db[QTY/ CTN],NOTA[[#This Row],[//DB]])))</f>
        <v>12 LSN</v>
      </c>
      <c r="AU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V610" s="56" t="e">
        <f ca="1">IF(NOTA[[#This Row],[ID_H]]="","",MATCH(NOTA[[#This Row],[NB NOTA_C_QTY]],[4]!db[NB NOTA_C_QTY+F],0))</f>
        <v>#REF!</v>
      </c>
      <c r="AW610" s="68">
        <f ca="1">IF(NOTA[[#This Row],[NB NOTA_C_QTY]]="","",ROW()-2)</f>
        <v>608</v>
      </c>
    </row>
    <row r="611" spans="1:49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118</v>
      </c>
      <c r="E611" s="57"/>
      <c r="F611" s="58"/>
      <c r="G611" s="58"/>
      <c r="H611" s="59"/>
      <c r="I611" s="58"/>
      <c r="J611" s="60"/>
      <c r="K611" s="58"/>
      <c r="L611" s="37" t="s">
        <v>705</v>
      </c>
      <c r="M611" s="61">
        <v>2</v>
      </c>
      <c r="N611" s="56">
        <v>144</v>
      </c>
      <c r="O611" s="37" t="s">
        <v>132</v>
      </c>
      <c r="P611" s="55">
        <v>23000</v>
      </c>
      <c r="Q611" s="62"/>
      <c r="R611" s="63"/>
      <c r="S611" s="64">
        <v>0.125</v>
      </c>
      <c r="T611" s="65">
        <v>0.05</v>
      </c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3312000</v>
      </c>
      <c r="Y611" s="66">
        <f>IF(NOTA[[#This Row],[JUMLAH]]="","",NOTA[[#This Row],[JUMLAH]]*NOTA[[#This Row],[DISC 1]])</f>
        <v>414000</v>
      </c>
      <c r="Z611" s="66">
        <f>IF(NOTA[[#This Row],[JUMLAH]]="","",(NOTA[[#This Row],[JUMLAH]]-NOTA[[#This Row],[DISC 1-]])*NOTA[[#This Row],[DISC 2]])</f>
        <v>144900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558900</v>
      </c>
      <c r="AC611" s="66">
        <f>IF(NOTA[[#This Row],[JUMLAH]]="","",NOTA[[#This Row],[JUMLAH]]-NOTA[[#This Row],[DISC]])</f>
        <v>2753100</v>
      </c>
      <c r="AD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1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G611" s="66">
        <f>IF(OR(NOTA[[#This Row],[QTY]]="",NOTA[[#This Row],[HARGA SATUAN]]="",),"",NOTA[[#This Row],[QTY]]*NOTA[[#This Row],[HARGA SATUAN]])</f>
        <v>3312000</v>
      </c>
      <c r="AH611" s="60">
        <f ca="1">IF(NOTA[ID_H]="","",INDEX(NOTA[TANGGAL],MATCH(,INDIRECT(ADDRESS(ROW(NOTA[TANGGAL]),COLUMN(NOTA[TANGGAL]))&amp;":"&amp;ADDRESS(ROW(),COLUMN(NOTA[TANGGAL]))),-1)))</f>
        <v>45203</v>
      </c>
      <c r="AI611" s="55" t="str">
        <f ca="1">IF(NOTA[[#This Row],[NAMA BARANG]]="","",INDEX(NOTA[SUPPLIER],MATCH(,INDIRECT(ADDRESS(ROW(NOTA[ID]),COLUMN(NOTA[ID]))&amp;":"&amp;ADDRESS(ROW(),COLUMN(NOTA[ID]))),-1)))</f>
        <v>ATALI MAKMUR</v>
      </c>
      <c r="AJ611" s="55" t="str">
        <f ca="1">IF(NOTA[[#This Row],[ID_H]]="","",IF(NOTA[[#This Row],[FAKTUR]]="",INDIRECT(ADDRESS(ROW()-1,COLUMN())),NOTA[[#This Row],[FAKTUR]]))</f>
        <v>ARTO MORO</v>
      </c>
      <c r="AK611" s="56" t="str">
        <f ca="1">IF(NOTA[[#This Row],[ID]]="","",COUNTIF(NOTA[ID_H],NOTA[[#This Row],[ID_H]]))</f>
        <v/>
      </c>
      <c r="AL611" s="56">
        <f ca="1">IF(NOTA[[#This Row],[TGL.NOTA]]="",IF(NOTA[[#This Row],[SUPPLIER_H]]="","",AL610),MONTH(NOTA[[#This Row],[TGL.NOTA]]))</f>
        <v>9</v>
      </c>
      <c r="AM611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1" s="56" t="str">
        <f>IF(NOTA[[#This Row],[CONCAT4]]="","",_xlfn.IFNA(MATCH(NOTA[[#This Row],[CONCAT4]],[2]!RAW[CONCAT_H],0),FALSE))</f>
        <v/>
      </c>
      <c r="AR611" s="56">
        <f>IF(NOTA[[#This Row],[CONCAT1]]="","",MATCH(NOTA[[#This Row],[CONCAT1]],[3]!db[NB NOTA_C],0))</f>
        <v>1896</v>
      </c>
      <c r="AS611" s="56" t="str">
        <f>IF(NOTA[[#This Row],[QTY/ CTN]]="","",TRUE)</f>
        <v/>
      </c>
      <c r="AT611" s="56" t="str">
        <f ca="1">IF(NOTA[[#This Row],[ID_H]]="","",IF(NOTA[[#This Row],[Column3]]=TRUE,NOTA[[#This Row],[QTY/ CTN]],INDEX([3]!db[QTY/ CTN],NOTA[[#This Row],[//DB]])))</f>
        <v>6 LSN</v>
      </c>
      <c r="AU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V611" s="56" t="e">
        <f ca="1">IF(NOTA[[#This Row],[ID_H]]="","",MATCH(NOTA[[#This Row],[NB NOTA_C_QTY]],[4]!db[NB NOTA_C_QTY+F],0))</f>
        <v>#REF!</v>
      </c>
      <c r="AW611" s="68">
        <f ca="1">IF(NOTA[[#This Row],[NB NOTA_C_QTY]]="","",ROW()-2)</f>
        <v>609</v>
      </c>
    </row>
    <row r="612" spans="1:49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118</v>
      </c>
      <c r="E612" s="57"/>
      <c r="F612" s="58"/>
      <c r="G612" s="58"/>
      <c r="H612" s="59"/>
      <c r="I612" s="58"/>
      <c r="J612" s="60"/>
      <c r="K612" s="58"/>
      <c r="L612" s="37" t="s">
        <v>471</v>
      </c>
      <c r="M612" s="61">
        <v>2</v>
      </c>
      <c r="N612" s="56">
        <v>96</v>
      </c>
      <c r="O612" s="37" t="s">
        <v>132</v>
      </c>
      <c r="P612" s="55">
        <v>29600</v>
      </c>
      <c r="Q612" s="62"/>
      <c r="R612" s="63"/>
      <c r="S612" s="64">
        <v>0.125</v>
      </c>
      <c r="T612" s="65">
        <v>0.05</v>
      </c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2841600</v>
      </c>
      <c r="Y612" s="66">
        <f>IF(NOTA[[#This Row],[JUMLAH]]="","",NOTA[[#This Row],[JUMLAH]]*NOTA[[#This Row],[DISC 1]])</f>
        <v>355200</v>
      </c>
      <c r="Z612" s="66">
        <f>IF(NOTA[[#This Row],[JUMLAH]]="","",(NOTA[[#This Row],[JUMLAH]]-NOTA[[#This Row],[DISC 1-]])*NOTA[[#This Row],[DISC 2]])</f>
        <v>124320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479520</v>
      </c>
      <c r="AC612" s="66">
        <f>IF(NOTA[[#This Row],[JUMLAH]]="","",NOTA[[#This Row],[JUMLAH]]-NOTA[[#This Row],[DISC]])</f>
        <v>2362080</v>
      </c>
      <c r="AD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1905930</v>
      </c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9388470</v>
      </c>
      <c r="AF61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G612" s="66">
        <f>IF(OR(NOTA[[#This Row],[QTY]]="",NOTA[[#This Row],[HARGA SATUAN]]="",),"",NOTA[[#This Row],[QTY]]*NOTA[[#This Row],[HARGA SATUAN]])</f>
        <v>2841600</v>
      </c>
      <c r="AH612" s="60">
        <f ca="1">IF(NOTA[ID_H]="","",INDEX(NOTA[TANGGAL],MATCH(,INDIRECT(ADDRESS(ROW(NOTA[TANGGAL]),COLUMN(NOTA[TANGGAL]))&amp;":"&amp;ADDRESS(ROW(),COLUMN(NOTA[TANGGAL]))),-1)))</f>
        <v>45203</v>
      </c>
      <c r="AI612" s="55" t="str">
        <f ca="1">IF(NOTA[[#This Row],[NAMA BARANG]]="","",INDEX(NOTA[SUPPLIER],MATCH(,INDIRECT(ADDRESS(ROW(NOTA[ID]),COLUMN(NOTA[ID]))&amp;":"&amp;ADDRESS(ROW(),COLUMN(NOTA[ID]))),-1)))</f>
        <v>ATALI MAKMUR</v>
      </c>
      <c r="AJ612" s="55" t="str">
        <f ca="1">IF(NOTA[[#This Row],[ID_H]]="","",IF(NOTA[[#This Row],[FAKTUR]]="",INDIRECT(ADDRESS(ROW()-1,COLUMN())),NOTA[[#This Row],[FAKTUR]]))</f>
        <v>ARTO MORO</v>
      </c>
      <c r="AK612" s="56" t="str">
        <f ca="1">IF(NOTA[[#This Row],[ID]]="","",COUNTIF(NOTA[ID_H],NOTA[[#This Row],[ID_H]]))</f>
        <v/>
      </c>
      <c r="AL612" s="56">
        <f ca="1">IF(NOTA[[#This Row],[TGL.NOTA]]="",IF(NOTA[[#This Row],[SUPPLIER_H]]="","",AL611),MONTH(NOTA[[#This Row],[TGL.NOTA]]))</f>
        <v>9</v>
      </c>
      <c r="AM61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56" t="str">
        <f>IF(NOTA[[#This Row],[CONCAT4]]="","",_xlfn.IFNA(MATCH(NOTA[[#This Row],[CONCAT4]],[2]!RAW[CONCAT_H],0),FALSE))</f>
        <v/>
      </c>
      <c r="AR612" s="56">
        <f>IF(NOTA[[#This Row],[CONCAT1]]="","",MATCH(NOTA[[#This Row],[CONCAT1]],[3]!db[NB NOTA_C],0))</f>
        <v>1897</v>
      </c>
      <c r="AS612" s="56" t="str">
        <f>IF(NOTA[[#This Row],[QTY/ CTN]]="","",TRUE)</f>
        <v/>
      </c>
      <c r="AT612" s="56" t="str">
        <f ca="1">IF(NOTA[[#This Row],[ID_H]]="","",IF(NOTA[[#This Row],[Column3]]=TRUE,NOTA[[#This Row],[QTY/ CTN]],INDEX([3]!db[QTY/ CTN],NOTA[[#This Row],[//DB]])))</f>
        <v>8 BOX (6 SET)</v>
      </c>
      <c r="AU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612" s="56" t="e">
        <f ca="1">IF(NOTA[[#This Row],[ID_H]]="","",MATCH(NOTA[[#This Row],[NB NOTA_C_QTY]],[4]!db[NB NOTA_C_QTY+F],0))</f>
        <v>#REF!</v>
      </c>
      <c r="AW612" s="68">
        <f ca="1">IF(NOTA[[#This Row],[NB NOTA_C_QTY]]="","",ROW()-2)</f>
        <v>610</v>
      </c>
    </row>
    <row r="613" spans="1:49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3" s="66" t="str">
        <f>IF(OR(NOTA[[#This Row],[QTY]]="",NOTA[[#This Row],[HARGA SATUAN]]="",),"",NOTA[[#This Row],[QTY]]*NOTA[[#This Row],[HARGA SATUAN]])</f>
        <v/>
      </c>
      <c r="AH613" s="60" t="str">
        <f ca="1">IF(NOTA[ID_H]="","",INDEX(NOTA[TANGGAL],MATCH(,INDIRECT(ADDRESS(ROW(NOTA[TANGGAL]),COLUMN(NOTA[TANGGAL]))&amp;":"&amp;ADDRESS(ROW(),COLUMN(NOTA[TANGGAL]))),-1)))</f>
        <v/>
      </c>
      <c r="AI613" s="55" t="str">
        <f ca="1">IF(NOTA[[#This Row],[NAMA BARANG]]="","",INDEX(NOTA[SUPPLIER],MATCH(,INDIRECT(ADDRESS(ROW(NOTA[ID]),COLUMN(NOTA[ID]))&amp;":"&amp;ADDRESS(ROW(),COLUMN(NOTA[ID]))),-1)))</f>
        <v/>
      </c>
      <c r="AJ613" s="55" t="str">
        <f ca="1">IF(NOTA[[#This Row],[ID_H]]="","",IF(NOTA[[#This Row],[FAKTUR]]="",INDIRECT(ADDRESS(ROW()-1,COLUMN())),NOTA[[#This Row],[FAKTUR]]))</f>
        <v/>
      </c>
      <c r="AK613" s="56" t="str">
        <f ca="1">IF(NOTA[[#This Row],[ID]]="","",COUNTIF(NOTA[ID_H],NOTA[[#This Row],[ID_H]]))</f>
        <v/>
      </c>
      <c r="AL613" s="56" t="str">
        <f ca="1">IF(NOTA[[#This Row],[TGL.NOTA]]="",IF(NOTA[[#This Row],[SUPPLIER_H]]="","",AL612),MONTH(NOTA[[#This Row],[TGL.NOTA]]))</f>
        <v/>
      </c>
      <c r="AM613" s="56" t="str">
        <f>LOWER(SUBSTITUTE(SUBSTITUTE(SUBSTITUTE(SUBSTITUTE(SUBSTITUTE(SUBSTITUTE(SUBSTITUTE(SUBSTITUTE(SUBSTITUTE(NOTA[NAMA BARANG]," ",),".",""),"-",""),"(",""),")",""),",",""),"/",""),"""",""),"+",""))</f>
        <v/>
      </c>
      <c r="AN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56" t="str">
        <f>IF(NOTA[[#This Row],[CONCAT4]]="","",_xlfn.IFNA(MATCH(NOTA[[#This Row],[CONCAT4]],[2]!RAW[CONCAT_H],0),FALSE))</f>
        <v/>
      </c>
      <c r="AR613" s="56" t="str">
        <f>IF(NOTA[[#This Row],[CONCAT1]]="","",MATCH(NOTA[[#This Row],[CONCAT1]],[3]!db[NB NOTA_C],0))</f>
        <v/>
      </c>
      <c r="AS613" s="56" t="str">
        <f>IF(NOTA[[#This Row],[QTY/ CTN]]="","",TRUE)</f>
        <v/>
      </c>
      <c r="AT613" s="56" t="str">
        <f ca="1">IF(NOTA[[#This Row],[ID_H]]="","",IF(NOTA[[#This Row],[Column3]]=TRUE,NOTA[[#This Row],[QTY/ CTN]],INDEX([3]!db[QTY/ CTN],NOTA[[#This Row],[//DB]])))</f>
        <v/>
      </c>
      <c r="AU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3" s="56" t="str">
        <f ca="1">IF(NOTA[[#This Row],[ID_H]]="","",MATCH(NOTA[[#This Row],[NB NOTA_C_QTY]],[4]!db[NB NOTA_C_QTY+F],0))</f>
        <v/>
      </c>
      <c r="AW613" s="68" t="str">
        <f ca="1">IF(NOTA[[#This Row],[NB NOTA_C_QTY]]="","",ROW()-2)</f>
        <v/>
      </c>
    </row>
    <row r="614" spans="1:49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4" s="66" t="str">
        <f>IF(OR(NOTA[[#This Row],[QTY]]="",NOTA[[#This Row],[HARGA SATUAN]]="",),"",NOTA[[#This Row],[QTY]]*NOTA[[#This Row],[HARGA SATUAN]])</f>
        <v/>
      </c>
      <c r="AH614" s="60" t="str">
        <f ca="1">IF(NOTA[ID_H]="","",INDEX(NOTA[TANGGAL],MATCH(,INDIRECT(ADDRESS(ROW(NOTA[TANGGAL]),COLUMN(NOTA[TANGGAL]))&amp;":"&amp;ADDRESS(ROW(),COLUMN(NOTA[TANGGAL]))),-1)))</f>
        <v/>
      </c>
      <c r="AI614" s="55" t="str">
        <f ca="1">IF(NOTA[[#This Row],[NAMA BARANG]]="","",INDEX(NOTA[SUPPLIER],MATCH(,INDIRECT(ADDRESS(ROW(NOTA[ID]),COLUMN(NOTA[ID]))&amp;":"&amp;ADDRESS(ROW(),COLUMN(NOTA[ID]))),-1)))</f>
        <v/>
      </c>
      <c r="AJ614" s="55" t="str">
        <f ca="1">IF(NOTA[[#This Row],[ID_H]]="","",IF(NOTA[[#This Row],[FAKTUR]]="",INDIRECT(ADDRESS(ROW()-1,COLUMN())),NOTA[[#This Row],[FAKTUR]]))</f>
        <v/>
      </c>
      <c r="AK614" s="56" t="str">
        <f ca="1">IF(NOTA[[#This Row],[ID]]="","",COUNTIF(NOTA[ID_H],NOTA[[#This Row],[ID_H]]))</f>
        <v/>
      </c>
      <c r="AL614" s="56" t="str">
        <f ca="1">IF(NOTA[[#This Row],[TGL.NOTA]]="",IF(NOTA[[#This Row],[SUPPLIER_H]]="","",AL613),MONTH(NOTA[[#This Row],[TGL.NOTA]]))</f>
        <v/>
      </c>
      <c r="AM614" s="56" t="str">
        <f>LOWER(SUBSTITUTE(SUBSTITUTE(SUBSTITUTE(SUBSTITUTE(SUBSTITUTE(SUBSTITUTE(SUBSTITUTE(SUBSTITUTE(SUBSTITUTE(NOTA[NAMA BARANG]," ",),".",""),"-",""),"(",""),")",""),",",""),"/",""),"""",""),"+",""))</f>
        <v/>
      </c>
      <c r="AN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56" t="str">
        <f>IF(NOTA[[#This Row],[CONCAT4]]="","",_xlfn.IFNA(MATCH(NOTA[[#This Row],[CONCAT4]],[2]!RAW[CONCAT_H],0),FALSE))</f>
        <v/>
      </c>
      <c r="AR614" s="56" t="str">
        <f>IF(NOTA[[#This Row],[CONCAT1]]="","",MATCH(NOTA[[#This Row],[CONCAT1]],[3]!db[NB NOTA_C],0))</f>
        <v/>
      </c>
      <c r="AS614" s="56" t="str">
        <f>IF(NOTA[[#This Row],[QTY/ CTN]]="","",TRUE)</f>
        <v/>
      </c>
      <c r="AT614" s="56" t="str">
        <f ca="1">IF(NOTA[[#This Row],[ID_H]]="","",IF(NOTA[[#This Row],[Column3]]=TRUE,NOTA[[#This Row],[QTY/ CTN]],INDEX([3]!db[QTY/ CTN],NOTA[[#This Row],[//DB]])))</f>
        <v/>
      </c>
      <c r="AU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4" s="56" t="str">
        <f ca="1">IF(NOTA[[#This Row],[ID_H]]="","",MATCH(NOTA[[#This Row],[NB NOTA_C_QTY]],[4]!db[NB NOTA_C_QTY+F],0))</f>
        <v/>
      </c>
      <c r="AW614" s="68" t="str">
        <f ca="1">IF(NOTA[[#This Row],[NB NOTA_C_QTY]]="","",ROW()-2)</f>
        <v/>
      </c>
    </row>
    <row r="615" spans="1:49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5" s="66" t="str">
        <f>IF(OR(NOTA[[#This Row],[QTY]]="",NOTA[[#This Row],[HARGA SATUAN]]="",),"",NOTA[[#This Row],[QTY]]*NOTA[[#This Row],[HARGA SATUAN]])</f>
        <v/>
      </c>
      <c r="AH615" s="60" t="str">
        <f ca="1">IF(NOTA[ID_H]="","",INDEX(NOTA[TANGGAL],MATCH(,INDIRECT(ADDRESS(ROW(NOTA[TANGGAL]),COLUMN(NOTA[TANGGAL]))&amp;":"&amp;ADDRESS(ROW(),COLUMN(NOTA[TANGGAL]))),-1)))</f>
        <v/>
      </c>
      <c r="AI615" s="55" t="str">
        <f ca="1">IF(NOTA[[#This Row],[NAMA BARANG]]="","",INDEX(NOTA[SUPPLIER],MATCH(,INDIRECT(ADDRESS(ROW(NOTA[ID]),COLUMN(NOTA[ID]))&amp;":"&amp;ADDRESS(ROW(),COLUMN(NOTA[ID]))),-1)))</f>
        <v/>
      </c>
      <c r="AJ615" s="55" t="str">
        <f ca="1">IF(NOTA[[#This Row],[ID_H]]="","",IF(NOTA[[#This Row],[FAKTUR]]="",INDIRECT(ADDRESS(ROW()-1,COLUMN())),NOTA[[#This Row],[FAKTUR]]))</f>
        <v/>
      </c>
      <c r="AK615" s="56" t="str">
        <f ca="1">IF(NOTA[[#This Row],[ID]]="","",COUNTIF(NOTA[ID_H],NOTA[[#This Row],[ID_H]]))</f>
        <v/>
      </c>
      <c r="AL615" s="56" t="str">
        <f ca="1">IF(NOTA[[#This Row],[TGL.NOTA]]="",IF(NOTA[[#This Row],[SUPPLIER_H]]="","",AL614),MONTH(NOTA[[#This Row],[TGL.NOTA]]))</f>
        <v/>
      </c>
      <c r="AM615" s="56" t="str">
        <f>LOWER(SUBSTITUTE(SUBSTITUTE(SUBSTITUTE(SUBSTITUTE(SUBSTITUTE(SUBSTITUTE(SUBSTITUTE(SUBSTITUTE(SUBSTITUTE(NOTA[NAMA BARANG]," ",),".",""),"-",""),"(",""),")",""),",",""),"/",""),"""",""),"+",""))</f>
        <v/>
      </c>
      <c r="AN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56" t="str">
        <f>IF(NOTA[[#This Row],[CONCAT4]]="","",_xlfn.IFNA(MATCH(NOTA[[#This Row],[CONCAT4]],[2]!RAW[CONCAT_H],0),FALSE))</f>
        <v/>
      </c>
      <c r="AR615" s="56" t="str">
        <f>IF(NOTA[[#This Row],[CONCAT1]]="","",MATCH(NOTA[[#This Row],[CONCAT1]],[3]!db[NB NOTA_C],0))</f>
        <v/>
      </c>
      <c r="AS615" s="56" t="str">
        <f>IF(NOTA[[#This Row],[QTY/ CTN]]="","",TRUE)</f>
        <v/>
      </c>
      <c r="AT615" s="56" t="str">
        <f ca="1">IF(NOTA[[#This Row],[ID_H]]="","",IF(NOTA[[#This Row],[Column3]]=TRUE,NOTA[[#This Row],[QTY/ CTN]],INDEX([3]!db[QTY/ CTN],NOTA[[#This Row],[//DB]])))</f>
        <v/>
      </c>
      <c r="AU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5" s="56" t="str">
        <f ca="1">IF(NOTA[[#This Row],[ID_H]]="","",MATCH(NOTA[[#This Row],[NB NOTA_C_QTY]],[4]!db[NB NOTA_C_QTY+F],0))</f>
        <v/>
      </c>
      <c r="AW615" s="68" t="str">
        <f ca="1">IF(NOTA[[#This Row],[NB NOTA_C_QTY]]="","",ROW()-2)</f>
        <v/>
      </c>
    </row>
    <row r="616" spans="1:49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6" s="66" t="str">
        <f>IF(OR(NOTA[[#This Row],[QTY]]="",NOTA[[#This Row],[HARGA SATUAN]]="",),"",NOTA[[#This Row],[QTY]]*NOTA[[#This Row],[HARGA SATUAN]])</f>
        <v/>
      </c>
      <c r="AH616" s="60" t="str">
        <f ca="1">IF(NOTA[ID_H]="","",INDEX(NOTA[TANGGAL],MATCH(,INDIRECT(ADDRESS(ROW(NOTA[TANGGAL]),COLUMN(NOTA[TANGGAL]))&amp;":"&amp;ADDRESS(ROW(),COLUMN(NOTA[TANGGAL]))),-1)))</f>
        <v/>
      </c>
      <c r="AI616" s="55" t="str">
        <f ca="1">IF(NOTA[[#This Row],[NAMA BARANG]]="","",INDEX(NOTA[SUPPLIER],MATCH(,INDIRECT(ADDRESS(ROW(NOTA[ID]),COLUMN(NOTA[ID]))&amp;":"&amp;ADDRESS(ROW(),COLUMN(NOTA[ID]))),-1)))</f>
        <v/>
      </c>
      <c r="AJ616" s="55" t="str">
        <f ca="1">IF(NOTA[[#This Row],[ID_H]]="","",IF(NOTA[[#This Row],[FAKTUR]]="",INDIRECT(ADDRESS(ROW()-1,COLUMN())),NOTA[[#This Row],[FAKTUR]]))</f>
        <v/>
      </c>
      <c r="AK616" s="56" t="str">
        <f ca="1">IF(NOTA[[#This Row],[ID]]="","",COUNTIF(NOTA[ID_H],NOTA[[#This Row],[ID_H]]))</f>
        <v/>
      </c>
      <c r="AL616" s="56" t="str">
        <f ca="1">IF(NOTA[[#This Row],[TGL.NOTA]]="",IF(NOTA[[#This Row],[SUPPLIER_H]]="","",AL615),MONTH(NOTA[[#This Row],[TGL.NOTA]]))</f>
        <v/>
      </c>
      <c r="AM616" s="56" t="str">
        <f>LOWER(SUBSTITUTE(SUBSTITUTE(SUBSTITUTE(SUBSTITUTE(SUBSTITUTE(SUBSTITUTE(SUBSTITUTE(SUBSTITUTE(SUBSTITUTE(NOTA[NAMA BARANG]," ",),".",""),"-",""),"(",""),")",""),",",""),"/",""),"""",""),"+",""))</f>
        <v/>
      </c>
      <c r="AN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56" t="str">
        <f>IF(NOTA[[#This Row],[CONCAT4]]="","",_xlfn.IFNA(MATCH(NOTA[[#This Row],[CONCAT4]],[2]!RAW[CONCAT_H],0),FALSE))</f>
        <v/>
      </c>
      <c r="AR616" s="56" t="str">
        <f>IF(NOTA[[#This Row],[CONCAT1]]="","",MATCH(NOTA[[#This Row],[CONCAT1]],[3]!db[NB NOTA_C],0))</f>
        <v/>
      </c>
      <c r="AS616" s="56" t="str">
        <f>IF(NOTA[[#This Row],[QTY/ CTN]]="","",TRUE)</f>
        <v/>
      </c>
      <c r="AT616" s="56" t="str">
        <f ca="1">IF(NOTA[[#This Row],[ID_H]]="","",IF(NOTA[[#This Row],[Column3]]=TRUE,NOTA[[#This Row],[QTY/ CTN]],INDEX([3]!db[QTY/ CTN],NOTA[[#This Row],[//DB]])))</f>
        <v/>
      </c>
      <c r="AU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6" s="56" t="str">
        <f ca="1">IF(NOTA[[#This Row],[ID_H]]="","",MATCH(NOTA[[#This Row],[NB NOTA_C_QTY]],[4]!db[NB NOTA_C_QTY+F],0))</f>
        <v/>
      </c>
      <c r="AW616" s="68" t="str">
        <f ca="1">IF(NOTA[[#This Row],[NB NOTA_C_QTY]]="","",ROW()-2)</f>
        <v/>
      </c>
    </row>
    <row r="617" spans="1:49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7" s="66" t="str">
        <f>IF(OR(NOTA[[#This Row],[QTY]]="",NOTA[[#This Row],[HARGA SATUAN]]="",),"",NOTA[[#This Row],[QTY]]*NOTA[[#This Row],[HARGA SATUAN]])</f>
        <v/>
      </c>
      <c r="AH617" s="60" t="str">
        <f ca="1">IF(NOTA[ID_H]="","",INDEX(NOTA[TANGGAL],MATCH(,INDIRECT(ADDRESS(ROW(NOTA[TANGGAL]),COLUMN(NOTA[TANGGAL]))&amp;":"&amp;ADDRESS(ROW(),COLUMN(NOTA[TANGGAL]))),-1)))</f>
        <v/>
      </c>
      <c r="AI617" s="55" t="str">
        <f ca="1">IF(NOTA[[#This Row],[NAMA BARANG]]="","",INDEX(NOTA[SUPPLIER],MATCH(,INDIRECT(ADDRESS(ROW(NOTA[ID]),COLUMN(NOTA[ID]))&amp;":"&amp;ADDRESS(ROW(),COLUMN(NOTA[ID]))),-1)))</f>
        <v/>
      </c>
      <c r="AJ617" s="55" t="str">
        <f ca="1">IF(NOTA[[#This Row],[ID_H]]="","",IF(NOTA[[#This Row],[FAKTUR]]="",INDIRECT(ADDRESS(ROW()-1,COLUMN())),NOTA[[#This Row],[FAKTUR]]))</f>
        <v/>
      </c>
      <c r="AK617" s="56" t="str">
        <f ca="1">IF(NOTA[[#This Row],[ID]]="","",COUNTIF(NOTA[ID_H],NOTA[[#This Row],[ID_H]]))</f>
        <v/>
      </c>
      <c r="AL617" s="56" t="str">
        <f ca="1">IF(NOTA[[#This Row],[TGL.NOTA]]="",IF(NOTA[[#This Row],[SUPPLIER_H]]="","",AL616),MONTH(NOTA[[#This Row],[TGL.NOTA]]))</f>
        <v/>
      </c>
      <c r="AM617" s="56" t="str">
        <f>LOWER(SUBSTITUTE(SUBSTITUTE(SUBSTITUTE(SUBSTITUTE(SUBSTITUTE(SUBSTITUTE(SUBSTITUTE(SUBSTITUTE(SUBSTITUTE(NOTA[NAMA BARANG]," ",),".",""),"-",""),"(",""),")",""),",",""),"/",""),"""",""),"+",""))</f>
        <v/>
      </c>
      <c r="AN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56" t="str">
        <f>IF(NOTA[[#This Row],[CONCAT4]]="","",_xlfn.IFNA(MATCH(NOTA[[#This Row],[CONCAT4]],[2]!RAW[CONCAT_H],0),FALSE))</f>
        <v/>
      </c>
      <c r="AR617" s="56" t="str">
        <f>IF(NOTA[[#This Row],[CONCAT1]]="","",MATCH(NOTA[[#This Row],[CONCAT1]],[3]!db[NB NOTA_C],0))</f>
        <v/>
      </c>
      <c r="AS617" s="56" t="str">
        <f>IF(NOTA[[#This Row],[QTY/ CTN]]="","",TRUE)</f>
        <v/>
      </c>
      <c r="AT617" s="56" t="str">
        <f ca="1">IF(NOTA[[#This Row],[ID_H]]="","",IF(NOTA[[#This Row],[Column3]]=TRUE,NOTA[[#This Row],[QTY/ CTN]],INDEX([3]!db[QTY/ CTN],NOTA[[#This Row],[//DB]])))</f>
        <v/>
      </c>
      <c r="AU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7" s="56" t="str">
        <f ca="1">IF(NOTA[[#This Row],[ID_H]]="","",MATCH(NOTA[[#This Row],[NB NOTA_C_QTY]],[4]!db[NB NOTA_C_QTY+F],0))</f>
        <v/>
      </c>
      <c r="AW617" s="68" t="str">
        <f ca="1">IF(NOTA[[#This Row],[NB NOTA_C_QTY]]="","",ROW()-2)</f>
        <v/>
      </c>
    </row>
    <row r="618" spans="1:49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8" s="66" t="str">
        <f>IF(OR(NOTA[[#This Row],[QTY]]="",NOTA[[#This Row],[HARGA SATUAN]]="",),"",NOTA[[#This Row],[QTY]]*NOTA[[#This Row],[HARGA SATUAN]])</f>
        <v/>
      </c>
      <c r="AH618" s="60" t="str">
        <f ca="1">IF(NOTA[ID_H]="","",INDEX(NOTA[TANGGAL],MATCH(,INDIRECT(ADDRESS(ROW(NOTA[TANGGAL]),COLUMN(NOTA[TANGGAL]))&amp;":"&amp;ADDRESS(ROW(),COLUMN(NOTA[TANGGAL]))),-1)))</f>
        <v/>
      </c>
      <c r="AI618" s="55" t="str">
        <f ca="1">IF(NOTA[[#This Row],[NAMA BARANG]]="","",INDEX(NOTA[SUPPLIER],MATCH(,INDIRECT(ADDRESS(ROW(NOTA[ID]),COLUMN(NOTA[ID]))&amp;":"&amp;ADDRESS(ROW(),COLUMN(NOTA[ID]))),-1)))</f>
        <v/>
      </c>
      <c r="AJ618" s="55" t="str">
        <f ca="1">IF(NOTA[[#This Row],[ID_H]]="","",IF(NOTA[[#This Row],[FAKTUR]]="",INDIRECT(ADDRESS(ROW()-1,COLUMN())),NOTA[[#This Row],[FAKTUR]]))</f>
        <v/>
      </c>
      <c r="AK618" s="56" t="str">
        <f ca="1">IF(NOTA[[#This Row],[ID]]="","",COUNTIF(NOTA[ID_H],NOTA[[#This Row],[ID_H]]))</f>
        <v/>
      </c>
      <c r="AL618" s="56" t="str">
        <f ca="1">IF(NOTA[[#This Row],[TGL.NOTA]]="",IF(NOTA[[#This Row],[SUPPLIER_H]]="","",AL617),MONTH(NOTA[[#This Row],[TGL.NOTA]]))</f>
        <v/>
      </c>
      <c r="AM618" s="56" t="str">
        <f>LOWER(SUBSTITUTE(SUBSTITUTE(SUBSTITUTE(SUBSTITUTE(SUBSTITUTE(SUBSTITUTE(SUBSTITUTE(SUBSTITUTE(SUBSTITUTE(NOTA[NAMA BARANG]," ",),".",""),"-",""),"(",""),")",""),",",""),"/",""),"""",""),"+",""))</f>
        <v/>
      </c>
      <c r="AN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56" t="str">
        <f>IF(NOTA[[#This Row],[CONCAT4]]="","",_xlfn.IFNA(MATCH(NOTA[[#This Row],[CONCAT4]],[2]!RAW[CONCAT_H],0),FALSE))</f>
        <v/>
      </c>
      <c r="AR618" s="56" t="str">
        <f>IF(NOTA[[#This Row],[CONCAT1]]="","",MATCH(NOTA[[#This Row],[CONCAT1]],[3]!db[NB NOTA_C],0))</f>
        <v/>
      </c>
      <c r="AS618" s="56" t="str">
        <f>IF(NOTA[[#This Row],[QTY/ CTN]]="","",TRUE)</f>
        <v/>
      </c>
      <c r="AT618" s="56" t="str">
        <f ca="1">IF(NOTA[[#This Row],[ID_H]]="","",IF(NOTA[[#This Row],[Column3]]=TRUE,NOTA[[#This Row],[QTY/ CTN]],INDEX([3]!db[QTY/ CTN],NOTA[[#This Row],[//DB]])))</f>
        <v/>
      </c>
      <c r="AU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8" s="56" t="str">
        <f ca="1">IF(NOTA[[#This Row],[ID_H]]="","",MATCH(NOTA[[#This Row],[NB NOTA_C_QTY]],[4]!db[NB NOTA_C_QTY+F],0))</f>
        <v/>
      </c>
      <c r="AW618" s="68" t="str">
        <f ca="1">IF(NOTA[[#This Row],[NB NOTA_C_QTY]]="","",ROW()-2)</f>
        <v/>
      </c>
    </row>
    <row r="619" spans="1:49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19" s="66" t="str">
        <f>IF(OR(NOTA[[#This Row],[QTY]]="",NOTA[[#This Row],[HARGA SATUAN]]="",),"",NOTA[[#This Row],[QTY]]*NOTA[[#This Row],[HARGA SATUAN]])</f>
        <v/>
      </c>
      <c r="AH619" s="60" t="str">
        <f ca="1">IF(NOTA[ID_H]="","",INDEX(NOTA[TANGGAL],MATCH(,INDIRECT(ADDRESS(ROW(NOTA[TANGGAL]),COLUMN(NOTA[TANGGAL]))&amp;":"&amp;ADDRESS(ROW(),COLUMN(NOTA[TANGGAL]))),-1)))</f>
        <v/>
      </c>
      <c r="AI619" s="55" t="str">
        <f ca="1">IF(NOTA[[#This Row],[NAMA BARANG]]="","",INDEX(NOTA[SUPPLIER],MATCH(,INDIRECT(ADDRESS(ROW(NOTA[ID]),COLUMN(NOTA[ID]))&amp;":"&amp;ADDRESS(ROW(),COLUMN(NOTA[ID]))),-1)))</f>
        <v/>
      </c>
      <c r="AJ619" s="55" t="str">
        <f ca="1">IF(NOTA[[#This Row],[ID_H]]="","",IF(NOTA[[#This Row],[FAKTUR]]="",INDIRECT(ADDRESS(ROW()-1,COLUMN())),NOTA[[#This Row],[FAKTUR]]))</f>
        <v/>
      </c>
      <c r="AK619" s="56" t="str">
        <f ca="1">IF(NOTA[[#This Row],[ID]]="","",COUNTIF(NOTA[ID_H],NOTA[[#This Row],[ID_H]]))</f>
        <v/>
      </c>
      <c r="AL619" s="56" t="str">
        <f ca="1">IF(NOTA[[#This Row],[TGL.NOTA]]="",IF(NOTA[[#This Row],[SUPPLIER_H]]="","",AL618),MONTH(NOTA[[#This Row],[TGL.NOTA]]))</f>
        <v/>
      </c>
      <c r="AM619" s="56" t="str">
        <f>LOWER(SUBSTITUTE(SUBSTITUTE(SUBSTITUTE(SUBSTITUTE(SUBSTITUTE(SUBSTITUTE(SUBSTITUTE(SUBSTITUTE(SUBSTITUTE(NOTA[NAMA BARANG]," ",),".",""),"-",""),"(",""),")",""),",",""),"/",""),"""",""),"+",""))</f>
        <v/>
      </c>
      <c r="AN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9" s="56" t="str">
        <f>IF(NOTA[[#This Row],[CONCAT4]]="","",_xlfn.IFNA(MATCH(NOTA[[#This Row],[CONCAT4]],[2]!RAW[CONCAT_H],0),FALSE))</f>
        <v/>
      </c>
      <c r="AR619" s="56" t="str">
        <f>IF(NOTA[[#This Row],[CONCAT1]]="","",MATCH(NOTA[[#This Row],[CONCAT1]],[3]!db[NB NOTA_C],0))</f>
        <v/>
      </c>
      <c r="AS619" s="56" t="str">
        <f>IF(NOTA[[#This Row],[QTY/ CTN]]="","",TRUE)</f>
        <v/>
      </c>
      <c r="AT619" s="56" t="str">
        <f ca="1">IF(NOTA[[#This Row],[ID_H]]="","",IF(NOTA[[#This Row],[Column3]]=TRUE,NOTA[[#This Row],[QTY/ CTN]],INDEX([3]!db[QTY/ CTN],NOTA[[#This Row],[//DB]])))</f>
        <v/>
      </c>
      <c r="AU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9" s="56" t="str">
        <f ca="1">IF(NOTA[[#This Row],[ID_H]]="","",MATCH(NOTA[[#This Row],[NB NOTA_C_QTY]],[4]!db[NB NOTA_C_QTY+F],0))</f>
        <v/>
      </c>
      <c r="AW619" s="68" t="str">
        <f ca="1">IF(NOTA[[#This Row],[NB NOTA_C_QTY]]="","",ROW()-2)</f>
        <v/>
      </c>
    </row>
    <row r="620" spans="1:49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0" s="66" t="str">
        <f>IF(OR(NOTA[[#This Row],[QTY]]="",NOTA[[#This Row],[HARGA SATUAN]]="",),"",NOTA[[#This Row],[QTY]]*NOTA[[#This Row],[HARGA SATUAN]])</f>
        <v/>
      </c>
      <c r="AH620" s="60" t="str">
        <f ca="1">IF(NOTA[ID_H]="","",INDEX(NOTA[TANGGAL],MATCH(,INDIRECT(ADDRESS(ROW(NOTA[TANGGAL]),COLUMN(NOTA[TANGGAL]))&amp;":"&amp;ADDRESS(ROW(),COLUMN(NOTA[TANGGAL]))),-1)))</f>
        <v/>
      </c>
      <c r="AI620" s="55" t="str">
        <f ca="1">IF(NOTA[[#This Row],[NAMA BARANG]]="","",INDEX(NOTA[SUPPLIER],MATCH(,INDIRECT(ADDRESS(ROW(NOTA[ID]),COLUMN(NOTA[ID]))&amp;":"&amp;ADDRESS(ROW(),COLUMN(NOTA[ID]))),-1)))</f>
        <v/>
      </c>
      <c r="AJ620" s="55" t="str">
        <f ca="1">IF(NOTA[[#This Row],[ID_H]]="","",IF(NOTA[[#This Row],[FAKTUR]]="",INDIRECT(ADDRESS(ROW()-1,COLUMN())),NOTA[[#This Row],[FAKTUR]]))</f>
        <v/>
      </c>
      <c r="AK620" s="56" t="str">
        <f ca="1">IF(NOTA[[#This Row],[ID]]="","",COUNTIF(NOTA[ID_H],NOTA[[#This Row],[ID_H]]))</f>
        <v/>
      </c>
      <c r="AL620" s="56" t="str">
        <f ca="1">IF(NOTA[[#This Row],[TGL.NOTA]]="",IF(NOTA[[#This Row],[SUPPLIER_H]]="","",AL619),MONTH(NOTA[[#This Row],[TGL.NOTA]]))</f>
        <v/>
      </c>
      <c r="AM620" s="56" t="str">
        <f>LOWER(SUBSTITUTE(SUBSTITUTE(SUBSTITUTE(SUBSTITUTE(SUBSTITUTE(SUBSTITUTE(SUBSTITUTE(SUBSTITUTE(SUBSTITUTE(NOTA[NAMA BARANG]," ",),".",""),"-",""),"(",""),")",""),",",""),"/",""),"""",""),"+",""))</f>
        <v/>
      </c>
      <c r="AN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56" t="str">
        <f>IF(NOTA[[#This Row],[CONCAT4]]="","",_xlfn.IFNA(MATCH(NOTA[[#This Row],[CONCAT4]],[2]!RAW[CONCAT_H],0),FALSE))</f>
        <v/>
      </c>
      <c r="AR620" s="56" t="str">
        <f>IF(NOTA[[#This Row],[CONCAT1]]="","",MATCH(NOTA[[#This Row],[CONCAT1]],[3]!db[NB NOTA_C],0))</f>
        <v/>
      </c>
      <c r="AS620" s="56" t="str">
        <f>IF(NOTA[[#This Row],[QTY/ CTN]]="","",TRUE)</f>
        <v/>
      </c>
      <c r="AT620" s="56" t="str">
        <f ca="1">IF(NOTA[[#This Row],[ID_H]]="","",IF(NOTA[[#This Row],[Column3]]=TRUE,NOTA[[#This Row],[QTY/ CTN]],INDEX([3]!db[QTY/ CTN],NOTA[[#This Row],[//DB]])))</f>
        <v/>
      </c>
      <c r="AU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0" s="56" t="str">
        <f ca="1">IF(NOTA[[#This Row],[ID_H]]="","",MATCH(NOTA[[#This Row],[NB NOTA_C_QTY]],[4]!db[NB NOTA_C_QTY+F],0))</f>
        <v/>
      </c>
      <c r="AW620" s="68" t="str">
        <f ca="1">IF(NOTA[[#This Row],[NB NOTA_C_QTY]]="","",ROW()-2)</f>
        <v/>
      </c>
    </row>
    <row r="621" spans="1:49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1" s="66" t="str">
        <f>IF(OR(NOTA[[#This Row],[QTY]]="",NOTA[[#This Row],[HARGA SATUAN]]="",),"",NOTA[[#This Row],[QTY]]*NOTA[[#This Row],[HARGA SATUAN]])</f>
        <v/>
      </c>
      <c r="AH621" s="60" t="str">
        <f ca="1">IF(NOTA[ID_H]="","",INDEX(NOTA[TANGGAL],MATCH(,INDIRECT(ADDRESS(ROW(NOTA[TANGGAL]),COLUMN(NOTA[TANGGAL]))&amp;":"&amp;ADDRESS(ROW(),COLUMN(NOTA[TANGGAL]))),-1)))</f>
        <v/>
      </c>
      <c r="AI621" s="55" t="str">
        <f ca="1">IF(NOTA[[#This Row],[NAMA BARANG]]="","",INDEX(NOTA[SUPPLIER],MATCH(,INDIRECT(ADDRESS(ROW(NOTA[ID]),COLUMN(NOTA[ID]))&amp;":"&amp;ADDRESS(ROW(),COLUMN(NOTA[ID]))),-1)))</f>
        <v/>
      </c>
      <c r="AJ621" s="55" t="str">
        <f ca="1">IF(NOTA[[#This Row],[ID_H]]="","",IF(NOTA[[#This Row],[FAKTUR]]="",INDIRECT(ADDRESS(ROW()-1,COLUMN())),NOTA[[#This Row],[FAKTUR]]))</f>
        <v/>
      </c>
      <c r="AK621" s="56" t="str">
        <f ca="1">IF(NOTA[[#This Row],[ID]]="","",COUNTIF(NOTA[ID_H],NOTA[[#This Row],[ID_H]]))</f>
        <v/>
      </c>
      <c r="AL621" s="56" t="str">
        <f ca="1">IF(NOTA[[#This Row],[TGL.NOTA]]="",IF(NOTA[[#This Row],[SUPPLIER_H]]="","",AL620),MONTH(NOTA[[#This Row],[TGL.NOTA]]))</f>
        <v/>
      </c>
      <c r="AM621" s="56" t="str">
        <f>LOWER(SUBSTITUTE(SUBSTITUTE(SUBSTITUTE(SUBSTITUTE(SUBSTITUTE(SUBSTITUTE(SUBSTITUTE(SUBSTITUTE(SUBSTITUTE(NOTA[NAMA BARANG]," ",),".",""),"-",""),"(",""),")",""),",",""),"/",""),"""",""),"+",""))</f>
        <v/>
      </c>
      <c r="AN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56" t="str">
        <f>IF(NOTA[[#This Row],[CONCAT4]]="","",_xlfn.IFNA(MATCH(NOTA[[#This Row],[CONCAT4]],[2]!RAW[CONCAT_H],0),FALSE))</f>
        <v/>
      </c>
      <c r="AR621" s="56" t="str">
        <f>IF(NOTA[[#This Row],[CONCAT1]]="","",MATCH(NOTA[[#This Row],[CONCAT1]],[3]!db[NB NOTA_C],0))</f>
        <v/>
      </c>
      <c r="AS621" s="56" t="str">
        <f>IF(NOTA[[#This Row],[QTY/ CTN]]="","",TRUE)</f>
        <v/>
      </c>
      <c r="AT621" s="56" t="str">
        <f ca="1">IF(NOTA[[#This Row],[ID_H]]="","",IF(NOTA[[#This Row],[Column3]]=TRUE,NOTA[[#This Row],[QTY/ CTN]],INDEX([3]!db[QTY/ CTN],NOTA[[#This Row],[//DB]])))</f>
        <v/>
      </c>
      <c r="AU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1" s="56" t="str">
        <f ca="1">IF(NOTA[[#This Row],[ID_H]]="","",MATCH(NOTA[[#This Row],[NB NOTA_C_QTY]],[4]!db[NB NOTA_C_QTY+F],0))</f>
        <v/>
      </c>
      <c r="AW621" s="68" t="str">
        <f ca="1">IF(NOTA[[#This Row],[NB NOTA_C_QTY]]="","",ROW()-2)</f>
        <v/>
      </c>
    </row>
    <row r="622" spans="1:49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2" s="66" t="str">
        <f>IF(OR(NOTA[[#This Row],[QTY]]="",NOTA[[#This Row],[HARGA SATUAN]]="",),"",NOTA[[#This Row],[QTY]]*NOTA[[#This Row],[HARGA SATUAN]])</f>
        <v/>
      </c>
      <c r="AH622" s="60" t="str">
        <f ca="1">IF(NOTA[ID_H]="","",INDEX(NOTA[TANGGAL],MATCH(,INDIRECT(ADDRESS(ROW(NOTA[TANGGAL]),COLUMN(NOTA[TANGGAL]))&amp;":"&amp;ADDRESS(ROW(),COLUMN(NOTA[TANGGAL]))),-1)))</f>
        <v/>
      </c>
      <c r="AI622" s="55" t="str">
        <f ca="1">IF(NOTA[[#This Row],[NAMA BARANG]]="","",INDEX(NOTA[SUPPLIER],MATCH(,INDIRECT(ADDRESS(ROW(NOTA[ID]),COLUMN(NOTA[ID]))&amp;":"&amp;ADDRESS(ROW(),COLUMN(NOTA[ID]))),-1)))</f>
        <v/>
      </c>
      <c r="AJ622" s="55" t="str">
        <f ca="1">IF(NOTA[[#This Row],[ID_H]]="","",IF(NOTA[[#This Row],[FAKTUR]]="",INDIRECT(ADDRESS(ROW()-1,COLUMN())),NOTA[[#This Row],[FAKTUR]]))</f>
        <v/>
      </c>
      <c r="AK622" s="56" t="str">
        <f ca="1">IF(NOTA[[#This Row],[ID]]="","",COUNTIF(NOTA[ID_H],NOTA[[#This Row],[ID_H]]))</f>
        <v/>
      </c>
      <c r="AL622" s="56" t="str">
        <f ca="1">IF(NOTA[[#This Row],[TGL.NOTA]]="",IF(NOTA[[#This Row],[SUPPLIER_H]]="","",AL621),MONTH(NOTA[[#This Row],[TGL.NOTA]]))</f>
        <v/>
      </c>
      <c r="AM622" s="56" t="str">
        <f>LOWER(SUBSTITUTE(SUBSTITUTE(SUBSTITUTE(SUBSTITUTE(SUBSTITUTE(SUBSTITUTE(SUBSTITUTE(SUBSTITUTE(SUBSTITUTE(NOTA[NAMA BARANG]," ",),".",""),"-",""),"(",""),")",""),",",""),"/",""),"""",""),"+",""))</f>
        <v/>
      </c>
      <c r="AN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56" t="str">
        <f>IF(NOTA[[#This Row],[CONCAT4]]="","",_xlfn.IFNA(MATCH(NOTA[[#This Row],[CONCAT4]],[2]!RAW[CONCAT_H],0),FALSE))</f>
        <v/>
      </c>
      <c r="AR622" s="56" t="str">
        <f>IF(NOTA[[#This Row],[CONCAT1]]="","",MATCH(NOTA[[#This Row],[CONCAT1]],[3]!db[NB NOTA_C],0))</f>
        <v/>
      </c>
      <c r="AS622" s="56" t="str">
        <f>IF(NOTA[[#This Row],[QTY/ CTN]]="","",TRUE)</f>
        <v/>
      </c>
      <c r="AT622" s="56" t="str">
        <f ca="1">IF(NOTA[[#This Row],[ID_H]]="","",IF(NOTA[[#This Row],[Column3]]=TRUE,NOTA[[#This Row],[QTY/ CTN]],INDEX([3]!db[QTY/ CTN],NOTA[[#This Row],[//DB]])))</f>
        <v/>
      </c>
      <c r="AU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2" s="56" t="str">
        <f ca="1">IF(NOTA[[#This Row],[ID_H]]="","",MATCH(NOTA[[#This Row],[NB NOTA_C_QTY]],[4]!db[NB NOTA_C_QTY+F],0))</f>
        <v/>
      </c>
      <c r="AW622" s="68" t="str">
        <f ca="1">IF(NOTA[[#This Row],[NB NOTA_C_QTY]]="","",ROW()-2)</f>
        <v/>
      </c>
    </row>
    <row r="623" spans="1:49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3" s="66" t="str">
        <f>IF(OR(NOTA[[#This Row],[QTY]]="",NOTA[[#This Row],[HARGA SATUAN]]="",),"",NOTA[[#This Row],[QTY]]*NOTA[[#This Row],[HARGA SATUAN]])</f>
        <v/>
      </c>
      <c r="AH623" s="60" t="str">
        <f ca="1">IF(NOTA[ID_H]="","",INDEX(NOTA[TANGGAL],MATCH(,INDIRECT(ADDRESS(ROW(NOTA[TANGGAL]),COLUMN(NOTA[TANGGAL]))&amp;":"&amp;ADDRESS(ROW(),COLUMN(NOTA[TANGGAL]))),-1)))</f>
        <v/>
      </c>
      <c r="AI623" s="55" t="str">
        <f ca="1">IF(NOTA[[#This Row],[NAMA BARANG]]="","",INDEX(NOTA[SUPPLIER],MATCH(,INDIRECT(ADDRESS(ROW(NOTA[ID]),COLUMN(NOTA[ID]))&amp;":"&amp;ADDRESS(ROW(),COLUMN(NOTA[ID]))),-1)))</f>
        <v/>
      </c>
      <c r="AJ623" s="55" t="str">
        <f ca="1">IF(NOTA[[#This Row],[ID_H]]="","",IF(NOTA[[#This Row],[FAKTUR]]="",INDIRECT(ADDRESS(ROW()-1,COLUMN())),NOTA[[#This Row],[FAKTUR]]))</f>
        <v/>
      </c>
      <c r="AK623" s="56" t="str">
        <f ca="1">IF(NOTA[[#This Row],[ID]]="","",COUNTIF(NOTA[ID_H],NOTA[[#This Row],[ID_H]]))</f>
        <v/>
      </c>
      <c r="AL623" s="56" t="str">
        <f ca="1">IF(NOTA[[#This Row],[TGL.NOTA]]="",IF(NOTA[[#This Row],[SUPPLIER_H]]="","",AL622),MONTH(NOTA[[#This Row],[TGL.NOTA]]))</f>
        <v/>
      </c>
      <c r="AM623" s="56" t="str">
        <f>LOWER(SUBSTITUTE(SUBSTITUTE(SUBSTITUTE(SUBSTITUTE(SUBSTITUTE(SUBSTITUTE(SUBSTITUTE(SUBSTITUTE(SUBSTITUTE(NOTA[NAMA BARANG]," ",),".",""),"-",""),"(",""),")",""),",",""),"/",""),"""",""),"+",""))</f>
        <v/>
      </c>
      <c r="AN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56" t="str">
        <f>IF(NOTA[[#This Row],[CONCAT4]]="","",_xlfn.IFNA(MATCH(NOTA[[#This Row],[CONCAT4]],[2]!RAW[CONCAT_H],0),FALSE))</f>
        <v/>
      </c>
      <c r="AR623" s="56" t="str">
        <f>IF(NOTA[[#This Row],[CONCAT1]]="","",MATCH(NOTA[[#This Row],[CONCAT1]],[3]!db[NB NOTA_C],0))</f>
        <v/>
      </c>
      <c r="AS623" s="56" t="str">
        <f>IF(NOTA[[#This Row],[QTY/ CTN]]="","",TRUE)</f>
        <v/>
      </c>
      <c r="AT623" s="56" t="str">
        <f ca="1">IF(NOTA[[#This Row],[ID_H]]="","",IF(NOTA[[#This Row],[Column3]]=TRUE,NOTA[[#This Row],[QTY/ CTN]],INDEX([3]!db[QTY/ CTN],NOTA[[#This Row],[//DB]])))</f>
        <v/>
      </c>
      <c r="AU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3" s="56" t="str">
        <f ca="1">IF(NOTA[[#This Row],[ID_H]]="","",MATCH(NOTA[[#This Row],[NB NOTA_C_QTY]],[4]!db[NB NOTA_C_QTY+F],0))</f>
        <v/>
      </c>
      <c r="AW623" s="68" t="str">
        <f ca="1">IF(NOTA[[#This Row],[NB NOTA_C_QTY]]="","",ROW()-2)</f>
        <v/>
      </c>
    </row>
    <row r="624" spans="1:49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4" s="66" t="str">
        <f>IF(OR(NOTA[[#This Row],[QTY]]="",NOTA[[#This Row],[HARGA SATUAN]]="",),"",NOTA[[#This Row],[QTY]]*NOTA[[#This Row],[HARGA SATUAN]])</f>
        <v/>
      </c>
      <c r="AH624" s="60" t="str">
        <f ca="1">IF(NOTA[ID_H]="","",INDEX(NOTA[TANGGAL],MATCH(,INDIRECT(ADDRESS(ROW(NOTA[TANGGAL]),COLUMN(NOTA[TANGGAL]))&amp;":"&amp;ADDRESS(ROW(),COLUMN(NOTA[TANGGAL]))),-1)))</f>
        <v/>
      </c>
      <c r="AI624" s="55" t="str">
        <f ca="1">IF(NOTA[[#This Row],[NAMA BARANG]]="","",INDEX(NOTA[SUPPLIER],MATCH(,INDIRECT(ADDRESS(ROW(NOTA[ID]),COLUMN(NOTA[ID]))&amp;":"&amp;ADDRESS(ROW(),COLUMN(NOTA[ID]))),-1)))</f>
        <v/>
      </c>
      <c r="AJ624" s="55" t="str">
        <f ca="1">IF(NOTA[[#This Row],[ID_H]]="","",IF(NOTA[[#This Row],[FAKTUR]]="",INDIRECT(ADDRESS(ROW()-1,COLUMN())),NOTA[[#This Row],[FAKTUR]]))</f>
        <v/>
      </c>
      <c r="AK624" s="56" t="str">
        <f ca="1">IF(NOTA[[#This Row],[ID]]="","",COUNTIF(NOTA[ID_H],NOTA[[#This Row],[ID_H]]))</f>
        <v/>
      </c>
      <c r="AL624" s="56" t="str">
        <f ca="1">IF(NOTA[[#This Row],[TGL.NOTA]]="",IF(NOTA[[#This Row],[SUPPLIER_H]]="","",AL623),MONTH(NOTA[[#This Row],[TGL.NOTA]]))</f>
        <v/>
      </c>
      <c r="AM624" s="56" t="str">
        <f>LOWER(SUBSTITUTE(SUBSTITUTE(SUBSTITUTE(SUBSTITUTE(SUBSTITUTE(SUBSTITUTE(SUBSTITUTE(SUBSTITUTE(SUBSTITUTE(NOTA[NAMA BARANG]," ",),".",""),"-",""),"(",""),")",""),",",""),"/",""),"""",""),"+",""))</f>
        <v/>
      </c>
      <c r="AN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56" t="str">
        <f>IF(NOTA[[#This Row],[CONCAT4]]="","",_xlfn.IFNA(MATCH(NOTA[[#This Row],[CONCAT4]],[2]!RAW[CONCAT_H],0),FALSE))</f>
        <v/>
      </c>
      <c r="AR624" s="56" t="str">
        <f>IF(NOTA[[#This Row],[CONCAT1]]="","",MATCH(NOTA[[#This Row],[CONCAT1]],[3]!db[NB NOTA_C],0))</f>
        <v/>
      </c>
      <c r="AS624" s="56" t="str">
        <f>IF(NOTA[[#This Row],[QTY/ CTN]]="","",TRUE)</f>
        <v/>
      </c>
      <c r="AT624" s="56" t="str">
        <f ca="1">IF(NOTA[[#This Row],[ID_H]]="","",IF(NOTA[[#This Row],[Column3]]=TRUE,NOTA[[#This Row],[QTY/ CTN]],INDEX([3]!db[QTY/ CTN],NOTA[[#This Row],[//DB]])))</f>
        <v/>
      </c>
      <c r="AU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4" s="56" t="str">
        <f ca="1">IF(NOTA[[#This Row],[ID_H]]="","",MATCH(NOTA[[#This Row],[NB NOTA_C_QTY]],[4]!db[NB NOTA_C_QTY+F],0))</f>
        <v/>
      </c>
      <c r="AW624" s="68" t="str">
        <f ca="1">IF(NOTA[[#This Row],[NB NOTA_C_QTY]]="","",ROW()-2)</f>
        <v/>
      </c>
    </row>
    <row r="625" spans="1:49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5" s="66" t="str">
        <f>IF(OR(NOTA[[#This Row],[QTY]]="",NOTA[[#This Row],[HARGA SATUAN]]="",),"",NOTA[[#This Row],[QTY]]*NOTA[[#This Row],[HARGA SATUAN]])</f>
        <v/>
      </c>
      <c r="AH625" s="60" t="str">
        <f ca="1">IF(NOTA[ID_H]="","",INDEX(NOTA[TANGGAL],MATCH(,INDIRECT(ADDRESS(ROW(NOTA[TANGGAL]),COLUMN(NOTA[TANGGAL]))&amp;":"&amp;ADDRESS(ROW(),COLUMN(NOTA[TANGGAL]))),-1)))</f>
        <v/>
      </c>
      <c r="AI625" s="55" t="str">
        <f ca="1">IF(NOTA[[#This Row],[NAMA BARANG]]="","",INDEX(NOTA[SUPPLIER],MATCH(,INDIRECT(ADDRESS(ROW(NOTA[ID]),COLUMN(NOTA[ID]))&amp;":"&amp;ADDRESS(ROW(),COLUMN(NOTA[ID]))),-1)))</f>
        <v/>
      </c>
      <c r="AJ625" s="55" t="str">
        <f ca="1">IF(NOTA[[#This Row],[ID_H]]="","",IF(NOTA[[#This Row],[FAKTUR]]="",INDIRECT(ADDRESS(ROW()-1,COLUMN())),NOTA[[#This Row],[FAKTUR]]))</f>
        <v/>
      </c>
      <c r="AK625" s="56" t="str">
        <f ca="1">IF(NOTA[[#This Row],[ID]]="","",COUNTIF(NOTA[ID_H],NOTA[[#This Row],[ID_H]]))</f>
        <v/>
      </c>
      <c r="AL625" s="56" t="str">
        <f ca="1">IF(NOTA[[#This Row],[TGL.NOTA]]="",IF(NOTA[[#This Row],[SUPPLIER_H]]="","",AL624),MONTH(NOTA[[#This Row],[TGL.NOTA]]))</f>
        <v/>
      </c>
      <c r="AM625" s="56" t="str">
        <f>LOWER(SUBSTITUTE(SUBSTITUTE(SUBSTITUTE(SUBSTITUTE(SUBSTITUTE(SUBSTITUTE(SUBSTITUTE(SUBSTITUTE(SUBSTITUTE(NOTA[NAMA BARANG]," ",),".",""),"-",""),"(",""),")",""),",",""),"/",""),"""",""),"+",""))</f>
        <v/>
      </c>
      <c r="AN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56" t="str">
        <f>IF(NOTA[[#This Row],[CONCAT4]]="","",_xlfn.IFNA(MATCH(NOTA[[#This Row],[CONCAT4]],[2]!RAW[CONCAT_H],0),FALSE))</f>
        <v/>
      </c>
      <c r="AR625" s="56" t="str">
        <f>IF(NOTA[[#This Row],[CONCAT1]]="","",MATCH(NOTA[[#This Row],[CONCAT1]],[3]!db[NB NOTA_C],0))</f>
        <v/>
      </c>
      <c r="AS625" s="56" t="str">
        <f>IF(NOTA[[#This Row],[QTY/ CTN]]="","",TRUE)</f>
        <v/>
      </c>
      <c r="AT625" s="56" t="str">
        <f ca="1">IF(NOTA[[#This Row],[ID_H]]="","",IF(NOTA[[#This Row],[Column3]]=TRUE,NOTA[[#This Row],[QTY/ CTN]],INDEX([3]!db[QTY/ CTN],NOTA[[#This Row],[//DB]])))</f>
        <v/>
      </c>
      <c r="AU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5" s="56" t="str">
        <f ca="1">IF(NOTA[[#This Row],[ID_H]]="","",MATCH(NOTA[[#This Row],[NB NOTA_C_QTY]],[4]!db[NB NOTA_C_QTY+F],0))</f>
        <v/>
      </c>
      <c r="AW625" s="68" t="str">
        <f ca="1">IF(NOTA[[#This Row],[NB NOTA_C_QTY]]="","",ROW()-2)</f>
        <v/>
      </c>
    </row>
    <row r="626" spans="1:49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6" s="66" t="str">
        <f>IF(OR(NOTA[[#This Row],[QTY]]="",NOTA[[#This Row],[HARGA SATUAN]]="",),"",NOTA[[#This Row],[QTY]]*NOTA[[#This Row],[HARGA SATUAN]])</f>
        <v/>
      </c>
      <c r="AH626" s="60" t="str">
        <f ca="1">IF(NOTA[ID_H]="","",INDEX(NOTA[TANGGAL],MATCH(,INDIRECT(ADDRESS(ROW(NOTA[TANGGAL]),COLUMN(NOTA[TANGGAL]))&amp;":"&amp;ADDRESS(ROW(),COLUMN(NOTA[TANGGAL]))),-1)))</f>
        <v/>
      </c>
      <c r="AI626" s="55" t="str">
        <f ca="1">IF(NOTA[[#This Row],[NAMA BARANG]]="","",INDEX(NOTA[SUPPLIER],MATCH(,INDIRECT(ADDRESS(ROW(NOTA[ID]),COLUMN(NOTA[ID]))&amp;":"&amp;ADDRESS(ROW(),COLUMN(NOTA[ID]))),-1)))</f>
        <v/>
      </c>
      <c r="AJ626" s="55" t="str">
        <f ca="1">IF(NOTA[[#This Row],[ID_H]]="","",IF(NOTA[[#This Row],[FAKTUR]]="",INDIRECT(ADDRESS(ROW()-1,COLUMN())),NOTA[[#This Row],[FAKTUR]]))</f>
        <v/>
      </c>
      <c r="AK626" s="56" t="str">
        <f ca="1">IF(NOTA[[#This Row],[ID]]="","",COUNTIF(NOTA[ID_H],NOTA[[#This Row],[ID_H]]))</f>
        <v/>
      </c>
      <c r="AL626" s="56" t="str">
        <f ca="1">IF(NOTA[[#This Row],[TGL.NOTA]]="",IF(NOTA[[#This Row],[SUPPLIER_H]]="","",AL625),MONTH(NOTA[[#This Row],[TGL.NOTA]]))</f>
        <v/>
      </c>
      <c r="AM626" s="56" t="str">
        <f>LOWER(SUBSTITUTE(SUBSTITUTE(SUBSTITUTE(SUBSTITUTE(SUBSTITUTE(SUBSTITUTE(SUBSTITUTE(SUBSTITUTE(SUBSTITUTE(NOTA[NAMA BARANG]," ",),".",""),"-",""),"(",""),")",""),",",""),"/",""),"""",""),"+",""))</f>
        <v/>
      </c>
      <c r="AN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6" s="56" t="str">
        <f>IF(NOTA[[#This Row],[CONCAT4]]="","",_xlfn.IFNA(MATCH(NOTA[[#This Row],[CONCAT4]],[2]!RAW[CONCAT_H],0),FALSE))</f>
        <v/>
      </c>
      <c r="AR626" s="56" t="str">
        <f>IF(NOTA[[#This Row],[CONCAT1]]="","",MATCH(NOTA[[#This Row],[CONCAT1]],[3]!db[NB NOTA_C],0))</f>
        <v/>
      </c>
      <c r="AS626" s="56" t="str">
        <f>IF(NOTA[[#This Row],[QTY/ CTN]]="","",TRUE)</f>
        <v/>
      </c>
      <c r="AT626" s="56" t="str">
        <f ca="1">IF(NOTA[[#This Row],[ID_H]]="","",IF(NOTA[[#This Row],[Column3]]=TRUE,NOTA[[#This Row],[QTY/ CTN]],INDEX([3]!db[QTY/ CTN],NOTA[[#This Row],[//DB]])))</f>
        <v/>
      </c>
      <c r="AU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6" s="56" t="str">
        <f ca="1">IF(NOTA[[#This Row],[ID_H]]="","",MATCH(NOTA[[#This Row],[NB NOTA_C_QTY]],[4]!db[NB NOTA_C_QTY+F],0))</f>
        <v/>
      </c>
      <c r="AW626" s="68" t="str">
        <f ca="1">IF(NOTA[[#This Row],[NB NOTA_C_QTY]]="","",ROW()-2)</f>
        <v/>
      </c>
    </row>
    <row r="627" spans="1:49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7" s="66" t="str">
        <f>IF(OR(NOTA[[#This Row],[QTY]]="",NOTA[[#This Row],[HARGA SATUAN]]="",),"",NOTA[[#This Row],[QTY]]*NOTA[[#This Row],[HARGA SATUAN]])</f>
        <v/>
      </c>
      <c r="AH627" s="60" t="str">
        <f ca="1">IF(NOTA[ID_H]="","",INDEX(NOTA[TANGGAL],MATCH(,INDIRECT(ADDRESS(ROW(NOTA[TANGGAL]),COLUMN(NOTA[TANGGAL]))&amp;":"&amp;ADDRESS(ROW(),COLUMN(NOTA[TANGGAL]))),-1)))</f>
        <v/>
      </c>
      <c r="AI627" s="55" t="str">
        <f ca="1">IF(NOTA[[#This Row],[NAMA BARANG]]="","",INDEX(NOTA[SUPPLIER],MATCH(,INDIRECT(ADDRESS(ROW(NOTA[ID]),COLUMN(NOTA[ID]))&amp;":"&amp;ADDRESS(ROW(),COLUMN(NOTA[ID]))),-1)))</f>
        <v/>
      </c>
      <c r="AJ627" s="55" t="str">
        <f ca="1">IF(NOTA[[#This Row],[ID_H]]="","",IF(NOTA[[#This Row],[FAKTUR]]="",INDIRECT(ADDRESS(ROW()-1,COLUMN())),NOTA[[#This Row],[FAKTUR]]))</f>
        <v/>
      </c>
      <c r="AK627" s="56" t="str">
        <f ca="1">IF(NOTA[[#This Row],[ID]]="","",COUNTIF(NOTA[ID_H],NOTA[[#This Row],[ID_H]]))</f>
        <v/>
      </c>
      <c r="AL627" s="56" t="str">
        <f ca="1">IF(NOTA[[#This Row],[TGL.NOTA]]="",IF(NOTA[[#This Row],[SUPPLIER_H]]="","",AL626),MONTH(NOTA[[#This Row],[TGL.NOTA]]))</f>
        <v/>
      </c>
      <c r="AM627" s="56" t="str">
        <f>LOWER(SUBSTITUTE(SUBSTITUTE(SUBSTITUTE(SUBSTITUTE(SUBSTITUTE(SUBSTITUTE(SUBSTITUTE(SUBSTITUTE(SUBSTITUTE(NOTA[NAMA BARANG]," ",),".",""),"-",""),"(",""),")",""),",",""),"/",""),"""",""),"+",""))</f>
        <v/>
      </c>
      <c r="AN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56" t="str">
        <f>IF(NOTA[[#This Row],[CONCAT4]]="","",_xlfn.IFNA(MATCH(NOTA[[#This Row],[CONCAT4]],[2]!RAW[CONCAT_H],0),FALSE))</f>
        <v/>
      </c>
      <c r="AR627" s="56" t="str">
        <f>IF(NOTA[[#This Row],[CONCAT1]]="","",MATCH(NOTA[[#This Row],[CONCAT1]],[3]!db[NB NOTA_C],0))</f>
        <v/>
      </c>
      <c r="AS627" s="56" t="str">
        <f>IF(NOTA[[#This Row],[QTY/ CTN]]="","",TRUE)</f>
        <v/>
      </c>
      <c r="AT627" s="56" t="str">
        <f ca="1">IF(NOTA[[#This Row],[ID_H]]="","",IF(NOTA[[#This Row],[Column3]]=TRUE,NOTA[[#This Row],[QTY/ CTN]],INDEX([3]!db[QTY/ CTN],NOTA[[#This Row],[//DB]])))</f>
        <v/>
      </c>
      <c r="AU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7" s="56" t="str">
        <f ca="1">IF(NOTA[[#This Row],[ID_H]]="","",MATCH(NOTA[[#This Row],[NB NOTA_C_QTY]],[4]!db[NB NOTA_C_QTY+F],0))</f>
        <v/>
      </c>
      <c r="AW627" s="68" t="str">
        <f ca="1">IF(NOTA[[#This Row],[NB NOTA_C_QTY]]="","",ROW()-2)</f>
        <v/>
      </c>
    </row>
    <row r="628" spans="1:49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8" s="66" t="str">
        <f>IF(OR(NOTA[[#This Row],[QTY]]="",NOTA[[#This Row],[HARGA SATUAN]]="",),"",NOTA[[#This Row],[QTY]]*NOTA[[#This Row],[HARGA SATUAN]])</f>
        <v/>
      </c>
      <c r="AH628" s="60" t="str">
        <f ca="1">IF(NOTA[ID_H]="","",INDEX(NOTA[TANGGAL],MATCH(,INDIRECT(ADDRESS(ROW(NOTA[TANGGAL]),COLUMN(NOTA[TANGGAL]))&amp;":"&amp;ADDRESS(ROW(),COLUMN(NOTA[TANGGAL]))),-1)))</f>
        <v/>
      </c>
      <c r="AI628" s="55" t="str">
        <f ca="1">IF(NOTA[[#This Row],[NAMA BARANG]]="","",INDEX(NOTA[SUPPLIER],MATCH(,INDIRECT(ADDRESS(ROW(NOTA[ID]),COLUMN(NOTA[ID]))&amp;":"&amp;ADDRESS(ROW(),COLUMN(NOTA[ID]))),-1)))</f>
        <v/>
      </c>
      <c r="AJ628" s="55" t="str">
        <f ca="1">IF(NOTA[[#This Row],[ID_H]]="","",IF(NOTA[[#This Row],[FAKTUR]]="",INDIRECT(ADDRESS(ROW()-1,COLUMN())),NOTA[[#This Row],[FAKTUR]]))</f>
        <v/>
      </c>
      <c r="AK628" s="56" t="str">
        <f ca="1">IF(NOTA[[#This Row],[ID]]="","",COUNTIF(NOTA[ID_H],NOTA[[#This Row],[ID_H]]))</f>
        <v/>
      </c>
      <c r="AL628" s="56" t="str">
        <f ca="1">IF(NOTA[[#This Row],[TGL.NOTA]]="",IF(NOTA[[#This Row],[SUPPLIER_H]]="","",AL627),MONTH(NOTA[[#This Row],[TGL.NOTA]]))</f>
        <v/>
      </c>
      <c r="AM628" s="56" t="str">
        <f>LOWER(SUBSTITUTE(SUBSTITUTE(SUBSTITUTE(SUBSTITUTE(SUBSTITUTE(SUBSTITUTE(SUBSTITUTE(SUBSTITUTE(SUBSTITUTE(NOTA[NAMA BARANG]," ",),".",""),"-",""),"(",""),")",""),",",""),"/",""),"""",""),"+",""))</f>
        <v/>
      </c>
      <c r="AN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56" t="str">
        <f>IF(NOTA[[#This Row],[CONCAT4]]="","",_xlfn.IFNA(MATCH(NOTA[[#This Row],[CONCAT4]],[2]!RAW[CONCAT_H],0),FALSE))</f>
        <v/>
      </c>
      <c r="AR628" s="56" t="str">
        <f>IF(NOTA[[#This Row],[CONCAT1]]="","",MATCH(NOTA[[#This Row],[CONCAT1]],[3]!db[NB NOTA_C],0))</f>
        <v/>
      </c>
      <c r="AS628" s="56" t="str">
        <f>IF(NOTA[[#This Row],[QTY/ CTN]]="","",TRUE)</f>
        <v/>
      </c>
      <c r="AT628" s="56" t="str">
        <f ca="1">IF(NOTA[[#This Row],[ID_H]]="","",IF(NOTA[[#This Row],[Column3]]=TRUE,NOTA[[#This Row],[QTY/ CTN]],INDEX([3]!db[QTY/ CTN],NOTA[[#This Row],[//DB]])))</f>
        <v/>
      </c>
      <c r="AU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8" s="56" t="str">
        <f ca="1">IF(NOTA[[#This Row],[ID_H]]="","",MATCH(NOTA[[#This Row],[NB NOTA_C_QTY]],[4]!db[NB NOTA_C_QTY+F],0))</f>
        <v/>
      </c>
      <c r="AW628" s="68" t="str">
        <f ca="1">IF(NOTA[[#This Row],[NB NOTA_C_QTY]]="","",ROW()-2)</f>
        <v/>
      </c>
    </row>
    <row r="629" spans="1:49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29" s="66" t="str">
        <f>IF(OR(NOTA[[#This Row],[QTY]]="",NOTA[[#This Row],[HARGA SATUAN]]="",),"",NOTA[[#This Row],[QTY]]*NOTA[[#This Row],[HARGA SATUAN]])</f>
        <v/>
      </c>
      <c r="AH629" s="60" t="str">
        <f ca="1">IF(NOTA[ID_H]="","",INDEX(NOTA[TANGGAL],MATCH(,INDIRECT(ADDRESS(ROW(NOTA[TANGGAL]),COLUMN(NOTA[TANGGAL]))&amp;":"&amp;ADDRESS(ROW(),COLUMN(NOTA[TANGGAL]))),-1)))</f>
        <v/>
      </c>
      <c r="AI629" s="55" t="str">
        <f ca="1">IF(NOTA[[#This Row],[NAMA BARANG]]="","",INDEX(NOTA[SUPPLIER],MATCH(,INDIRECT(ADDRESS(ROW(NOTA[ID]),COLUMN(NOTA[ID]))&amp;":"&amp;ADDRESS(ROW(),COLUMN(NOTA[ID]))),-1)))</f>
        <v/>
      </c>
      <c r="AJ629" s="55" t="str">
        <f ca="1">IF(NOTA[[#This Row],[ID_H]]="","",IF(NOTA[[#This Row],[FAKTUR]]="",INDIRECT(ADDRESS(ROW()-1,COLUMN())),NOTA[[#This Row],[FAKTUR]]))</f>
        <v/>
      </c>
      <c r="AK629" s="56" t="str">
        <f ca="1">IF(NOTA[[#This Row],[ID]]="","",COUNTIF(NOTA[ID_H],NOTA[[#This Row],[ID_H]]))</f>
        <v/>
      </c>
      <c r="AL629" s="56" t="str">
        <f ca="1">IF(NOTA[[#This Row],[TGL.NOTA]]="",IF(NOTA[[#This Row],[SUPPLIER_H]]="","",AL628),MONTH(NOTA[[#This Row],[TGL.NOTA]]))</f>
        <v/>
      </c>
      <c r="AM629" s="56" t="str">
        <f>LOWER(SUBSTITUTE(SUBSTITUTE(SUBSTITUTE(SUBSTITUTE(SUBSTITUTE(SUBSTITUTE(SUBSTITUTE(SUBSTITUTE(SUBSTITUTE(NOTA[NAMA BARANG]," ",),".",""),"-",""),"(",""),")",""),",",""),"/",""),"""",""),"+",""))</f>
        <v/>
      </c>
      <c r="AN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56" t="str">
        <f>IF(NOTA[[#This Row],[CONCAT4]]="","",_xlfn.IFNA(MATCH(NOTA[[#This Row],[CONCAT4]],[2]!RAW[CONCAT_H],0),FALSE))</f>
        <v/>
      </c>
      <c r="AR629" s="56" t="str">
        <f>IF(NOTA[[#This Row],[CONCAT1]]="","",MATCH(NOTA[[#This Row],[CONCAT1]],[3]!db[NB NOTA_C],0))</f>
        <v/>
      </c>
      <c r="AS629" s="56" t="str">
        <f>IF(NOTA[[#This Row],[QTY/ CTN]]="","",TRUE)</f>
        <v/>
      </c>
      <c r="AT629" s="56" t="str">
        <f ca="1">IF(NOTA[[#This Row],[ID_H]]="","",IF(NOTA[[#This Row],[Column3]]=TRUE,NOTA[[#This Row],[QTY/ CTN]],INDEX([3]!db[QTY/ CTN],NOTA[[#This Row],[//DB]])))</f>
        <v/>
      </c>
      <c r="AU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9" s="56" t="str">
        <f ca="1">IF(NOTA[[#This Row],[ID_H]]="","",MATCH(NOTA[[#This Row],[NB NOTA_C_QTY]],[4]!db[NB NOTA_C_QTY+F],0))</f>
        <v/>
      </c>
      <c r="AW629" s="68" t="str">
        <f ca="1">IF(NOTA[[#This Row],[NB NOTA_C_QTY]]="","",ROW()-2)</f>
        <v/>
      </c>
    </row>
    <row r="630" spans="1:49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0" s="66" t="str">
        <f>IF(OR(NOTA[[#This Row],[QTY]]="",NOTA[[#This Row],[HARGA SATUAN]]="",),"",NOTA[[#This Row],[QTY]]*NOTA[[#This Row],[HARGA SATUAN]])</f>
        <v/>
      </c>
      <c r="AH630" s="60" t="str">
        <f ca="1">IF(NOTA[ID_H]="","",INDEX(NOTA[TANGGAL],MATCH(,INDIRECT(ADDRESS(ROW(NOTA[TANGGAL]),COLUMN(NOTA[TANGGAL]))&amp;":"&amp;ADDRESS(ROW(),COLUMN(NOTA[TANGGAL]))),-1)))</f>
        <v/>
      </c>
      <c r="AI630" s="55" t="str">
        <f ca="1">IF(NOTA[[#This Row],[NAMA BARANG]]="","",INDEX(NOTA[SUPPLIER],MATCH(,INDIRECT(ADDRESS(ROW(NOTA[ID]),COLUMN(NOTA[ID]))&amp;":"&amp;ADDRESS(ROW(),COLUMN(NOTA[ID]))),-1)))</f>
        <v/>
      </c>
      <c r="AJ630" s="55" t="str">
        <f ca="1">IF(NOTA[[#This Row],[ID_H]]="","",IF(NOTA[[#This Row],[FAKTUR]]="",INDIRECT(ADDRESS(ROW()-1,COLUMN())),NOTA[[#This Row],[FAKTUR]]))</f>
        <v/>
      </c>
      <c r="AK630" s="56" t="str">
        <f ca="1">IF(NOTA[[#This Row],[ID]]="","",COUNTIF(NOTA[ID_H],NOTA[[#This Row],[ID_H]]))</f>
        <v/>
      </c>
      <c r="AL630" s="56" t="str">
        <f ca="1">IF(NOTA[[#This Row],[TGL.NOTA]]="",IF(NOTA[[#This Row],[SUPPLIER_H]]="","",AL629),MONTH(NOTA[[#This Row],[TGL.NOTA]]))</f>
        <v/>
      </c>
      <c r="AM630" s="56" t="str">
        <f>LOWER(SUBSTITUTE(SUBSTITUTE(SUBSTITUTE(SUBSTITUTE(SUBSTITUTE(SUBSTITUTE(SUBSTITUTE(SUBSTITUTE(SUBSTITUTE(NOTA[NAMA BARANG]," ",),".",""),"-",""),"(",""),")",""),",",""),"/",""),"""",""),"+",""))</f>
        <v/>
      </c>
      <c r="AN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56" t="str">
        <f>IF(NOTA[[#This Row],[CONCAT4]]="","",_xlfn.IFNA(MATCH(NOTA[[#This Row],[CONCAT4]],[2]!RAW[CONCAT_H],0),FALSE))</f>
        <v/>
      </c>
      <c r="AR630" s="56" t="str">
        <f>IF(NOTA[[#This Row],[CONCAT1]]="","",MATCH(NOTA[[#This Row],[CONCAT1]],[3]!db[NB NOTA_C],0))</f>
        <v/>
      </c>
      <c r="AS630" s="56" t="str">
        <f>IF(NOTA[[#This Row],[QTY/ CTN]]="","",TRUE)</f>
        <v/>
      </c>
      <c r="AT630" s="56" t="str">
        <f ca="1">IF(NOTA[[#This Row],[ID_H]]="","",IF(NOTA[[#This Row],[Column3]]=TRUE,NOTA[[#This Row],[QTY/ CTN]],INDEX([3]!db[QTY/ CTN],NOTA[[#This Row],[//DB]])))</f>
        <v/>
      </c>
      <c r="AU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0" s="56" t="str">
        <f ca="1">IF(NOTA[[#This Row],[ID_H]]="","",MATCH(NOTA[[#This Row],[NB NOTA_C_QTY]],[4]!db[NB NOTA_C_QTY+F],0))</f>
        <v/>
      </c>
      <c r="AW630" s="68" t="str">
        <f ca="1">IF(NOTA[[#This Row],[NB NOTA_C_QTY]]="","",ROW()-2)</f>
        <v/>
      </c>
    </row>
    <row r="631" spans="1:49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1" s="66" t="str">
        <f>IF(OR(NOTA[[#This Row],[QTY]]="",NOTA[[#This Row],[HARGA SATUAN]]="",),"",NOTA[[#This Row],[QTY]]*NOTA[[#This Row],[HARGA SATUAN]])</f>
        <v/>
      </c>
      <c r="AH631" s="60" t="str">
        <f ca="1">IF(NOTA[ID_H]="","",INDEX(NOTA[TANGGAL],MATCH(,INDIRECT(ADDRESS(ROW(NOTA[TANGGAL]),COLUMN(NOTA[TANGGAL]))&amp;":"&amp;ADDRESS(ROW(),COLUMN(NOTA[TANGGAL]))),-1)))</f>
        <v/>
      </c>
      <c r="AI631" s="55" t="str">
        <f ca="1">IF(NOTA[[#This Row],[NAMA BARANG]]="","",INDEX(NOTA[SUPPLIER],MATCH(,INDIRECT(ADDRESS(ROW(NOTA[ID]),COLUMN(NOTA[ID]))&amp;":"&amp;ADDRESS(ROW(),COLUMN(NOTA[ID]))),-1)))</f>
        <v/>
      </c>
      <c r="AJ631" s="55" t="str">
        <f ca="1">IF(NOTA[[#This Row],[ID_H]]="","",IF(NOTA[[#This Row],[FAKTUR]]="",INDIRECT(ADDRESS(ROW()-1,COLUMN())),NOTA[[#This Row],[FAKTUR]]))</f>
        <v/>
      </c>
      <c r="AK631" s="56" t="str">
        <f ca="1">IF(NOTA[[#This Row],[ID]]="","",COUNTIF(NOTA[ID_H],NOTA[[#This Row],[ID_H]]))</f>
        <v/>
      </c>
      <c r="AL631" s="56" t="str">
        <f ca="1">IF(NOTA[[#This Row],[TGL.NOTA]]="",IF(NOTA[[#This Row],[SUPPLIER_H]]="","",AL630),MONTH(NOTA[[#This Row],[TGL.NOTA]]))</f>
        <v/>
      </c>
      <c r="AM631" s="56" t="str">
        <f>LOWER(SUBSTITUTE(SUBSTITUTE(SUBSTITUTE(SUBSTITUTE(SUBSTITUTE(SUBSTITUTE(SUBSTITUTE(SUBSTITUTE(SUBSTITUTE(NOTA[NAMA BARANG]," ",),".",""),"-",""),"(",""),")",""),",",""),"/",""),"""",""),"+",""))</f>
        <v/>
      </c>
      <c r="AN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56" t="str">
        <f>IF(NOTA[[#This Row],[CONCAT4]]="","",_xlfn.IFNA(MATCH(NOTA[[#This Row],[CONCAT4]],[2]!RAW[CONCAT_H],0),FALSE))</f>
        <v/>
      </c>
      <c r="AR631" s="56" t="str">
        <f>IF(NOTA[[#This Row],[CONCAT1]]="","",MATCH(NOTA[[#This Row],[CONCAT1]],[3]!db[NB NOTA_C],0))</f>
        <v/>
      </c>
      <c r="AS631" s="56" t="str">
        <f>IF(NOTA[[#This Row],[QTY/ CTN]]="","",TRUE)</f>
        <v/>
      </c>
      <c r="AT631" s="56" t="str">
        <f ca="1">IF(NOTA[[#This Row],[ID_H]]="","",IF(NOTA[[#This Row],[Column3]]=TRUE,NOTA[[#This Row],[QTY/ CTN]],INDEX([3]!db[QTY/ CTN],NOTA[[#This Row],[//DB]])))</f>
        <v/>
      </c>
      <c r="AU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1" s="56" t="str">
        <f ca="1">IF(NOTA[[#This Row],[ID_H]]="","",MATCH(NOTA[[#This Row],[NB NOTA_C_QTY]],[4]!db[NB NOTA_C_QTY+F],0))</f>
        <v/>
      </c>
      <c r="AW631" s="68" t="str">
        <f ca="1">IF(NOTA[[#This Row],[NB NOTA_C_QTY]]="","",ROW()-2)</f>
        <v/>
      </c>
    </row>
    <row r="632" spans="1:49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2" s="66" t="str">
        <f>IF(OR(NOTA[[#This Row],[QTY]]="",NOTA[[#This Row],[HARGA SATUAN]]="",),"",NOTA[[#This Row],[QTY]]*NOTA[[#This Row],[HARGA SATUAN]])</f>
        <v/>
      </c>
      <c r="AH632" s="60" t="str">
        <f ca="1">IF(NOTA[ID_H]="","",INDEX(NOTA[TANGGAL],MATCH(,INDIRECT(ADDRESS(ROW(NOTA[TANGGAL]),COLUMN(NOTA[TANGGAL]))&amp;":"&amp;ADDRESS(ROW(),COLUMN(NOTA[TANGGAL]))),-1)))</f>
        <v/>
      </c>
      <c r="AI632" s="55" t="str">
        <f ca="1">IF(NOTA[[#This Row],[NAMA BARANG]]="","",INDEX(NOTA[SUPPLIER],MATCH(,INDIRECT(ADDRESS(ROW(NOTA[ID]),COLUMN(NOTA[ID]))&amp;":"&amp;ADDRESS(ROW(),COLUMN(NOTA[ID]))),-1)))</f>
        <v/>
      </c>
      <c r="AJ632" s="55" t="str">
        <f ca="1">IF(NOTA[[#This Row],[ID_H]]="","",IF(NOTA[[#This Row],[FAKTUR]]="",INDIRECT(ADDRESS(ROW()-1,COLUMN())),NOTA[[#This Row],[FAKTUR]]))</f>
        <v/>
      </c>
      <c r="AK632" s="56" t="str">
        <f ca="1">IF(NOTA[[#This Row],[ID]]="","",COUNTIF(NOTA[ID_H],NOTA[[#This Row],[ID_H]]))</f>
        <v/>
      </c>
      <c r="AL632" s="56" t="str">
        <f ca="1">IF(NOTA[[#This Row],[TGL.NOTA]]="",IF(NOTA[[#This Row],[SUPPLIER_H]]="","",AL631),MONTH(NOTA[[#This Row],[TGL.NOTA]]))</f>
        <v/>
      </c>
      <c r="AM632" s="56" t="str">
        <f>LOWER(SUBSTITUTE(SUBSTITUTE(SUBSTITUTE(SUBSTITUTE(SUBSTITUTE(SUBSTITUTE(SUBSTITUTE(SUBSTITUTE(SUBSTITUTE(NOTA[NAMA BARANG]," ",),".",""),"-",""),"(",""),")",""),",",""),"/",""),"""",""),"+",""))</f>
        <v/>
      </c>
      <c r="AN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56" t="str">
        <f>IF(NOTA[[#This Row],[CONCAT4]]="","",_xlfn.IFNA(MATCH(NOTA[[#This Row],[CONCAT4]],[2]!RAW[CONCAT_H],0),FALSE))</f>
        <v/>
      </c>
      <c r="AR632" s="56" t="str">
        <f>IF(NOTA[[#This Row],[CONCAT1]]="","",MATCH(NOTA[[#This Row],[CONCAT1]],[3]!db[NB NOTA_C],0))</f>
        <v/>
      </c>
      <c r="AS632" s="56" t="str">
        <f>IF(NOTA[[#This Row],[QTY/ CTN]]="","",TRUE)</f>
        <v/>
      </c>
      <c r="AT632" s="56" t="str">
        <f ca="1">IF(NOTA[[#This Row],[ID_H]]="","",IF(NOTA[[#This Row],[Column3]]=TRUE,NOTA[[#This Row],[QTY/ CTN]],INDEX([3]!db[QTY/ CTN],NOTA[[#This Row],[//DB]])))</f>
        <v/>
      </c>
      <c r="AU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2" s="56" t="str">
        <f ca="1">IF(NOTA[[#This Row],[ID_H]]="","",MATCH(NOTA[[#This Row],[NB NOTA_C_QTY]],[4]!db[NB NOTA_C_QTY+F],0))</f>
        <v/>
      </c>
      <c r="AW632" s="68" t="str">
        <f ca="1">IF(NOTA[[#This Row],[NB NOTA_C_QTY]]="","",ROW()-2)</f>
        <v/>
      </c>
    </row>
    <row r="633" spans="1:49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3" s="66" t="str">
        <f>IF(OR(NOTA[[#This Row],[QTY]]="",NOTA[[#This Row],[HARGA SATUAN]]="",),"",NOTA[[#This Row],[QTY]]*NOTA[[#This Row],[HARGA SATUAN]])</f>
        <v/>
      </c>
      <c r="AH633" s="60" t="str">
        <f ca="1">IF(NOTA[ID_H]="","",INDEX(NOTA[TANGGAL],MATCH(,INDIRECT(ADDRESS(ROW(NOTA[TANGGAL]),COLUMN(NOTA[TANGGAL]))&amp;":"&amp;ADDRESS(ROW(),COLUMN(NOTA[TANGGAL]))),-1)))</f>
        <v/>
      </c>
      <c r="AI633" s="55" t="str">
        <f ca="1">IF(NOTA[[#This Row],[NAMA BARANG]]="","",INDEX(NOTA[SUPPLIER],MATCH(,INDIRECT(ADDRESS(ROW(NOTA[ID]),COLUMN(NOTA[ID]))&amp;":"&amp;ADDRESS(ROW(),COLUMN(NOTA[ID]))),-1)))</f>
        <v/>
      </c>
      <c r="AJ633" s="55" t="str">
        <f ca="1">IF(NOTA[[#This Row],[ID_H]]="","",IF(NOTA[[#This Row],[FAKTUR]]="",INDIRECT(ADDRESS(ROW()-1,COLUMN())),NOTA[[#This Row],[FAKTUR]]))</f>
        <v/>
      </c>
      <c r="AK633" s="56" t="str">
        <f ca="1">IF(NOTA[[#This Row],[ID]]="","",COUNTIF(NOTA[ID_H],NOTA[[#This Row],[ID_H]]))</f>
        <v/>
      </c>
      <c r="AL633" s="56" t="str">
        <f ca="1">IF(NOTA[[#This Row],[TGL.NOTA]]="",IF(NOTA[[#This Row],[SUPPLIER_H]]="","",AL632),MONTH(NOTA[[#This Row],[TGL.NOTA]]))</f>
        <v/>
      </c>
      <c r="AM633" s="56" t="str">
        <f>LOWER(SUBSTITUTE(SUBSTITUTE(SUBSTITUTE(SUBSTITUTE(SUBSTITUTE(SUBSTITUTE(SUBSTITUTE(SUBSTITUTE(SUBSTITUTE(NOTA[NAMA BARANG]," ",),".",""),"-",""),"(",""),")",""),",",""),"/",""),"""",""),"+",""))</f>
        <v/>
      </c>
      <c r="AN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56" t="str">
        <f>IF(NOTA[[#This Row],[CONCAT4]]="","",_xlfn.IFNA(MATCH(NOTA[[#This Row],[CONCAT4]],[2]!RAW[CONCAT_H],0),FALSE))</f>
        <v/>
      </c>
      <c r="AR633" s="56" t="str">
        <f>IF(NOTA[[#This Row],[CONCAT1]]="","",MATCH(NOTA[[#This Row],[CONCAT1]],[3]!db[NB NOTA_C],0))</f>
        <v/>
      </c>
      <c r="AS633" s="56" t="str">
        <f>IF(NOTA[[#This Row],[QTY/ CTN]]="","",TRUE)</f>
        <v/>
      </c>
      <c r="AT633" s="56" t="str">
        <f ca="1">IF(NOTA[[#This Row],[ID_H]]="","",IF(NOTA[[#This Row],[Column3]]=TRUE,NOTA[[#This Row],[QTY/ CTN]],INDEX([3]!db[QTY/ CTN],NOTA[[#This Row],[//DB]])))</f>
        <v/>
      </c>
      <c r="AU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3" s="56" t="str">
        <f ca="1">IF(NOTA[[#This Row],[ID_H]]="","",MATCH(NOTA[[#This Row],[NB NOTA_C_QTY]],[4]!db[NB NOTA_C_QTY+F],0))</f>
        <v/>
      </c>
      <c r="AW633" s="68" t="str">
        <f ca="1">IF(NOTA[[#This Row],[NB NOTA_C_QTY]]="","",ROW()-2)</f>
        <v/>
      </c>
    </row>
    <row r="634" spans="1:49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4" s="66" t="str">
        <f>IF(OR(NOTA[[#This Row],[QTY]]="",NOTA[[#This Row],[HARGA SATUAN]]="",),"",NOTA[[#This Row],[QTY]]*NOTA[[#This Row],[HARGA SATUAN]])</f>
        <v/>
      </c>
      <c r="AH634" s="60" t="str">
        <f ca="1">IF(NOTA[ID_H]="","",INDEX(NOTA[TANGGAL],MATCH(,INDIRECT(ADDRESS(ROW(NOTA[TANGGAL]),COLUMN(NOTA[TANGGAL]))&amp;":"&amp;ADDRESS(ROW(),COLUMN(NOTA[TANGGAL]))),-1)))</f>
        <v/>
      </c>
      <c r="AI634" s="55" t="str">
        <f ca="1">IF(NOTA[[#This Row],[NAMA BARANG]]="","",INDEX(NOTA[SUPPLIER],MATCH(,INDIRECT(ADDRESS(ROW(NOTA[ID]),COLUMN(NOTA[ID]))&amp;":"&amp;ADDRESS(ROW(),COLUMN(NOTA[ID]))),-1)))</f>
        <v/>
      </c>
      <c r="AJ634" s="55" t="str">
        <f ca="1">IF(NOTA[[#This Row],[ID_H]]="","",IF(NOTA[[#This Row],[FAKTUR]]="",INDIRECT(ADDRESS(ROW()-1,COLUMN())),NOTA[[#This Row],[FAKTUR]]))</f>
        <v/>
      </c>
      <c r="AK634" s="56" t="str">
        <f ca="1">IF(NOTA[[#This Row],[ID]]="","",COUNTIF(NOTA[ID_H],NOTA[[#This Row],[ID_H]]))</f>
        <v/>
      </c>
      <c r="AL634" s="56" t="str">
        <f ca="1">IF(NOTA[[#This Row],[TGL.NOTA]]="",IF(NOTA[[#This Row],[SUPPLIER_H]]="","",AL633),MONTH(NOTA[[#This Row],[TGL.NOTA]]))</f>
        <v/>
      </c>
      <c r="AM634" s="56" t="str">
        <f>LOWER(SUBSTITUTE(SUBSTITUTE(SUBSTITUTE(SUBSTITUTE(SUBSTITUTE(SUBSTITUTE(SUBSTITUTE(SUBSTITUTE(SUBSTITUTE(NOTA[NAMA BARANG]," ",),".",""),"-",""),"(",""),")",""),",",""),"/",""),"""",""),"+",""))</f>
        <v/>
      </c>
      <c r="AN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56" t="str">
        <f>IF(NOTA[[#This Row],[CONCAT4]]="","",_xlfn.IFNA(MATCH(NOTA[[#This Row],[CONCAT4]],[2]!RAW[CONCAT_H],0),FALSE))</f>
        <v/>
      </c>
      <c r="AR634" s="56" t="str">
        <f>IF(NOTA[[#This Row],[CONCAT1]]="","",MATCH(NOTA[[#This Row],[CONCAT1]],[3]!db[NB NOTA_C],0))</f>
        <v/>
      </c>
      <c r="AS634" s="56" t="str">
        <f>IF(NOTA[[#This Row],[QTY/ CTN]]="","",TRUE)</f>
        <v/>
      </c>
      <c r="AT634" s="56" t="str">
        <f ca="1">IF(NOTA[[#This Row],[ID_H]]="","",IF(NOTA[[#This Row],[Column3]]=TRUE,NOTA[[#This Row],[QTY/ CTN]],INDEX([3]!db[QTY/ CTN],NOTA[[#This Row],[//DB]])))</f>
        <v/>
      </c>
      <c r="AU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4" s="56" t="str">
        <f ca="1">IF(NOTA[[#This Row],[ID_H]]="","",MATCH(NOTA[[#This Row],[NB NOTA_C_QTY]],[4]!db[NB NOTA_C_QTY+F],0))</f>
        <v/>
      </c>
      <c r="AW634" s="68" t="str">
        <f ca="1">IF(NOTA[[#This Row],[NB NOTA_C_QTY]]="","",ROW()-2)</f>
        <v/>
      </c>
    </row>
    <row r="635" spans="1:49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5" s="66" t="str">
        <f>IF(OR(NOTA[[#This Row],[QTY]]="",NOTA[[#This Row],[HARGA SATUAN]]="",),"",NOTA[[#This Row],[QTY]]*NOTA[[#This Row],[HARGA SATUAN]])</f>
        <v/>
      </c>
      <c r="AH635" s="60" t="str">
        <f ca="1">IF(NOTA[ID_H]="","",INDEX(NOTA[TANGGAL],MATCH(,INDIRECT(ADDRESS(ROW(NOTA[TANGGAL]),COLUMN(NOTA[TANGGAL]))&amp;":"&amp;ADDRESS(ROW(),COLUMN(NOTA[TANGGAL]))),-1)))</f>
        <v/>
      </c>
      <c r="AI635" s="55" t="str">
        <f ca="1">IF(NOTA[[#This Row],[NAMA BARANG]]="","",INDEX(NOTA[SUPPLIER],MATCH(,INDIRECT(ADDRESS(ROW(NOTA[ID]),COLUMN(NOTA[ID]))&amp;":"&amp;ADDRESS(ROW(),COLUMN(NOTA[ID]))),-1)))</f>
        <v/>
      </c>
      <c r="AJ635" s="55" t="str">
        <f ca="1">IF(NOTA[[#This Row],[ID_H]]="","",IF(NOTA[[#This Row],[FAKTUR]]="",INDIRECT(ADDRESS(ROW()-1,COLUMN())),NOTA[[#This Row],[FAKTUR]]))</f>
        <v/>
      </c>
      <c r="AK635" s="56" t="str">
        <f ca="1">IF(NOTA[[#This Row],[ID]]="","",COUNTIF(NOTA[ID_H],NOTA[[#This Row],[ID_H]]))</f>
        <v/>
      </c>
      <c r="AL635" s="56" t="str">
        <f ca="1">IF(NOTA[[#This Row],[TGL.NOTA]]="",IF(NOTA[[#This Row],[SUPPLIER_H]]="","",AL634),MONTH(NOTA[[#This Row],[TGL.NOTA]]))</f>
        <v/>
      </c>
      <c r="AM635" s="56" t="str">
        <f>LOWER(SUBSTITUTE(SUBSTITUTE(SUBSTITUTE(SUBSTITUTE(SUBSTITUTE(SUBSTITUTE(SUBSTITUTE(SUBSTITUTE(SUBSTITUTE(NOTA[NAMA BARANG]," ",),".",""),"-",""),"(",""),")",""),",",""),"/",""),"""",""),"+",""))</f>
        <v/>
      </c>
      <c r="AN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56" t="str">
        <f>IF(NOTA[[#This Row],[CONCAT4]]="","",_xlfn.IFNA(MATCH(NOTA[[#This Row],[CONCAT4]],[2]!RAW[CONCAT_H],0),FALSE))</f>
        <v/>
      </c>
      <c r="AR635" s="56" t="str">
        <f>IF(NOTA[[#This Row],[CONCAT1]]="","",MATCH(NOTA[[#This Row],[CONCAT1]],[3]!db[NB NOTA_C],0))</f>
        <v/>
      </c>
      <c r="AS635" s="56" t="str">
        <f>IF(NOTA[[#This Row],[QTY/ CTN]]="","",TRUE)</f>
        <v/>
      </c>
      <c r="AT635" s="56" t="str">
        <f ca="1">IF(NOTA[[#This Row],[ID_H]]="","",IF(NOTA[[#This Row],[Column3]]=TRUE,NOTA[[#This Row],[QTY/ CTN]],INDEX([3]!db[QTY/ CTN],NOTA[[#This Row],[//DB]])))</f>
        <v/>
      </c>
      <c r="AU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5" s="56" t="str">
        <f ca="1">IF(NOTA[[#This Row],[ID_H]]="","",MATCH(NOTA[[#This Row],[NB NOTA_C_QTY]],[4]!db[NB NOTA_C_QTY+F],0))</f>
        <v/>
      </c>
      <c r="AW635" s="68" t="str">
        <f ca="1">IF(NOTA[[#This Row],[NB NOTA_C_QTY]]="","",ROW()-2)</f>
        <v/>
      </c>
    </row>
    <row r="636" spans="1:49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6" s="66" t="str">
        <f>IF(OR(NOTA[[#This Row],[QTY]]="",NOTA[[#This Row],[HARGA SATUAN]]="",),"",NOTA[[#This Row],[QTY]]*NOTA[[#This Row],[HARGA SATUAN]])</f>
        <v/>
      </c>
      <c r="AH636" s="60" t="str">
        <f ca="1">IF(NOTA[ID_H]="","",INDEX(NOTA[TANGGAL],MATCH(,INDIRECT(ADDRESS(ROW(NOTA[TANGGAL]),COLUMN(NOTA[TANGGAL]))&amp;":"&amp;ADDRESS(ROW(),COLUMN(NOTA[TANGGAL]))),-1)))</f>
        <v/>
      </c>
      <c r="AI636" s="55" t="str">
        <f ca="1">IF(NOTA[[#This Row],[NAMA BARANG]]="","",INDEX(NOTA[SUPPLIER],MATCH(,INDIRECT(ADDRESS(ROW(NOTA[ID]),COLUMN(NOTA[ID]))&amp;":"&amp;ADDRESS(ROW(),COLUMN(NOTA[ID]))),-1)))</f>
        <v/>
      </c>
      <c r="AJ636" s="55" t="str">
        <f ca="1">IF(NOTA[[#This Row],[ID_H]]="","",IF(NOTA[[#This Row],[FAKTUR]]="",INDIRECT(ADDRESS(ROW()-1,COLUMN())),NOTA[[#This Row],[FAKTUR]]))</f>
        <v/>
      </c>
      <c r="AK636" s="56" t="str">
        <f ca="1">IF(NOTA[[#This Row],[ID]]="","",COUNTIF(NOTA[ID_H],NOTA[[#This Row],[ID_H]]))</f>
        <v/>
      </c>
      <c r="AL636" s="56" t="str">
        <f ca="1">IF(NOTA[[#This Row],[TGL.NOTA]]="",IF(NOTA[[#This Row],[SUPPLIER_H]]="","",AL635),MONTH(NOTA[[#This Row],[TGL.NOTA]]))</f>
        <v/>
      </c>
      <c r="AM636" s="56" t="str">
        <f>LOWER(SUBSTITUTE(SUBSTITUTE(SUBSTITUTE(SUBSTITUTE(SUBSTITUTE(SUBSTITUTE(SUBSTITUTE(SUBSTITUTE(SUBSTITUTE(NOTA[NAMA BARANG]," ",),".",""),"-",""),"(",""),")",""),",",""),"/",""),"""",""),"+",""))</f>
        <v/>
      </c>
      <c r="AN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6" s="56" t="str">
        <f>IF(NOTA[[#This Row],[CONCAT4]]="","",_xlfn.IFNA(MATCH(NOTA[[#This Row],[CONCAT4]],[2]!RAW[CONCAT_H],0),FALSE))</f>
        <v/>
      </c>
      <c r="AR636" s="56" t="str">
        <f>IF(NOTA[[#This Row],[CONCAT1]]="","",MATCH(NOTA[[#This Row],[CONCAT1]],[3]!db[NB NOTA_C],0))</f>
        <v/>
      </c>
      <c r="AS636" s="56" t="str">
        <f>IF(NOTA[[#This Row],[QTY/ CTN]]="","",TRUE)</f>
        <v/>
      </c>
      <c r="AT636" s="56" t="str">
        <f ca="1">IF(NOTA[[#This Row],[ID_H]]="","",IF(NOTA[[#This Row],[Column3]]=TRUE,NOTA[[#This Row],[QTY/ CTN]],INDEX([3]!db[QTY/ CTN],NOTA[[#This Row],[//DB]])))</f>
        <v/>
      </c>
      <c r="AU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6" s="56" t="str">
        <f ca="1">IF(NOTA[[#This Row],[ID_H]]="","",MATCH(NOTA[[#This Row],[NB NOTA_C_QTY]],[4]!db[NB NOTA_C_QTY+F],0))</f>
        <v/>
      </c>
      <c r="AW636" s="68" t="str">
        <f ca="1">IF(NOTA[[#This Row],[NB NOTA_C_QTY]]="","",ROW()-2)</f>
        <v/>
      </c>
    </row>
    <row r="637" spans="1:49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7" s="66" t="str">
        <f>IF(OR(NOTA[[#This Row],[QTY]]="",NOTA[[#This Row],[HARGA SATUAN]]="",),"",NOTA[[#This Row],[QTY]]*NOTA[[#This Row],[HARGA SATUAN]])</f>
        <v/>
      </c>
      <c r="AH637" s="60" t="str">
        <f ca="1">IF(NOTA[ID_H]="","",INDEX(NOTA[TANGGAL],MATCH(,INDIRECT(ADDRESS(ROW(NOTA[TANGGAL]),COLUMN(NOTA[TANGGAL]))&amp;":"&amp;ADDRESS(ROW(),COLUMN(NOTA[TANGGAL]))),-1)))</f>
        <v/>
      </c>
      <c r="AI637" s="55" t="str">
        <f ca="1">IF(NOTA[[#This Row],[NAMA BARANG]]="","",INDEX(NOTA[SUPPLIER],MATCH(,INDIRECT(ADDRESS(ROW(NOTA[ID]),COLUMN(NOTA[ID]))&amp;":"&amp;ADDRESS(ROW(),COLUMN(NOTA[ID]))),-1)))</f>
        <v/>
      </c>
      <c r="AJ637" s="55" t="str">
        <f ca="1">IF(NOTA[[#This Row],[ID_H]]="","",IF(NOTA[[#This Row],[FAKTUR]]="",INDIRECT(ADDRESS(ROW()-1,COLUMN())),NOTA[[#This Row],[FAKTUR]]))</f>
        <v/>
      </c>
      <c r="AK637" s="56" t="str">
        <f ca="1">IF(NOTA[[#This Row],[ID]]="","",COUNTIF(NOTA[ID_H],NOTA[[#This Row],[ID_H]]))</f>
        <v/>
      </c>
      <c r="AL637" s="56" t="str">
        <f ca="1">IF(NOTA[[#This Row],[TGL.NOTA]]="",IF(NOTA[[#This Row],[SUPPLIER_H]]="","",AL636),MONTH(NOTA[[#This Row],[TGL.NOTA]]))</f>
        <v/>
      </c>
      <c r="AM637" s="56" t="str">
        <f>LOWER(SUBSTITUTE(SUBSTITUTE(SUBSTITUTE(SUBSTITUTE(SUBSTITUTE(SUBSTITUTE(SUBSTITUTE(SUBSTITUTE(SUBSTITUTE(NOTA[NAMA BARANG]," ",),".",""),"-",""),"(",""),")",""),",",""),"/",""),"""",""),"+",""))</f>
        <v/>
      </c>
      <c r="AN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56" t="str">
        <f>IF(NOTA[[#This Row],[CONCAT4]]="","",_xlfn.IFNA(MATCH(NOTA[[#This Row],[CONCAT4]],[2]!RAW[CONCAT_H],0),FALSE))</f>
        <v/>
      </c>
      <c r="AR637" s="56" t="str">
        <f>IF(NOTA[[#This Row],[CONCAT1]]="","",MATCH(NOTA[[#This Row],[CONCAT1]],[3]!db[NB NOTA_C],0))</f>
        <v/>
      </c>
      <c r="AS637" s="56" t="str">
        <f>IF(NOTA[[#This Row],[QTY/ CTN]]="","",TRUE)</f>
        <v/>
      </c>
      <c r="AT637" s="56" t="str">
        <f ca="1">IF(NOTA[[#This Row],[ID_H]]="","",IF(NOTA[[#This Row],[Column3]]=TRUE,NOTA[[#This Row],[QTY/ CTN]],INDEX([3]!db[QTY/ CTN],NOTA[[#This Row],[//DB]])))</f>
        <v/>
      </c>
      <c r="AU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7" s="56" t="str">
        <f ca="1">IF(NOTA[[#This Row],[ID_H]]="","",MATCH(NOTA[[#This Row],[NB NOTA_C_QTY]],[4]!db[NB NOTA_C_QTY+F],0))</f>
        <v/>
      </c>
      <c r="AW637" s="68" t="str">
        <f ca="1">IF(NOTA[[#This Row],[NB NOTA_C_QTY]]="","",ROW()-2)</f>
        <v/>
      </c>
    </row>
    <row r="638" spans="1:49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8" s="66" t="str">
        <f>IF(OR(NOTA[[#This Row],[QTY]]="",NOTA[[#This Row],[HARGA SATUAN]]="",),"",NOTA[[#This Row],[QTY]]*NOTA[[#This Row],[HARGA SATUAN]])</f>
        <v/>
      </c>
      <c r="AH638" s="60" t="str">
        <f ca="1">IF(NOTA[ID_H]="","",INDEX(NOTA[TANGGAL],MATCH(,INDIRECT(ADDRESS(ROW(NOTA[TANGGAL]),COLUMN(NOTA[TANGGAL]))&amp;":"&amp;ADDRESS(ROW(),COLUMN(NOTA[TANGGAL]))),-1)))</f>
        <v/>
      </c>
      <c r="AI638" s="55" t="str">
        <f ca="1">IF(NOTA[[#This Row],[NAMA BARANG]]="","",INDEX(NOTA[SUPPLIER],MATCH(,INDIRECT(ADDRESS(ROW(NOTA[ID]),COLUMN(NOTA[ID]))&amp;":"&amp;ADDRESS(ROW(),COLUMN(NOTA[ID]))),-1)))</f>
        <v/>
      </c>
      <c r="AJ638" s="55" t="str">
        <f ca="1">IF(NOTA[[#This Row],[ID_H]]="","",IF(NOTA[[#This Row],[FAKTUR]]="",INDIRECT(ADDRESS(ROW()-1,COLUMN())),NOTA[[#This Row],[FAKTUR]]))</f>
        <v/>
      </c>
      <c r="AK638" s="56" t="str">
        <f ca="1">IF(NOTA[[#This Row],[ID]]="","",COUNTIF(NOTA[ID_H],NOTA[[#This Row],[ID_H]]))</f>
        <v/>
      </c>
      <c r="AL638" s="56" t="str">
        <f ca="1">IF(NOTA[[#This Row],[TGL.NOTA]]="",IF(NOTA[[#This Row],[SUPPLIER_H]]="","",AL637),MONTH(NOTA[[#This Row],[TGL.NOTA]]))</f>
        <v/>
      </c>
      <c r="AM638" s="56" t="str">
        <f>LOWER(SUBSTITUTE(SUBSTITUTE(SUBSTITUTE(SUBSTITUTE(SUBSTITUTE(SUBSTITUTE(SUBSTITUTE(SUBSTITUTE(SUBSTITUTE(NOTA[NAMA BARANG]," ",),".",""),"-",""),"(",""),")",""),",",""),"/",""),"""",""),"+",""))</f>
        <v/>
      </c>
      <c r="AN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56" t="str">
        <f>IF(NOTA[[#This Row],[CONCAT4]]="","",_xlfn.IFNA(MATCH(NOTA[[#This Row],[CONCAT4]],[2]!RAW[CONCAT_H],0),FALSE))</f>
        <v/>
      </c>
      <c r="AR638" s="56" t="str">
        <f>IF(NOTA[[#This Row],[CONCAT1]]="","",MATCH(NOTA[[#This Row],[CONCAT1]],[3]!db[NB NOTA_C],0))</f>
        <v/>
      </c>
      <c r="AS638" s="56" t="str">
        <f>IF(NOTA[[#This Row],[QTY/ CTN]]="","",TRUE)</f>
        <v/>
      </c>
      <c r="AT638" s="56" t="str">
        <f ca="1">IF(NOTA[[#This Row],[ID_H]]="","",IF(NOTA[[#This Row],[Column3]]=TRUE,NOTA[[#This Row],[QTY/ CTN]],INDEX([3]!db[QTY/ CTN],NOTA[[#This Row],[//DB]])))</f>
        <v/>
      </c>
      <c r="AU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8" s="56" t="str">
        <f ca="1">IF(NOTA[[#This Row],[ID_H]]="","",MATCH(NOTA[[#This Row],[NB NOTA_C_QTY]],[4]!db[NB NOTA_C_QTY+F],0))</f>
        <v/>
      </c>
      <c r="AW638" s="68" t="str">
        <f ca="1">IF(NOTA[[#This Row],[NB NOTA_C_QTY]]="","",ROW()-2)</f>
        <v/>
      </c>
    </row>
    <row r="639" spans="1:49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39" s="66" t="str">
        <f>IF(OR(NOTA[[#This Row],[QTY]]="",NOTA[[#This Row],[HARGA SATUAN]]="",),"",NOTA[[#This Row],[QTY]]*NOTA[[#This Row],[HARGA SATUAN]])</f>
        <v/>
      </c>
      <c r="AH639" s="60" t="str">
        <f ca="1">IF(NOTA[ID_H]="","",INDEX(NOTA[TANGGAL],MATCH(,INDIRECT(ADDRESS(ROW(NOTA[TANGGAL]),COLUMN(NOTA[TANGGAL]))&amp;":"&amp;ADDRESS(ROW(),COLUMN(NOTA[TANGGAL]))),-1)))</f>
        <v/>
      </c>
      <c r="AI639" s="55" t="str">
        <f ca="1">IF(NOTA[[#This Row],[NAMA BARANG]]="","",INDEX(NOTA[SUPPLIER],MATCH(,INDIRECT(ADDRESS(ROW(NOTA[ID]),COLUMN(NOTA[ID]))&amp;":"&amp;ADDRESS(ROW(),COLUMN(NOTA[ID]))),-1)))</f>
        <v/>
      </c>
      <c r="AJ639" s="55" t="str">
        <f ca="1">IF(NOTA[[#This Row],[ID_H]]="","",IF(NOTA[[#This Row],[FAKTUR]]="",INDIRECT(ADDRESS(ROW()-1,COLUMN())),NOTA[[#This Row],[FAKTUR]]))</f>
        <v/>
      </c>
      <c r="AK639" s="56" t="str">
        <f ca="1">IF(NOTA[[#This Row],[ID]]="","",COUNTIF(NOTA[ID_H],NOTA[[#This Row],[ID_H]]))</f>
        <v/>
      </c>
      <c r="AL639" s="56" t="str">
        <f ca="1">IF(NOTA[[#This Row],[TGL.NOTA]]="",IF(NOTA[[#This Row],[SUPPLIER_H]]="","",AL638),MONTH(NOTA[[#This Row],[TGL.NOTA]]))</f>
        <v/>
      </c>
      <c r="AM639" s="56" t="str">
        <f>LOWER(SUBSTITUTE(SUBSTITUTE(SUBSTITUTE(SUBSTITUTE(SUBSTITUTE(SUBSTITUTE(SUBSTITUTE(SUBSTITUTE(SUBSTITUTE(NOTA[NAMA BARANG]," ",),".",""),"-",""),"(",""),")",""),",",""),"/",""),"""",""),"+",""))</f>
        <v/>
      </c>
      <c r="AN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56" t="str">
        <f>IF(NOTA[[#This Row],[CONCAT4]]="","",_xlfn.IFNA(MATCH(NOTA[[#This Row],[CONCAT4]],[2]!RAW[CONCAT_H],0),FALSE))</f>
        <v/>
      </c>
      <c r="AR639" s="56" t="str">
        <f>IF(NOTA[[#This Row],[CONCAT1]]="","",MATCH(NOTA[[#This Row],[CONCAT1]],[3]!db[NB NOTA_C],0))</f>
        <v/>
      </c>
      <c r="AS639" s="56" t="str">
        <f>IF(NOTA[[#This Row],[QTY/ CTN]]="","",TRUE)</f>
        <v/>
      </c>
      <c r="AT639" s="56" t="str">
        <f ca="1">IF(NOTA[[#This Row],[ID_H]]="","",IF(NOTA[[#This Row],[Column3]]=TRUE,NOTA[[#This Row],[QTY/ CTN]],INDEX([3]!db[QTY/ CTN],NOTA[[#This Row],[//DB]])))</f>
        <v/>
      </c>
      <c r="AU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9" s="56" t="str">
        <f ca="1">IF(NOTA[[#This Row],[ID_H]]="","",MATCH(NOTA[[#This Row],[NB NOTA_C_QTY]],[4]!db[NB NOTA_C_QTY+F],0))</f>
        <v/>
      </c>
      <c r="AW639" s="68" t="str">
        <f ca="1">IF(NOTA[[#This Row],[NB NOTA_C_QTY]]="","",ROW()-2)</f>
        <v/>
      </c>
    </row>
    <row r="640" spans="1:49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0" s="66" t="str">
        <f>IF(OR(NOTA[[#This Row],[QTY]]="",NOTA[[#This Row],[HARGA SATUAN]]="",),"",NOTA[[#This Row],[QTY]]*NOTA[[#This Row],[HARGA SATUAN]])</f>
        <v/>
      </c>
      <c r="AH640" s="60" t="str">
        <f ca="1">IF(NOTA[ID_H]="","",INDEX(NOTA[TANGGAL],MATCH(,INDIRECT(ADDRESS(ROW(NOTA[TANGGAL]),COLUMN(NOTA[TANGGAL]))&amp;":"&amp;ADDRESS(ROW(),COLUMN(NOTA[TANGGAL]))),-1)))</f>
        <v/>
      </c>
      <c r="AI640" s="55" t="str">
        <f ca="1">IF(NOTA[[#This Row],[NAMA BARANG]]="","",INDEX(NOTA[SUPPLIER],MATCH(,INDIRECT(ADDRESS(ROW(NOTA[ID]),COLUMN(NOTA[ID]))&amp;":"&amp;ADDRESS(ROW(),COLUMN(NOTA[ID]))),-1)))</f>
        <v/>
      </c>
      <c r="AJ640" s="55" t="str">
        <f ca="1">IF(NOTA[[#This Row],[ID_H]]="","",IF(NOTA[[#This Row],[FAKTUR]]="",INDIRECT(ADDRESS(ROW()-1,COLUMN())),NOTA[[#This Row],[FAKTUR]]))</f>
        <v/>
      </c>
      <c r="AK640" s="56" t="str">
        <f ca="1">IF(NOTA[[#This Row],[ID]]="","",COUNTIF(NOTA[ID_H],NOTA[[#This Row],[ID_H]]))</f>
        <v/>
      </c>
      <c r="AL640" s="56" t="str">
        <f ca="1">IF(NOTA[[#This Row],[TGL.NOTA]]="",IF(NOTA[[#This Row],[SUPPLIER_H]]="","",AL639),MONTH(NOTA[[#This Row],[TGL.NOTA]]))</f>
        <v/>
      </c>
      <c r="AM640" s="56" t="str">
        <f>LOWER(SUBSTITUTE(SUBSTITUTE(SUBSTITUTE(SUBSTITUTE(SUBSTITUTE(SUBSTITUTE(SUBSTITUTE(SUBSTITUTE(SUBSTITUTE(NOTA[NAMA BARANG]," ",),".",""),"-",""),"(",""),")",""),",",""),"/",""),"""",""),"+",""))</f>
        <v/>
      </c>
      <c r="AN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0" s="56" t="str">
        <f>IF(NOTA[[#This Row],[CONCAT4]]="","",_xlfn.IFNA(MATCH(NOTA[[#This Row],[CONCAT4]],[2]!RAW[CONCAT_H],0),FALSE))</f>
        <v/>
      </c>
      <c r="AR640" s="56" t="str">
        <f>IF(NOTA[[#This Row],[CONCAT1]]="","",MATCH(NOTA[[#This Row],[CONCAT1]],[3]!db[NB NOTA_C],0))</f>
        <v/>
      </c>
      <c r="AS640" s="56" t="str">
        <f>IF(NOTA[[#This Row],[QTY/ CTN]]="","",TRUE)</f>
        <v/>
      </c>
      <c r="AT640" s="56" t="str">
        <f ca="1">IF(NOTA[[#This Row],[ID_H]]="","",IF(NOTA[[#This Row],[Column3]]=TRUE,NOTA[[#This Row],[QTY/ CTN]],INDEX([3]!db[QTY/ CTN],NOTA[[#This Row],[//DB]])))</f>
        <v/>
      </c>
      <c r="AU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0" s="56" t="str">
        <f ca="1">IF(NOTA[[#This Row],[ID_H]]="","",MATCH(NOTA[[#This Row],[NB NOTA_C_QTY]],[4]!db[NB NOTA_C_QTY+F],0))</f>
        <v/>
      </c>
      <c r="AW640" s="68" t="str">
        <f ca="1">IF(NOTA[[#This Row],[NB NOTA_C_QTY]]="","",ROW()-2)</f>
        <v/>
      </c>
    </row>
    <row r="641" spans="1:49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1" s="66" t="str">
        <f>IF(OR(NOTA[[#This Row],[QTY]]="",NOTA[[#This Row],[HARGA SATUAN]]="",),"",NOTA[[#This Row],[QTY]]*NOTA[[#This Row],[HARGA SATUAN]])</f>
        <v/>
      </c>
      <c r="AH641" s="60" t="str">
        <f ca="1">IF(NOTA[ID_H]="","",INDEX(NOTA[TANGGAL],MATCH(,INDIRECT(ADDRESS(ROW(NOTA[TANGGAL]),COLUMN(NOTA[TANGGAL]))&amp;":"&amp;ADDRESS(ROW(),COLUMN(NOTA[TANGGAL]))),-1)))</f>
        <v/>
      </c>
      <c r="AI641" s="55" t="str">
        <f ca="1">IF(NOTA[[#This Row],[NAMA BARANG]]="","",INDEX(NOTA[SUPPLIER],MATCH(,INDIRECT(ADDRESS(ROW(NOTA[ID]),COLUMN(NOTA[ID]))&amp;":"&amp;ADDRESS(ROW(),COLUMN(NOTA[ID]))),-1)))</f>
        <v/>
      </c>
      <c r="AJ641" s="55" t="str">
        <f ca="1">IF(NOTA[[#This Row],[ID_H]]="","",IF(NOTA[[#This Row],[FAKTUR]]="",INDIRECT(ADDRESS(ROW()-1,COLUMN())),NOTA[[#This Row],[FAKTUR]]))</f>
        <v/>
      </c>
      <c r="AK641" s="56" t="str">
        <f ca="1">IF(NOTA[[#This Row],[ID]]="","",COUNTIF(NOTA[ID_H],NOTA[[#This Row],[ID_H]]))</f>
        <v/>
      </c>
      <c r="AL641" s="56" t="str">
        <f ca="1">IF(NOTA[[#This Row],[TGL.NOTA]]="",IF(NOTA[[#This Row],[SUPPLIER_H]]="","",AL640),MONTH(NOTA[[#This Row],[TGL.NOTA]]))</f>
        <v/>
      </c>
      <c r="AM641" s="56" t="str">
        <f>LOWER(SUBSTITUTE(SUBSTITUTE(SUBSTITUTE(SUBSTITUTE(SUBSTITUTE(SUBSTITUTE(SUBSTITUTE(SUBSTITUTE(SUBSTITUTE(NOTA[NAMA BARANG]," ",),".",""),"-",""),"(",""),")",""),",",""),"/",""),"""",""),"+",""))</f>
        <v/>
      </c>
      <c r="AN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56" t="str">
        <f>IF(NOTA[[#This Row],[CONCAT4]]="","",_xlfn.IFNA(MATCH(NOTA[[#This Row],[CONCAT4]],[2]!RAW[CONCAT_H],0),FALSE))</f>
        <v/>
      </c>
      <c r="AR641" s="56" t="str">
        <f>IF(NOTA[[#This Row],[CONCAT1]]="","",MATCH(NOTA[[#This Row],[CONCAT1]],[3]!db[NB NOTA_C],0))</f>
        <v/>
      </c>
      <c r="AS641" s="56" t="str">
        <f>IF(NOTA[[#This Row],[QTY/ CTN]]="","",TRUE)</f>
        <v/>
      </c>
      <c r="AT641" s="56" t="str">
        <f ca="1">IF(NOTA[[#This Row],[ID_H]]="","",IF(NOTA[[#This Row],[Column3]]=TRUE,NOTA[[#This Row],[QTY/ CTN]],INDEX([3]!db[QTY/ CTN],NOTA[[#This Row],[//DB]])))</f>
        <v/>
      </c>
      <c r="AU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1" s="56" t="str">
        <f ca="1">IF(NOTA[[#This Row],[ID_H]]="","",MATCH(NOTA[[#This Row],[NB NOTA_C_QTY]],[4]!db[NB NOTA_C_QTY+F],0))</f>
        <v/>
      </c>
      <c r="AW641" s="68" t="str">
        <f ca="1">IF(NOTA[[#This Row],[NB NOTA_C_QTY]]="","",ROW()-2)</f>
        <v/>
      </c>
    </row>
    <row r="642" spans="1:49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2" s="66" t="str">
        <f>IF(OR(NOTA[[#This Row],[QTY]]="",NOTA[[#This Row],[HARGA SATUAN]]="",),"",NOTA[[#This Row],[QTY]]*NOTA[[#This Row],[HARGA SATUAN]])</f>
        <v/>
      </c>
      <c r="AH642" s="60" t="str">
        <f ca="1">IF(NOTA[ID_H]="","",INDEX(NOTA[TANGGAL],MATCH(,INDIRECT(ADDRESS(ROW(NOTA[TANGGAL]),COLUMN(NOTA[TANGGAL]))&amp;":"&amp;ADDRESS(ROW(),COLUMN(NOTA[TANGGAL]))),-1)))</f>
        <v/>
      </c>
      <c r="AI642" s="55" t="str">
        <f ca="1">IF(NOTA[[#This Row],[NAMA BARANG]]="","",INDEX(NOTA[SUPPLIER],MATCH(,INDIRECT(ADDRESS(ROW(NOTA[ID]),COLUMN(NOTA[ID]))&amp;":"&amp;ADDRESS(ROW(),COLUMN(NOTA[ID]))),-1)))</f>
        <v/>
      </c>
      <c r="AJ642" s="55" t="str">
        <f ca="1">IF(NOTA[[#This Row],[ID_H]]="","",IF(NOTA[[#This Row],[FAKTUR]]="",INDIRECT(ADDRESS(ROW()-1,COLUMN())),NOTA[[#This Row],[FAKTUR]]))</f>
        <v/>
      </c>
      <c r="AK642" s="56" t="str">
        <f ca="1">IF(NOTA[[#This Row],[ID]]="","",COUNTIF(NOTA[ID_H],NOTA[[#This Row],[ID_H]]))</f>
        <v/>
      </c>
      <c r="AL642" s="56" t="str">
        <f ca="1">IF(NOTA[[#This Row],[TGL.NOTA]]="",IF(NOTA[[#This Row],[SUPPLIER_H]]="","",AL641),MONTH(NOTA[[#This Row],[TGL.NOTA]]))</f>
        <v/>
      </c>
      <c r="AM642" s="56" t="str">
        <f>LOWER(SUBSTITUTE(SUBSTITUTE(SUBSTITUTE(SUBSTITUTE(SUBSTITUTE(SUBSTITUTE(SUBSTITUTE(SUBSTITUTE(SUBSTITUTE(NOTA[NAMA BARANG]," ",),".",""),"-",""),"(",""),")",""),",",""),"/",""),"""",""),"+",""))</f>
        <v/>
      </c>
      <c r="AN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56" t="str">
        <f>IF(NOTA[[#This Row],[CONCAT4]]="","",_xlfn.IFNA(MATCH(NOTA[[#This Row],[CONCAT4]],[2]!RAW[CONCAT_H],0),FALSE))</f>
        <v/>
      </c>
      <c r="AR642" s="56" t="str">
        <f>IF(NOTA[[#This Row],[CONCAT1]]="","",MATCH(NOTA[[#This Row],[CONCAT1]],[3]!db[NB NOTA_C],0))</f>
        <v/>
      </c>
      <c r="AS642" s="56" t="str">
        <f>IF(NOTA[[#This Row],[QTY/ CTN]]="","",TRUE)</f>
        <v/>
      </c>
      <c r="AT642" s="56" t="str">
        <f ca="1">IF(NOTA[[#This Row],[ID_H]]="","",IF(NOTA[[#This Row],[Column3]]=TRUE,NOTA[[#This Row],[QTY/ CTN]],INDEX([3]!db[QTY/ CTN],NOTA[[#This Row],[//DB]])))</f>
        <v/>
      </c>
      <c r="AU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2" s="56" t="str">
        <f ca="1">IF(NOTA[[#This Row],[ID_H]]="","",MATCH(NOTA[[#This Row],[NB NOTA_C_QTY]],[4]!db[NB NOTA_C_QTY+F],0))</f>
        <v/>
      </c>
      <c r="AW642" s="68" t="str">
        <f ca="1">IF(NOTA[[#This Row],[NB NOTA_C_QTY]]="","",ROW()-2)</f>
        <v/>
      </c>
    </row>
    <row r="643" spans="1:49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3" s="66" t="str">
        <f>IF(OR(NOTA[[#This Row],[QTY]]="",NOTA[[#This Row],[HARGA SATUAN]]="",),"",NOTA[[#This Row],[QTY]]*NOTA[[#This Row],[HARGA SATUAN]])</f>
        <v/>
      </c>
      <c r="AH643" s="60" t="str">
        <f ca="1">IF(NOTA[ID_H]="","",INDEX(NOTA[TANGGAL],MATCH(,INDIRECT(ADDRESS(ROW(NOTA[TANGGAL]),COLUMN(NOTA[TANGGAL]))&amp;":"&amp;ADDRESS(ROW(),COLUMN(NOTA[TANGGAL]))),-1)))</f>
        <v/>
      </c>
      <c r="AI643" s="55" t="str">
        <f ca="1">IF(NOTA[[#This Row],[NAMA BARANG]]="","",INDEX(NOTA[SUPPLIER],MATCH(,INDIRECT(ADDRESS(ROW(NOTA[ID]),COLUMN(NOTA[ID]))&amp;":"&amp;ADDRESS(ROW(),COLUMN(NOTA[ID]))),-1)))</f>
        <v/>
      </c>
      <c r="AJ643" s="55" t="str">
        <f ca="1">IF(NOTA[[#This Row],[ID_H]]="","",IF(NOTA[[#This Row],[FAKTUR]]="",INDIRECT(ADDRESS(ROW()-1,COLUMN())),NOTA[[#This Row],[FAKTUR]]))</f>
        <v/>
      </c>
      <c r="AK643" s="56" t="str">
        <f ca="1">IF(NOTA[[#This Row],[ID]]="","",COUNTIF(NOTA[ID_H],NOTA[[#This Row],[ID_H]]))</f>
        <v/>
      </c>
      <c r="AL643" s="56" t="str">
        <f ca="1">IF(NOTA[[#This Row],[TGL.NOTA]]="",IF(NOTA[[#This Row],[SUPPLIER_H]]="","",AL642),MONTH(NOTA[[#This Row],[TGL.NOTA]]))</f>
        <v/>
      </c>
      <c r="AM643" s="56" t="str">
        <f>LOWER(SUBSTITUTE(SUBSTITUTE(SUBSTITUTE(SUBSTITUTE(SUBSTITUTE(SUBSTITUTE(SUBSTITUTE(SUBSTITUTE(SUBSTITUTE(NOTA[NAMA BARANG]," ",),".",""),"-",""),"(",""),")",""),",",""),"/",""),"""",""),"+",""))</f>
        <v/>
      </c>
      <c r="AN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56" t="str">
        <f>IF(NOTA[[#This Row],[CONCAT4]]="","",_xlfn.IFNA(MATCH(NOTA[[#This Row],[CONCAT4]],[2]!RAW[CONCAT_H],0),FALSE))</f>
        <v/>
      </c>
      <c r="AR643" s="56" t="str">
        <f>IF(NOTA[[#This Row],[CONCAT1]]="","",MATCH(NOTA[[#This Row],[CONCAT1]],[3]!db[NB NOTA_C],0))</f>
        <v/>
      </c>
      <c r="AS643" s="56" t="str">
        <f>IF(NOTA[[#This Row],[QTY/ CTN]]="","",TRUE)</f>
        <v/>
      </c>
      <c r="AT643" s="56" t="str">
        <f ca="1">IF(NOTA[[#This Row],[ID_H]]="","",IF(NOTA[[#This Row],[Column3]]=TRUE,NOTA[[#This Row],[QTY/ CTN]],INDEX([3]!db[QTY/ CTN],NOTA[[#This Row],[//DB]])))</f>
        <v/>
      </c>
      <c r="AU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3" s="56" t="str">
        <f ca="1">IF(NOTA[[#This Row],[ID_H]]="","",MATCH(NOTA[[#This Row],[NB NOTA_C_QTY]],[4]!db[NB NOTA_C_QTY+F],0))</f>
        <v/>
      </c>
      <c r="AW643" s="68" t="str">
        <f ca="1">IF(NOTA[[#This Row],[NB NOTA_C_QTY]]="","",ROW()-2)</f>
        <v/>
      </c>
    </row>
    <row r="644" spans="1:49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4" s="66" t="str">
        <f>IF(OR(NOTA[[#This Row],[QTY]]="",NOTA[[#This Row],[HARGA SATUAN]]="",),"",NOTA[[#This Row],[QTY]]*NOTA[[#This Row],[HARGA SATUAN]])</f>
        <v/>
      </c>
      <c r="AH644" s="60" t="str">
        <f ca="1">IF(NOTA[ID_H]="","",INDEX(NOTA[TANGGAL],MATCH(,INDIRECT(ADDRESS(ROW(NOTA[TANGGAL]),COLUMN(NOTA[TANGGAL]))&amp;":"&amp;ADDRESS(ROW(),COLUMN(NOTA[TANGGAL]))),-1)))</f>
        <v/>
      </c>
      <c r="AI644" s="55" t="str">
        <f ca="1">IF(NOTA[[#This Row],[NAMA BARANG]]="","",INDEX(NOTA[SUPPLIER],MATCH(,INDIRECT(ADDRESS(ROW(NOTA[ID]),COLUMN(NOTA[ID]))&amp;":"&amp;ADDRESS(ROW(),COLUMN(NOTA[ID]))),-1)))</f>
        <v/>
      </c>
      <c r="AJ644" s="55" t="str">
        <f ca="1">IF(NOTA[[#This Row],[ID_H]]="","",IF(NOTA[[#This Row],[FAKTUR]]="",INDIRECT(ADDRESS(ROW()-1,COLUMN())),NOTA[[#This Row],[FAKTUR]]))</f>
        <v/>
      </c>
      <c r="AK644" s="56" t="str">
        <f ca="1">IF(NOTA[[#This Row],[ID]]="","",COUNTIF(NOTA[ID_H],NOTA[[#This Row],[ID_H]]))</f>
        <v/>
      </c>
      <c r="AL644" s="56" t="str">
        <f ca="1">IF(NOTA[[#This Row],[TGL.NOTA]]="",IF(NOTA[[#This Row],[SUPPLIER_H]]="","",AL643),MONTH(NOTA[[#This Row],[TGL.NOTA]]))</f>
        <v/>
      </c>
      <c r="AM644" s="56" t="str">
        <f>LOWER(SUBSTITUTE(SUBSTITUTE(SUBSTITUTE(SUBSTITUTE(SUBSTITUTE(SUBSTITUTE(SUBSTITUTE(SUBSTITUTE(SUBSTITUTE(NOTA[NAMA BARANG]," ",),".",""),"-",""),"(",""),")",""),",",""),"/",""),"""",""),"+",""))</f>
        <v/>
      </c>
      <c r="AN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56" t="str">
        <f>IF(NOTA[[#This Row],[CONCAT4]]="","",_xlfn.IFNA(MATCH(NOTA[[#This Row],[CONCAT4]],[2]!RAW[CONCAT_H],0),FALSE))</f>
        <v/>
      </c>
      <c r="AR644" s="56" t="str">
        <f>IF(NOTA[[#This Row],[CONCAT1]]="","",MATCH(NOTA[[#This Row],[CONCAT1]],[3]!db[NB NOTA_C],0))</f>
        <v/>
      </c>
      <c r="AS644" s="56" t="str">
        <f>IF(NOTA[[#This Row],[QTY/ CTN]]="","",TRUE)</f>
        <v/>
      </c>
      <c r="AT644" s="56" t="str">
        <f ca="1">IF(NOTA[[#This Row],[ID_H]]="","",IF(NOTA[[#This Row],[Column3]]=TRUE,NOTA[[#This Row],[QTY/ CTN]],INDEX([3]!db[QTY/ CTN],NOTA[[#This Row],[//DB]])))</f>
        <v/>
      </c>
      <c r="AU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4" s="56" t="str">
        <f ca="1">IF(NOTA[[#This Row],[ID_H]]="","",MATCH(NOTA[[#This Row],[NB NOTA_C_QTY]],[4]!db[NB NOTA_C_QTY+F],0))</f>
        <v/>
      </c>
      <c r="AW644" s="68" t="str">
        <f ca="1">IF(NOTA[[#This Row],[NB NOTA_C_QTY]]="","",ROW()-2)</f>
        <v/>
      </c>
    </row>
    <row r="645" spans="1:49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5" s="66" t="str">
        <f>IF(OR(NOTA[[#This Row],[QTY]]="",NOTA[[#This Row],[HARGA SATUAN]]="",),"",NOTA[[#This Row],[QTY]]*NOTA[[#This Row],[HARGA SATUAN]])</f>
        <v/>
      </c>
      <c r="AH645" s="60" t="str">
        <f ca="1">IF(NOTA[ID_H]="","",INDEX(NOTA[TANGGAL],MATCH(,INDIRECT(ADDRESS(ROW(NOTA[TANGGAL]),COLUMN(NOTA[TANGGAL]))&amp;":"&amp;ADDRESS(ROW(),COLUMN(NOTA[TANGGAL]))),-1)))</f>
        <v/>
      </c>
      <c r="AI645" s="55" t="str">
        <f ca="1">IF(NOTA[[#This Row],[NAMA BARANG]]="","",INDEX(NOTA[SUPPLIER],MATCH(,INDIRECT(ADDRESS(ROW(NOTA[ID]),COLUMN(NOTA[ID]))&amp;":"&amp;ADDRESS(ROW(),COLUMN(NOTA[ID]))),-1)))</f>
        <v/>
      </c>
      <c r="AJ645" s="55" t="str">
        <f ca="1">IF(NOTA[[#This Row],[ID_H]]="","",IF(NOTA[[#This Row],[FAKTUR]]="",INDIRECT(ADDRESS(ROW()-1,COLUMN())),NOTA[[#This Row],[FAKTUR]]))</f>
        <v/>
      </c>
      <c r="AK645" s="56" t="str">
        <f ca="1">IF(NOTA[[#This Row],[ID]]="","",COUNTIF(NOTA[ID_H],NOTA[[#This Row],[ID_H]]))</f>
        <v/>
      </c>
      <c r="AL645" s="56" t="str">
        <f ca="1">IF(NOTA[[#This Row],[TGL.NOTA]]="",IF(NOTA[[#This Row],[SUPPLIER_H]]="","",AL644),MONTH(NOTA[[#This Row],[TGL.NOTA]]))</f>
        <v/>
      </c>
      <c r="AM645" s="56" t="str">
        <f>LOWER(SUBSTITUTE(SUBSTITUTE(SUBSTITUTE(SUBSTITUTE(SUBSTITUTE(SUBSTITUTE(SUBSTITUTE(SUBSTITUTE(SUBSTITUTE(NOTA[NAMA BARANG]," ",),".",""),"-",""),"(",""),")",""),",",""),"/",""),"""",""),"+",""))</f>
        <v/>
      </c>
      <c r="AN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56" t="str">
        <f>IF(NOTA[[#This Row],[CONCAT4]]="","",_xlfn.IFNA(MATCH(NOTA[[#This Row],[CONCAT4]],[2]!RAW[CONCAT_H],0),FALSE))</f>
        <v/>
      </c>
      <c r="AR645" s="56" t="str">
        <f>IF(NOTA[[#This Row],[CONCAT1]]="","",MATCH(NOTA[[#This Row],[CONCAT1]],[3]!db[NB NOTA_C],0))</f>
        <v/>
      </c>
      <c r="AS645" s="56" t="str">
        <f>IF(NOTA[[#This Row],[QTY/ CTN]]="","",TRUE)</f>
        <v/>
      </c>
      <c r="AT645" s="56" t="str">
        <f ca="1">IF(NOTA[[#This Row],[ID_H]]="","",IF(NOTA[[#This Row],[Column3]]=TRUE,NOTA[[#This Row],[QTY/ CTN]],INDEX([3]!db[QTY/ CTN],NOTA[[#This Row],[//DB]])))</f>
        <v/>
      </c>
      <c r="AU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5" s="56" t="str">
        <f ca="1">IF(NOTA[[#This Row],[ID_H]]="","",MATCH(NOTA[[#This Row],[NB NOTA_C_QTY]],[4]!db[NB NOTA_C_QTY+F],0))</f>
        <v/>
      </c>
      <c r="AW645" s="68" t="str">
        <f ca="1">IF(NOTA[[#This Row],[NB NOTA_C_QTY]]="","",ROW()-2)</f>
        <v/>
      </c>
    </row>
    <row r="646" spans="1:49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6" s="66" t="str">
        <f>IF(OR(NOTA[[#This Row],[QTY]]="",NOTA[[#This Row],[HARGA SATUAN]]="",),"",NOTA[[#This Row],[QTY]]*NOTA[[#This Row],[HARGA SATUAN]])</f>
        <v/>
      </c>
      <c r="AH646" s="60" t="str">
        <f ca="1">IF(NOTA[ID_H]="","",INDEX(NOTA[TANGGAL],MATCH(,INDIRECT(ADDRESS(ROW(NOTA[TANGGAL]),COLUMN(NOTA[TANGGAL]))&amp;":"&amp;ADDRESS(ROW(),COLUMN(NOTA[TANGGAL]))),-1)))</f>
        <v/>
      </c>
      <c r="AI646" s="55" t="str">
        <f ca="1">IF(NOTA[[#This Row],[NAMA BARANG]]="","",INDEX(NOTA[SUPPLIER],MATCH(,INDIRECT(ADDRESS(ROW(NOTA[ID]),COLUMN(NOTA[ID]))&amp;":"&amp;ADDRESS(ROW(),COLUMN(NOTA[ID]))),-1)))</f>
        <v/>
      </c>
      <c r="AJ646" s="55" t="str">
        <f ca="1">IF(NOTA[[#This Row],[ID_H]]="","",IF(NOTA[[#This Row],[FAKTUR]]="",INDIRECT(ADDRESS(ROW()-1,COLUMN())),NOTA[[#This Row],[FAKTUR]]))</f>
        <v/>
      </c>
      <c r="AK646" s="56" t="str">
        <f ca="1">IF(NOTA[[#This Row],[ID]]="","",COUNTIF(NOTA[ID_H],NOTA[[#This Row],[ID_H]]))</f>
        <v/>
      </c>
      <c r="AL646" s="56" t="str">
        <f ca="1">IF(NOTA[[#This Row],[TGL.NOTA]]="",IF(NOTA[[#This Row],[SUPPLIER_H]]="","",AL645),MONTH(NOTA[[#This Row],[TGL.NOTA]]))</f>
        <v/>
      </c>
      <c r="AM646" s="56" t="str">
        <f>LOWER(SUBSTITUTE(SUBSTITUTE(SUBSTITUTE(SUBSTITUTE(SUBSTITUTE(SUBSTITUTE(SUBSTITUTE(SUBSTITUTE(SUBSTITUTE(NOTA[NAMA BARANG]," ",),".",""),"-",""),"(",""),")",""),",",""),"/",""),"""",""),"+",""))</f>
        <v/>
      </c>
      <c r="AN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56" t="str">
        <f>IF(NOTA[[#This Row],[CONCAT4]]="","",_xlfn.IFNA(MATCH(NOTA[[#This Row],[CONCAT4]],[2]!RAW[CONCAT_H],0),FALSE))</f>
        <v/>
      </c>
      <c r="AR646" s="56" t="str">
        <f>IF(NOTA[[#This Row],[CONCAT1]]="","",MATCH(NOTA[[#This Row],[CONCAT1]],[3]!db[NB NOTA_C],0))</f>
        <v/>
      </c>
      <c r="AS646" s="56" t="str">
        <f>IF(NOTA[[#This Row],[QTY/ CTN]]="","",TRUE)</f>
        <v/>
      </c>
      <c r="AT646" s="56" t="str">
        <f ca="1">IF(NOTA[[#This Row],[ID_H]]="","",IF(NOTA[[#This Row],[Column3]]=TRUE,NOTA[[#This Row],[QTY/ CTN]],INDEX([3]!db[QTY/ CTN],NOTA[[#This Row],[//DB]])))</f>
        <v/>
      </c>
      <c r="AU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6" s="56" t="str">
        <f ca="1">IF(NOTA[[#This Row],[ID_H]]="","",MATCH(NOTA[[#This Row],[NB NOTA_C_QTY]],[4]!db[NB NOTA_C_QTY+F],0))</f>
        <v/>
      </c>
      <c r="AW646" s="68" t="str">
        <f ca="1">IF(NOTA[[#This Row],[NB NOTA_C_QTY]]="","",ROW()-2)</f>
        <v/>
      </c>
    </row>
    <row r="647" spans="1:49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7" s="66" t="str">
        <f>IF(OR(NOTA[[#This Row],[QTY]]="",NOTA[[#This Row],[HARGA SATUAN]]="",),"",NOTA[[#This Row],[QTY]]*NOTA[[#This Row],[HARGA SATUAN]])</f>
        <v/>
      </c>
      <c r="AH647" s="60" t="str">
        <f ca="1">IF(NOTA[ID_H]="","",INDEX(NOTA[TANGGAL],MATCH(,INDIRECT(ADDRESS(ROW(NOTA[TANGGAL]),COLUMN(NOTA[TANGGAL]))&amp;":"&amp;ADDRESS(ROW(),COLUMN(NOTA[TANGGAL]))),-1)))</f>
        <v/>
      </c>
      <c r="AI647" s="55" t="str">
        <f ca="1">IF(NOTA[[#This Row],[NAMA BARANG]]="","",INDEX(NOTA[SUPPLIER],MATCH(,INDIRECT(ADDRESS(ROW(NOTA[ID]),COLUMN(NOTA[ID]))&amp;":"&amp;ADDRESS(ROW(),COLUMN(NOTA[ID]))),-1)))</f>
        <v/>
      </c>
      <c r="AJ647" s="55" t="str">
        <f ca="1">IF(NOTA[[#This Row],[ID_H]]="","",IF(NOTA[[#This Row],[FAKTUR]]="",INDIRECT(ADDRESS(ROW()-1,COLUMN())),NOTA[[#This Row],[FAKTUR]]))</f>
        <v/>
      </c>
      <c r="AK647" s="56" t="str">
        <f ca="1">IF(NOTA[[#This Row],[ID]]="","",COUNTIF(NOTA[ID_H],NOTA[[#This Row],[ID_H]]))</f>
        <v/>
      </c>
      <c r="AL647" s="56" t="str">
        <f ca="1">IF(NOTA[[#This Row],[TGL.NOTA]]="",IF(NOTA[[#This Row],[SUPPLIER_H]]="","",AL646),MONTH(NOTA[[#This Row],[TGL.NOTA]]))</f>
        <v/>
      </c>
      <c r="AM647" s="56" t="str">
        <f>LOWER(SUBSTITUTE(SUBSTITUTE(SUBSTITUTE(SUBSTITUTE(SUBSTITUTE(SUBSTITUTE(SUBSTITUTE(SUBSTITUTE(SUBSTITUTE(NOTA[NAMA BARANG]," ",),".",""),"-",""),"(",""),")",""),",",""),"/",""),"""",""),"+",""))</f>
        <v/>
      </c>
      <c r="AN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56" t="str">
        <f>IF(NOTA[[#This Row],[CONCAT4]]="","",_xlfn.IFNA(MATCH(NOTA[[#This Row],[CONCAT4]],[2]!RAW[CONCAT_H],0),FALSE))</f>
        <v/>
      </c>
      <c r="AR647" s="56" t="str">
        <f>IF(NOTA[[#This Row],[CONCAT1]]="","",MATCH(NOTA[[#This Row],[CONCAT1]],[3]!db[NB NOTA_C],0))</f>
        <v/>
      </c>
      <c r="AS647" s="56" t="str">
        <f>IF(NOTA[[#This Row],[QTY/ CTN]]="","",TRUE)</f>
        <v/>
      </c>
      <c r="AT647" s="56" t="str">
        <f ca="1">IF(NOTA[[#This Row],[ID_H]]="","",IF(NOTA[[#This Row],[Column3]]=TRUE,NOTA[[#This Row],[QTY/ CTN]],INDEX([3]!db[QTY/ CTN],NOTA[[#This Row],[//DB]])))</f>
        <v/>
      </c>
      <c r="AU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7" s="56" t="str">
        <f ca="1">IF(NOTA[[#This Row],[ID_H]]="","",MATCH(NOTA[[#This Row],[NB NOTA_C_QTY]],[4]!db[NB NOTA_C_QTY+F],0))</f>
        <v/>
      </c>
      <c r="AW647" s="68" t="str">
        <f ca="1">IF(NOTA[[#This Row],[NB NOTA_C_QTY]]="","",ROW()-2)</f>
        <v/>
      </c>
    </row>
    <row r="648" spans="1:49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8" s="66" t="str">
        <f>IF(OR(NOTA[[#This Row],[QTY]]="",NOTA[[#This Row],[HARGA SATUAN]]="",),"",NOTA[[#This Row],[QTY]]*NOTA[[#This Row],[HARGA SATUAN]])</f>
        <v/>
      </c>
      <c r="AH648" s="60" t="str">
        <f ca="1">IF(NOTA[ID_H]="","",INDEX(NOTA[TANGGAL],MATCH(,INDIRECT(ADDRESS(ROW(NOTA[TANGGAL]),COLUMN(NOTA[TANGGAL]))&amp;":"&amp;ADDRESS(ROW(),COLUMN(NOTA[TANGGAL]))),-1)))</f>
        <v/>
      </c>
      <c r="AI648" s="55" t="str">
        <f ca="1">IF(NOTA[[#This Row],[NAMA BARANG]]="","",INDEX(NOTA[SUPPLIER],MATCH(,INDIRECT(ADDRESS(ROW(NOTA[ID]),COLUMN(NOTA[ID]))&amp;":"&amp;ADDRESS(ROW(),COLUMN(NOTA[ID]))),-1)))</f>
        <v/>
      </c>
      <c r="AJ648" s="55" t="str">
        <f ca="1">IF(NOTA[[#This Row],[ID_H]]="","",IF(NOTA[[#This Row],[FAKTUR]]="",INDIRECT(ADDRESS(ROW()-1,COLUMN())),NOTA[[#This Row],[FAKTUR]]))</f>
        <v/>
      </c>
      <c r="AK648" s="56" t="str">
        <f ca="1">IF(NOTA[[#This Row],[ID]]="","",COUNTIF(NOTA[ID_H],NOTA[[#This Row],[ID_H]]))</f>
        <v/>
      </c>
      <c r="AL648" s="56" t="str">
        <f ca="1">IF(NOTA[[#This Row],[TGL.NOTA]]="",IF(NOTA[[#This Row],[SUPPLIER_H]]="","",AL647),MONTH(NOTA[[#This Row],[TGL.NOTA]]))</f>
        <v/>
      </c>
      <c r="AM648" s="56" t="str">
        <f>LOWER(SUBSTITUTE(SUBSTITUTE(SUBSTITUTE(SUBSTITUTE(SUBSTITUTE(SUBSTITUTE(SUBSTITUTE(SUBSTITUTE(SUBSTITUTE(NOTA[NAMA BARANG]," ",),".",""),"-",""),"(",""),")",""),",",""),"/",""),"""",""),"+",""))</f>
        <v/>
      </c>
      <c r="AN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56" t="str">
        <f>IF(NOTA[[#This Row],[CONCAT4]]="","",_xlfn.IFNA(MATCH(NOTA[[#This Row],[CONCAT4]],[2]!RAW[CONCAT_H],0),FALSE))</f>
        <v/>
      </c>
      <c r="AR648" s="56" t="str">
        <f>IF(NOTA[[#This Row],[CONCAT1]]="","",MATCH(NOTA[[#This Row],[CONCAT1]],[3]!db[NB NOTA_C],0))</f>
        <v/>
      </c>
      <c r="AS648" s="56" t="str">
        <f>IF(NOTA[[#This Row],[QTY/ CTN]]="","",TRUE)</f>
        <v/>
      </c>
      <c r="AT648" s="56" t="str">
        <f ca="1">IF(NOTA[[#This Row],[ID_H]]="","",IF(NOTA[[#This Row],[Column3]]=TRUE,NOTA[[#This Row],[QTY/ CTN]],INDEX([3]!db[QTY/ CTN],NOTA[[#This Row],[//DB]])))</f>
        <v/>
      </c>
      <c r="AU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8" s="56" t="str">
        <f ca="1">IF(NOTA[[#This Row],[ID_H]]="","",MATCH(NOTA[[#This Row],[NB NOTA_C_QTY]],[4]!db[NB NOTA_C_QTY+F],0))</f>
        <v/>
      </c>
      <c r="AW648" s="68" t="str">
        <f ca="1">IF(NOTA[[#This Row],[NB NOTA_C_QTY]]="","",ROW()-2)</f>
        <v/>
      </c>
    </row>
    <row r="649" spans="1:49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49" s="66" t="str">
        <f>IF(OR(NOTA[[#This Row],[QTY]]="",NOTA[[#This Row],[HARGA SATUAN]]="",),"",NOTA[[#This Row],[QTY]]*NOTA[[#This Row],[HARGA SATUAN]])</f>
        <v/>
      </c>
      <c r="AH649" s="60" t="str">
        <f ca="1">IF(NOTA[ID_H]="","",INDEX(NOTA[TANGGAL],MATCH(,INDIRECT(ADDRESS(ROW(NOTA[TANGGAL]),COLUMN(NOTA[TANGGAL]))&amp;":"&amp;ADDRESS(ROW(),COLUMN(NOTA[TANGGAL]))),-1)))</f>
        <v/>
      </c>
      <c r="AI649" s="55" t="str">
        <f ca="1">IF(NOTA[[#This Row],[NAMA BARANG]]="","",INDEX(NOTA[SUPPLIER],MATCH(,INDIRECT(ADDRESS(ROW(NOTA[ID]),COLUMN(NOTA[ID]))&amp;":"&amp;ADDRESS(ROW(),COLUMN(NOTA[ID]))),-1)))</f>
        <v/>
      </c>
      <c r="AJ649" s="55" t="str">
        <f ca="1">IF(NOTA[[#This Row],[ID_H]]="","",IF(NOTA[[#This Row],[FAKTUR]]="",INDIRECT(ADDRESS(ROW()-1,COLUMN())),NOTA[[#This Row],[FAKTUR]]))</f>
        <v/>
      </c>
      <c r="AK649" s="56" t="str">
        <f ca="1">IF(NOTA[[#This Row],[ID]]="","",COUNTIF(NOTA[ID_H],NOTA[[#This Row],[ID_H]]))</f>
        <v/>
      </c>
      <c r="AL649" s="56" t="str">
        <f ca="1">IF(NOTA[[#This Row],[TGL.NOTA]]="",IF(NOTA[[#This Row],[SUPPLIER_H]]="","",AL648),MONTH(NOTA[[#This Row],[TGL.NOTA]]))</f>
        <v/>
      </c>
      <c r="AM649" s="56" t="str">
        <f>LOWER(SUBSTITUTE(SUBSTITUTE(SUBSTITUTE(SUBSTITUTE(SUBSTITUTE(SUBSTITUTE(SUBSTITUTE(SUBSTITUTE(SUBSTITUTE(NOTA[NAMA BARANG]," ",),".",""),"-",""),"(",""),")",""),",",""),"/",""),"""",""),"+",""))</f>
        <v/>
      </c>
      <c r="AN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56" t="str">
        <f>IF(NOTA[[#This Row],[CONCAT4]]="","",_xlfn.IFNA(MATCH(NOTA[[#This Row],[CONCAT4]],[2]!RAW[CONCAT_H],0),FALSE))</f>
        <v/>
      </c>
      <c r="AR649" s="56" t="str">
        <f>IF(NOTA[[#This Row],[CONCAT1]]="","",MATCH(NOTA[[#This Row],[CONCAT1]],[3]!db[NB NOTA_C],0))</f>
        <v/>
      </c>
      <c r="AS649" s="56" t="str">
        <f>IF(NOTA[[#This Row],[QTY/ CTN]]="","",TRUE)</f>
        <v/>
      </c>
      <c r="AT649" s="56" t="str">
        <f ca="1">IF(NOTA[[#This Row],[ID_H]]="","",IF(NOTA[[#This Row],[Column3]]=TRUE,NOTA[[#This Row],[QTY/ CTN]],INDEX([3]!db[QTY/ CTN],NOTA[[#This Row],[//DB]])))</f>
        <v/>
      </c>
      <c r="AU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9" s="56" t="str">
        <f ca="1">IF(NOTA[[#This Row],[ID_H]]="","",MATCH(NOTA[[#This Row],[NB NOTA_C_QTY]],[4]!db[NB NOTA_C_QTY+F],0))</f>
        <v/>
      </c>
      <c r="AW649" s="68" t="str">
        <f ca="1">IF(NOTA[[#This Row],[NB NOTA_C_QTY]]="","",ROW()-2)</f>
        <v/>
      </c>
    </row>
    <row r="650" spans="1:49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0" s="66" t="str">
        <f>IF(OR(NOTA[[#This Row],[QTY]]="",NOTA[[#This Row],[HARGA SATUAN]]="",),"",NOTA[[#This Row],[QTY]]*NOTA[[#This Row],[HARGA SATUAN]])</f>
        <v/>
      </c>
      <c r="AH650" s="60" t="str">
        <f ca="1">IF(NOTA[ID_H]="","",INDEX(NOTA[TANGGAL],MATCH(,INDIRECT(ADDRESS(ROW(NOTA[TANGGAL]),COLUMN(NOTA[TANGGAL]))&amp;":"&amp;ADDRESS(ROW(),COLUMN(NOTA[TANGGAL]))),-1)))</f>
        <v/>
      </c>
      <c r="AI650" s="55" t="str">
        <f ca="1">IF(NOTA[[#This Row],[NAMA BARANG]]="","",INDEX(NOTA[SUPPLIER],MATCH(,INDIRECT(ADDRESS(ROW(NOTA[ID]),COLUMN(NOTA[ID]))&amp;":"&amp;ADDRESS(ROW(),COLUMN(NOTA[ID]))),-1)))</f>
        <v/>
      </c>
      <c r="AJ650" s="55" t="str">
        <f ca="1">IF(NOTA[[#This Row],[ID_H]]="","",IF(NOTA[[#This Row],[FAKTUR]]="",INDIRECT(ADDRESS(ROW()-1,COLUMN())),NOTA[[#This Row],[FAKTUR]]))</f>
        <v/>
      </c>
      <c r="AK650" s="56" t="str">
        <f ca="1">IF(NOTA[[#This Row],[ID]]="","",COUNTIF(NOTA[ID_H],NOTA[[#This Row],[ID_H]]))</f>
        <v/>
      </c>
      <c r="AL650" s="56" t="str">
        <f ca="1">IF(NOTA[[#This Row],[TGL.NOTA]]="",IF(NOTA[[#This Row],[SUPPLIER_H]]="","",AL649),MONTH(NOTA[[#This Row],[TGL.NOTA]]))</f>
        <v/>
      </c>
      <c r="AM650" s="56" t="str">
        <f>LOWER(SUBSTITUTE(SUBSTITUTE(SUBSTITUTE(SUBSTITUTE(SUBSTITUTE(SUBSTITUTE(SUBSTITUTE(SUBSTITUTE(SUBSTITUTE(NOTA[NAMA BARANG]," ",),".",""),"-",""),"(",""),")",""),",",""),"/",""),"""",""),"+",""))</f>
        <v/>
      </c>
      <c r="AN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56" t="str">
        <f>IF(NOTA[[#This Row],[CONCAT4]]="","",_xlfn.IFNA(MATCH(NOTA[[#This Row],[CONCAT4]],[2]!RAW[CONCAT_H],0),FALSE))</f>
        <v/>
      </c>
      <c r="AR650" s="56" t="str">
        <f>IF(NOTA[[#This Row],[CONCAT1]]="","",MATCH(NOTA[[#This Row],[CONCAT1]],[3]!db[NB NOTA_C],0))</f>
        <v/>
      </c>
      <c r="AS650" s="56" t="str">
        <f>IF(NOTA[[#This Row],[QTY/ CTN]]="","",TRUE)</f>
        <v/>
      </c>
      <c r="AT650" s="56" t="str">
        <f ca="1">IF(NOTA[[#This Row],[ID_H]]="","",IF(NOTA[[#This Row],[Column3]]=TRUE,NOTA[[#This Row],[QTY/ CTN]],INDEX([3]!db[QTY/ CTN],NOTA[[#This Row],[//DB]])))</f>
        <v/>
      </c>
      <c r="AU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0" s="56" t="str">
        <f ca="1">IF(NOTA[[#This Row],[ID_H]]="","",MATCH(NOTA[[#This Row],[NB NOTA_C_QTY]],[4]!db[NB NOTA_C_QTY+F],0))</f>
        <v/>
      </c>
      <c r="AW650" s="68" t="str">
        <f ca="1">IF(NOTA[[#This Row],[NB NOTA_C_QTY]]="","",ROW()-2)</f>
        <v/>
      </c>
    </row>
    <row r="651" spans="1:49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1" s="66" t="str">
        <f>IF(OR(NOTA[[#This Row],[QTY]]="",NOTA[[#This Row],[HARGA SATUAN]]="",),"",NOTA[[#This Row],[QTY]]*NOTA[[#This Row],[HARGA SATUAN]])</f>
        <v/>
      </c>
      <c r="AH651" s="60" t="str">
        <f ca="1">IF(NOTA[ID_H]="","",INDEX(NOTA[TANGGAL],MATCH(,INDIRECT(ADDRESS(ROW(NOTA[TANGGAL]),COLUMN(NOTA[TANGGAL]))&amp;":"&amp;ADDRESS(ROW(),COLUMN(NOTA[TANGGAL]))),-1)))</f>
        <v/>
      </c>
      <c r="AI651" s="55" t="str">
        <f ca="1">IF(NOTA[[#This Row],[NAMA BARANG]]="","",INDEX(NOTA[SUPPLIER],MATCH(,INDIRECT(ADDRESS(ROW(NOTA[ID]),COLUMN(NOTA[ID]))&amp;":"&amp;ADDRESS(ROW(),COLUMN(NOTA[ID]))),-1)))</f>
        <v/>
      </c>
      <c r="AJ651" s="55" t="str">
        <f ca="1">IF(NOTA[[#This Row],[ID_H]]="","",IF(NOTA[[#This Row],[FAKTUR]]="",INDIRECT(ADDRESS(ROW()-1,COLUMN())),NOTA[[#This Row],[FAKTUR]]))</f>
        <v/>
      </c>
      <c r="AK651" s="56" t="str">
        <f ca="1">IF(NOTA[[#This Row],[ID]]="","",COUNTIF(NOTA[ID_H],NOTA[[#This Row],[ID_H]]))</f>
        <v/>
      </c>
      <c r="AL651" s="56" t="str">
        <f ca="1">IF(NOTA[[#This Row],[TGL.NOTA]]="",IF(NOTA[[#This Row],[SUPPLIER_H]]="","",AL650),MONTH(NOTA[[#This Row],[TGL.NOTA]]))</f>
        <v/>
      </c>
      <c r="AM651" s="56" t="str">
        <f>LOWER(SUBSTITUTE(SUBSTITUTE(SUBSTITUTE(SUBSTITUTE(SUBSTITUTE(SUBSTITUTE(SUBSTITUTE(SUBSTITUTE(SUBSTITUTE(NOTA[NAMA BARANG]," ",),".",""),"-",""),"(",""),")",""),",",""),"/",""),"""",""),"+",""))</f>
        <v/>
      </c>
      <c r="AN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56" t="str">
        <f>IF(NOTA[[#This Row],[CONCAT4]]="","",_xlfn.IFNA(MATCH(NOTA[[#This Row],[CONCAT4]],[2]!RAW[CONCAT_H],0),FALSE))</f>
        <v/>
      </c>
      <c r="AR651" s="56" t="str">
        <f>IF(NOTA[[#This Row],[CONCAT1]]="","",MATCH(NOTA[[#This Row],[CONCAT1]],[3]!db[NB NOTA_C],0))</f>
        <v/>
      </c>
      <c r="AS651" s="56" t="str">
        <f>IF(NOTA[[#This Row],[QTY/ CTN]]="","",TRUE)</f>
        <v/>
      </c>
      <c r="AT651" s="56" t="str">
        <f ca="1">IF(NOTA[[#This Row],[ID_H]]="","",IF(NOTA[[#This Row],[Column3]]=TRUE,NOTA[[#This Row],[QTY/ CTN]],INDEX([3]!db[QTY/ CTN],NOTA[[#This Row],[//DB]])))</f>
        <v/>
      </c>
      <c r="AU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1" s="56" t="str">
        <f ca="1">IF(NOTA[[#This Row],[ID_H]]="","",MATCH(NOTA[[#This Row],[NB NOTA_C_QTY]],[4]!db[NB NOTA_C_QTY+F],0))</f>
        <v/>
      </c>
      <c r="AW651" s="68" t="str">
        <f ca="1">IF(NOTA[[#This Row],[NB NOTA_C_QTY]]="","",ROW()-2)</f>
        <v/>
      </c>
    </row>
    <row r="652" spans="1:49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2" s="66" t="str">
        <f>IF(OR(NOTA[[#This Row],[QTY]]="",NOTA[[#This Row],[HARGA SATUAN]]="",),"",NOTA[[#This Row],[QTY]]*NOTA[[#This Row],[HARGA SATUAN]])</f>
        <v/>
      </c>
      <c r="AH652" s="60" t="str">
        <f ca="1">IF(NOTA[ID_H]="","",INDEX(NOTA[TANGGAL],MATCH(,INDIRECT(ADDRESS(ROW(NOTA[TANGGAL]),COLUMN(NOTA[TANGGAL]))&amp;":"&amp;ADDRESS(ROW(),COLUMN(NOTA[TANGGAL]))),-1)))</f>
        <v/>
      </c>
      <c r="AI652" s="55" t="str">
        <f ca="1">IF(NOTA[[#This Row],[NAMA BARANG]]="","",INDEX(NOTA[SUPPLIER],MATCH(,INDIRECT(ADDRESS(ROW(NOTA[ID]),COLUMN(NOTA[ID]))&amp;":"&amp;ADDRESS(ROW(),COLUMN(NOTA[ID]))),-1)))</f>
        <v/>
      </c>
      <c r="AJ652" s="55" t="str">
        <f ca="1">IF(NOTA[[#This Row],[ID_H]]="","",IF(NOTA[[#This Row],[FAKTUR]]="",INDIRECT(ADDRESS(ROW()-1,COLUMN())),NOTA[[#This Row],[FAKTUR]]))</f>
        <v/>
      </c>
      <c r="AK652" s="56" t="str">
        <f ca="1">IF(NOTA[[#This Row],[ID]]="","",COUNTIF(NOTA[ID_H],NOTA[[#This Row],[ID_H]]))</f>
        <v/>
      </c>
      <c r="AL652" s="56" t="str">
        <f ca="1">IF(NOTA[[#This Row],[TGL.NOTA]]="",IF(NOTA[[#This Row],[SUPPLIER_H]]="","",AL651),MONTH(NOTA[[#This Row],[TGL.NOTA]]))</f>
        <v/>
      </c>
      <c r="AM652" s="56" t="str">
        <f>LOWER(SUBSTITUTE(SUBSTITUTE(SUBSTITUTE(SUBSTITUTE(SUBSTITUTE(SUBSTITUTE(SUBSTITUTE(SUBSTITUTE(SUBSTITUTE(NOTA[NAMA BARANG]," ",),".",""),"-",""),"(",""),")",""),",",""),"/",""),"""",""),"+",""))</f>
        <v/>
      </c>
      <c r="AN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56" t="str">
        <f>IF(NOTA[[#This Row],[CONCAT4]]="","",_xlfn.IFNA(MATCH(NOTA[[#This Row],[CONCAT4]],[2]!RAW[CONCAT_H],0),FALSE))</f>
        <v/>
      </c>
      <c r="AR652" s="56" t="str">
        <f>IF(NOTA[[#This Row],[CONCAT1]]="","",MATCH(NOTA[[#This Row],[CONCAT1]],[3]!db[NB NOTA_C],0))</f>
        <v/>
      </c>
      <c r="AS652" s="56" t="str">
        <f>IF(NOTA[[#This Row],[QTY/ CTN]]="","",TRUE)</f>
        <v/>
      </c>
      <c r="AT652" s="56" t="str">
        <f ca="1">IF(NOTA[[#This Row],[ID_H]]="","",IF(NOTA[[#This Row],[Column3]]=TRUE,NOTA[[#This Row],[QTY/ CTN]],INDEX([3]!db[QTY/ CTN],NOTA[[#This Row],[//DB]])))</f>
        <v/>
      </c>
      <c r="AU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2" s="56" t="str">
        <f ca="1">IF(NOTA[[#This Row],[ID_H]]="","",MATCH(NOTA[[#This Row],[NB NOTA_C_QTY]],[4]!db[NB NOTA_C_QTY+F],0))</f>
        <v/>
      </c>
      <c r="AW652" s="68" t="str">
        <f ca="1">IF(NOTA[[#This Row],[NB NOTA_C_QTY]]="","",ROW()-2)</f>
        <v/>
      </c>
    </row>
    <row r="653" spans="1:49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3" s="66" t="str">
        <f>IF(OR(NOTA[[#This Row],[QTY]]="",NOTA[[#This Row],[HARGA SATUAN]]="",),"",NOTA[[#This Row],[QTY]]*NOTA[[#This Row],[HARGA SATUAN]])</f>
        <v/>
      </c>
      <c r="AH653" s="60" t="str">
        <f ca="1">IF(NOTA[ID_H]="","",INDEX(NOTA[TANGGAL],MATCH(,INDIRECT(ADDRESS(ROW(NOTA[TANGGAL]),COLUMN(NOTA[TANGGAL]))&amp;":"&amp;ADDRESS(ROW(),COLUMN(NOTA[TANGGAL]))),-1)))</f>
        <v/>
      </c>
      <c r="AI653" s="55" t="str">
        <f ca="1">IF(NOTA[[#This Row],[NAMA BARANG]]="","",INDEX(NOTA[SUPPLIER],MATCH(,INDIRECT(ADDRESS(ROW(NOTA[ID]),COLUMN(NOTA[ID]))&amp;":"&amp;ADDRESS(ROW(),COLUMN(NOTA[ID]))),-1)))</f>
        <v/>
      </c>
      <c r="AJ653" s="55" t="str">
        <f ca="1">IF(NOTA[[#This Row],[ID_H]]="","",IF(NOTA[[#This Row],[FAKTUR]]="",INDIRECT(ADDRESS(ROW()-1,COLUMN())),NOTA[[#This Row],[FAKTUR]]))</f>
        <v/>
      </c>
      <c r="AK653" s="56" t="str">
        <f ca="1">IF(NOTA[[#This Row],[ID]]="","",COUNTIF(NOTA[ID_H],NOTA[[#This Row],[ID_H]]))</f>
        <v/>
      </c>
      <c r="AL653" s="56" t="str">
        <f ca="1">IF(NOTA[[#This Row],[TGL.NOTA]]="",IF(NOTA[[#This Row],[SUPPLIER_H]]="","",AL652),MONTH(NOTA[[#This Row],[TGL.NOTA]]))</f>
        <v/>
      </c>
      <c r="AM653" s="56" t="str">
        <f>LOWER(SUBSTITUTE(SUBSTITUTE(SUBSTITUTE(SUBSTITUTE(SUBSTITUTE(SUBSTITUTE(SUBSTITUTE(SUBSTITUTE(SUBSTITUTE(NOTA[NAMA BARANG]," ",),".",""),"-",""),"(",""),")",""),",",""),"/",""),"""",""),"+",""))</f>
        <v/>
      </c>
      <c r="AN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56" t="str">
        <f>IF(NOTA[[#This Row],[CONCAT4]]="","",_xlfn.IFNA(MATCH(NOTA[[#This Row],[CONCAT4]],[2]!RAW[CONCAT_H],0),FALSE))</f>
        <v/>
      </c>
      <c r="AR653" s="56" t="str">
        <f>IF(NOTA[[#This Row],[CONCAT1]]="","",MATCH(NOTA[[#This Row],[CONCAT1]],[3]!db[NB NOTA_C],0))</f>
        <v/>
      </c>
      <c r="AS653" s="56" t="str">
        <f>IF(NOTA[[#This Row],[QTY/ CTN]]="","",TRUE)</f>
        <v/>
      </c>
      <c r="AT653" s="56" t="str">
        <f ca="1">IF(NOTA[[#This Row],[ID_H]]="","",IF(NOTA[[#This Row],[Column3]]=TRUE,NOTA[[#This Row],[QTY/ CTN]],INDEX([3]!db[QTY/ CTN],NOTA[[#This Row],[//DB]])))</f>
        <v/>
      </c>
      <c r="AU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3" s="56" t="str">
        <f ca="1">IF(NOTA[[#This Row],[ID_H]]="","",MATCH(NOTA[[#This Row],[NB NOTA_C_QTY]],[4]!db[NB NOTA_C_QTY+F],0))</f>
        <v/>
      </c>
      <c r="AW653" s="68" t="str">
        <f ca="1">IF(NOTA[[#This Row],[NB NOTA_C_QTY]]="","",ROW()-2)</f>
        <v/>
      </c>
    </row>
    <row r="654" spans="1:49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4" s="66" t="str">
        <f>IF(OR(NOTA[[#This Row],[QTY]]="",NOTA[[#This Row],[HARGA SATUAN]]="",),"",NOTA[[#This Row],[QTY]]*NOTA[[#This Row],[HARGA SATUAN]])</f>
        <v/>
      </c>
      <c r="AH654" s="60" t="str">
        <f ca="1">IF(NOTA[ID_H]="","",INDEX(NOTA[TANGGAL],MATCH(,INDIRECT(ADDRESS(ROW(NOTA[TANGGAL]),COLUMN(NOTA[TANGGAL]))&amp;":"&amp;ADDRESS(ROW(),COLUMN(NOTA[TANGGAL]))),-1)))</f>
        <v/>
      </c>
      <c r="AI654" s="55" t="str">
        <f ca="1">IF(NOTA[[#This Row],[NAMA BARANG]]="","",INDEX(NOTA[SUPPLIER],MATCH(,INDIRECT(ADDRESS(ROW(NOTA[ID]),COLUMN(NOTA[ID]))&amp;":"&amp;ADDRESS(ROW(),COLUMN(NOTA[ID]))),-1)))</f>
        <v/>
      </c>
      <c r="AJ654" s="55" t="str">
        <f ca="1">IF(NOTA[[#This Row],[ID_H]]="","",IF(NOTA[[#This Row],[FAKTUR]]="",INDIRECT(ADDRESS(ROW()-1,COLUMN())),NOTA[[#This Row],[FAKTUR]]))</f>
        <v/>
      </c>
      <c r="AK654" s="56" t="str">
        <f ca="1">IF(NOTA[[#This Row],[ID]]="","",COUNTIF(NOTA[ID_H],NOTA[[#This Row],[ID_H]]))</f>
        <v/>
      </c>
      <c r="AL654" s="56" t="str">
        <f ca="1">IF(NOTA[[#This Row],[TGL.NOTA]]="",IF(NOTA[[#This Row],[SUPPLIER_H]]="","",AL653),MONTH(NOTA[[#This Row],[TGL.NOTA]]))</f>
        <v/>
      </c>
      <c r="AM654" s="56" t="str">
        <f>LOWER(SUBSTITUTE(SUBSTITUTE(SUBSTITUTE(SUBSTITUTE(SUBSTITUTE(SUBSTITUTE(SUBSTITUTE(SUBSTITUTE(SUBSTITUTE(NOTA[NAMA BARANG]," ",),".",""),"-",""),"(",""),")",""),",",""),"/",""),"""",""),"+",""))</f>
        <v/>
      </c>
      <c r="AN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56" t="str">
        <f>IF(NOTA[[#This Row],[CONCAT4]]="","",_xlfn.IFNA(MATCH(NOTA[[#This Row],[CONCAT4]],[2]!RAW[CONCAT_H],0),FALSE))</f>
        <v/>
      </c>
      <c r="AR654" s="56" t="str">
        <f>IF(NOTA[[#This Row],[CONCAT1]]="","",MATCH(NOTA[[#This Row],[CONCAT1]],[3]!db[NB NOTA_C],0))</f>
        <v/>
      </c>
      <c r="AS654" s="56" t="str">
        <f>IF(NOTA[[#This Row],[QTY/ CTN]]="","",TRUE)</f>
        <v/>
      </c>
      <c r="AT654" s="56" t="str">
        <f ca="1">IF(NOTA[[#This Row],[ID_H]]="","",IF(NOTA[[#This Row],[Column3]]=TRUE,NOTA[[#This Row],[QTY/ CTN]],INDEX([3]!db[QTY/ CTN],NOTA[[#This Row],[//DB]])))</f>
        <v/>
      </c>
      <c r="AU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4" s="56" t="str">
        <f ca="1">IF(NOTA[[#This Row],[ID_H]]="","",MATCH(NOTA[[#This Row],[NB NOTA_C_QTY]],[4]!db[NB NOTA_C_QTY+F],0))</f>
        <v/>
      </c>
      <c r="AW654" s="68" t="str">
        <f ca="1">IF(NOTA[[#This Row],[NB NOTA_C_QTY]]="","",ROW()-2)</f>
        <v/>
      </c>
    </row>
    <row r="655" spans="1:49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5" s="66" t="str">
        <f>IF(OR(NOTA[[#This Row],[QTY]]="",NOTA[[#This Row],[HARGA SATUAN]]="",),"",NOTA[[#This Row],[QTY]]*NOTA[[#This Row],[HARGA SATUAN]])</f>
        <v/>
      </c>
      <c r="AH655" s="60" t="str">
        <f ca="1">IF(NOTA[ID_H]="","",INDEX(NOTA[TANGGAL],MATCH(,INDIRECT(ADDRESS(ROW(NOTA[TANGGAL]),COLUMN(NOTA[TANGGAL]))&amp;":"&amp;ADDRESS(ROW(),COLUMN(NOTA[TANGGAL]))),-1)))</f>
        <v/>
      </c>
      <c r="AI655" s="55" t="str">
        <f ca="1">IF(NOTA[[#This Row],[NAMA BARANG]]="","",INDEX(NOTA[SUPPLIER],MATCH(,INDIRECT(ADDRESS(ROW(NOTA[ID]),COLUMN(NOTA[ID]))&amp;":"&amp;ADDRESS(ROW(),COLUMN(NOTA[ID]))),-1)))</f>
        <v/>
      </c>
      <c r="AJ655" s="55" t="str">
        <f ca="1">IF(NOTA[[#This Row],[ID_H]]="","",IF(NOTA[[#This Row],[FAKTUR]]="",INDIRECT(ADDRESS(ROW()-1,COLUMN())),NOTA[[#This Row],[FAKTUR]]))</f>
        <v/>
      </c>
      <c r="AK655" s="56" t="str">
        <f ca="1">IF(NOTA[[#This Row],[ID]]="","",COUNTIF(NOTA[ID_H],NOTA[[#This Row],[ID_H]]))</f>
        <v/>
      </c>
      <c r="AL655" s="56" t="str">
        <f ca="1">IF(NOTA[[#This Row],[TGL.NOTA]]="",IF(NOTA[[#This Row],[SUPPLIER_H]]="","",AL654),MONTH(NOTA[[#This Row],[TGL.NOTA]]))</f>
        <v/>
      </c>
      <c r="AM655" s="56" t="str">
        <f>LOWER(SUBSTITUTE(SUBSTITUTE(SUBSTITUTE(SUBSTITUTE(SUBSTITUTE(SUBSTITUTE(SUBSTITUTE(SUBSTITUTE(SUBSTITUTE(NOTA[NAMA BARANG]," ",),".",""),"-",""),"(",""),")",""),",",""),"/",""),"""",""),"+",""))</f>
        <v/>
      </c>
      <c r="AN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5" s="56" t="str">
        <f>IF(NOTA[[#This Row],[CONCAT4]]="","",_xlfn.IFNA(MATCH(NOTA[[#This Row],[CONCAT4]],[2]!RAW[CONCAT_H],0),FALSE))</f>
        <v/>
      </c>
      <c r="AR655" s="56" t="str">
        <f>IF(NOTA[[#This Row],[CONCAT1]]="","",MATCH(NOTA[[#This Row],[CONCAT1]],[3]!db[NB NOTA_C],0))</f>
        <v/>
      </c>
      <c r="AS655" s="56" t="str">
        <f>IF(NOTA[[#This Row],[QTY/ CTN]]="","",TRUE)</f>
        <v/>
      </c>
      <c r="AT655" s="56" t="str">
        <f ca="1">IF(NOTA[[#This Row],[ID_H]]="","",IF(NOTA[[#This Row],[Column3]]=TRUE,NOTA[[#This Row],[QTY/ CTN]],INDEX([3]!db[QTY/ CTN],NOTA[[#This Row],[//DB]])))</f>
        <v/>
      </c>
      <c r="AU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5" s="56" t="str">
        <f ca="1">IF(NOTA[[#This Row],[ID_H]]="","",MATCH(NOTA[[#This Row],[NB NOTA_C_QTY]],[4]!db[NB NOTA_C_QTY+F],0))</f>
        <v/>
      </c>
      <c r="AW655" s="68" t="str">
        <f ca="1">IF(NOTA[[#This Row],[NB NOTA_C_QTY]]="","",ROW()-2)</f>
        <v/>
      </c>
    </row>
    <row r="656" spans="1:49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6" s="66" t="str">
        <f>IF(OR(NOTA[[#This Row],[QTY]]="",NOTA[[#This Row],[HARGA SATUAN]]="",),"",NOTA[[#This Row],[QTY]]*NOTA[[#This Row],[HARGA SATUAN]])</f>
        <v/>
      </c>
      <c r="AH656" s="60" t="str">
        <f ca="1">IF(NOTA[ID_H]="","",INDEX(NOTA[TANGGAL],MATCH(,INDIRECT(ADDRESS(ROW(NOTA[TANGGAL]),COLUMN(NOTA[TANGGAL]))&amp;":"&amp;ADDRESS(ROW(),COLUMN(NOTA[TANGGAL]))),-1)))</f>
        <v/>
      </c>
      <c r="AI656" s="55" t="str">
        <f ca="1">IF(NOTA[[#This Row],[NAMA BARANG]]="","",INDEX(NOTA[SUPPLIER],MATCH(,INDIRECT(ADDRESS(ROW(NOTA[ID]),COLUMN(NOTA[ID]))&amp;":"&amp;ADDRESS(ROW(),COLUMN(NOTA[ID]))),-1)))</f>
        <v/>
      </c>
      <c r="AJ656" s="55" t="str">
        <f ca="1">IF(NOTA[[#This Row],[ID_H]]="","",IF(NOTA[[#This Row],[FAKTUR]]="",INDIRECT(ADDRESS(ROW()-1,COLUMN())),NOTA[[#This Row],[FAKTUR]]))</f>
        <v/>
      </c>
      <c r="AK656" s="56" t="str">
        <f ca="1">IF(NOTA[[#This Row],[ID]]="","",COUNTIF(NOTA[ID_H],NOTA[[#This Row],[ID_H]]))</f>
        <v/>
      </c>
      <c r="AL656" s="56" t="str">
        <f ca="1">IF(NOTA[[#This Row],[TGL.NOTA]]="",IF(NOTA[[#This Row],[SUPPLIER_H]]="","",AL655),MONTH(NOTA[[#This Row],[TGL.NOTA]]))</f>
        <v/>
      </c>
      <c r="AM656" s="56" t="str">
        <f>LOWER(SUBSTITUTE(SUBSTITUTE(SUBSTITUTE(SUBSTITUTE(SUBSTITUTE(SUBSTITUTE(SUBSTITUTE(SUBSTITUTE(SUBSTITUTE(NOTA[NAMA BARANG]," ",),".",""),"-",""),"(",""),")",""),",",""),"/",""),"""",""),"+",""))</f>
        <v/>
      </c>
      <c r="AN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56" t="str">
        <f>IF(NOTA[[#This Row],[CONCAT4]]="","",_xlfn.IFNA(MATCH(NOTA[[#This Row],[CONCAT4]],[2]!RAW[CONCAT_H],0),FALSE))</f>
        <v/>
      </c>
      <c r="AR656" s="56" t="str">
        <f>IF(NOTA[[#This Row],[CONCAT1]]="","",MATCH(NOTA[[#This Row],[CONCAT1]],[3]!db[NB NOTA_C],0))</f>
        <v/>
      </c>
      <c r="AS656" s="56" t="str">
        <f>IF(NOTA[[#This Row],[QTY/ CTN]]="","",TRUE)</f>
        <v/>
      </c>
      <c r="AT656" s="56" t="str">
        <f ca="1">IF(NOTA[[#This Row],[ID_H]]="","",IF(NOTA[[#This Row],[Column3]]=TRUE,NOTA[[#This Row],[QTY/ CTN]],INDEX([3]!db[QTY/ CTN],NOTA[[#This Row],[//DB]])))</f>
        <v/>
      </c>
      <c r="AU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6" s="56" t="str">
        <f ca="1">IF(NOTA[[#This Row],[ID_H]]="","",MATCH(NOTA[[#This Row],[NB NOTA_C_QTY]],[4]!db[NB NOTA_C_QTY+F],0))</f>
        <v/>
      </c>
      <c r="AW656" s="68" t="str">
        <f ca="1">IF(NOTA[[#This Row],[NB NOTA_C_QTY]]="","",ROW()-2)</f>
        <v/>
      </c>
    </row>
    <row r="657" spans="1:49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7" s="66" t="str">
        <f>IF(OR(NOTA[[#This Row],[QTY]]="",NOTA[[#This Row],[HARGA SATUAN]]="",),"",NOTA[[#This Row],[QTY]]*NOTA[[#This Row],[HARGA SATUAN]])</f>
        <v/>
      </c>
      <c r="AH657" s="60" t="str">
        <f ca="1">IF(NOTA[ID_H]="","",INDEX(NOTA[TANGGAL],MATCH(,INDIRECT(ADDRESS(ROW(NOTA[TANGGAL]),COLUMN(NOTA[TANGGAL]))&amp;":"&amp;ADDRESS(ROW(),COLUMN(NOTA[TANGGAL]))),-1)))</f>
        <v/>
      </c>
      <c r="AI657" s="55" t="str">
        <f ca="1">IF(NOTA[[#This Row],[NAMA BARANG]]="","",INDEX(NOTA[SUPPLIER],MATCH(,INDIRECT(ADDRESS(ROW(NOTA[ID]),COLUMN(NOTA[ID]))&amp;":"&amp;ADDRESS(ROW(),COLUMN(NOTA[ID]))),-1)))</f>
        <v/>
      </c>
      <c r="AJ657" s="55" t="str">
        <f ca="1">IF(NOTA[[#This Row],[ID_H]]="","",IF(NOTA[[#This Row],[FAKTUR]]="",INDIRECT(ADDRESS(ROW()-1,COLUMN())),NOTA[[#This Row],[FAKTUR]]))</f>
        <v/>
      </c>
      <c r="AK657" s="56" t="str">
        <f ca="1">IF(NOTA[[#This Row],[ID]]="","",COUNTIF(NOTA[ID_H],NOTA[[#This Row],[ID_H]]))</f>
        <v/>
      </c>
      <c r="AL657" s="56" t="str">
        <f ca="1">IF(NOTA[[#This Row],[TGL.NOTA]]="",IF(NOTA[[#This Row],[SUPPLIER_H]]="","",AL656),MONTH(NOTA[[#This Row],[TGL.NOTA]]))</f>
        <v/>
      </c>
      <c r="AM657" s="56" t="str">
        <f>LOWER(SUBSTITUTE(SUBSTITUTE(SUBSTITUTE(SUBSTITUTE(SUBSTITUTE(SUBSTITUTE(SUBSTITUTE(SUBSTITUTE(SUBSTITUTE(NOTA[NAMA BARANG]," ",),".",""),"-",""),"(",""),")",""),",",""),"/",""),"""",""),"+",""))</f>
        <v/>
      </c>
      <c r="AN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56" t="str">
        <f>IF(NOTA[[#This Row],[CONCAT4]]="","",_xlfn.IFNA(MATCH(NOTA[[#This Row],[CONCAT4]],[2]!RAW[CONCAT_H],0),FALSE))</f>
        <v/>
      </c>
      <c r="AR657" s="56" t="str">
        <f>IF(NOTA[[#This Row],[CONCAT1]]="","",MATCH(NOTA[[#This Row],[CONCAT1]],[3]!db[NB NOTA_C],0))</f>
        <v/>
      </c>
      <c r="AS657" s="56" t="str">
        <f>IF(NOTA[[#This Row],[QTY/ CTN]]="","",TRUE)</f>
        <v/>
      </c>
      <c r="AT657" s="56" t="str">
        <f ca="1">IF(NOTA[[#This Row],[ID_H]]="","",IF(NOTA[[#This Row],[Column3]]=TRUE,NOTA[[#This Row],[QTY/ CTN]],INDEX([3]!db[QTY/ CTN],NOTA[[#This Row],[//DB]])))</f>
        <v/>
      </c>
      <c r="AU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7" s="56" t="str">
        <f ca="1">IF(NOTA[[#This Row],[ID_H]]="","",MATCH(NOTA[[#This Row],[NB NOTA_C_QTY]],[4]!db[NB NOTA_C_QTY+F],0))</f>
        <v/>
      </c>
      <c r="AW657" s="68" t="str">
        <f ca="1">IF(NOTA[[#This Row],[NB NOTA_C_QTY]]="","",ROW()-2)</f>
        <v/>
      </c>
    </row>
    <row r="658" spans="1:49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8" s="66" t="str">
        <f>IF(OR(NOTA[[#This Row],[QTY]]="",NOTA[[#This Row],[HARGA SATUAN]]="",),"",NOTA[[#This Row],[QTY]]*NOTA[[#This Row],[HARGA SATUAN]])</f>
        <v/>
      </c>
      <c r="AH658" s="60" t="str">
        <f ca="1">IF(NOTA[ID_H]="","",INDEX(NOTA[TANGGAL],MATCH(,INDIRECT(ADDRESS(ROW(NOTA[TANGGAL]),COLUMN(NOTA[TANGGAL]))&amp;":"&amp;ADDRESS(ROW(),COLUMN(NOTA[TANGGAL]))),-1)))</f>
        <v/>
      </c>
      <c r="AI658" s="55" t="str">
        <f ca="1">IF(NOTA[[#This Row],[NAMA BARANG]]="","",INDEX(NOTA[SUPPLIER],MATCH(,INDIRECT(ADDRESS(ROW(NOTA[ID]),COLUMN(NOTA[ID]))&amp;":"&amp;ADDRESS(ROW(),COLUMN(NOTA[ID]))),-1)))</f>
        <v/>
      </c>
      <c r="AJ658" s="55" t="str">
        <f ca="1">IF(NOTA[[#This Row],[ID_H]]="","",IF(NOTA[[#This Row],[FAKTUR]]="",INDIRECT(ADDRESS(ROW()-1,COLUMN())),NOTA[[#This Row],[FAKTUR]]))</f>
        <v/>
      </c>
      <c r="AK658" s="56" t="str">
        <f ca="1">IF(NOTA[[#This Row],[ID]]="","",COUNTIF(NOTA[ID_H],NOTA[[#This Row],[ID_H]]))</f>
        <v/>
      </c>
      <c r="AL658" s="56" t="str">
        <f ca="1">IF(NOTA[[#This Row],[TGL.NOTA]]="",IF(NOTA[[#This Row],[SUPPLIER_H]]="","",AL657),MONTH(NOTA[[#This Row],[TGL.NOTA]]))</f>
        <v/>
      </c>
      <c r="AM658" s="56" t="str">
        <f>LOWER(SUBSTITUTE(SUBSTITUTE(SUBSTITUTE(SUBSTITUTE(SUBSTITUTE(SUBSTITUTE(SUBSTITUTE(SUBSTITUTE(SUBSTITUTE(NOTA[NAMA BARANG]," ",),".",""),"-",""),"(",""),")",""),",",""),"/",""),"""",""),"+",""))</f>
        <v/>
      </c>
      <c r="AN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8" s="56" t="str">
        <f>IF(NOTA[[#This Row],[CONCAT4]]="","",_xlfn.IFNA(MATCH(NOTA[[#This Row],[CONCAT4]],[2]!RAW[CONCAT_H],0),FALSE))</f>
        <v/>
      </c>
      <c r="AR658" s="56" t="str">
        <f>IF(NOTA[[#This Row],[CONCAT1]]="","",MATCH(NOTA[[#This Row],[CONCAT1]],[3]!db[NB NOTA_C],0))</f>
        <v/>
      </c>
      <c r="AS658" s="56" t="str">
        <f>IF(NOTA[[#This Row],[QTY/ CTN]]="","",TRUE)</f>
        <v/>
      </c>
      <c r="AT658" s="56" t="str">
        <f ca="1">IF(NOTA[[#This Row],[ID_H]]="","",IF(NOTA[[#This Row],[Column3]]=TRUE,NOTA[[#This Row],[QTY/ CTN]],INDEX([3]!db[QTY/ CTN],NOTA[[#This Row],[//DB]])))</f>
        <v/>
      </c>
      <c r="AU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8" s="56" t="str">
        <f ca="1">IF(NOTA[[#This Row],[ID_H]]="","",MATCH(NOTA[[#This Row],[NB NOTA_C_QTY]],[4]!db[NB NOTA_C_QTY+F],0))</f>
        <v/>
      </c>
      <c r="AW658" s="68" t="str">
        <f ca="1">IF(NOTA[[#This Row],[NB NOTA_C_QTY]]="","",ROW()-2)</f>
        <v/>
      </c>
    </row>
    <row r="659" spans="1:49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59" s="66" t="str">
        <f>IF(OR(NOTA[[#This Row],[QTY]]="",NOTA[[#This Row],[HARGA SATUAN]]="",),"",NOTA[[#This Row],[QTY]]*NOTA[[#This Row],[HARGA SATUAN]])</f>
        <v/>
      </c>
      <c r="AH659" s="60" t="str">
        <f ca="1">IF(NOTA[ID_H]="","",INDEX(NOTA[TANGGAL],MATCH(,INDIRECT(ADDRESS(ROW(NOTA[TANGGAL]),COLUMN(NOTA[TANGGAL]))&amp;":"&amp;ADDRESS(ROW(),COLUMN(NOTA[TANGGAL]))),-1)))</f>
        <v/>
      </c>
      <c r="AI659" s="55" t="str">
        <f ca="1">IF(NOTA[[#This Row],[NAMA BARANG]]="","",INDEX(NOTA[SUPPLIER],MATCH(,INDIRECT(ADDRESS(ROW(NOTA[ID]),COLUMN(NOTA[ID]))&amp;":"&amp;ADDRESS(ROW(),COLUMN(NOTA[ID]))),-1)))</f>
        <v/>
      </c>
      <c r="AJ659" s="55" t="str">
        <f ca="1">IF(NOTA[[#This Row],[ID_H]]="","",IF(NOTA[[#This Row],[FAKTUR]]="",INDIRECT(ADDRESS(ROW()-1,COLUMN())),NOTA[[#This Row],[FAKTUR]]))</f>
        <v/>
      </c>
      <c r="AK659" s="56" t="str">
        <f ca="1">IF(NOTA[[#This Row],[ID]]="","",COUNTIF(NOTA[ID_H],NOTA[[#This Row],[ID_H]]))</f>
        <v/>
      </c>
      <c r="AL659" s="56" t="str">
        <f ca="1">IF(NOTA[[#This Row],[TGL.NOTA]]="",IF(NOTA[[#This Row],[SUPPLIER_H]]="","",AL658),MONTH(NOTA[[#This Row],[TGL.NOTA]]))</f>
        <v/>
      </c>
      <c r="AM659" s="56" t="str">
        <f>LOWER(SUBSTITUTE(SUBSTITUTE(SUBSTITUTE(SUBSTITUTE(SUBSTITUTE(SUBSTITUTE(SUBSTITUTE(SUBSTITUTE(SUBSTITUTE(NOTA[NAMA BARANG]," ",),".",""),"-",""),"(",""),")",""),",",""),"/",""),"""",""),"+",""))</f>
        <v/>
      </c>
      <c r="AN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56" t="str">
        <f>IF(NOTA[[#This Row],[CONCAT4]]="","",_xlfn.IFNA(MATCH(NOTA[[#This Row],[CONCAT4]],[2]!RAW[CONCAT_H],0),FALSE))</f>
        <v/>
      </c>
      <c r="AR659" s="56" t="str">
        <f>IF(NOTA[[#This Row],[CONCAT1]]="","",MATCH(NOTA[[#This Row],[CONCAT1]],[3]!db[NB NOTA_C],0))</f>
        <v/>
      </c>
      <c r="AS659" s="56" t="str">
        <f>IF(NOTA[[#This Row],[QTY/ CTN]]="","",TRUE)</f>
        <v/>
      </c>
      <c r="AT659" s="56" t="str">
        <f ca="1">IF(NOTA[[#This Row],[ID_H]]="","",IF(NOTA[[#This Row],[Column3]]=TRUE,NOTA[[#This Row],[QTY/ CTN]],INDEX([3]!db[QTY/ CTN],NOTA[[#This Row],[//DB]])))</f>
        <v/>
      </c>
      <c r="AU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9" s="56" t="str">
        <f ca="1">IF(NOTA[[#This Row],[ID_H]]="","",MATCH(NOTA[[#This Row],[NB NOTA_C_QTY]],[4]!db[NB NOTA_C_QTY+F],0))</f>
        <v/>
      </c>
      <c r="AW659" s="68" t="str">
        <f ca="1">IF(NOTA[[#This Row],[NB NOTA_C_QTY]]="","",ROW()-2)</f>
        <v/>
      </c>
    </row>
    <row r="660" spans="1:49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0" s="66" t="str">
        <f>IF(OR(NOTA[[#This Row],[QTY]]="",NOTA[[#This Row],[HARGA SATUAN]]="",),"",NOTA[[#This Row],[QTY]]*NOTA[[#This Row],[HARGA SATUAN]])</f>
        <v/>
      </c>
      <c r="AH660" s="60" t="str">
        <f ca="1">IF(NOTA[ID_H]="","",INDEX(NOTA[TANGGAL],MATCH(,INDIRECT(ADDRESS(ROW(NOTA[TANGGAL]),COLUMN(NOTA[TANGGAL]))&amp;":"&amp;ADDRESS(ROW(),COLUMN(NOTA[TANGGAL]))),-1)))</f>
        <v/>
      </c>
      <c r="AI660" s="55" t="str">
        <f ca="1">IF(NOTA[[#This Row],[NAMA BARANG]]="","",INDEX(NOTA[SUPPLIER],MATCH(,INDIRECT(ADDRESS(ROW(NOTA[ID]),COLUMN(NOTA[ID]))&amp;":"&amp;ADDRESS(ROW(),COLUMN(NOTA[ID]))),-1)))</f>
        <v/>
      </c>
      <c r="AJ660" s="55" t="str">
        <f ca="1">IF(NOTA[[#This Row],[ID_H]]="","",IF(NOTA[[#This Row],[FAKTUR]]="",INDIRECT(ADDRESS(ROW()-1,COLUMN())),NOTA[[#This Row],[FAKTUR]]))</f>
        <v/>
      </c>
      <c r="AK660" s="56" t="str">
        <f ca="1">IF(NOTA[[#This Row],[ID]]="","",COUNTIF(NOTA[ID_H],NOTA[[#This Row],[ID_H]]))</f>
        <v/>
      </c>
      <c r="AL660" s="56" t="str">
        <f ca="1">IF(NOTA[[#This Row],[TGL.NOTA]]="",IF(NOTA[[#This Row],[SUPPLIER_H]]="","",AL659),MONTH(NOTA[[#This Row],[TGL.NOTA]]))</f>
        <v/>
      </c>
      <c r="AM660" s="56" t="str">
        <f>LOWER(SUBSTITUTE(SUBSTITUTE(SUBSTITUTE(SUBSTITUTE(SUBSTITUTE(SUBSTITUTE(SUBSTITUTE(SUBSTITUTE(SUBSTITUTE(NOTA[NAMA BARANG]," ",),".",""),"-",""),"(",""),")",""),",",""),"/",""),"""",""),"+",""))</f>
        <v/>
      </c>
      <c r="AN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0" s="56" t="str">
        <f>IF(NOTA[[#This Row],[CONCAT4]]="","",_xlfn.IFNA(MATCH(NOTA[[#This Row],[CONCAT4]],[2]!RAW[CONCAT_H],0),FALSE))</f>
        <v/>
      </c>
      <c r="AR660" s="56" t="str">
        <f>IF(NOTA[[#This Row],[CONCAT1]]="","",MATCH(NOTA[[#This Row],[CONCAT1]],[3]!db[NB NOTA_C],0))</f>
        <v/>
      </c>
      <c r="AS660" s="56" t="str">
        <f>IF(NOTA[[#This Row],[QTY/ CTN]]="","",TRUE)</f>
        <v/>
      </c>
      <c r="AT660" s="56" t="str">
        <f ca="1">IF(NOTA[[#This Row],[ID_H]]="","",IF(NOTA[[#This Row],[Column3]]=TRUE,NOTA[[#This Row],[QTY/ CTN]],INDEX([3]!db[QTY/ CTN],NOTA[[#This Row],[//DB]])))</f>
        <v/>
      </c>
      <c r="AU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0" s="56" t="str">
        <f ca="1">IF(NOTA[[#This Row],[ID_H]]="","",MATCH(NOTA[[#This Row],[NB NOTA_C_QTY]],[4]!db[NB NOTA_C_QTY+F],0))</f>
        <v/>
      </c>
      <c r="AW660" s="68" t="str">
        <f ca="1">IF(NOTA[[#This Row],[NB NOTA_C_QTY]]="","",ROW()-2)</f>
        <v/>
      </c>
    </row>
    <row r="661" spans="1:49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1" s="66" t="str">
        <f>IF(OR(NOTA[[#This Row],[QTY]]="",NOTA[[#This Row],[HARGA SATUAN]]="",),"",NOTA[[#This Row],[QTY]]*NOTA[[#This Row],[HARGA SATUAN]])</f>
        <v/>
      </c>
      <c r="AH661" s="60" t="str">
        <f ca="1">IF(NOTA[ID_H]="","",INDEX(NOTA[TANGGAL],MATCH(,INDIRECT(ADDRESS(ROW(NOTA[TANGGAL]),COLUMN(NOTA[TANGGAL]))&amp;":"&amp;ADDRESS(ROW(),COLUMN(NOTA[TANGGAL]))),-1)))</f>
        <v/>
      </c>
      <c r="AI661" s="55" t="str">
        <f ca="1">IF(NOTA[[#This Row],[NAMA BARANG]]="","",INDEX(NOTA[SUPPLIER],MATCH(,INDIRECT(ADDRESS(ROW(NOTA[ID]),COLUMN(NOTA[ID]))&amp;":"&amp;ADDRESS(ROW(),COLUMN(NOTA[ID]))),-1)))</f>
        <v/>
      </c>
      <c r="AJ661" s="55" t="str">
        <f ca="1">IF(NOTA[[#This Row],[ID_H]]="","",IF(NOTA[[#This Row],[FAKTUR]]="",INDIRECT(ADDRESS(ROW()-1,COLUMN())),NOTA[[#This Row],[FAKTUR]]))</f>
        <v/>
      </c>
      <c r="AK661" s="56" t="str">
        <f ca="1">IF(NOTA[[#This Row],[ID]]="","",COUNTIF(NOTA[ID_H],NOTA[[#This Row],[ID_H]]))</f>
        <v/>
      </c>
      <c r="AL661" s="56" t="str">
        <f ca="1">IF(NOTA[[#This Row],[TGL.NOTA]]="",IF(NOTA[[#This Row],[SUPPLIER_H]]="","",AL660),MONTH(NOTA[[#This Row],[TGL.NOTA]]))</f>
        <v/>
      </c>
      <c r="AM661" s="56" t="str">
        <f>LOWER(SUBSTITUTE(SUBSTITUTE(SUBSTITUTE(SUBSTITUTE(SUBSTITUTE(SUBSTITUTE(SUBSTITUTE(SUBSTITUTE(SUBSTITUTE(NOTA[NAMA BARANG]," ",),".",""),"-",""),"(",""),")",""),",",""),"/",""),"""",""),"+",""))</f>
        <v/>
      </c>
      <c r="AN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56" t="str">
        <f>IF(NOTA[[#This Row],[CONCAT4]]="","",_xlfn.IFNA(MATCH(NOTA[[#This Row],[CONCAT4]],[2]!RAW[CONCAT_H],0),FALSE))</f>
        <v/>
      </c>
      <c r="AR661" s="56" t="str">
        <f>IF(NOTA[[#This Row],[CONCAT1]]="","",MATCH(NOTA[[#This Row],[CONCAT1]],[3]!db[NB NOTA_C],0))</f>
        <v/>
      </c>
      <c r="AS661" s="56" t="str">
        <f>IF(NOTA[[#This Row],[QTY/ CTN]]="","",TRUE)</f>
        <v/>
      </c>
      <c r="AT661" s="56" t="str">
        <f ca="1">IF(NOTA[[#This Row],[ID_H]]="","",IF(NOTA[[#This Row],[Column3]]=TRUE,NOTA[[#This Row],[QTY/ CTN]],INDEX([3]!db[QTY/ CTN],NOTA[[#This Row],[//DB]])))</f>
        <v/>
      </c>
      <c r="AU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1" s="56" t="str">
        <f ca="1">IF(NOTA[[#This Row],[ID_H]]="","",MATCH(NOTA[[#This Row],[NB NOTA_C_QTY]],[4]!db[NB NOTA_C_QTY+F],0))</f>
        <v/>
      </c>
      <c r="AW661" s="68" t="str">
        <f ca="1">IF(NOTA[[#This Row],[NB NOTA_C_QTY]]="","",ROW()-2)</f>
        <v/>
      </c>
    </row>
    <row r="662" spans="1:49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2" s="66" t="str">
        <f>IF(OR(NOTA[[#This Row],[QTY]]="",NOTA[[#This Row],[HARGA SATUAN]]="",),"",NOTA[[#This Row],[QTY]]*NOTA[[#This Row],[HARGA SATUAN]])</f>
        <v/>
      </c>
      <c r="AH662" s="60" t="str">
        <f ca="1">IF(NOTA[ID_H]="","",INDEX(NOTA[TANGGAL],MATCH(,INDIRECT(ADDRESS(ROW(NOTA[TANGGAL]),COLUMN(NOTA[TANGGAL]))&amp;":"&amp;ADDRESS(ROW(),COLUMN(NOTA[TANGGAL]))),-1)))</f>
        <v/>
      </c>
      <c r="AI662" s="55" t="str">
        <f ca="1">IF(NOTA[[#This Row],[NAMA BARANG]]="","",INDEX(NOTA[SUPPLIER],MATCH(,INDIRECT(ADDRESS(ROW(NOTA[ID]),COLUMN(NOTA[ID]))&amp;":"&amp;ADDRESS(ROW(),COLUMN(NOTA[ID]))),-1)))</f>
        <v/>
      </c>
      <c r="AJ662" s="55" t="str">
        <f ca="1">IF(NOTA[[#This Row],[ID_H]]="","",IF(NOTA[[#This Row],[FAKTUR]]="",INDIRECT(ADDRESS(ROW()-1,COLUMN())),NOTA[[#This Row],[FAKTUR]]))</f>
        <v/>
      </c>
      <c r="AK662" s="56" t="str">
        <f ca="1">IF(NOTA[[#This Row],[ID]]="","",COUNTIF(NOTA[ID_H],NOTA[[#This Row],[ID_H]]))</f>
        <v/>
      </c>
      <c r="AL662" s="56" t="str">
        <f ca="1">IF(NOTA[[#This Row],[TGL.NOTA]]="",IF(NOTA[[#This Row],[SUPPLIER_H]]="","",AL661),MONTH(NOTA[[#This Row],[TGL.NOTA]]))</f>
        <v/>
      </c>
      <c r="AM662" s="56" t="str">
        <f>LOWER(SUBSTITUTE(SUBSTITUTE(SUBSTITUTE(SUBSTITUTE(SUBSTITUTE(SUBSTITUTE(SUBSTITUTE(SUBSTITUTE(SUBSTITUTE(NOTA[NAMA BARANG]," ",),".",""),"-",""),"(",""),")",""),",",""),"/",""),"""",""),"+",""))</f>
        <v/>
      </c>
      <c r="AN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2" s="56" t="str">
        <f>IF(NOTA[[#This Row],[CONCAT4]]="","",_xlfn.IFNA(MATCH(NOTA[[#This Row],[CONCAT4]],[2]!RAW[CONCAT_H],0),FALSE))</f>
        <v/>
      </c>
      <c r="AR662" s="56" t="str">
        <f>IF(NOTA[[#This Row],[CONCAT1]]="","",MATCH(NOTA[[#This Row],[CONCAT1]],[3]!db[NB NOTA_C],0))</f>
        <v/>
      </c>
      <c r="AS662" s="56" t="str">
        <f>IF(NOTA[[#This Row],[QTY/ CTN]]="","",TRUE)</f>
        <v/>
      </c>
      <c r="AT662" s="56" t="str">
        <f ca="1">IF(NOTA[[#This Row],[ID_H]]="","",IF(NOTA[[#This Row],[Column3]]=TRUE,NOTA[[#This Row],[QTY/ CTN]],INDEX([3]!db[QTY/ CTN],NOTA[[#This Row],[//DB]])))</f>
        <v/>
      </c>
      <c r="AU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2" s="56" t="str">
        <f ca="1">IF(NOTA[[#This Row],[ID_H]]="","",MATCH(NOTA[[#This Row],[NB NOTA_C_QTY]],[4]!db[NB NOTA_C_QTY+F],0))</f>
        <v/>
      </c>
      <c r="AW662" s="68" t="str">
        <f ca="1">IF(NOTA[[#This Row],[NB NOTA_C_QTY]]="","",ROW()-2)</f>
        <v/>
      </c>
    </row>
    <row r="663" spans="1:49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3" s="66" t="str">
        <f>IF(OR(NOTA[[#This Row],[QTY]]="",NOTA[[#This Row],[HARGA SATUAN]]="",),"",NOTA[[#This Row],[QTY]]*NOTA[[#This Row],[HARGA SATUAN]])</f>
        <v/>
      </c>
      <c r="AH663" s="60" t="str">
        <f ca="1">IF(NOTA[ID_H]="","",INDEX(NOTA[TANGGAL],MATCH(,INDIRECT(ADDRESS(ROW(NOTA[TANGGAL]),COLUMN(NOTA[TANGGAL]))&amp;":"&amp;ADDRESS(ROW(),COLUMN(NOTA[TANGGAL]))),-1)))</f>
        <v/>
      </c>
      <c r="AI663" s="55" t="str">
        <f ca="1">IF(NOTA[[#This Row],[NAMA BARANG]]="","",INDEX(NOTA[SUPPLIER],MATCH(,INDIRECT(ADDRESS(ROW(NOTA[ID]),COLUMN(NOTA[ID]))&amp;":"&amp;ADDRESS(ROW(),COLUMN(NOTA[ID]))),-1)))</f>
        <v/>
      </c>
      <c r="AJ663" s="55" t="str">
        <f ca="1">IF(NOTA[[#This Row],[ID_H]]="","",IF(NOTA[[#This Row],[FAKTUR]]="",INDIRECT(ADDRESS(ROW()-1,COLUMN())),NOTA[[#This Row],[FAKTUR]]))</f>
        <v/>
      </c>
      <c r="AK663" s="56" t="str">
        <f ca="1">IF(NOTA[[#This Row],[ID]]="","",COUNTIF(NOTA[ID_H],NOTA[[#This Row],[ID_H]]))</f>
        <v/>
      </c>
      <c r="AL663" s="56" t="str">
        <f ca="1">IF(NOTA[[#This Row],[TGL.NOTA]]="",IF(NOTA[[#This Row],[SUPPLIER_H]]="","",AL662),MONTH(NOTA[[#This Row],[TGL.NOTA]]))</f>
        <v/>
      </c>
      <c r="AM663" s="56" t="str">
        <f>LOWER(SUBSTITUTE(SUBSTITUTE(SUBSTITUTE(SUBSTITUTE(SUBSTITUTE(SUBSTITUTE(SUBSTITUTE(SUBSTITUTE(SUBSTITUTE(NOTA[NAMA BARANG]," ",),".",""),"-",""),"(",""),")",""),",",""),"/",""),"""",""),"+",""))</f>
        <v/>
      </c>
      <c r="AN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56" t="str">
        <f>IF(NOTA[[#This Row],[CONCAT4]]="","",_xlfn.IFNA(MATCH(NOTA[[#This Row],[CONCAT4]],[2]!RAW[CONCAT_H],0),FALSE))</f>
        <v/>
      </c>
      <c r="AR663" s="56" t="str">
        <f>IF(NOTA[[#This Row],[CONCAT1]]="","",MATCH(NOTA[[#This Row],[CONCAT1]],[3]!db[NB NOTA_C],0))</f>
        <v/>
      </c>
      <c r="AS663" s="56" t="str">
        <f>IF(NOTA[[#This Row],[QTY/ CTN]]="","",TRUE)</f>
        <v/>
      </c>
      <c r="AT663" s="56" t="str">
        <f ca="1">IF(NOTA[[#This Row],[ID_H]]="","",IF(NOTA[[#This Row],[Column3]]=TRUE,NOTA[[#This Row],[QTY/ CTN]],INDEX([3]!db[QTY/ CTN],NOTA[[#This Row],[//DB]])))</f>
        <v/>
      </c>
      <c r="AU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3" s="56" t="str">
        <f ca="1">IF(NOTA[[#This Row],[ID_H]]="","",MATCH(NOTA[[#This Row],[NB NOTA_C_QTY]],[4]!db[NB NOTA_C_QTY+F],0))</f>
        <v/>
      </c>
      <c r="AW663" s="68" t="str">
        <f ca="1">IF(NOTA[[#This Row],[NB NOTA_C_QTY]]="","",ROW()-2)</f>
        <v/>
      </c>
    </row>
    <row r="664" spans="1:49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4" s="66" t="str">
        <f>IF(OR(NOTA[[#This Row],[QTY]]="",NOTA[[#This Row],[HARGA SATUAN]]="",),"",NOTA[[#This Row],[QTY]]*NOTA[[#This Row],[HARGA SATUAN]])</f>
        <v/>
      </c>
      <c r="AH664" s="60" t="str">
        <f ca="1">IF(NOTA[ID_H]="","",INDEX(NOTA[TANGGAL],MATCH(,INDIRECT(ADDRESS(ROW(NOTA[TANGGAL]),COLUMN(NOTA[TANGGAL]))&amp;":"&amp;ADDRESS(ROW(),COLUMN(NOTA[TANGGAL]))),-1)))</f>
        <v/>
      </c>
      <c r="AI664" s="55" t="str">
        <f ca="1">IF(NOTA[[#This Row],[NAMA BARANG]]="","",INDEX(NOTA[SUPPLIER],MATCH(,INDIRECT(ADDRESS(ROW(NOTA[ID]),COLUMN(NOTA[ID]))&amp;":"&amp;ADDRESS(ROW(),COLUMN(NOTA[ID]))),-1)))</f>
        <v/>
      </c>
      <c r="AJ664" s="55" t="str">
        <f ca="1">IF(NOTA[[#This Row],[ID_H]]="","",IF(NOTA[[#This Row],[FAKTUR]]="",INDIRECT(ADDRESS(ROW()-1,COLUMN())),NOTA[[#This Row],[FAKTUR]]))</f>
        <v/>
      </c>
      <c r="AK664" s="56" t="str">
        <f ca="1">IF(NOTA[[#This Row],[ID]]="","",COUNTIF(NOTA[ID_H],NOTA[[#This Row],[ID_H]]))</f>
        <v/>
      </c>
      <c r="AL664" s="56" t="str">
        <f ca="1">IF(NOTA[[#This Row],[TGL.NOTA]]="",IF(NOTA[[#This Row],[SUPPLIER_H]]="","",AL663),MONTH(NOTA[[#This Row],[TGL.NOTA]]))</f>
        <v/>
      </c>
      <c r="AM664" s="56" t="str">
        <f>LOWER(SUBSTITUTE(SUBSTITUTE(SUBSTITUTE(SUBSTITUTE(SUBSTITUTE(SUBSTITUTE(SUBSTITUTE(SUBSTITUTE(SUBSTITUTE(NOTA[NAMA BARANG]," ",),".",""),"-",""),"(",""),")",""),",",""),"/",""),"""",""),"+",""))</f>
        <v/>
      </c>
      <c r="AN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4" s="56" t="str">
        <f>IF(NOTA[[#This Row],[CONCAT4]]="","",_xlfn.IFNA(MATCH(NOTA[[#This Row],[CONCAT4]],[2]!RAW[CONCAT_H],0),FALSE))</f>
        <v/>
      </c>
      <c r="AR664" s="56" t="str">
        <f>IF(NOTA[[#This Row],[CONCAT1]]="","",MATCH(NOTA[[#This Row],[CONCAT1]],[3]!db[NB NOTA_C],0))</f>
        <v/>
      </c>
      <c r="AS664" s="56" t="str">
        <f>IF(NOTA[[#This Row],[QTY/ CTN]]="","",TRUE)</f>
        <v/>
      </c>
      <c r="AT664" s="56" t="str">
        <f ca="1">IF(NOTA[[#This Row],[ID_H]]="","",IF(NOTA[[#This Row],[Column3]]=TRUE,NOTA[[#This Row],[QTY/ CTN]],INDEX([3]!db[QTY/ CTN],NOTA[[#This Row],[//DB]])))</f>
        <v/>
      </c>
      <c r="AU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4" s="56" t="str">
        <f ca="1">IF(NOTA[[#This Row],[ID_H]]="","",MATCH(NOTA[[#This Row],[NB NOTA_C_QTY]],[4]!db[NB NOTA_C_QTY+F],0))</f>
        <v/>
      </c>
      <c r="AW664" s="68" t="str">
        <f ca="1">IF(NOTA[[#This Row],[NB NOTA_C_QTY]]="","",ROW()-2)</f>
        <v/>
      </c>
    </row>
    <row r="665" spans="1:49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5" s="66" t="str">
        <f>IF(OR(NOTA[[#This Row],[QTY]]="",NOTA[[#This Row],[HARGA SATUAN]]="",),"",NOTA[[#This Row],[QTY]]*NOTA[[#This Row],[HARGA SATUAN]])</f>
        <v/>
      </c>
      <c r="AH665" s="60" t="str">
        <f ca="1">IF(NOTA[ID_H]="","",INDEX(NOTA[TANGGAL],MATCH(,INDIRECT(ADDRESS(ROW(NOTA[TANGGAL]),COLUMN(NOTA[TANGGAL]))&amp;":"&amp;ADDRESS(ROW(),COLUMN(NOTA[TANGGAL]))),-1)))</f>
        <v/>
      </c>
      <c r="AI665" s="55" t="str">
        <f ca="1">IF(NOTA[[#This Row],[NAMA BARANG]]="","",INDEX(NOTA[SUPPLIER],MATCH(,INDIRECT(ADDRESS(ROW(NOTA[ID]),COLUMN(NOTA[ID]))&amp;":"&amp;ADDRESS(ROW(),COLUMN(NOTA[ID]))),-1)))</f>
        <v/>
      </c>
      <c r="AJ665" s="55" t="str">
        <f ca="1">IF(NOTA[[#This Row],[ID_H]]="","",IF(NOTA[[#This Row],[FAKTUR]]="",INDIRECT(ADDRESS(ROW()-1,COLUMN())),NOTA[[#This Row],[FAKTUR]]))</f>
        <v/>
      </c>
      <c r="AK665" s="56" t="str">
        <f ca="1">IF(NOTA[[#This Row],[ID]]="","",COUNTIF(NOTA[ID_H],NOTA[[#This Row],[ID_H]]))</f>
        <v/>
      </c>
      <c r="AL665" s="56" t="str">
        <f ca="1">IF(NOTA[[#This Row],[TGL.NOTA]]="",IF(NOTA[[#This Row],[SUPPLIER_H]]="","",AL664),MONTH(NOTA[[#This Row],[TGL.NOTA]]))</f>
        <v/>
      </c>
      <c r="AM665" s="56" t="str">
        <f>LOWER(SUBSTITUTE(SUBSTITUTE(SUBSTITUTE(SUBSTITUTE(SUBSTITUTE(SUBSTITUTE(SUBSTITUTE(SUBSTITUTE(SUBSTITUTE(NOTA[NAMA BARANG]," ",),".",""),"-",""),"(",""),")",""),",",""),"/",""),"""",""),"+",""))</f>
        <v/>
      </c>
      <c r="AN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56" t="str">
        <f>IF(NOTA[[#This Row],[CONCAT4]]="","",_xlfn.IFNA(MATCH(NOTA[[#This Row],[CONCAT4]],[2]!RAW[CONCAT_H],0),FALSE))</f>
        <v/>
      </c>
      <c r="AR665" s="56" t="str">
        <f>IF(NOTA[[#This Row],[CONCAT1]]="","",MATCH(NOTA[[#This Row],[CONCAT1]],[3]!db[NB NOTA_C],0))</f>
        <v/>
      </c>
      <c r="AS665" s="56" t="str">
        <f>IF(NOTA[[#This Row],[QTY/ CTN]]="","",TRUE)</f>
        <v/>
      </c>
      <c r="AT665" s="56" t="str">
        <f ca="1">IF(NOTA[[#This Row],[ID_H]]="","",IF(NOTA[[#This Row],[Column3]]=TRUE,NOTA[[#This Row],[QTY/ CTN]],INDEX([3]!db[QTY/ CTN],NOTA[[#This Row],[//DB]])))</f>
        <v/>
      </c>
      <c r="AU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5" s="56" t="str">
        <f ca="1">IF(NOTA[[#This Row],[ID_H]]="","",MATCH(NOTA[[#This Row],[NB NOTA_C_QTY]],[4]!db[NB NOTA_C_QTY+F],0))</f>
        <v/>
      </c>
      <c r="AW665" s="68" t="str">
        <f ca="1">IF(NOTA[[#This Row],[NB NOTA_C_QTY]]="","",ROW()-2)</f>
        <v/>
      </c>
    </row>
    <row r="666" spans="1:49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6" s="66" t="str">
        <f>IF(OR(NOTA[[#This Row],[QTY]]="",NOTA[[#This Row],[HARGA SATUAN]]="",),"",NOTA[[#This Row],[QTY]]*NOTA[[#This Row],[HARGA SATUAN]])</f>
        <v/>
      </c>
      <c r="AH666" s="60" t="str">
        <f ca="1">IF(NOTA[ID_H]="","",INDEX(NOTA[TANGGAL],MATCH(,INDIRECT(ADDRESS(ROW(NOTA[TANGGAL]),COLUMN(NOTA[TANGGAL]))&amp;":"&amp;ADDRESS(ROW(),COLUMN(NOTA[TANGGAL]))),-1)))</f>
        <v/>
      </c>
      <c r="AI666" s="55" t="str">
        <f ca="1">IF(NOTA[[#This Row],[NAMA BARANG]]="","",INDEX(NOTA[SUPPLIER],MATCH(,INDIRECT(ADDRESS(ROW(NOTA[ID]),COLUMN(NOTA[ID]))&amp;":"&amp;ADDRESS(ROW(),COLUMN(NOTA[ID]))),-1)))</f>
        <v/>
      </c>
      <c r="AJ666" s="55" t="str">
        <f ca="1">IF(NOTA[[#This Row],[ID_H]]="","",IF(NOTA[[#This Row],[FAKTUR]]="",INDIRECT(ADDRESS(ROW()-1,COLUMN())),NOTA[[#This Row],[FAKTUR]]))</f>
        <v/>
      </c>
      <c r="AK666" s="56" t="str">
        <f ca="1">IF(NOTA[[#This Row],[ID]]="","",COUNTIF(NOTA[ID_H],NOTA[[#This Row],[ID_H]]))</f>
        <v/>
      </c>
      <c r="AL666" s="56" t="str">
        <f ca="1">IF(NOTA[[#This Row],[TGL.NOTA]]="",IF(NOTA[[#This Row],[SUPPLIER_H]]="","",AL665),MONTH(NOTA[[#This Row],[TGL.NOTA]]))</f>
        <v/>
      </c>
      <c r="AM666" s="56" t="str">
        <f>LOWER(SUBSTITUTE(SUBSTITUTE(SUBSTITUTE(SUBSTITUTE(SUBSTITUTE(SUBSTITUTE(SUBSTITUTE(SUBSTITUTE(SUBSTITUTE(NOTA[NAMA BARANG]," ",),".",""),"-",""),"(",""),")",""),",",""),"/",""),"""",""),"+",""))</f>
        <v/>
      </c>
      <c r="AN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56" t="str">
        <f>IF(NOTA[[#This Row],[CONCAT4]]="","",_xlfn.IFNA(MATCH(NOTA[[#This Row],[CONCAT4]],[2]!RAW[CONCAT_H],0),FALSE))</f>
        <v/>
      </c>
      <c r="AR666" s="56" t="str">
        <f>IF(NOTA[[#This Row],[CONCAT1]]="","",MATCH(NOTA[[#This Row],[CONCAT1]],[3]!db[NB NOTA_C],0))</f>
        <v/>
      </c>
      <c r="AS666" s="56" t="str">
        <f>IF(NOTA[[#This Row],[QTY/ CTN]]="","",TRUE)</f>
        <v/>
      </c>
      <c r="AT666" s="56" t="str">
        <f ca="1">IF(NOTA[[#This Row],[ID_H]]="","",IF(NOTA[[#This Row],[Column3]]=TRUE,NOTA[[#This Row],[QTY/ CTN]],INDEX([3]!db[QTY/ CTN],NOTA[[#This Row],[//DB]])))</f>
        <v/>
      </c>
      <c r="AU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6" s="56" t="str">
        <f ca="1">IF(NOTA[[#This Row],[ID_H]]="","",MATCH(NOTA[[#This Row],[NB NOTA_C_QTY]],[4]!db[NB NOTA_C_QTY+F],0))</f>
        <v/>
      </c>
      <c r="AW666" s="68" t="str">
        <f ca="1">IF(NOTA[[#This Row],[NB NOTA_C_QTY]]="","",ROW()-2)</f>
        <v/>
      </c>
    </row>
    <row r="667" spans="1:49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7" s="66" t="str">
        <f>IF(OR(NOTA[[#This Row],[QTY]]="",NOTA[[#This Row],[HARGA SATUAN]]="",),"",NOTA[[#This Row],[QTY]]*NOTA[[#This Row],[HARGA SATUAN]])</f>
        <v/>
      </c>
      <c r="AH667" s="60" t="str">
        <f ca="1">IF(NOTA[ID_H]="","",INDEX(NOTA[TANGGAL],MATCH(,INDIRECT(ADDRESS(ROW(NOTA[TANGGAL]),COLUMN(NOTA[TANGGAL]))&amp;":"&amp;ADDRESS(ROW(),COLUMN(NOTA[TANGGAL]))),-1)))</f>
        <v/>
      </c>
      <c r="AI667" s="55" t="str">
        <f ca="1">IF(NOTA[[#This Row],[NAMA BARANG]]="","",INDEX(NOTA[SUPPLIER],MATCH(,INDIRECT(ADDRESS(ROW(NOTA[ID]),COLUMN(NOTA[ID]))&amp;":"&amp;ADDRESS(ROW(),COLUMN(NOTA[ID]))),-1)))</f>
        <v/>
      </c>
      <c r="AJ667" s="55" t="str">
        <f ca="1">IF(NOTA[[#This Row],[ID_H]]="","",IF(NOTA[[#This Row],[FAKTUR]]="",INDIRECT(ADDRESS(ROW()-1,COLUMN())),NOTA[[#This Row],[FAKTUR]]))</f>
        <v/>
      </c>
      <c r="AK667" s="56" t="str">
        <f ca="1">IF(NOTA[[#This Row],[ID]]="","",COUNTIF(NOTA[ID_H],NOTA[[#This Row],[ID_H]]))</f>
        <v/>
      </c>
      <c r="AL667" s="56" t="str">
        <f ca="1">IF(NOTA[[#This Row],[TGL.NOTA]]="",IF(NOTA[[#This Row],[SUPPLIER_H]]="","",AL666),MONTH(NOTA[[#This Row],[TGL.NOTA]]))</f>
        <v/>
      </c>
      <c r="AM667" s="56" t="str">
        <f>LOWER(SUBSTITUTE(SUBSTITUTE(SUBSTITUTE(SUBSTITUTE(SUBSTITUTE(SUBSTITUTE(SUBSTITUTE(SUBSTITUTE(SUBSTITUTE(NOTA[NAMA BARANG]," ",),".",""),"-",""),"(",""),")",""),",",""),"/",""),"""",""),"+",""))</f>
        <v/>
      </c>
      <c r="AN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56" t="str">
        <f>IF(NOTA[[#This Row],[CONCAT4]]="","",_xlfn.IFNA(MATCH(NOTA[[#This Row],[CONCAT4]],[2]!RAW[CONCAT_H],0),FALSE))</f>
        <v/>
      </c>
      <c r="AR667" s="56" t="str">
        <f>IF(NOTA[[#This Row],[CONCAT1]]="","",MATCH(NOTA[[#This Row],[CONCAT1]],[3]!db[NB NOTA_C],0))</f>
        <v/>
      </c>
      <c r="AS667" s="56" t="str">
        <f>IF(NOTA[[#This Row],[QTY/ CTN]]="","",TRUE)</f>
        <v/>
      </c>
      <c r="AT667" s="56" t="str">
        <f ca="1">IF(NOTA[[#This Row],[ID_H]]="","",IF(NOTA[[#This Row],[Column3]]=TRUE,NOTA[[#This Row],[QTY/ CTN]],INDEX([3]!db[QTY/ CTN],NOTA[[#This Row],[//DB]])))</f>
        <v/>
      </c>
      <c r="AU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7" s="56" t="str">
        <f ca="1">IF(NOTA[[#This Row],[ID_H]]="","",MATCH(NOTA[[#This Row],[NB NOTA_C_QTY]],[4]!db[NB NOTA_C_QTY+F],0))</f>
        <v/>
      </c>
      <c r="AW667" s="68" t="str">
        <f ca="1">IF(NOTA[[#This Row],[NB NOTA_C_QTY]]="","",ROW()-2)</f>
        <v/>
      </c>
    </row>
    <row r="668" spans="1:49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8" s="66" t="str">
        <f>IF(OR(NOTA[[#This Row],[QTY]]="",NOTA[[#This Row],[HARGA SATUAN]]="",),"",NOTA[[#This Row],[QTY]]*NOTA[[#This Row],[HARGA SATUAN]])</f>
        <v/>
      </c>
      <c r="AH668" s="60" t="str">
        <f ca="1">IF(NOTA[ID_H]="","",INDEX(NOTA[TANGGAL],MATCH(,INDIRECT(ADDRESS(ROW(NOTA[TANGGAL]),COLUMN(NOTA[TANGGAL]))&amp;":"&amp;ADDRESS(ROW(),COLUMN(NOTA[TANGGAL]))),-1)))</f>
        <v/>
      </c>
      <c r="AI668" s="55" t="str">
        <f ca="1">IF(NOTA[[#This Row],[NAMA BARANG]]="","",INDEX(NOTA[SUPPLIER],MATCH(,INDIRECT(ADDRESS(ROW(NOTA[ID]),COLUMN(NOTA[ID]))&amp;":"&amp;ADDRESS(ROW(),COLUMN(NOTA[ID]))),-1)))</f>
        <v/>
      </c>
      <c r="AJ668" s="55" t="str">
        <f ca="1">IF(NOTA[[#This Row],[ID_H]]="","",IF(NOTA[[#This Row],[FAKTUR]]="",INDIRECT(ADDRESS(ROW()-1,COLUMN())),NOTA[[#This Row],[FAKTUR]]))</f>
        <v/>
      </c>
      <c r="AK668" s="56" t="str">
        <f ca="1">IF(NOTA[[#This Row],[ID]]="","",COUNTIF(NOTA[ID_H],NOTA[[#This Row],[ID_H]]))</f>
        <v/>
      </c>
      <c r="AL668" s="56" t="str">
        <f ca="1">IF(NOTA[[#This Row],[TGL.NOTA]]="",IF(NOTA[[#This Row],[SUPPLIER_H]]="","",AL667),MONTH(NOTA[[#This Row],[TGL.NOTA]]))</f>
        <v/>
      </c>
      <c r="AM668" s="56" t="str">
        <f>LOWER(SUBSTITUTE(SUBSTITUTE(SUBSTITUTE(SUBSTITUTE(SUBSTITUTE(SUBSTITUTE(SUBSTITUTE(SUBSTITUTE(SUBSTITUTE(NOTA[NAMA BARANG]," ",),".",""),"-",""),"(",""),")",""),",",""),"/",""),"""",""),"+",""))</f>
        <v/>
      </c>
      <c r="AN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56" t="str">
        <f>IF(NOTA[[#This Row],[CONCAT4]]="","",_xlfn.IFNA(MATCH(NOTA[[#This Row],[CONCAT4]],[2]!RAW[CONCAT_H],0),FALSE))</f>
        <v/>
      </c>
      <c r="AR668" s="56" t="str">
        <f>IF(NOTA[[#This Row],[CONCAT1]]="","",MATCH(NOTA[[#This Row],[CONCAT1]],[3]!db[NB NOTA_C],0))</f>
        <v/>
      </c>
      <c r="AS668" s="56" t="str">
        <f>IF(NOTA[[#This Row],[QTY/ CTN]]="","",TRUE)</f>
        <v/>
      </c>
      <c r="AT668" s="56" t="str">
        <f ca="1">IF(NOTA[[#This Row],[ID_H]]="","",IF(NOTA[[#This Row],[Column3]]=TRUE,NOTA[[#This Row],[QTY/ CTN]],INDEX([3]!db[QTY/ CTN],NOTA[[#This Row],[//DB]])))</f>
        <v/>
      </c>
      <c r="AU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8" s="56" t="str">
        <f ca="1">IF(NOTA[[#This Row],[ID_H]]="","",MATCH(NOTA[[#This Row],[NB NOTA_C_QTY]],[4]!db[NB NOTA_C_QTY+F],0))</f>
        <v/>
      </c>
      <c r="AW668" s="68" t="str">
        <f ca="1">IF(NOTA[[#This Row],[NB NOTA_C_QTY]]="","",ROW()-2)</f>
        <v/>
      </c>
    </row>
    <row r="669" spans="1:49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69" s="66" t="str">
        <f>IF(OR(NOTA[[#This Row],[QTY]]="",NOTA[[#This Row],[HARGA SATUAN]]="",),"",NOTA[[#This Row],[QTY]]*NOTA[[#This Row],[HARGA SATUAN]])</f>
        <v/>
      </c>
      <c r="AH669" s="60" t="str">
        <f ca="1">IF(NOTA[ID_H]="","",INDEX(NOTA[TANGGAL],MATCH(,INDIRECT(ADDRESS(ROW(NOTA[TANGGAL]),COLUMN(NOTA[TANGGAL]))&amp;":"&amp;ADDRESS(ROW(),COLUMN(NOTA[TANGGAL]))),-1)))</f>
        <v/>
      </c>
      <c r="AI669" s="55" t="str">
        <f ca="1">IF(NOTA[[#This Row],[NAMA BARANG]]="","",INDEX(NOTA[SUPPLIER],MATCH(,INDIRECT(ADDRESS(ROW(NOTA[ID]),COLUMN(NOTA[ID]))&amp;":"&amp;ADDRESS(ROW(),COLUMN(NOTA[ID]))),-1)))</f>
        <v/>
      </c>
      <c r="AJ669" s="55" t="str">
        <f ca="1">IF(NOTA[[#This Row],[ID_H]]="","",IF(NOTA[[#This Row],[FAKTUR]]="",INDIRECT(ADDRESS(ROW()-1,COLUMN())),NOTA[[#This Row],[FAKTUR]]))</f>
        <v/>
      </c>
      <c r="AK669" s="56" t="str">
        <f ca="1">IF(NOTA[[#This Row],[ID]]="","",COUNTIF(NOTA[ID_H],NOTA[[#This Row],[ID_H]]))</f>
        <v/>
      </c>
      <c r="AL669" s="56" t="str">
        <f ca="1">IF(NOTA[[#This Row],[TGL.NOTA]]="",IF(NOTA[[#This Row],[SUPPLIER_H]]="","",AL668),MONTH(NOTA[[#This Row],[TGL.NOTA]]))</f>
        <v/>
      </c>
      <c r="AM669" s="56" t="str">
        <f>LOWER(SUBSTITUTE(SUBSTITUTE(SUBSTITUTE(SUBSTITUTE(SUBSTITUTE(SUBSTITUTE(SUBSTITUTE(SUBSTITUTE(SUBSTITUTE(NOTA[NAMA BARANG]," ",),".",""),"-",""),"(",""),")",""),",",""),"/",""),"""",""),"+",""))</f>
        <v/>
      </c>
      <c r="AN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56" t="str">
        <f>IF(NOTA[[#This Row],[CONCAT4]]="","",_xlfn.IFNA(MATCH(NOTA[[#This Row],[CONCAT4]],[2]!RAW[CONCAT_H],0),FALSE))</f>
        <v/>
      </c>
      <c r="AR669" s="56" t="str">
        <f>IF(NOTA[[#This Row],[CONCAT1]]="","",MATCH(NOTA[[#This Row],[CONCAT1]],[3]!db[NB NOTA_C],0))</f>
        <v/>
      </c>
      <c r="AS669" s="56" t="str">
        <f>IF(NOTA[[#This Row],[QTY/ CTN]]="","",TRUE)</f>
        <v/>
      </c>
      <c r="AT669" s="56" t="str">
        <f ca="1">IF(NOTA[[#This Row],[ID_H]]="","",IF(NOTA[[#This Row],[Column3]]=TRUE,NOTA[[#This Row],[QTY/ CTN]],INDEX([3]!db[QTY/ CTN],NOTA[[#This Row],[//DB]])))</f>
        <v/>
      </c>
      <c r="AU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9" s="56" t="str">
        <f ca="1">IF(NOTA[[#This Row],[ID_H]]="","",MATCH(NOTA[[#This Row],[NB NOTA_C_QTY]],[4]!db[NB NOTA_C_QTY+F],0))</f>
        <v/>
      </c>
      <c r="AW669" s="68" t="str">
        <f ca="1">IF(NOTA[[#This Row],[NB NOTA_C_QTY]]="","",ROW()-2)</f>
        <v/>
      </c>
    </row>
    <row r="670" spans="1:49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0" s="66" t="str">
        <f>IF(OR(NOTA[[#This Row],[QTY]]="",NOTA[[#This Row],[HARGA SATUAN]]="",),"",NOTA[[#This Row],[QTY]]*NOTA[[#This Row],[HARGA SATUAN]])</f>
        <v/>
      </c>
      <c r="AH670" s="60" t="str">
        <f ca="1">IF(NOTA[ID_H]="","",INDEX(NOTA[TANGGAL],MATCH(,INDIRECT(ADDRESS(ROW(NOTA[TANGGAL]),COLUMN(NOTA[TANGGAL]))&amp;":"&amp;ADDRESS(ROW(),COLUMN(NOTA[TANGGAL]))),-1)))</f>
        <v/>
      </c>
      <c r="AI670" s="55" t="str">
        <f ca="1">IF(NOTA[[#This Row],[NAMA BARANG]]="","",INDEX(NOTA[SUPPLIER],MATCH(,INDIRECT(ADDRESS(ROW(NOTA[ID]),COLUMN(NOTA[ID]))&amp;":"&amp;ADDRESS(ROW(),COLUMN(NOTA[ID]))),-1)))</f>
        <v/>
      </c>
      <c r="AJ670" s="55" t="str">
        <f ca="1">IF(NOTA[[#This Row],[ID_H]]="","",IF(NOTA[[#This Row],[FAKTUR]]="",INDIRECT(ADDRESS(ROW()-1,COLUMN())),NOTA[[#This Row],[FAKTUR]]))</f>
        <v/>
      </c>
      <c r="AK670" s="56" t="str">
        <f ca="1">IF(NOTA[[#This Row],[ID]]="","",COUNTIF(NOTA[ID_H],NOTA[[#This Row],[ID_H]]))</f>
        <v/>
      </c>
      <c r="AL670" s="56" t="str">
        <f ca="1">IF(NOTA[[#This Row],[TGL.NOTA]]="",IF(NOTA[[#This Row],[SUPPLIER_H]]="","",AL669),MONTH(NOTA[[#This Row],[TGL.NOTA]]))</f>
        <v/>
      </c>
      <c r="AM670" s="56" t="str">
        <f>LOWER(SUBSTITUTE(SUBSTITUTE(SUBSTITUTE(SUBSTITUTE(SUBSTITUTE(SUBSTITUTE(SUBSTITUTE(SUBSTITUTE(SUBSTITUTE(NOTA[NAMA BARANG]," ",),".",""),"-",""),"(",""),")",""),",",""),"/",""),"""",""),"+",""))</f>
        <v/>
      </c>
      <c r="AN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56" t="str">
        <f>IF(NOTA[[#This Row],[CONCAT4]]="","",_xlfn.IFNA(MATCH(NOTA[[#This Row],[CONCAT4]],[2]!RAW[CONCAT_H],0),FALSE))</f>
        <v/>
      </c>
      <c r="AR670" s="56" t="str">
        <f>IF(NOTA[[#This Row],[CONCAT1]]="","",MATCH(NOTA[[#This Row],[CONCAT1]],[3]!db[NB NOTA_C],0))</f>
        <v/>
      </c>
      <c r="AS670" s="56" t="str">
        <f>IF(NOTA[[#This Row],[QTY/ CTN]]="","",TRUE)</f>
        <v/>
      </c>
      <c r="AT670" s="56" t="str">
        <f ca="1">IF(NOTA[[#This Row],[ID_H]]="","",IF(NOTA[[#This Row],[Column3]]=TRUE,NOTA[[#This Row],[QTY/ CTN]],INDEX([3]!db[QTY/ CTN],NOTA[[#This Row],[//DB]])))</f>
        <v/>
      </c>
      <c r="AU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0" s="56" t="str">
        <f ca="1">IF(NOTA[[#This Row],[ID_H]]="","",MATCH(NOTA[[#This Row],[NB NOTA_C_QTY]],[4]!db[NB NOTA_C_QTY+F],0))</f>
        <v/>
      </c>
      <c r="AW670" s="68" t="str">
        <f ca="1">IF(NOTA[[#This Row],[NB NOTA_C_QTY]]="","",ROW()-2)</f>
        <v/>
      </c>
    </row>
    <row r="671" spans="1:49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1" s="66" t="str">
        <f>IF(OR(NOTA[[#This Row],[QTY]]="",NOTA[[#This Row],[HARGA SATUAN]]="",),"",NOTA[[#This Row],[QTY]]*NOTA[[#This Row],[HARGA SATUAN]])</f>
        <v/>
      </c>
      <c r="AH671" s="60" t="str">
        <f ca="1">IF(NOTA[ID_H]="","",INDEX(NOTA[TANGGAL],MATCH(,INDIRECT(ADDRESS(ROW(NOTA[TANGGAL]),COLUMN(NOTA[TANGGAL]))&amp;":"&amp;ADDRESS(ROW(),COLUMN(NOTA[TANGGAL]))),-1)))</f>
        <v/>
      </c>
      <c r="AI671" s="55" t="str">
        <f ca="1">IF(NOTA[[#This Row],[NAMA BARANG]]="","",INDEX(NOTA[SUPPLIER],MATCH(,INDIRECT(ADDRESS(ROW(NOTA[ID]),COLUMN(NOTA[ID]))&amp;":"&amp;ADDRESS(ROW(),COLUMN(NOTA[ID]))),-1)))</f>
        <v/>
      </c>
      <c r="AJ671" s="55" t="str">
        <f ca="1">IF(NOTA[[#This Row],[ID_H]]="","",IF(NOTA[[#This Row],[FAKTUR]]="",INDIRECT(ADDRESS(ROW()-1,COLUMN())),NOTA[[#This Row],[FAKTUR]]))</f>
        <v/>
      </c>
      <c r="AK671" s="56" t="str">
        <f ca="1">IF(NOTA[[#This Row],[ID]]="","",COUNTIF(NOTA[ID_H],NOTA[[#This Row],[ID_H]]))</f>
        <v/>
      </c>
      <c r="AL671" s="56" t="str">
        <f ca="1">IF(NOTA[[#This Row],[TGL.NOTA]]="",IF(NOTA[[#This Row],[SUPPLIER_H]]="","",AL670),MONTH(NOTA[[#This Row],[TGL.NOTA]]))</f>
        <v/>
      </c>
      <c r="AM671" s="56" t="str">
        <f>LOWER(SUBSTITUTE(SUBSTITUTE(SUBSTITUTE(SUBSTITUTE(SUBSTITUTE(SUBSTITUTE(SUBSTITUTE(SUBSTITUTE(SUBSTITUTE(NOTA[NAMA BARANG]," ",),".",""),"-",""),"(",""),")",""),",",""),"/",""),"""",""),"+",""))</f>
        <v/>
      </c>
      <c r="AN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56" t="str">
        <f>IF(NOTA[[#This Row],[CONCAT4]]="","",_xlfn.IFNA(MATCH(NOTA[[#This Row],[CONCAT4]],[2]!RAW[CONCAT_H],0),FALSE))</f>
        <v/>
      </c>
      <c r="AR671" s="56" t="str">
        <f>IF(NOTA[[#This Row],[CONCAT1]]="","",MATCH(NOTA[[#This Row],[CONCAT1]],[3]!db[NB NOTA_C],0))</f>
        <v/>
      </c>
      <c r="AS671" s="56" t="str">
        <f>IF(NOTA[[#This Row],[QTY/ CTN]]="","",TRUE)</f>
        <v/>
      </c>
      <c r="AT671" s="56" t="str">
        <f ca="1">IF(NOTA[[#This Row],[ID_H]]="","",IF(NOTA[[#This Row],[Column3]]=TRUE,NOTA[[#This Row],[QTY/ CTN]],INDEX([3]!db[QTY/ CTN],NOTA[[#This Row],[//DB]])))</f>
        <v/>
      </c>
      <c r="AU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1" s="56" t="str">
        <f ca="1">IF(NOTA[[#This Row],[ID_H]]="","",MATCH(NOTA[[#This Row],[NB NOTA_C_QTY]],[4]!db[NB NOTA_C_QTY+F],0))</f>
        <v/>
      </c>
      <c r="AW671" s="68" t="str">
        <f ca="1">IF(NOTA[[#This Row],[NB NOTA_C_QTY]]="","",ROW()-2)</f>
        <v/>
      </c>
    </row>
    <row r="672" spans="1:49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2" s="66" t="str">
        <f>IF(OR(NOTA[[#This Row],[QTY]]="",NOTA[[#This Row],[HARGA SATUAN]]="",),"",NOTA[[#This Row],[QTY]]*NOTA[[#This Row],[HARGA SATUAN]])</f>
        <v/>
      </c>
      <c r="AH672" s="60" t="str">
        <f ca="1">IF(NOTA[ID_H]="","",INDEX(NOTA[TANGGAL],MATCH(,INDIRECT(ADDRESS(ROW(NOTA[TANGGAL]),COLUMN(NOTA[TANGGAL]))&amp;":"&amp;ADDRESS(ROW(),COLUMN(NOTA[TANGGAL]))),-1)))</f>
        <v/>
      </c>
      <c r="AI672" s="55" t="str">
        <f ca="1">IF(NOTA[[#This Row],[NAMA BARANG]]="","",INDEX(NOTA[SUPPLIER],MATCH(,INDIRECT(ADDRESS(ROW(NOTA[ID]),COLUMN(NOTA[ID]))&amp;":"&amp;ADDRESS(ROW(),COLUMN(NOTA[ID]))),-1)))</f>
        <v/>
      </c>
      <c r="AJ672" s="55" t="str">
        <f ca="1">IF(NOTA[[#This Row],[ID_H]]="","",IF(NOTA[[#This Row],[FAKTUR]]="",INDIRECT(ADDRESS(ROW()-1,COLUMN())),NOTA[[#This Row],[FAKTUR]]))</f>
        <v/>
      </c>
      <c r="AK672" s="56" t="str">
        <f ca="1">IF(NOTA[[#This Row],[ID]]="","",COUNTIF(NOTA[ID_H],NOTA[[#This Row],[ID_H]]))</f>
        <v/>
      </c>
      <c r="AL672" s="56" t="str">
        <f ca="1">IF(NOTA[[#This Row],[TGL.NOTA]]="",IF(NOTA[[#This Row],[SUPPLIER_H]]="","",AL671),MONTH(NOTA[[#This Row],[TGL.NOTA]]))</f>
        <v/>
      </c>
      <c r="AM672" s="56" t="str">
        <f>LOWER(SUBSTITUTE(SUBSTITUTE(SUBSTITUTE(SUBSTITUTE(SUBSTITUTE(SUBSTITUTE(SUBSTITUTE(SUBSTITUTE(SUBSTITUTE(NOTA[NAMA BARANG]," ",),".",""),"-",""),"(",""),")",""),",",""),"/",""),"""",""),"+",""))</f>
        <v/>
      </c>
      <c r="AN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56" t="str">
        <f>IF(NOTA[[#This Row],[CONCAT4]]="","",_xlfn.IFNA(MATCH(NOTA[[#This Row],[CONCAT4]],[2]!RAW[CONCAT_H],0),FALSE))</f>
        <v/>
      </c>
      <c r="AR672" s="56" t="str">
        <f>IF(NOTA[[#This Row],[CONCAT1]]="","",MATCH(NOTA[[#This Row],[CONCAT1]],[3]!db[NB NOTA_C],0))</f>
        <v/>
      </c>
      <c r="AS672" s="56" t="str">
        <f>IF(NOTA[[#This Row],[QTY/ CTN]]="","",TRUE)</f>
        <v/>
      </c>
      <c r="AT672" s="56" t="str">
        <f ca="1">IF(NOTA[[#This Row],[ID_H]]="","",IF(NOTA[[#This Row],[Column3]]=TRUE,NOTA[[#This Row],[QTY/ CTN]],INDEX([3]!db[QTY/ CTN],NOTA[[#This Row],[//DB]])))</f>
        <v/>
      </c>
      <c r="AU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2" s="56" t="str">
        <f ca="1">IF(NOTA[[#This Row],[ID_H]]="","",MATCH(NOTA[[#This Row],[NB NOTA_C_QTY]],[4]!db[NB NOTA_C_QTY+F],0))</f>
        <v/>
      </c>
      <c r="AW672" s="68" t="str">
        <f ca="1">IF(NOTA[[#This Row],[NB NOTA_C_QTY]]="","",ROW()-2)</f>
        <v/>
      </c>
    </row>
    <row r="673" spans="1:49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3" s="66" t="str">
        <f>IF(OR(NOTA[[#This Row],[QTY]]="",NOTA[[#This Row],[HARGA SATUAN]]="",),"",NOTA[[#This Row],[QTY]]*NOTA[[#This Row],[HARGA SATUAN]])</f>
        <v/>
      </c>
      <c r="AH673" s="60" t="str">
        <f ca="1">IF(NOTA[ID_H]="","",INDEX(NOTA[TANGGAL],MATCH(,INDIRECT(ADDRESS(ROW(NOTA[TANGGAL]),COLUMN(NOTA[TANGGAL]))&amp;":"&amp;ADDRESS(ROW(),COLUMN(NOTA[TANGGAL]))),-1)))</f>
        <v/>
      </c>
      <c r="AI673" s="55" t="str">
        <f ca="1">IF(NOTA[[#This Row],[NAMA BARANG]]="","",INDEX(NOTA[SUPPLIER],MATCH(,INDIRECT(ADDRESS(ROW(NOTA[ID]),COLUMN(NOTA[ID]))&amp;":"&amp;ADDRESS(ROW(),COLUMN(NOTA[ID]))),-1)))</f>
        <v/>
      </c>
      <c r="AJ673" s="55" t="str">
        <f ca="1">IF(NOTA[[#This Row],[ID_H]]="","",IF(NOTA[[#This Row],[FAKTUR]]="",INDIRECT(ADDRESS(ROW()-1,COLUMN())),NOTA[[#This Row],[FAKTUR]]))</f>
        <v/>
      </c>
      <c r="AK673" s="56" t="str">
        <f ca="1">IF(NOTA[[#This Row],[ID]]="","",COUNTIF(NOTA[ID_H],NOTA[[#This Row],[ID_H]]))</f>
        <v/>
      </c>
      <c r="AL673" s="56" t="str">
        <f ca="1">IF(NOTA[[#This Row],[TGL.NOTA]]="",IF(NOTA[[#This Row],[SUPPLIER_H]]="","",AL672),MONTH(NOTA[[#This Row],[TGL.NOTA]]))</f>
        <v/>
      </c>
      <c r="AM673" s="56" t="str">
        <f>LOWER(SUBSTITUTE(SUBSTITUTE(SUBSTITUTE(SUBSTITUTE(SUBSTITUTE(SUBSTITUTE(SUBSTITUTE(SUBSTITUTE(SUBSTITUTE(NOTA[NAMA BARANG]," ",),".",""),"-",""),"(",""),")",""),",",""),"/",""),"""",""),"+",""))</f>
        <v/>
      </c>
      <c r="AN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56" t="str">
        <f>IF(NOTA[[#This Row],[CONCAT4]]="","",_xlfn.IFNA(MATCH(NOTA[[#This Row],[CONCAT4]],[2]!RAW[CONCAT_H],0),FALSE))</f>
        <v/>
      </c>
      <c r="AR673" s="56" t="str">
        <f>IF(NOTA[[#This Row],[CONCAT1]]="","",MATCH(NOTA[[#This Row],[CONCAT1]],[3]!db[NB NOTA_C],0))</f>
        <v/>
      </c>
      <c r="AS673" s="56" t="str">
        <f>IF(NOTA[[#This Row],[QTY/ CTN]]="","",TRUE)</f>
        <v/>
      </c>
      <c r="AT673" s="56" t="str">
        <f ca="1">IF(NOTA[[#This Row],[ID_H]]="","",IF(NOTA[[#This Row],[Column3]]=TRUE,NOTA[[#This Row],[QTY/ CTN]],INDEX([3]!db[QTY/ CTN],NOTA[[#This Row],[//DB]])))</f>
        <v/>
      </c>
      <c r="AU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3" s="56" t="str">
        <f ca="1">IF(NOTA[[#This Row],[ID_H]]="","",MATCH(NOTA[[#This Row],[NB NOTA_C_QTY]],[4]!db[NB NOTA_C_QTY+F],0))</f>
        <v/>
      </c>
      <c r="AW673" s="68" t="str">
        <f ca="1">IF(NOTA[[#This Row],[NB NOTA_C_QTY]]="","",ROW()-2)</f>
        <v/>
      </c>
    </row>
    <row r="674" spans="1:49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4" s="66" t="str">
        <f>IF(OR(NOTA[[#This Row],[QTY]]="",NOTA[[#This Row],[HARGA SATUAN]]="",),"",NOTA[[#This Row],[QTY]]*NOTA[[#This Row],[HARGA SATUAN]])</f>
        <v/>
      </c>
      <c r="AH674" s="60" t="str">
        <f ca="1">IF(NOTA[ID_H]="","",INDEX(NOTA[TANGGAL],MATCH(,INDIRECT(ADDRESS(ROW(NOTA[TANGGAL]),COLUMN(NOTA[TANGGAL]))&amp;":"&amp;ADDRESS(ROW(),COLUMN(NOTA[TANGGAL]))),-1)))</f>
        <v/>
      </c>
      <c r="AI674" s="55" t="str">
        <f ca="1">IF(NOTA[[#This Row],[NAMA BARANG]]="","",INDEX(NOTA[SUPPLIER],MATCH(,INDIRECT(ADDRESS(ROW(NOTA[ID]),COLUMN(NOTA[ID]))&amp;":"&amp;ADDRESS(ROW(),COLUMN(NOTA[ID]))),-1)))</f>
        <v/>
      </c>
      <c r="AJ674" s="55" t="str">
        <f ca="1">IF(NOTA[[#This Row],[ID_H]]="","",IF(NOTA[[#This Row],[FAKTUR]]="",INDIRECT(ADDRESS(ROW()-1,COLUMN())),NOTA[[#This Row],[FAKTUR]]))</f>
        <v/>
      </c>
      <c r="AK674" s="56" t="str">
        <f ca="1">IF(NOTA[[#This Row],[ID]]="","",COUNTIF(NOTA[ID_H],NOTA[[#This Row],[ID_H]]))</f>
        <v/>
      </c>
      <c r="AL674" s="56" t="str">
        <f ca="1">IF(NOTA[[#This Row],[TGL.NOTA]]="",IF(NOTA[[#This Row],[SUPPLIER_H]]="","",AL673),MONTH(NOTA[[#This Row],[TGL.NOTA]]))</f>
        <v/>
      </c>
      <c r="AM674" s="56" t="str">
        <f>LOWER(SUBSTITUTE(SUBSTITUTE(SUBSTITUTE(SUBSTITUTE(SUBSTITUTE(SUBSTITUTE(SUBSTITUTE(SUBSTITUTE(SUBSTITUTE(NOTA[NAMA BARANG]," ",),".",""),"-",""),"(",""),")",""),",",""),"/",""),"""",""),"+",""))</f>
        <v/>
      </c>
      <c r="AN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56" t="str">
        <f>IF(NOTA[[#This Row],[CONCAT4]]="","",_xlfn.IFNA(MATCH(NOTA[[#This Row],[CONCAT4]],[2]!RAW[CONCAT_H],0),FALSE))</f>
        <v/>
      </c>
      <c r="AR674" s="56" t="str">
        <f>IF(NOTA[[#This Row],[CONCAT1]]="","",MATCH(NOTA[[#This Row],[CONCAT1]],[3]!db[NB NOTA_C],0))</f>
        <v/>
      </c>
      <c r="AS674" s="56" t="str">
        <f>IF(NOTA[[#This Row],[QTY/ CTN]]="","",TRUE)</f>
        <v/>
      </c>
      <c r="AT674" s="56" t="str">
        <f ca="1">IF(NOTA[[#This Row],[ID_H]]="","",IF(NOTA[[#This Row],[Column3]]=TRUE,NOTA[[#This Row],[QTY/ CTN]],INDEX([3]!db[QTY/ CTN],NOTA[[#This Row],[//DB]])))</f>
        <v/>
      </c>
      <c r="AU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4" s="56" t="str">
        <f ca="1">IF(NOTA[[#This Row],[ID_H]]="","",MATCH(NOTA[[#This Row],[NB NOTA_C_QTY]],[4]!db[NB NOTA_C_QTY+F],0))</f>
        <v/>
      </c>
      <c r="AW674" s="68" t="str">
        <f ca="1">IF(NOTA[[#This Row],[NB NOTA_C_QTY]]="","",ROW()-2)</f>
        <v/>
      </c>
    </row>
    <row r="675" spans="1:49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5" s="66" t="str">
        <f>IF(OR(NOTA[[#This Row],[QTY]]="",NOTA[[#This Row],[HARGA SATUAN]]="",),"",NOTA[[#This Row],[QTY]]*NOTA[[#This Row],[HARGA SATUAN]])</f>
        <v/>
      </c>
      <c r="AH675" s="60" t="str">
        <f ca="1">IF(NOTA[ID_H]="","",INDEX(NOTA[TANGGAL],MATCH(,INDIRECT(ADDRESS(ROW(NOTA[TANGGAL]),COLUMN(NOTA[TANGGAL]))&amp;":"&amp;ADDRESS(ROW(),COLUMN(NOTA[TANGGAL]))),-1)))</f>
        <v/>
      </c>
      <c r="AI675" s="55" t="str">
        <f ca="1">IF(NOTA[[#This Row],[NAMA BARANG]]="","",INDEX(NOTA[SUPPLIER],MATCH(,INDIRECT(ADDRESS(ROW(NOTA[ID]),COLUMN(NOTA[ID]))&amp;":"&amp;ADDRESS(ROW(),COLUMN(NOTA[ID]))),-1)))</f>
        <v/>
      </c>
      <c r="AJ675" s="55" t="str">
        <f ca="1">IF(NOTA[[#This Row],[ID_H]]="","",IF(NOTA[[#This Row],[FAKTUR]]="",INDIRECT(ADDRESS(ROW()-1,COLUMN())),NOTA[[#This Row],[FAKTUR]]))</f>
        <v/>
      </c>
      <c r="AK675" s="56" t="str">
        <f ca="1">IF(NOTA[[#This Row],[ID]]="","",COUNTIF(NOTA[ID_H],NOTA[[#This Row],[ID_H]]))</f>
        <v/>
      </c>
      <c r="AL675" s="56" t="str">
        <f ca="1">IF(NOTA[[#This Row],[TGL.NOTA]]="",IF(NOTA[[#This Row],[SUPPLIER_H]]="","",AL674),MONTH(NOTA[[#This Row],[TGL.NOTA]]))</f>
        <v/>
      </c>
      <c r="AM675" s="56" t="str">
        <f>LOWER(SUBSTITUTE(SUBSTITUTE(SUBSTITUTE(SUBSTITUTE(SUBSTITUTE(SUBSTITUTE(SUBSTITUTE(SUBSTITUTE(SUBSTITUTE(NOTA[NAMA BARANG]," ",),".",""),"-",""),"(",""),")",""),",",""),"/",""),"""",""),"+",""))</f>
        <v/>
      </c>
      <c r="AN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56" t="str">
        <f>IF(NOTA[[#This Row],[CONCAT4]]="","",_xlfn.IFNA(MATCH(NOTA[[#This Row],[CONCAT4]],[2]!RAW[CONCAT_H],0),FALSE))</f>
        <v/>
      </c>
      <c r="AR675" s="56" t="str">
        <f>IF(NOTA[[#This Row],[CONCAT1]]="","",MATCH(NOTA[[#This Row],[CONCAT1]],[3]!db[NB NOTA_C],0))</f>
        <v/>
      </c>
      <c r="AS675" s="56" t="str">
        <f>IF(NOTA[[#This Row],[QTY/ CTN]]="","",TRUE)</f>
        <v/>
      </c>
      <c r="AT675" s="56" t="str">
        <f ca="1">IF(NOTA[[#This Row],[ID_H]]="","",IF(NOTA[[#This Row],[Column3]]=TRUE,NOTA[[#This Row],[QTY/ CTN]],INDEX([3]!db[QTY/ CTN],NOTA[[#This Row],[//DB]])))</f>
        <v/>
      </c>
      <c r="AU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5" s="56" t="str">
        <f ca="1">IF(NOTA[[#This Row],[ID_H]]="","",MATCH(NOTA[[#This Row],[NB NOTA_C_QTY]],[4]!db[NB NOTA_C_QTY+F],0))</f>
        <v/>
      </c>
      <c r="AW675" s="68" t="str">
        <f ca="1">IF(NOTA[[#This Row],[NB NOTA_C_QTY]]="","",ROW()-2)</f>
        <v/>
      </c>
    </row>
    <row r="676" spans="1:49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6" s="66" t="str">
        <f>IF(OR(NOTA[[#This Row],[QTY]]="",NOTA[[#This Row],[HARGA SATUAN]]="",),"",NOTA[[#This Row],[QTY]]*NOTA[[#This Row],[HARGA SATUAN]])</f>
        <v/>
      </c>
      <c r="AH676" s="60" t="str">
        <f ca="1">IF(NOTA[ID_H]="","",INDEX(NOTA[TANGGAL],MATCH(,INDIRECT(ADDRESS(ROW(NOTA[TANGGAL]),COLUMN(NOTA[TANGGAL]))&amp;":"&amp;ADDRESS(ROW(),COLUMN(NOTA[TANGGAL]))),-1)))</f>
        <v/>
      </c>
      <c r="AI676" s="55" t="str">
        <f ca="1">IF(NOTA[[#This Row],[NAMA BARANG]]="","",INDEX(NOTA[SUPPLIER],MATCH(,INDIRECT(ADDRESS(ROW(NOTA[ID]),COLUMN(NOTA[ID]))&amp;":"&amp;ADDRESS(ROW(),COLUMN(NOTA[ID]))),-1)))</f>
        <v/>
      </c>
      <c r="AJ676" s="55" t="str">
        <f ca="1">IF(NOTA[[#This Row],[ID_H]]="","",IF(NOTA[[#This Row],[FAKTUR]]="",INDIRECT(ADDRESS(ROW()-1,COLUMN())),NOTA[[#This Row],[FAKTUR]]))</f>
        <v/>
      </c>
      <c r="AK676" s="56" t="str">
        <f ca="1">IF(NOTA[[#This Row],[ID]]="","",COUNTIF(NOTA[ID_H],NOTA[[#This Row],[ID_H]]))</f>
        <v/>
      </c>
      <c r="AL676" s="56" t="str">
        <f ca="1">IF(NOTA[[#This Row],[TGL.NOTA]]="",IF(NOTA[[#This Row],[SUPPLIER_H]]="","",AL675),MONTH(NOTA[[#This Row],[TGL.NOTA]]))</f>
        <v/>
      </c>
      <c r="AM676" s="56" t="str">
        <f>LOWER(SUBSTITUTE(SUBSTITUTE(SUBSTITUTE(SUBSTITUTE(SUBSTITUTE(SUBSTITUTE(SUBSTITUTE(SUBSTITUTE(SUBSTITUTE(NOTA[NAMA BARANG]," ",),".",""),"-",""),"(",""),")",""),",",""),"/",""),"""",""),"+",""))</f>
        <v/>
      </c>
      <c r="AN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6" s="56" t="str">
        <f>IF(NOTA[[#This Row],[CONCAT4]]="","",_xlfn.IFNA(MATCH(NOTA[[#This Row],[CONCAT4]],[2]!RAW[CONCAT_H],0),FALSE))</f>
        <v/>
      </c>
      <c r="AR676" s="56" t="str">
        <f>IF(NOTA[[#This Row],[CONCAT1]]="","",MATCH(NOTA[[#This Row],[CONCAT1]],[3]!db[NB NOTA_C],0))</f>
        <v/>
      </c>
      <c r="AS676" s="56" t="str">
        <f>IF(NOTA[[#This Row],[QTY/ CTN]]="","",TRUE)</f>
        <v/>
      </c>
      <c r="AT676" s="56" t="str">
        <f ca="1">IF(NOTA[[#This Row],[ID_H]]="","",IF(NOTA[[#This Row],[Column3]]=TRUE,NOTA[[#This Row],[QTY/ CTN]],INDEX([3]!db[QTY/ CTN],NOTA[[#This Row],[//DB]])))</f>
        <v/>
      </c>
      <c r="AU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6" s="56" t="str">
        <f ca="1">IF(NOTA[[#This Row],[ID_H]]="","",MATCH(NOTA[[#This Row],[NB NOTA_C_QTY]],[4]!db[NB NOTA_C_QTY+F],0))</f>
        <v/>
      </c>
      <c r="AW676" s="68" t="str">
        <f ca="1">IF(NOTA[[#This Row],[NB NOTA_C_QTY]]="","",ROW()-2)</f>
        <v/>
      </c>
    </row>
    <row r="677" spans="1:49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7" s="66" t="str">
        <f>IF(OR(NOTA[[#This Row],[QTY]]="",NOTA[[#This Row],[HARGA SATUAN]]="",),"",NOTA[[#This Row],[QTY]]*NOTA[[#This Row],[HARGA SATUAN]])</f>
        <v/>
      </c>
      <c r="AH677" s="60" t="str">
        <f ca="1">IF(NOTA[ID_H]="","",INDEX(NOTA[TANGGAL],MATCH(,INDIRECT(ADDRESS(ROW(NOTA[TANGGAL]),COLUMN(NOTA[TANGGAL]))&amp;":"&amp;ADDRESS(ROW(),COLUMN(NOTA[TANGGAL]))),-1)))</f>
        <v/>
      </c>
      <c r="AI677" s="55" t="str">
        <f ca="1">IF(NOTA[[#This Row],[NAMA BARANG]]="","",INDEX(NOTA[SUPPLIER],MATCH(,INDIRECT(ADDRESS(ROW(NOTA[ID]),COLUMN(NOTA[ID]))&amp;":"&amp;ADDRESS(ROW(),COLUMN(NOTA[ID]))),-1)))</f>
        <v/>
      </c>
      <c r="AJ677" s="55" t="str">
        <f ca="1">IF(NOTA[[#This Row],[ID_H]]="","",IF(NOTA[[#This Row],[FAKTUR]]="",INDIRECT(ADDRESS(ROW()-1,COLUMN())),NOTA[[#This Row],[FAKTUR]]))</f>
        <v/>
      </c>
      <c r="AK677" s="56" t="str">
        <f ca="1">IF(NOTA[[#This Row],[ID]]="","",COUNTIF(NOTA[ID_H],NOTA[[#This Row],[ID_H]]))</f>
        <v/>
      </c>
      <c r="AL677" s="56" t="str">
        <f ca="1">IF(NOTA[[#This Row],[TGL.NOTA]]="",IF(NOTA[[#This Row],[SUPPLIER_H]]="","",AL676),MONTH(NOTA[[#This Row],[TGL.NOTA]]))</f>
        <v/>
      </c>
      <c r="AM677" s="56" t="str">
        <f>LOWER(SUBSTITUTE(SUBSTITUTE(SUBSTITUTE(SUBSTITUTE(SUBSTITUTE(SUBSTITUTE(SUBSTITUTE(SUBSTITUTE(SUBSTITUTE(NOTA[NAMA BARANG]," ",),".",""),"-",""),"(",""),")",""),",",""),"/",""),"""",""),"+",""))</f>
        <v/>
      </c>
      <c r="AN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56" t="str">
        <f>IF(NOTA[[#This Row],[CONCAT4]]="","",_xlfn.IFNA(MATCH(NOTA[[#This Row],[CONCAT4]],[2]!RAW[CONCAT_H],0),FALSE))</f>
        <v/>
      </c>
      <c r="AR677" s="56" t="str">
        <f>IF(NOTA[[#This Row],[CONCAT1]]="","",MATCH(NOTA[[#This Row],[CONCAT1]],[3]!db[NB NOTA_C],0))</f>
        <v/>
      </c>
      <c r="AS677" s="56" t="str">
        <f>IF(NOTA[[#This Row],[QTY/ CTN]]="","",TRUE)</f>
        <v/>
      </c>
      <c r="AT677" s="56" t="str">
        <f ca="1">IF(NOTA[[#This Row],[ID_H]]="","",IF(NOTA[[#This Row],[Column3]]=TRUE,NOTA[[#This Row],[QTY/ CTN]],INDEX([3]!db[QTY/ CTN],NOTA[[#This Row],[//DB]])))</f>
        <v/>
      </c>
      <c r="AU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7" s="56" t="str">
        <f ca="1">IF(NOTA[[#This Row],[ID_H]]="","",MATCH(NOTA[[#This Row],[NB NOTA_C_QTY]],[4]!db[NB NOTA_C_QTY+F],0))</f>
        <v/>
      </c>
      <c r="AW677" s="68" t="str">
        <f ca="1">IF(NOTA[[#This Row],[NB NOTA_C_QTY]]="","",ROW()-2)</f>
        <v/>
      </c>
    </row>
    <row r="678" spans="1:49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8" s="66" t="str">
        <f>IF(OR(NOTA[[#This Row],[QTY]]="",NOTA[[#This Row],[HARGA SATUAN]]="",),"",NOTA[[#This Row],[QTY]]*NOTA[[#This Row],[HARGA SATUAN]])</f>
        <v/>
      </c>
      <c r="AH678" s="60" t="str">
        <f ca="1">IF(NOTA[ID_H]="","",INDEX(NOTA[TANGGAL],MATCH(,INDIRECT(ADDRESS(ROW(NOTA[TANGGAL]),COLUMN(NOTA[TANGGAL]))&amp;":"&amp;ADDRESS(ROW(),COLUMN(NOTA[TANGGAL]))),-1)))</f>
        <v/>
      </c>
      <c r="AI678" s="55" t="str">
        <f ca="1">IF(NOTA[[#This Row],[NAMA BARANG]]="","",INDEX(NOTA[SUPPLIER],MATCH(,INDIRECT(ADDRESS(ROW(NOTA[ID]),COLUMN(NOTA[ID]))&amp;":"&amp;ADDRESS(ROW(),COLUMN(NOTA[ID]))),-1)))</f>
        <v/>
      </c>
      <c r="AJ678" s="55" t="str">
        <f ca="1">IF(NOTA[[#This Row],[ID_H]]="","",IF(NOTA[[#This Row],[FAKTUR]]="",INDIRECT(ADDRESS(ROW()-1,COLUMN())),NOTA[[#This Row],[FAKTUR]]))</f>
        <v/>
      </c>
      <c r="AK678" s="56" t="str">
        <f ca="1">IF(NOTA[[#This Row],[ID]]="","",COUNTIF(NOTA[ID_H],NOTA[[#This Row],[ID_H]]))</f>
        <v/>
      </c>
      <c r="AL678" s="56" t="str">
        <f ca="1">IF(NOTA[[#This Row],[TGL.NOTA]]="",IF(NOTA[[#This Row],[SUPPLIER_H]]="","",AL677),MONTH(NOTA[[#This Row],[TGL.NOTA]]))</f>
        <v/>
      </c>
      <c r="AM678" s="56" t="str">
        <f>LOWER(SUBSTITUTE(SUBSTITUTE(SUBSTITUTE(SUBSTITUTE(SUBSTITUTE(SUBSTITUTE(SUBSTITUTE(SUBSTITUTE(SUBSTITUTE(NOTA[NAMA BARANG]," ",),".",""),"-",""),"(",""),")",""),",",""),"/",""),"""",""),"+",""))</f>
        <v/>
      </c>
      <c r="AN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56" t="str">
        <f>IF(NOTA[[#This Row],[CONCAT4]]="","",_xlfn.IFNA(MATCH(NOTA[[#This Row],[CONCAT4]],[2]!RAW[CONCAT_H],0),FALSE))</f>
        <v/>
      </c>
      <c r="AR678" s="56" t="str">
        <f>IF(NOTA[[#This Row],[CONCAT1]]="","",MATCH(NOTA[[#This Row],[CONCAT1]],[3]!db[NB NOTA_C],0))</f>
        <v/>
      </c>
      <c r="AS678" s="56" t="str">
        <f>IF(NOTA[[#This Row],[QTY/ CTN]]="","",TRUE)</f>
        <v/>
      </c>
      <c r="AT678" s="56" t="str">
        <f ca="1">IF(NOTA[[#This Row],[ID_H]]="","",IF(NOTA[[#This Row],[Column3]]=TRUE,NOTA[[#This Row],[QTY/ CTN]],INDEX([3]!db[QTY/ CTN],NOTA[[#This Row],[//DB]])))</f>
        <v/>
      </c>
      <c r="AU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8" s="56" t="str">
        <f ca="1">IF(NOTA[[#This Row],[ID_H]]="","",MATCH(NOTA[[#This Row],[NB NOTA_C_QTY]],[4]!db[NB NOTA_C_QTY+F],0))</f>
        <v/>
      </c>
      <c r="AW678" s="68" t="str">
        <f ca="1">IF(NOTA[[#This Row],[NB NOTA_C_QTY]]="","",ROW()-2)</f>
        <v/>
      </c>
    </row>
    <row r="679" spans="1:49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79" s="66" t="str">
        <f>IF(OR(NOTA[[#This Row],[QTY]]="",NOTA[[#This Row],[HARGA SATUAN]]="",),"",NOTA[[#This Row],[QTY]]*NOTA[[#This Row],[HARGA SATUAN]])</f>
        <v/>
      </c>
      <c r="AH679" s="60" t="str">
        <f ca="1">IF(NOTA[ID_H]="","",INDEX(NOTA[TANGGAL],MATCH(,INDIRECT(ADDRESS(ROW(NOTA[TANGGAL]),COLUMN(NOTA[TANGGAL]))&amp;":"&amp;ADDRESS(ROW(),COLUMN(NOTA[TANGGAL]))),-1)))</f>
        <v/>
      </c>
      <c r="AI679" s="55" t="str">
        <f ca="1">IF(NOTA[[#This Row],[NAMA BARANG]]="","",INDEX(NOTA[SUPPLIER],MATCH(,INDIRECT(ADDRESS(ROW(NOTA[ID]),COLUMN(NOTA[ID]))&amp;":"&amp;ADDRESS(ROW(),COLUMN(NOTA[ID]))),-1)))</f>
        <v/>
      </c>
      <c r="AJ679" s="55" t="str">
        <f ca="1">IF(NOTA[[#This Row],[ID_H]]="","",IF(NOTA[[#This Row],[FAKTUR]]="",INDIRECT(ADDRESS(ROW()-1,COLUMN())),NOTA[[#This Row],[FAKTUR]]))</f>
        <v/>
      </c>
      <c r="AK679" s="56" t="str">
        <f ca="1">IF(NOTA[[#This Row],[ID]]="","",COUNTIF(NOTA[ID_H],NOTA[[#This Row],[ID_H]]))</f>
        <v/>
      </c>
      <c r="AL679" s="56" t="str">
        <f ca="1">IF(NOTA[[#This Row],[TGL.NOTA]]="",IF(NOTA[[#This Row],[SUPPLIER_H]]="","",AL678),MONTH(NOTA[[#This Row],[TGL.NOTA]]))</f>
        <v/>
      </c>
      <c r="AM679" s="56" t="str">
        <f>LOWER(SUBSTITUTE(SUBSTITUTE(SUBSTITUTE(SUBSTITUTE(SUBSTITUTE(SUBSTITUTE(SUBSTITUTE(SUBSTITUTE(SUBSTITUTE(NOTA[NAMA BARANG]," ",),".",""),"-",""),"(",""),")",""),",",""),"/",""),"""",""),"+",""))</f>
        <v/>
      </c>
      <c r="AN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56" t="str">
        <f>IF(NOTA[[#This Row],[CONCAT4]]="","",_xlfn.IFNA(MATCH(NOTA[[#This Row],[CONCAT4]],[2]!RAW[CONCAT_H],0),FALSE))</f>
        <v/>
      </c>
      <c r="AR679" s="56" t="str">
        <f>IF(NOTA[[#This Row],[CONCAT1]]="","",MATCH(NOTA[[#This Row],[CONCAT1]],[3]!db[NB NOTA_C],0))</f>
        <v/>
      </c>
      <c r="AS679" s="56" t="str">
        <f>IF(NOTA[[#This Row],[QTY/ CTN]]="","",TRUE)</f>
        <v/>
      </c>
      <c r="AT679" s="56" t="str">
        <f ca="1">IF(NOTA[[#This Row],[ID_H]]="","",IF(NOTA[[#This Row],[Column3]]=TRUE,NOTA[[#This Row],[QTY/ CTN]],INDEX([3]!db[QTY/ CTN],NOTA[[#This Row],[//DB]])))</f>
        <v/>
      </c>
      <c r="AU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9" s="56" t="str">
        <f ca="1">IF(NOTA[[#This Row],[ID_H]]="","",MATCH(NOTA[[#This Row],[NB NOTA_C_QTY]],[4]!db[NB NOTA_C_QTY+F],0))</f>
        <v/>
      </c>
      <c r="AW679" s="68" t="str">
        <f ca="1">IF(NOTA[[#This Row],[NB NOTA_C_QTY]]="","",ROW()-2)</f>
        <v/>
      </c>
    </row>
    <row r="680" spans="1:49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0" s="66" t="str">
        <f>IF(OR(NOTA[[#This Row],[QTY]]="",NOTA[[#This Row],[HARGA SATUAN]]="",),"",NOTA[[#This Row],[QTY]]*NOTA[[#This Row],[HARGA SATUAN]])</f>
        <v/>
      </c>
      <c r="AH680" s="60" t="str">
        <f ca="1">IF(NOTA[ID_H]="","",INDEX(NOTA[TANGGAL],MATCH(,INDIRECT(ADDRESS(ROW(NOTA[TANGGAL]),COLUMN(NOTA[TANGGAL]))&amp;":"&amp;ADDRESS(ROW(),COLUMN(NOTA[TANGGAL]))),-1)))</f>
        <v/>
      </c>
      <c r="AI680" s="55" t="str">
        <f ca="1">IF(NOTA[[#This Row],[NAMA BARANG]]="","",INDEX(NOTA[SUPPLIER],MATCH(,INDIRECT(ADDRESS(ROW(NOTA[ID]),COLUMN(NOTA[ID]))&amp;":"&amp;ADDRESS(ROW(),COLUMN(NOTA[ID]))),-1)))</f>
        <v/>
      </c>
      <c r="AJ680" s="55" t="str">
        <f ca="1">IF(NOTA[[#This Row],[ID_H]]="","",IF(NOTA[[#This Row],[FAKTUR]]="",INDIRECT(ADDRESS(ROW()-1,COLUMN())),NOTA[[#This Row],[FAKTUR]]))</f>
        <v/>
      </c>
      <c r="AK680" s="56" t="str">
        <f ca="1">IF(NOTA[[#This Row],[ID]]="","",COUNTIF(NOTA[ID_H],NOTA[[#This Row],[ID_H]]))</f>
        <v/>
      </c>
      <c r="AL680" s="56" t="str">
        <f ca="1">IF(NOTA[[#This Row],[TGL.NOTA]]="",IF(NOTA[[#This Row],[SUPPLIER_H]]="","",AL679),MONTH(NOTA[[#This Row],[TGL.NOTA]]))</f>
        <v/>
      </c>
      <c r="AM680" s="56" t="str">
        <f>LOWER(SUBSTITUTE(SUBSTITUTE(SUBSTITUTE(SUBSTITUTE(SUBSTITUTE(SUBSTITUTE(SUBSTITUTE(SUBSTITUTE(SUBSTITUTE(NOTA[NAMA BARANG]," ",),".",""),"-",""),"(",""),")",""),",",""),"/",""),"""",""),"+",""))</f>
        <v/>
      </c>
      <c r="AN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56" t="str">
        <f>IF(NOTA[[#This Row],[CONCAT4]]="","",_xlfn.IFNA(MATCH(NOTA[[#This Row],[CONCAT4]],[2]!RAW[CONCAT_H],0),FALSE))</f>
        <v/>
      </c>
      <c r="AR680" s="56" t="str">
        <f>IF(NOTA[[#This Row],[CONCAT1]]="","",MATCH(NOTA[[#This Row],[CONCAT1]],[3]!db[NB NOTA_C],0))</f>
        <v/>
      </c>
      <c r="AS680" s="56" t="str">
        <f>IF(NOTA[[#This Row],[QTY/ CTN]]="","",TRUE)</f>
        <v/>
      </c>
      <c r="AT680" s="56" t="str">
        <f ca="1">IF(NOTA[[#This Row],[ID_H]]="","",IF(NOTA[[#This Row],[Column3]]=TRUE,NOTA[[#This Row],[QTY/ CTN]],INDEX([3]!db[QTY/ CTN],NOTA[[#This Row],[//DB]])))</f>
        <v/>
      </c>
      <c r="AU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0" s="56" t="str">
        <f ca="1">IF(NOTA[[#This Row],[ID_H]]="","",MATCH(NOTA[[#This Row],[NB NOTA_C_QTY]],[4]!db[NB NOTA_C_QTY+F],0))</f>
        <v/>
      </c>
      <c r="AW680" s="68" t="str">
        <f ca="1">IF(NOTA[[#This Row],[NB NOTA_C_QTY]]="","",ROW()-2)</f>
        <v/>
      </c>
    </row>
    <row r="681" spans="1:49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1" s="66" t="str">
        <f>IF(OR(NOTA[[#This Row],[QTY]]="",NOTA[[#This Row],[HARGA SATUAN]]="",),"",NOTA[[#This Row],[QTY]]*NOTA[[#This Row],[HARGA SATUAN]])</f>
        <v/>
      </c>
      <c r="AH681" s="60" t="str">
        <f ca="1">IF(NOTA[ID_H]="","",INDEX(NOTA[TANGGAL],MATCH(,INDIRECT(ADDRESS(ROW(NOTA[TANGGAL]),COLUMN(NOTA[TANGGAL]))&amp;":"&amp;ADDRESS(ROW(),COLUMN(NOTA[TANGGAL]))),-1)))</f>
        <v/>
      </c>
      <c r="AI681" s="55" t="str">
        <f ca="1">IF(NOTA[[#This Row],[NAMA BARANG]]="","",INDEX(NOTA[SUPPLIER],MATCH(,INDIRECT(ADDRESS(ROW(NOTA[ID]),COLUMN(NOTA[ID]))&amp;":"&amp;ADDRESS(ROW(),COLUMN(NOTA[ID]))),-1)))</f>
        <v/>
      </c>
      <c r="AJ681" s="55" t="str">
        <f ca="1">IF(NOTA[[#This Row],[ID_H]]="","",IF(NOTA[[#This Row],[FAKTUR]]="",INDIRECT(ADDRESS(ROW()-1,COLUMN())),NOTA[[#This Row],[FAKTUR]]))</f>
        <v/>
      </c>
      <c r="AK681" s="56" t="str">
        <f ca="1">IF(NOTA[[#This Row],[ID]]="","",COUNTIF(NOTA[ID_H],NOTA[[#This Row],[ID_H]]))</f>
        <v/>
      </c>
      <c r="AL681" s="56" t="str">
        <f ca="1">IF(NOTA[[#This Row],[TGL.NOTA]]="",IF(NOTA[[#This Row],[SUPPLIER_H]]="","",AL680),MONTH(NOTA[[#This Row],[TGL.NOTA]]))</f>
        <v/>
      </c>
      <c r="AM681" s="56" t="str">
        <f>LOWER(SUBSTITUTE(SUBSTITUTE(SUBSTITUTE(SUBSTITUTE(SUBSTITUTE(SUBSTITUTE(SUBSTITUTE(SUBSTITUTE(SUBSTITUTE(NOTA[NAMA BARANG]," ",),".",""),"-",""),"(",""),")",""),",",""),"/",""),"""",""),"+",""))</f>
        <v/>
      </c>
      <c r="AN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56" t="str">
        <f>IF(NOTA[[#This Row],[CONCAT4]]="","",_xlfn.IFNA(MATCH(NOTA[[#This Row],[CONCAT4]],[2]!RAW[CONCAT_H],0),FALSE))</f>
        <v/>
      </c>
      <c r="AR681" s="56" t="str">
        <f>IF(NOTA[[#This Row],[CONCAT1]]="","",MATCH(NOTA[[#This Row],[CONCAT1]],[3]!db[NB NOTA_C],0))</f>
        <v/>
      </c>
      <c r="AS681" s="56" t="str">
        <f>IF(NOTA[[#This Row],[QTY/ CTN]]="","",TRUE)</f>
        <v/>
      </c>
      <c r="AT681" s="56" t="str">
        <f ca="1">IF(NOTA[[#This Row],[ID_H]]="","",IF(NOTA[[#This Row],[Column3]]=TRUE,NOTA[[#This Row],[QTY/ CTN]],INDEX([3]!db[QTY/ CTN],NOTA[[#This Row],[//DB]])))</f>
        <v/>
      </c>
      <c r="AU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1" s="56" t="str">
        <f ca="1">IF(NOTA[[#This Row],[ID_H]]="","",MATCH(NOTA[[#This Row],[NB NOTA_C_QTY]],[4]!db[NB NOTA_C_QTY+F],0))</f>
        <v/>
      </c>
      <c r="AW681" s="68" t="str">
        <f ca="1">IF(NOTA[[#This Row],[NB NOTA_C_QTY]]="","",ROW()-2)</f>
        <v/>
      </c>
    </row>
    <row r="682" spans="1:49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2" s="66" t="str">
        <f>IF(OR(NOTA[[#This Row],[QTY]]="",NOTA[[#This Row],[HARGA SATUAN]]="",),"",NOTA[[#This Row],[QTY]]*NOTA[[#This Row],[HARGA SATUAN]])</f>
        <v/>
      </c>
      <c r="AH682" s="60" t="str">
        <f ca="1">IF(NOTA[ID_H]="","",INDEX(NOTA[TANGGAL],MATCH(,INDIRECT(ADDRESS(ROW(NOTA[TANGGAL]),COLUMN(NOTA[TANGGAL]))&amp;":"&amp;ADDRESS(ROW(),COLUMN(NOTA[TANGGAL]))),-1)))</f>
        <v/>
      </c>
      <c r="AI682" s="55" t="str">
        <f ca="1">IF(NOTA[[#This Row],[NAMA BARANG]]="","",INDEX(NOTA[SUPPLIER],MATCH(,INDIRECT(ADDRESS(ROW(NOTA[ID]),COLUMN(NOTA[ID]))&amp;":"&amp;ADDRESS(ROW(),COLUMN(NOTA[ID]))),-1)))</f>
        <v/>
      </c>
      <c r="AJ682" s="55" t="str">
        <f ca="1">IF(NOTA[[#This Row],[ID_H]]="","",IF(NOTA[[#This Row],[FAKTUR]]="",INDIRECT(ADDRESS(ROW()-1,COLUMN())),NOTA[[#This Row],[FAKTUR]]))</f>
        <v/>
      </c>
      <c r="AK682" s="56" t="str">
        <f ca="1">IF(NOTA[[#This Row],[ID]]="","",COUNTIF(NOTA[ID_H],NOTA[[#This Row],[ID_H]]))</f>
        <v/>
      </c>
      <c r="AL682" s="56" t="str">
        <f ca="1">IF(NOTA[[#This Row],[TGL.NOTA]]="",IF(NOTA[[#This Row],[SUPPLIER_H]]="","",AL681),MONTH(NOTA[[#This Row],[TGL.NOTA]]))</f>
        <v/>
      </c>
      <c r="AM682" s="56" t="str">
        <f>LOWER(SUBSTITUTE(SUBSTITUTE(SUBSTITUTE(SUBSTITUTE(SUBSTITUTE(SUBSTITUTE(SUBSTITUTE(SUBSTITUTE(SUBSTITUTE(NOTA[NAMA BARANG]," ",),".",""),"-",""),"(",""),")",""),",",""),"/",""),"""",""),"+",""))</f>
        <v/>
      </c>
      <c r="AN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56" t="str">
        <f>IF(NOTA[[#This Row],[CONCAT4]]="","",_xlfn.IFNA(MATCH(NOTA[[#This Row],[CONCAT4]],[2]!RAW[CONCAT_H],0),FALSE))</f>
        <v/>
      </c>
      <c r="AR682" s="56" t="str">
        <f>IF(NOTA[[#This Row],[CONCAT1]]="","",MATCH(NOTA[[#This Row],[CONCAT1]],[3]!db[NB NOTA_C],0))</f>
        <v/>
      </c>
      <c r="AS682" s="56" t="str">
        <f>IF(NOTA[[#This Row],[QTY/ CTN]]="","",TRUE)</f>
        <v/>
      </c>
      <c r="AT682" s="56" t="str">
        <f ca="1">IF(NOTA[[#This Row],[ID_H]]="","",IF(NOTA[[#This Row],[Column3]]=TRUE,NOTA[[#This Row],[QTY/ CTN]],INDEX([3]!db[QTY/ CTN],NOTA[[#This Row],[//DB]])))</f>
        <v/>
      </c>
      <c r="AU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2" s="56" t="str">
        <f ca="1">IF(NOTA[[#This Row],[ID_H]]="","",MATCH(NOTA[[#This Row],[NB NOTA_C_QTY]],[4]!db[NB NOTA_C_QTY+F],0))</f>
        <v/>
      </c>
      <c r="AW682" s="68" t="str">
        <f ca="1">IF(NOTA[[#This Row],[NB NOTA_C_QTY]]="","",ROW()-2)</f>
        <v/>
      </c>
    </row>
    <row r="683" spans="1:49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3" s="66" t="str">
        <f>IF(OR(NOTA[[#This Row],[QTY]]="",NOTA[[#This Row],[HARGA SATUAN]]="",),"",NOTA[[#This Row],[QTY]]*NOTA[[#This Row],[HARGA SATUAN]])</f>
        <v/>
      </c>
      <c r="AH683" s="60" t="str">
        <f ca="1">IF(NOTA[ID_H]="","",INDEX(NOTA[TANGGAL],MATCH(,INDIRECT(ADDRESS(ROW(NOTA[TANGGAL]),COLUMN(NOTA[TANGGAL]))&amp;":"&amp;ADDRESS(ROW(),COLUMN(NOTA[TANGGAL]))),-1)))</f>
        <v/>
      </c>
      <c r="AI683" s="55" t="str">
        <f ca="1">IF(NOTA[[#This Row],[NAMA BARANG]]="","",INDEX(NOTA[SUPPLIER],MATCH(,INDIRECT(ADDRESS(ROW(NOTA[ID]),COLUMN(NOTA[ID]))&amp;":"&amp;ADDRESS(ROW(),COLUMN(NOTA[ID]))),-1)))</f>
        <v/>
      </c>
      <c r="AJ683" s="55" t="str">
        <f ca="1">IF(NOTA[[#This Row],[ID_H]]="","",IF(NOTA[[#This Row],[FAKTUR]]="",INDIRECT(ADDRESS(ROW()-1,COLUMN())),NOTA[[#This Row],[FAKTUR]]))</f>
        <v/>
      </c>
      <c r="AK683" s="56" t="str">
        <f ca="1">IF(NOTA[[#This Row],[ID]]="","",COUNTIF(NOTA[ID_H],NOTA[[#This Row],[ID_H]]))</f>
        <v/>
      </c>
      <c r="AL683" s="56" t="str">
        <f ca="1">IF(NOTA[[#This Row],[TGL.NOTA]]="",IF(NOTA[[#This Row],[SUPPLIER_H]]="","",AL682),MONTH(NOTA[[#This Row],[TGL.NOTA]]))</f>
        <v/>
      </c>
      <c r="AM683" s="56" t="str">
        <f>LOWER(SUBSTITUTE(SUBSTITUTE(SUBSTITUTE(SUBSTITUTE(SUBSTITUTE(SUBSTITUTE(SUBSTITUTE(SUBSTITUTE(SUBSTITUTE(NOTA[NAMA BARANG]," ",),".",""),"-",""),"(",""),")",""),",",""),"/",""),"""",""),"+",""))</f>
        <v/>
      </c>
      <c r="AN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56" t="str">
        <f>IF(NOTA[[#This Row],[CONCAT4]]="","",_xlfn.IFNA(MATCH(NOTA[[#This Row],[CONCAT4]],[2]!RAW[CONCAT_H],0),FALSE))</f>
        <v/>
      </c>
      <c r="AR683" s="56" t="str">
        <f>IF(NOTA[[#This Row],[CONCAT1]]="","",MATCH(NOTA[[#This Row],[CONCAT1]],[3]!db[NB NOTA_C],0))</f>
        <v/>
      </c>
      <c r="AS683" s="56" t="str">
        <f>IF(NOTA[[#This Row],[QTY/ CTN]]="","",TRUE)</f>
        <v/>
      </c>
      <c r="AT683" s="56" t="str">
        <f ca="1">IF(NOTA[[#This Row],[ID_H]]="","",IF(NOTA[[#This Row],[Column3]]=TRUE,NOTA[[#This Row],[QTY/ CTN]],INDEX([3]!db[QTY/ CTN],NOTA[[#This Row],[//DB]])))</f>
        <v/>
      </c>
      <c r="AU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3" s="56" t="str">
        <f ca="1">IF(NOTA[[#This Row],[ID_H]]="","",MATCH(NOTA[[#This Row],[NB NOTA_C_QTY]],[4]!db[NB NOTA_C_QTY+F],0))</f>
        <v/>
      </c>
      <c r="AW683" s="68" t="str">
        <f ca="1">IF(NOTA[[#This Row],[NB NOTA_C_QTY]]="","",ROW()-2)</f>
        <v/>
      </c>
    </row>
    <row r="684" spans="1:49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4" s="66" t="str">
        <f>IF(OR(NOTA[[#This Row],[QTY]]="",NOTA[[#This Row],[HARGA SATUAN]]="",),"",NOTA[[#This Row],[QTY]]*NOTA[[#This Row],[HARGA SATUAN]])</f>
        <v/>
      </c>
      <c r="AH684" s="60" t="str">
        <f ca="1">IF(NOTA[ID_H]="","",INDEX(NOTA[TANGGAL],MATCH(,INDIRECT(ADDRESS(ROW(NOTA[TANGGAL]),COLUMN(NOTA[TANGGAL]))&amp;":"&amp;ADDRESS(ROW(),COLUMN(NOTA[TANGGAL]))),-1)))</f>
        <v/>
      </c>
      <c r="AI684" s="55" t="str">
        <f ca="1">IF(NOTA[[#This Row],[NAMA BARANG]]="","",INDEX(NOTA[SUPPLIER],MATCH(,INDIRECT(ADDRESS(ROW(NOTA[ID]),COLUMN(NOTA[ID]))&amp;":"&amp;ADDRESS(ROW(),COLUMN(NOTA[ID]))),-1)))</f>
        <v/>
      </c>
      <c r="AJ684" s="55" t="str">
        <f ca="1">IF(NOTA[[#This Row],[ID_H]]="","",IF(NOTA[[#This Row],[FAKTUR]]="",INDIRECT(ADDRESS(ROW()-1,COLUMN())),NOTA[[#This Row],[FAKTUR]]))</f>
        <v/>
      </c>
      <c r="AK684" s="56" t="str">
        <f ca="1">IF(NOTA[[#This Row],[ID]]="","",COUNTIF(NOTA[ID_H],NOTA[[#This Row],[ID_H]]))</f>
        <v/>
      </c>
      <c r="AL684" s="56" t="str">
        <f ca="1">IF(NOTA[[#This Row],[TGL.NOTA]]="",IF(NOTA[[#This Row],[SUPPLIER_H]]="","",AL683),MONTH(NOTA[[#This Row],[TGL.NOTA]]))</f>
        <v/>
      </c>
      <c r="AM684" s="56" t="str">
        <f>LOWER(SUBSTITUTE(SUBSTITUTE(SUBSTITUTE(SUBSTITUTE(SUBSTITUTE(SUBSTITUTE(SUBSTITUTE(SUBSTITUTE(SUBSTITUTE(NOTA[NAMA BARANG]," ",),".",""),"-",""),"(",""),")",""),",",""),"/",""),"""",""),"+",""))</f>
        <v/>
      </c>
      <c r="AN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56" t="str">
        <f>IF(NOTA[[#This Row],[CONCAT4]]="","",_xlfn.IFNA(MATCH(NOTA[[#This Row],[CONCAT4]],[2]!RAW[CONCAT_H],0),FALSE))</f>
        <v/>
      </c>
      <c r="AR684" s="56" t="str">
        <f>IF(NOTA[[#This Row],[CONCAT1]]="","",MATCH(NOTA[[#This Row],[CONCAT1]],[3]!db[NB NOTA_C],0))</f>
        <v/>
      </c>
      <c r="AS684" s="56" t="str">
        <f>IF(NOTA[[#This Row],[QTY/ CTN]]="","",TRUE)</f>
        <v/>
      </c>
      <c r="AT684" s="56" t="str">
        <f ca="1">IF(NOTA[[#This Row],[ID_H]]="","",IF(NOTA[[#This Row],[Column3]]=TRUE,NOTA[[#This Row],[QTY/ CTN]],INDEX([3]!db[QTY/ CTN],NOTA[[#This Row],[//DB]])))</f>
        <v/>
      </c>
      <c r="AU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4" s="56" t="str">
        <f ca="1">IF(NOTA[[#This Row],[ID_H]]="","",MATCH(NOTA[[#This Row],[NB NOTA_C_QTY]],[4]!db[NB NOTA_C_QTY+F],0))</f>
        <v/>
      </c>
      <c r="AW684" s="68" t="str">
        <f ca="1">IF(NOTA[[#This Row],[NB NOTA_C_QTY]]="","",ROW()-2)</f>
        <v/>
      </c>
    </row>
    <row r="685" spans="1:49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5" s="66" t="str">
        <f>IF(OR(NOTA[[#This Row],[QTY]]="",NOTA[[#This Row],[HARGA SATUAN]]="",),"",NOTA[[#This Row],[QTY]]*NOTA[[#This Row],[HARGA SATUAN]])</f>
        <v/>
      </c>
      <c r="AH685" s="60" t="str">
        <f ca="1">IF(NOTA[ID_H]="","",INDEX(NOTA[TANGGAL],MATCH(,INDIRECT(ADDRESS(ROW(NOTA[TANGGAL]),COLUMN(NOTA[TANGGAL]))&amp;":"&amp;ADDRESS(ROW(),COLUMN(NOTA[TANGGAL]))),-1)))</f>
        <v/>
      </c>
      <c r="AI685" s="55" t="str">
        <f ca="1">IF(NOTA[[#This Row],[NAMA BARANG]]="","",INDEX(NOTA[SUPPLIER],MATCH(,INDIRECT(ADDRESS(ROW(NOTA[ID]),COLUMN(NOTA[ID]))&amp;":"&amp;ADDRESS(ROW(),COLUMN(NOTA[ID]))),-1)))</f>
        <v/>
      </c>
      <c r="AJ685" s="55" t="str">
        <f ca="1">IF(NOTA[[#This Row],[ID_H]]="","",IF(NOTA[[#This Row],[FAKTUR]]="",INDIRECT(ADDRESS(ROW()-1,COLUMN())),NOTA[[#This Row],[FAKTUR]]))</f>
        <v/>
      </c>
      <c r="AK685" s="56" t="str">
        <f ca="1">IF(NOTA[[#This Row],[ID]]="","",COUNTIF(NOTA[ID_H],NOTA[[#This Row],[ID_H]]))</f>
        <v/>
      </c>
      <c r="AL685" s="56" t="str">
        <f ca="1">IF(NOTA[[#This Row],[TGL.NOTA]]="",IF(NOTA[[#This Row],[SUPPLIER_H]]="","",AL684),MONTH(NOTA[[#This Row],[TGL.NOTA]]))</f>
        <v/>
      </c>
      <c r="AM685" s="56" t="str">
        <f>LOWER(SUBSTITUTE(SUBSTITUTE(SUBSTITUTE(SUBSTITUTE(SUBSTITUTE(SUBSTITUTE(SUBSTITUTE(SUBSTITUTE(SUBSTITUTE(NOTA[NAMA BARANG]," ",),".",""),"-",""),"(",""),")",""),",",""),"/",""),"""",""),"+",""))</f>
        <v/>
      </c>
      <c r="AN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56" t="str">
        <f>IF(NOTA[[#This Row],[CONCAT4]]="","",_xlfn.IFNA(MATCH(NOTA[[#This Row],[CONCAT4]],[2]!RAW[CONCAT_H],0),FALSE))</f>
        <v/>
      </c>
      <c r="AR685" s="56" t="str">
        <f>IF(NOTA[[#This Row],[CONCAT1]]="","",MATCH(NOTA[[#This Row],[CONCAT1]],[3]!db[NB NOTA_C],0))</f>
        <v/>
      </c>
      <c r="AS685" s="56" t="str">
        <f>IF(NOTA[[#This Row],[QTY/ CTN]]="","",TRUE)</f>
        <v/>
      </c>
      <c r="AT685" s="56" t="str">
        <f ca="1">IF(NOTA[[#This Row],[ID_H]]="","",IF(NOTA[[#This Row],[Column3]]=TRUE,NOTA[[#This Row],[QTY/ CTN]],INDEX([3]!db[QTY/ CTN],NOTA[[#This Row],[//DB]])))</f>
        <v/>
      </c>
      <c r="AU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5" s="56" t="str">
        <f ca="1">IF(NOTA[[#This Row],[ID_H]]="","",MATCH(NOTA[[#This Row],[NB NOTA_C_QTY]],[4]!db[NB NOTA_C_QTY+F],0))</f>
        <v/>
      </c>
      <c r="AW685" s="68" t="str">
        <f ca="1">IF(NOTA[[#This Row],[NB NOTA_C_QTY]]="","",ROW()-2)</f>
        <v/>
      </c>
    </row>
    <row r="686" spans="1:49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6" s="66" t="str">
        <f>IF(OR(NOTA[[#This Row],[QTY]]="",NOTA[[#This Row],[HARGA SATUAN]]="",),"",NOTA[[#This Row],[QTY]]*NOTA[[#This Row],[HARGA SATUAN]])</f>
        <v/>
      </c>
      <c r="AH686" s="60" t="str">
        <f ca="1">IF(NOTA[ID_H]="","",INDEX(NOTA[TANGGAL],MATCH(,INDIRECT(ADDRESS(ROW(NOTA[TANGGAL]),COLUMN(NOTA[TANGGAL]))&amp;":"&amp;ADDRESS(ROW(),COLUMN(NOTA[TANGGAL]))),-1)))</f>
        <v/>
      </c>
      <c r="AI686" s="55" t="str">
        <f ca="1">IF(NOTA[[#This Row],[NAMA BARANG]]="","",INDEX(NOTA[SUPPLIER],MATCH(,INDIRECT(ADDRESS(ROW(NOTA[ID]),COLUMN(NOTA[ID]))&amp;":"&amp;ADDRESS(ROW(),COLUMN(NOTA[ID]))),-1)))</f>
        <v/>
      </c>
      <c r="AJ686" s="55" t="str">
        <f ca="1">IF(NOTA[[#This Row],[ID_H]]="","",IF(NOTA[[#This Row],[FAKTUR]]="",INDIRECT(ADDRESS(ROW()-1,COLUMN())),NOTA[[#This Row],[FAKTUR]]))</f>
        <v/>
      </c>
      <c r="AK686" s="56" t="str">
        <f ca="1">IF(NOTA[[#This Row],[ID]]="","",COUNTIF(NOTA[ID_H],NOTA[[#This Row],[ID_H]]))</f>
        <v/>
      </c>
      <c r="AL686" s="56" t="str">
        <f ca="1">IF(NOTA[[#This Row],[TGL.NOTA]]="",IF(NOTA[[#This Row],[SUPPLIER_H]]="","",AL685),MONTH(NOTA[[#This Row],[TGL.NOTA]]))</f>
        <v/>
      </c>
      <c r="AM686" s="56" t="str">
        <f>LOWER(SUBSTITUTE(SUBSTITUTE(SUBSTITUTE(SUBSTITUTE(SUBSTITUTE(SUBSTITUTE(SUBSTITUTE(SUBSTITUTE(SUBSTITUTE(NOTA[NAMA BARANG]," ",),".",""),"-",""),"(",""),")",""),",",""),"/",""),"""",""),"+",""))</f>
        <v/>
      </c>
      <c r="AN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56" t="str">
        <f>IF(NOTA[[#This Row],[CONCAT4]]="","",_xlfn.IFNA(MATCH(NOTA[[#This Row],[CONCAT4]],[2]!RAW[CONCAT_H],0),FALSE))</f>
        <v/>
      </c>
      <c r="AR686" s="56" t="str">
        <f>IF(NOTA[[#This Row],[CONCAT1]]="","",MATCH(NOTA[[#This Row],[CONCAT1]],[3]!db[NB NOTA_C],0))</f>
        <v/>
      </c>
      <c r="AS686" s="56" t="str">
        <f>IF(NOTA[[#This Row],[QTY/ CTN]]="","",TRUE)</f>
        <v/>
      </c>
      <c r="AT686" s="56" t="str">
        <f ca="1">IF(NOTA[[#This Row],[ID_H]]="","",IF(NOTA[[#This Row],[Column3]]=TRUE,NOTA[[#This Row],[QTY/ CTN]],INDEX([3]!db[QTY/ CTN],NOTA[[#This Row],[//DB]])))</f>
        <v/>
      </c>
      <c r="AU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6" s="56" t="str">
        <f ca="1">IF(NOTA[[#This Row],[ID_H]]="","",MATCH(NOTA[[#This Row],[NB NOTA_C_QTY]],[4]!db[NB NOTA_C_QTY+F],0))</f>
        <v/>
      </c>
      <c r="AW686" s="68" t="str">
        <f ca="1">IF(NOTA[[#This Row],[NB NOTA_C_QTY]]="","",ROW()-2)</f>
        <v/>
      </c>
    </row>
    <row r="687" spans="1:49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7" s="66" t="str">
        <f>IF(OR(NOTA[[#This Row],[QTY]]="",NOTA[[#This Row],[HARGA SATUAN]]="",),"",NOTA[[#This Row],[QTY]]*NOTA[[#This Row],[HARGA SATUAN]])</f>
        <v/>
      </c>
      <c r="AH687" s="60" t="str">
        <f ca="1">IF(NOTA[ID_H]="","",INDEX(NOTA[TANGGAL],MATCH(,INDIRECT(ADDRESS(ROW(NOTA[TANGGAL]),COLUMN(NOTA[TANGGAL]))&amp;":"&amp;ADDRESS(ROW(),COLUMN(NOTA[TANGGAL]))),-1)))</f>
        <v/>
      </c>
      <c r="AI687" s="55" t="str">
        <f ca="1">IF(NOTA[[#This Row],[NAMA BARANG]]="","",INDEX(NOTA[SUPPLIER],MATCH(,INDIRECT(ADDRESS(ROW(NOTA[ID]),COLUMN(NOTA[ID]))&amp;":"&amp;ADDRESS(ROW(),COLUMN(NOTA[ID]))),-1)))</f>
        <v/>
      </c>
      <c r="AJ687" s="55" t="str">
        <f ca="1">IF(NOTA[[#This Row],[ID_H]]="","",IF(NOTA[[#This Row],[FAKTUR]]="",INDIRECT(ADDRESS(ROW()-1,COLUMN())),NOTA[[#This Row],[FAKTUR]]))</f>
        <v/>
      </c>
      <c r="AK687" s="56" t="str">
        <f ca="1">IF(NOTA[[#This Row],[ID]]="","",COUNTIF(NOTA[ID_H],NOTA[[#This Row],[ID_H]]))</f>
        <v/>
      </c>
      <c r="AL687" s="56" t="str">
        <f ca="1">IF(NOTA[[#This Row],[TGL.NOTA]]="",IF(NOTA[[#This Row],[SUPPLIER_H]]="","",AL686),MONTH(NOTA[[#This Row],[TGL.NOTA]]))</f>
        <v/>
      </c>
      <c r="AM687" s="56" t="str">
        <f>LOWER(SUBSTITUTE(SUBSTITUTE(SUBSTITUTE(SUBSTITUTE(SUBSTITUTE(SUBSTITUTE(SUBSTITUTE(SUBSTITUTE(SUBSTITUTE(NOTA[NAMA BARANG]," ",),".",""),"-",""),"(",""),")",""),",",""),"/",""),"""",""),"+",""))</f>
        <v/>
      </c>
      <c r="AN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56" t="str">
        <f>IF(NOTA[[#This Row],[CONCAT4]]="","",_xlfn.IFNA(MATCH(NOTA[[#This Row],[CONCAT4]],[2]!RAW[CONCAT_H],0),FALSE))</f>
        <v/>
      </c>
      <c r="AR687" s="56" t="str">
        <f>IF(NOTA[[#This Row],[CONCAT1]]="","",MATCH(NOTA[[#This Row],[CONCAT1]],[3]!db[NB NOTA_C],0))</f>
        <v/>
      </c>
      <c r="AS687" s="56" t="str">
        <f>IF(NOTA[[#This Row],[QTY/ CTN]]="","",TRUE)</f>
        <v/>
      </c>
      <c r="AT687" s="56" t="str">
        <f ca="1">IF(NOTA[[#This Row],[ID_H]]="","",IF(NOTA[[#This Row],[Column3]]=TRUE,NOTA[[#This Row],[QTY/ CTN]],INDEX([3]!db[QTY/ CTN],NOTA[[#This Row],[//DB]])))</f>
        <v/>
      </c>
      <c r="AU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7" s="56" t="str">
        <f ca="1">IF(NOTA[[#This Row],[ID_H]]="","",MATCH(NOTA[[#This Row],[NB NOTA_C_QTY]],[4]!db[NB NOTA_C_QTY+F],0))</f>
        <v/>
      </c>
      <c r="AW687" s="68" t="str">
        <f ca="1">IF(NOTA[[#This Row],[NB NOTA_C_QTY]]="","",ROW()-2)</f>
        <v/>
      </c>
    </row>
    <row r="688" spans="1:49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8" s="66" t="str">
        <f>IF(OR(NOTA[[#This Row],[QTY]]="",NOTA[[#This Row],[HARGA SATUAN]]="",),"",NOTA[[#This Row],[QTY]]*NOTA[[#This Row],[HARGA SATUAN]])</f>
        <v/>
      </c>
      <c r="AH688" s="60" t="str">
        <f ca="1">IF(NOTA[ID_H]="","",INDEX(NOTA[TANGGAL],MATCH(,INDIRECT(ADDRESS(ROW(NOTA[TANGGAL]),COLUMN(NOTA[TANGGAL]))&amp;":"&amp;ADDRESS(ROW(),COLUMN(NOTA[TANGGAL]))),-1)))</f>
        <v/>
      </c>
      <c r="AI688" s="55" t="str">
        <f ca="1">IF(NOTA[[#This Row],[NAMA BARANG]]="","",INDEX(NOTA[SUPPLIER],MATCH(,INDIRECT(ADDRESS(ROW(NOTA[ID]),COLUMN(NOTA[ID]))&amp;":"&amp;ADDRESS(ROW(),COLUMN(NOTA[ID]))),-1)))</f>
        <v/>
      </c>
      <c r="AJ688" s="55" t="str">
        <f ca="1">IF(NOTA[[#This Row],[ID_H]]="","",IF(NOTA[[#This Row],[FAKTUR]]="",INDIRECT(ADDRESS(ROW()-1,COLUMN())),NOTA[[#This Row],[FAKTUR]]))</f>
        <v/>
      </c>
      <c r="AK688" s="56" t="str">
        <f ca="1">IF(NOTA[[#This Row],[ID]]="","",COUNTIF(NOTA[ID_H],NOTA[[#This Row],[ID_H]]))</f>
        <v/>
      </c>
      <c r="AL688" s="56" t="str">
        <f ca="1">IF(NOTA[[#This Row],[TGL.NOTA]]="",IF(NOTA[[#This Row],[SUPPLIER_H]]="","",AL687),MONTH(NOTA[[#This Row],[TGL.NOTA]]))</f>
        <v/>
      </c>
      <c r="AM688" s="56" t="str">
        <f>LOWER(SUBSTITUTE(SUBSTITUTE(SUBSTITUTE(SUBSTITUTE(SUBSTITUTE(SUBSTITUTE(SUBSTITUTE(SUBSTITUTE(SUBSTITUTE(NOTA[NAMA BARANG]," ",),".",""),"-",""),"(",""),")",""),",",""),"/",""),"""",""),"+",""))</f>
        <v/>
      </c>
      <c r="AN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8" s="56" t="str">
        <f>IF(NOTA[[#This Row],[CONCAT4]]="","",_xlfn.IFNA(MATCH(NOTA[[#This Row],[CONCAT4]],[2]!RAW[CONCAT_H],0),FALSE))</f>
        <v/>
      </c>
      <c r="AR688" s="56" t="str">
        <f>IF(NOTA[[#This Row],[CONCAT1]]="","",MATCH(NOTA[[#This Row],[CONCAT1]],[3]!db[NB NOTA_C],0))</f>
        <v/>
      </c>
      <c r="AS688" s="56" t="str">
        <f>IF(NOTA[[#This Row],[QTY/ CTN]]="","",TRUE)</f>
        <v/>
      </c>
      <c r="AT688" s="56" t="str">
        <f ca="1">IF(NOTA[[#This Row],[ID_H]]="","",IF(NOTA[[#This Row],[Column3]]=TRUE,NOTA[[#This Row],[QTY/ CTN]],INDEX([3]!db[QTY/ CTN],NOTA[[#This Row],[//DB]])))</f>
        <v/>
      </c>
      <c r="AU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8" s="56" t="str">
        <f ca="1">IF(NOTA[[#This Row],[ID_H]]="","",MATCH(NOTA[[#This Row],[NB NOTA_C_QTY]],[4]!db[NB NOTA_C_QTY+F],0))</f>
        <v/>
      </c>
      <c r="AW688" s="68" t="str">
        <f ca="1">IF(NOTA[[#This Row],[NB NOTA_C_QTY]]="","",ROW()-2)</f>
        <v/>
      </c>
    </row>
    <row r="689" spans="1:49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89" s="66" t="str">
        <f>IF(OR(NOTA[[#This Row],[QTY]]="",NOTA[[#This Row],[HARGA SATUAN]]="",),"",NOTA[[#This Row],[QTY]]*NOTA[[#This Row],[HARGA SATUAN]])</f>
        <v/>
      </c>
      <c r="AH689" s="60" t="str">
        <f ca="1">IF(NOTA[ID_H]="","",INDEX(NOTA[TANGGAL],MATCH(,INDIRECT(ADDRESS(ROW(NOTA[TANGGAL]),COLUMN(NOTA[TANGGAL]))&amp;":"&amp;ADDRESS(ROW(),COLUMN(NOTA[TANGGAL]))),-1)))</f>
        <v/>
      </c>
      <c r="AI689" s="55" t="str">
        <f ca="1">IF(NOTA[[#This Row],[NAMA BARANG]]="","",INDEX(NOTA[SUPPLIER],MATCH(,INDIRECT(ADDRESS(ROW(NOTA[ID]),COLUMN(NOTA[ID]))&amp;":"&amp;ADDRESS(ROW(),COLUMN(NOTA[ID]))),-1)))</f>
        <v/>
      </c>
      <c r="AJ689" s="55" t="str">
        <f ca="1">IF(NOTA[[#This Row],[ID_H]]="","",IF(NOTA[[#This Row],[FAKTUR]]="",INDIRECT(ADDRESS(ROW()-1,COLUMN())),NOTA[[#This Row],[FAKTUR]]))</f>
        <v/>
      </c>
      <c r="AK689" s="56" t="str">
        <f ca="1">IF(NOTA[[#This Row],[ID]]="","",COUNTIF(NOTA[ID_H],NOTA[[#This Row],[ID_H]]))</f>
        <v/>
      </c>
      <c r="AL689" s="56" t="str">
        <f ca="1">IF(NOTA[[#This Row],[TGL.NOTA]]="",IF(NOTA[[#This Row],[SUPPLIER_H]]="","",AL688),MONTH(NOTA[[#This Row],[TGL.NOTA]]))</f>
        <v/>
      </c>
      <c r="AM689" s="56" t="str">
        <f>LOWER(SUBSTITUTE(SUBSTITUTE(SUBSTITUTE(SUBSTITUTE(SUBSTITUTE(SUBSTITUTE(SUBSTITUTE(SUBSTITUTE(SUBSTITUTE(NOTA[NAMA BARANG]," ",),".",""),"-",""),"(",""),")",""),",",""),"/",""),"""",""),"+",""))</f>
        <v/>
      </c>
      <c r="AN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56" t="str">
        <f>IF(NOTA[[#This Row],[CONCAT4]]="","",_xlfn.IFNA(MATCH(NOTA[[#This Row],[CONCAT4]],[2]!RAW[CONCAT_H],0),FALSE))</f>
        <v/>
      </c>
      <c r="AR689" s="56" t="str">
        <f>IF(NOTA[[#This Row],[CONCAT1]]="","",MATCH(NOTA[[#This Row],[CONCAT1]],[3]!db[NB NOTA_C],0))</f>
        <v/>
      </c>
      <c r="AS689" s="56" t="str">
        <f>IF(NOTA[[#This Row],[QTY/ CTN]]="","",TRUE)</f>
        <v/>
      </c>
      <c r="AT689" s="56" t="str">
        <f ca="1">IF(NOTA[[#This Row],[ID_H]]="","",IF(NOTA[[#This Row],[Column3]]=TRUE,NOTA[[#This Row],[QTY/ CTN]],INDEX([3]!db[QTY/ CTN],NOTA[[#This Row],[//DB]])))</f>
        <v/>
      </c>
      <c r="AU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9" s="56" t="str">
        <f ca="1">IF(NOTA[[#This Row],[ID_H]]="","",MATCH(NOTA[[#This Row],[NB NOTA_C_QTY]],[4]!db[NB NOTA_C_QTY+F],0))</f>
        <v/>
      </c>
      <c r="AW689" s="68" t="str">
        <f ca="1">IF(NOTA[[#This Row],[NB NOTA_C_QTY]]="","",ROW()-2)</f>
        <v/>
      </c>
    </row>
    <row r="690" spans="1:49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0" s="66" t="str">
        <f>IF(OR(NOTA[[#This Row],[QTY]]="",NOTA[[#This Row],[HARGA SATUAN]]="",),"",NOTA[[#This Row],[QTY]]*NOTA[[#This Row],[HARGA SATUAN]])</f>
        <v/>
      </c>
      <c r="AH690" s="60" t="str">
        <f ca="1">IF(NOTA[ID_H]="","",INDEX(NOTA[TANGGAL],MATCH(,INDIRECT(ADDRESS(ROW(NOTA[TANGGAL]),COLUMN(NOTA[TANGGAL]))&amp;":"&amp;ADDRESS(ROW(),COLUMN(NOTA[TANGGAL]))),-1)))</f>
        <v/>
      </c>
      <c r="AI690" s="55" t="str">
        <f ca="1">IF(NOTA[[#This Row],[NAMA BARANG]]="","",INDEX(NOTA[SUPPLIER],MATCH(,INDIRECT(ADDRESS(ROW(NOTA[ID]),COLUMN(NOTA[ID]))&amp;":"&amp;ADDRESS(ROW(),COLUMN(NOTA[ID]))),-1)))</f>
        <v/>
      </c>
      <c r="AJ690" s="55" t="str">
        <f ca="1">IF(NOTA[[#This Row],[ID_H]]="","",IF(NOTA[[#This Row],[FAKTUR]]="",INDIRECT(ADDRESS(ROW()-1,COLUMN())),NOTA[[#This Row],[FAKTUR]]))</f>
        <v/>
      </c>
      <c r="AK690" s="56" t="str">
        <f ca="1">IF(NOTA[[#This Row],[ID]]="","",COUNTIF(NOTA[ID_H],NOTA[[#This Row],[ID_H]]))</f>
        <v/>
      </c>
      <c r="AL690" s="56" t="str">
        <f ca="1">IF(NOTA[[#This Row],[TGL.NOTA]]="",IF(NOTA[[#This Row],[SUPPLIER_H]]="","",AL689),MONTH(NOTA[[#This Row],[TGL.NOTA]]))</f>
        <v/>
      </c>
      <c r="AM690" s="56" t="str">
        <f>LOWER(SUBSTITUTE(SUBSTITUTE(SUBSTITUTE(SUBSTITUTE(SUBSTITUTE(SUBSTITUTE(SUBSTITUTE(SUBSTITUTE(SUBSTITUTE(NOTA[NAMA BARANG]," ",),".",""),"-",""),"(",""),")",""),",",""),"/",""),"""",""),"+",""))</f>
        <v/>
      </c>
      <c r="AN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56" t="str">
        <f>IF(NOTA[[#This Row],[CONCAT4]]="","",_xlfn.IFNA(MATCH(NOTA[[#This Row],[CONCAT4]],[2]!RAW[CONCAT_H],0),FALSE))</f>
        <v/>
      </c>
      <c r="AR690" s="56" t="str">
        <f>IF(NOTA[[#This Row],[CONCAT1]]="","",MATCH(NOTA[[#This Row],[CONCAT1]],[3]!db[NB NOTA_C],0))</f>
        <v/>
      </c>
      <c r="AS690" s="56" t="str">
        <f>IF(NOTA[[#This Row],[QTY/ CTN]]="","",TRUE)</f>
        <v/>
      </c>
      <c r="AT690" s="56" t="str">
        <f ca="1">IF(NOTA[[#This Row],[ID_H]]="","",IF(NOTA[[#This Row],[Column3]]=TRUE,NOTA[[#This Row],[QTY/ CTN]],INDEX([3]!db[QTY/ CTN],NOTA[[#This Row],[//DB]])))</f>
        <v/>
      </c>
      <c r="AU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0" s="56" t="str">
        <f ca="1">IF(NOTA[[#This Row],[ID_H]]="","",MATCH(NOTA[[#This Row],[NB NOTA_C_QTY]],[4]!db[NB NOTA_C_QTY+F],0))</f>
        <v/>
      </c>
      <c r="AW690" s="68" t="str">
        <f ca="1">IF(NOTA[[#This Row],[NB NOTA_C_QTY]]="","",ROW()-2)</f>
        <v/>
      </c>
    </row>
    <row r="691" spans="1:49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1" s="66" t="str">
        <f>IF(OR(NOTA[[#This Row],[QTY]]="",NOTA[[#This Row],[HARGA SATUAN]]="",),"",NOTA[[#This Row],[QTY]]*NOTA[[#This Row],[HARGA SATUAN]])</f>
        <v/>
      </c>
      <c r="AH691" s="60" t="str">
        <f ca="1">IF(NOTA[ID_H]="","",INDEX(NOTA[TANGGAL],MATCH(,INDIRECT(ADDRESS(ROW(NOTA[TANGGAL]),COLUMN(NOTA[TANGGAL]))&amp;":"&amp;ADDRESS(ROW(),COLUMN(NOTA[TANGGAL]))),-1)))</f>
        <v/>
      </c>
      <c r="AI691" s="55" t="str">
        <f ca="1">IF(NOTA[[#This Row],[NAMA BARANG]]="","",INDEX(NOTA[SUPPLIER],MATCH(,INDIRECT(ADDRESS(ROW(NOTA[ID]),COLUMN(NOTA[ID]))&amp;":"&amp;ADDRESS(ROW(),COLUMN(NOTA[ID]))),-1)))</f>
        <v/>
      </c>
      <c r="AJ691" s="55" t="str">
        <f ca="1">IF(NOTA[[#This Row],[ID_H]]="","",IF(NOTA[[#This Row],[FAKTUR]]="",INDIRECT(ADDRESS(ROW()-1,COLUMN())),NOTA[[#This Row],[FAKTUR]]))</f>
        <v/>
      </c>
      <c r="AK691" s="56" t="str">
        <f ca="1">IF(NOTA[[#This Row],[ID]]="","",COUNTIF(NOTA[ID_H],NOTA[[#This Row],[ID_H]]))</f>
        <v/>
      </c>
      <c r="AL691" s="56" t="str">
        <f ca="1">IF(NOTA[[#This Row],[TGL.NOTA]]="",IF(NOTA[[#This Row],[SUPPLIER_H]]="","",AL690),MONTH(NOTA[[#This Row],[TGL.NOTA]]))</f>
        <v/>
      </c>
      <c r="AM691" s="56" t="str">
        <f>LOWER(SUBSTITUTE(SUBSTITUTE(SUBSTITUTE(SUBSTITUTE(SUBSTITUTE(SUBSTITUTE(SUBSTITUTE(SUBSTITUTE(SUBSTITUTE(NOTA[NAMA BARANG]," ",),".",""),"-",""),"(",""),")",""),",",""),"/",""),"""",""),"+",""))</f>
        <v/>
      </c>
      <c r="AN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56" t="str">
        <f>IF(NOTA[[#This Row],[CONCAT4]]="","",_xlfn.IFNA(MATCH(NOTA[[#This Row],[CONCAT4]],[2]!RAW[CONCAT_H],0),FALSE))</f>
        <v/>
      </c>
      <c r="AR691" s="56" t="str">
        <f>IF(NOTA[[#This Row],[CONCAT1]]="","",MATCH(NOTA[[#This Row],[CONCAT1]],[3]!db[NB NOTA_C],0))</f>
        <v/>
      </c>
      <c r="AS691" s="56" t="str">
        <f>IF(NOTA[[#This Row],[QTY/ CTN]]="","",TRUE)</f>
        <v/>
      </c>
      <c r="AT691" s="56" t="str">
        <f ca="1">IF(NOTA[[#This Row],[ID_H]]="","",IF(NOTA[[#This Row],[Column3]]=TRUE,NOTA[[#This Row],[QTY/ CTN]],INDEX([3]!db[QTY/ CTN],NOTA[[#This Row],[//DB]])))</f>
        <v/>
      </c>
      <c r="AU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1" s="56" t="str">
        <f ca="1">IF(NOTA[[#This Row],[ID_H]]="","",MATCH(NOTA[[#This Row],[NB NOTA_C_QTY]],[4]!db[NB NOTA_C_QTY+F],0))</f>
        <v/>
      </c>
      <c r="AW691" s="68" t="str">
        <f ca="1">IF(NOTA[[#This Row],[NB NOTA_C_QTY]]="","",ROW()-2)</f>
        <v/>
      </c>
    </row>
    <row r="692" spans="1:49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2" s="66" t="str">
        <f>IF(OR(NOTA[[#This Row],[QTY]]="",NOTA[[#This Row],[HARGA SATUAN]]="",),"",NOTA[[#This Row],[QTY]]*NOTA[[#This Row],[HARGA SATUAN]])</f>
        <v/>
      </c>
      <c r="AH692" s="60" t="str">
        <f ca="1">IF(NOTA[ID_H]="","",INDEX(NOTA[TANGGAL],MATCH(,INDIRECT(ADDRESS(ROW(NOTA[TANGGAL]),COLUMN(NOTA[TANGGAL]))&amp;":"&amp;ADDRESS(ROW(),COLUMN(NOTA[TANGGAL]))),-1)))</f>
        <v/>
      </c>
      <c r="AI692" s="55" t="str">
        <f ca="1">IF(NOTA[[#This Row],[NAMA BARANG]]="","",INDEX(NOTA[SUPPLIER],MATCH(,INDIRECT(ADDRESS(ROW(NOTA[ID]),COLUMN(NOTA[ID]))&amp;":"&amp;ADDRESS(ROW(),COLUMN(NOTA[ID]))),-1)))</f>
        <v/>
      </c>
      <c r="AJ692" s="55" t="str">
        <f ca="1">IF(NOTA[[#This Row],[ID_H]]="","",IF(NOTA[[#This Row],[FAKTUR]]="",INDIRECT(ADDRESS(ROW()-1,COLUMN())),NOTA[[#This Row],[FAKTUR]]))</f>
        <v/>
      </c>
      <c r="AK692" s="56" t="str">
        <f ca="1">IF(NOTA[[#This Row],[ID]]="","",COUNTIF(NOTA[ID_H],NOTA[[#This Row],[ID_H]]))</f>
        <v/>
      </c>
      <c r="AL692" s="56" t="str">
        <f ca="1">IF(NOTA[[#This Row],[TGL.NOTA]]="",IF(NOTA[[#This Row],[SUPPLIER_H]]="","",AL691),MONTH(NOTA[[#This Row],[TGL.NOTA]]))</f>
        <v/>
      </c>
      <c r="AM692" s="56" t="str">
        <f>LOWER(SUBSTITUTE(SUBSTITUTE(SUBSTITUTE(SUBSTITUTE(SUBSTITUTE(SUBSTITUTE(SUBSTITUTE(SUBSTITUTE(SUBSTITUTE(NOTA[NAMA BARANG]," ",),".",""),"-",""),"(",""),")",""),",",""),"/",""),"""",""),"+",""))</f>
        <v/>
      </c>
      <c r="AN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56" t="str">
        <f>IF(NOTA[[#This Row],[CONCAT4]]="","",_xlfn.IFNA(MATCH(NOTA[[#This Row],[CONCAT4]],[2]!RAW[CONCAT_H],0),FALSE))</f>
        <v/>
      </c>
      <c r="AR692" s="56" t="str">
        <f>IF(NOTA[[#This Row],[CONCAT1]]="","",MATCH(NOTA[[#This Row],[CONCAT1]],[3]!db[NB NOTA_C],0))</f>
        <v/>
      </c>
      <c r="AS692" s="56" t="str">
        <f>IF(NOTA[[#This Row],[QTY/ CTN]]="","",TRUE)</f>
        <v/>
      </c>
      <c r="AT692" s="56" t="str">
        <f ca="1">IF(NOTA[[#This Row],[ID_H]]="","",IF(NOTA[[#This Row],[Column3]]=TRUE,NOTA[[#This Row],[QTY/ CTN]],INDEX([3]!db[QTY/ CTN],NOTA[[#This Row],[//DB]])))</f>
        <v/>
      </c>
      <c r="AU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2" s="56" t="str">
        <f ca="1">IF(NOTA[[#This Row],[ID_H]]="","",MATCH(NOTA[[#This Row],[NB NOTA_C_QTY]],[4]!db[NB NOTA_C_QTY+F],0))</f>
        <v/>
      </c>
      <c r="AW692" s="68" t="str">
        <f ca="1">IF(NOTA[[#This Row],[NB NOTA_C_QTY]]="","",ROW()-2)</f>
        <v/>
      </c>
    </row>
    <row r="693" spans="1:49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3" s="66" t="str">
        <f>IF(OR(NOTA[[#This Row],[QTY]]="",NOTA[[#This Row],[HARGA SATUAN]]="",),"",NOTA[[#This Row],[QTY]]*NOTA[[#This Row],[HARGA SATUAN]])</f>
        <v/>
      </c>
      <c r="AH693" s="60" t="str">
        <f ca="1">IF(NOTA[ID_H]="","",INDEX(NOTA[TANGGAL],MATCH(,INDIRECT(ADDRESS(ROW(NOTA[TANGGAL]),COLUMN(NOTA[TANGGAL]))&amp;":"&amp;ADDRESS(ROW(),COLUMN(NOTA[TANGGAL]))),-1)))</f>
        <v/>
      </c>
      <c r="AI693" s="55" t="str">
        <f ca="1">IF(NOTA[[#This Row],[NAMA BARANG]]="","",INDEX(NOTA[SUPPLIER],MATCH(,INDIRECT(ADDRESS(ROW(NOTA[ID]),COLUMN(NOTA[ID]))&amp;":"&amp;ADDRESS(ROW(),COLUMN(NOTA[ID]))),-1)))</f>
        <v/>
      </c>
      <c r="AJ693" s="55" t="str">
        <f ca="1">IF(NOTA[[#This Row],[ID_H]]="","",IF(NOTA[[#This Row],[FAKTUR]]="",INDIRECT(ADDRESS(ROW()-1,COLUMN())),NOTA[[#This Row],[FAKTUR]]))</f>
        <v/>
      </c>
      <c r="AK693" s="56" t="str">
        <f ca="1">IF(NOTA[[#This Row],[ID]]="","",COUNTIF(NOTA[ID_H],NOTA[[#This Row],[ID_H]]))</f>
        <v/>
      </c>
      <c r="AL693" s="56" t="str">
        <f ca="1">IF(NOTA[[#This Row],[TGL.NOTA]]="",IF(NOTA[[#This Row],[SUPPLIER_H]]="","",AL692),MONTH(NOTA[[#This Row],[TGL.NOTA]]))</f>
        <v/>
      </c>
      <c r="AM693" s="56" t="str">
        <f>LOWER(SUBSTITUTE(SUBSTITUTE(SUBSTITUTE(SUBSTITUTE(SUBSTITUTE(SUBSTITUTE(SUBSTITUTE(SUBSTITUTE(SUBSTITUTE(NOTA[NAMA BARANG]," ",),".",""),"-",""),"(",""),")",""),",",""),"/",""),"""",""),"+",""))</f>
        <v/>
      </c>
      <c r="AN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56" t="str">
        <f>IF(NOTA[[#This Row],[CONCAT4]]="","",_xlfn.IFNA(MATCH(NOTA[[#This Row],[CONCAT4]],[2]!RAW[CONCAT_H],0),FALSE))</f>
        <v/>
      </c>
      <c r="AR693" s="56" t="str">
        <f>IF(NOTA[[#This Row],[CONCAT1]]="","",MATCH(NOTA[[#This Row],[CONCAT1]],[3]!db[NB NOTA_C],0))</f>
        <v/>
      </c>
      <c r="AS693" s="56" t="str">
        <f>IF(NOTA[[#This Row],[QTY/ CTN]]="","",TRUE)</f>
        <v/>
      </c>
      <c r="AT693" s="56" t="str">
        <f ca="1">IF(NOTA[[#This Row],[ID_H]]="","",IF(NOTA[[#This Row],[Column3]]=TRUE,NOTA[[#This Row],[QTY/ CTN]],INDEX([3]!db[QTY/ CTN],NOTA[[#This Row],[//DB]])))</f>
        <v/>
      </c>
      <c r="AU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3" s="56" t="str">
        <f ca="1">IF(NOTA[[#This Row],[ID_H]]="","",MATCH(NOTA[[#This Row],[NB NOTA_C_QTY]],[4]!db[NB NOTA_C_QTY+F],0))</f>
        <v/>
      </c>
      <c r="AW693" s="68" t="str">
        <f ca="1">IF(NOTA[[#This Row],[NB NOTA_C_QTY]]="","",ROW()-2)</f>
        <v/>
      </c>
    </row>
    <row r="694" spans="1:49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4" s="66" t="str">
        <f>IF(OR(NOTA[[#This Row],[QTY]]="",NOTA[[#This Row],[HARGA SATUAN]]="",),"",NOTA[[#This Row],[QTY]]*NOTA[[#This Row],[HARGA SATUAN]])</f>
        <v/>
      </c>
      <c r="AH694" s="60" t="str">
        <f ca="1">IF(NOTA[ID_H]="","",INDEX(NOTA[TANGGAL],MATCH(,INDIRECT(ADDRESS(ROW(NOTA[TANGGAL]),COLUMN(NOTA[TANGGAL]))&amp;":"&amp;ADDRESS(ROW(),COLUMN(NOTA[TANGGAL]))),-1)))</f>
        <v/>
      </c>
      <c r="AI694" s="55" t="str">
        <f ca="1">IF(NOTA[[#This Row],[NAMA BARANG]]="","",INDEX(NOTA[SUPPLIER],MATCH(,INDIRECT(ADDRESS(ROW(NOTA[ID]),COLUMN(NOTA[ID]))&amp;":"&amp;ADDRESS(ROW(),COLUMN(NOTA[ID]))),-1)))</f>
        <v/>
      </c>
      <c r="AJ694" s="55" t="str">
        <f ca="1">IF(NOTA[[#This Row],[ID_H]]="","",IF(NOTA[[#This Row],[FAKTUR]]="",INDIRECT(ADDRESS(ROW()-1,COLUMN())),NOTA[[#This Row],[FAKTUR]]))</f>
        <v/>
      </c>
      <c r="AK694" s="56" t="str">
        <f ca="1">IF(NOTA[[#This Row],[ID]]="","",COUNTIF(NOTA[ID_H],NOTA[[#This Row],[ID_H]]))</f>
        <v/>
      </c>
      <c r="AL694" s="56" t="str">
        <f ca="1">IF(NOTA[[#This Row],[TGL.NOTA]]="",IF(NOTA[[#This Row],[SUPPLIER_H]]="","",AL693),MONTH(NOTA[[#This Row],[TGL.NOTA]]))</f>
        <v/>
      </c>
      <c r="AM694" s="56" t="str">
        <f>LOWER(SUBSTITUTE(SUBSTITUTE(SUBSTITUTE(SUBSTITUTE(SUBSTITUTE(SUBSTITUTE(SUBSTITUTE(SUBSTITUTE(SUBSTITUTE(NOTA[NAMA BARANG]," ",),".",""),"-",""),"(",""),")",""),",",""),"/",""),"""",""),"+",""))</f>
        <v/>
      </c>
      <c r="AN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56" t="str">
        <f>IF(NOTA[[#This Row],[CONCAT4]]="","",_xlfn.IFNA(MATCH(NOTA[[#This Row],[CONCAT4]],[2]!RAW[CONCAT_H],0),FALSE))</f>
        <v/>
      </c>
      <c r="AR694" s="56" t="str">
        <f>IF(NOTA[[#This Row],[CONCAT1]]="","",MATCH(NOTA[[#This Row],[CONCAT1]],[3]!db[NB NOTA_C],0))</f>
        <v/>
      </c>
      <c r="AS694" s="56" t="str">
        <f>IF(NOTA[[#This Row],[QTY/ CTN]]="","",TRUE)</f>
        <v/>
      </c>
      <c r="AT694" s="56" t="str">
        <f ca="1">IF(NOTA[[#This Row],[ID_H]]="","",IF(NOTA[[#This Row],[Column3]]=TRUE,NOTA[[#This Row],[QTY/ CTN]],INDEX([3]!db[QTY/ CTN],NOTA[[#This Row],[//DB]])))</f>
        <v/>
      </c>
      <c r="AU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4" s="56" t="str">
        <f ca="1">IF(NOTA[[#This Row],[ID_H]]="","",MATCH(NOTA[[#This Row],[NB NOTA_C_QTY]],[4]!db[NB NOTA_C_QTY+F],0))</f>
        <v/>
      </c>
      <c r="AW694" s="68" t="str">
        <f ca="1">IF(NOTA[[#This Row],[NB NOTA_C_QTY]]="","",ROW()-2)</f>
        <v/>
      </c>
    </row>
    <row r="695" spans="1:49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5" s="66" t="str">
        <f>IF(OR(NOTA[[#This Row],[QTY]]="",NOTA[[#This Row],[HARGA SATUAN]]="",),"",NOTA[[#This Row],[QTY]]*NOTA[[#This Row],[HARGA SATUAN]])</f>
        <v/>
      </c>
      <c r="AH695" s="60" t="str">
        <f ca="1">IF(NOTA[ID_H]="","",INDEX(NOTA[TANGGAL],MATCH(,INDIRECT(ADDRESS(ROW(NOTA[TANGGAL]),COLUMN(NOTA[TANGGAL]))&amp;":"&amp;ADDRESS(ROW(),COLUMN(NOTA[TANGGAL]))),-1)))</f>
        <v/>
      </c>
      <c r="AI695" s="55" t="str">
        <f ca="1">IF(NOTA[[#This Row],[NAMA BARANG]]="","",INDEX(NOTA[SUPPLIER],MATCH(,INDIRECT(ADDRESS(ROW(NOTA[ID]),COLUMN(NOTA[ID]))&amp;":"&amp;ADDRESS(ROW(),COLUMN(NOTA[ID]))),-1)))</f>
        <v/>
      </c>
      <c r="AJ695" s="55" t="str">
        <f ca="1">IF(NOTA[[#This Row],[ID_H]]="","",IF(NOTA[[#This Row],[FAKTUR]]="",INDIRECT(ADDRESS(ROW()-1,COLUMN())),NOTA[[#This Row],[FAKTUR]]))</f>
        <v/>
      </c>
      <c r="AK695" s="56" t="str">
        <f ca="1">IF(NOTA[[#This Row],[ID]]="","",COUNTIF(NOTA[ID_H],NOTA[[#This Row],[ID_H]]))</f>
        <v/>
      </c>
      <c r="AL695" s="56" t="str">
        <f ca="1">IF(NOTA[[#This Row],[TGL.NOTA]]="",IF(NOTA[[#This Row],[SUPPLIER_H]]="","",AL694),MONTH(NOTA[[#This Row],[TGL.NOTA]]))</f>
        <v/>
      </c>
      <c r="AM695" s="56" t="str">
        <f>LOWER(SUBSTITUTE(SUBSTITUTE(SUBSTITUTE(SUBSTITUTE(SUBSTITUTE(SUBSTITUTE(SUBSTITUTE(SUBSTITUTE(SUBSTITUTE(NOTA[NAMA BARANG]," ",),".",""),"-",""),"(",""),")",""),",",""),"/",""),"""",""),"+",""))</f>
        <v/>
      </c>
      <c r="AN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56" t="str">
        <f>IF(NOTA[[#This Row],[CONCAT4]]="","",_xlfn.IFNA(MATCH(NOTA[[#This Row],[CONCAT4]],[2]!RAW[CONCAT_H],0),FALSE))</f>
        <v/>
      </c>
      <c r="AR695" s="56" t="str">
        <f>IF(NOTA[[#This Row],[CONCAT1]]="","",MATCH(NOTA[[#This Row],[CONCAT1]],[3]!db[NB NOTA_C],0))</f>
        <v/>
      </c>
      <c r="AS695" s="56" t="str">
        <f>IF(NOTA[[#This Row],[QTY/ CTN]]="","",TRUE)</f>
        <v/>
      </c>
      <c r="AT695" s="56" t="str">
        <f ca="1">IF(NOTA[[#This Row],[ID_H]]="","",IF(NOTA[[#This Row],[Column3]]=TRUE,NOTA[[#This Row],[QTY/ CTN]],INDEX([3]!db[QTY/ CTN],NOTA[[#This Row],[//DB]])))</f>
        <v/>
      </c>
      <c r="AU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5" s="56" t="str">
        <f ca="1">IF(NOTA[[#This Row],[ID_H]]="","",MATCH(NOTA[[#This Row],[NB NOTA_C_QTY]],[4]!db[NB NOTA_C_QTY+F],0))</f>
        <v/>
      </c>
      <c r="AW695" s="68" t="str">
        <f ca="1">IF(NOTA[[#This Row],[NB NOTA_C_QTY]]="","",ROW()-2)</f>
        <v/>
      </c>
    </row>
    <row r="696" spans="1:49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6" s="66" t="str">
        <f>IF(OR(NOTA[[#This Row],[QTY]]="",NOTA[[#This Row],[HARGA SATUAN]]="",),"",NOTA[[#This Row],[QTY]]*NOTA[[#This Row],[HARGA SATUAN]])</f>
        <v/>
      </c>
      <c r="AH696" s="60" t="str">
        <f ca="1">IF(NOTA[ID_H]="","",INDEX(NOTA[TANGGAL],MATCH(,INDIRECT(ADDRESS(ROW(NOTA[TANGGAL]),COLUMN(NOTA[TANGGAL]))&amp;":"&amp;ADDRESS(ROW(),COLUMN(NOTA[TANGGAL]))),-1)))</f>
        <v/>
      </c>
      <c r="AI696" s="55" t="str">
        <f ca="1">IF(NOTA[[#This Row],[NAMA BARANG]]="","",INDEX(NOTA[SUPPLIER],MATCH(,INDIRECT(ADDRESS(ROW(NOTA[ID]),COLUMN(NOTA[ID]))&amp;":"&amp;ADDRESS(ROW(),COLUMN(NOTA[ID]))),-1)))</f>
        <v/>
      </c>
      <c r="AJ696" s="55" t="str">
        <f ca="1">IF(NOTA[[#This Row],[ID_H]]="","",IF(NOTA[[#This Row],[FAKTUR]]="",INDIRECT(ADDRESS(ROW()-1,COLUMN())),NOTA[[#This Row],[FAKTUR]]))</f>
        <v/>
      </c>
      <c r="AK696" s="56" t="str">
        <f ca="1">IF(NOTA[[#This Row],[ID]]="","",COUNTIF(NOTA[ID_H],NOTA[[#This Row],[ID_H]]))</f>
        <v/>
      </c>
      <c r="AL696" s="56" t="str">
        <f ca="1">IF(NOTA[[#This Row],[TGL.NOTA]]="",IF(NOTA[[#This Row],[SUPPLIER_H]]="","",AL695),MONTH(NOTA[[#This Row],[TGL.NOTA]]))</f>
        <v/>
      </c>
      <c r="AM696" s="56" t="str">
        <f>LOWER(SUBSTITUTE(SUBSTITUTE(SUBSTITUTE(SUBSTITUTE(SUBSTITUTE(SUBSTITUTE(SUBSTITUTE(SUBSTITUTE(SUBSTITUTE(NOTA[NAMA BARANG]," ",),".",""),"-",""),"(",""),")",""),",",""),"/",""),"""",""),"+",""))</f>
        <v/>
      </c>
      <c r="AN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56" t="str">
        <f>IF(NOTA[[#This Row],[CONCAT4]]="","",_xlfn.IFNA(MATCH(NOTA[[#This Row],[CONCAT4]],[2]!RAW[CONCAT_H],0),FALSE))</f>
        <v/>
      </c>
      <c r="AR696" s="56" t="str">
        <f>IF(NOTA[[#This Row],[CONCAT1]]="","",MATCH(NOTA[[#This Row],[CONCAT1]],[3]!db[NB NOTA_C],0))</f>
        <v/>
      </c>
      <c r="AS696" s="56" t="str">
        <f>IF(NOTA[[#This Row],[QTY/ CTN]]="","",TRUE)</f>
        <v/>
      </c>
      <c r="AT696" s="56" t="str">
        <f ca="1">IF(NOTA[[#This Row],[ID_H]]="","",IF(NOTA[[#This Row],[Column3]]=TRUE,NOTA[[#This Row],[QTY/ CTN]],INDEX([3]!db[QTY/ CTN],NOTA[[#This Row],[//DB]])))</f>
        <v/>
      </c>
      <c r="AU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6" s="56" t="str">
        <f ca="1">IF(NOTA[[#This Row],[ID_H]]="","",MATCH(NOTA[[#This Row],[NB NOTA_C_QTY]],[4]!db[NB NOTA_C_QTY+F],0))</f>
        <v/>
      </c>
      <c r="AW696" s="68" t="str">
        <f ca="1">IF(NOTA[[#This Row],[NB NOTA_C_QTY]]="","",ROW()-2)</f>
        <v/>
      </c>
    </row>
    <row r="697" spans="1:49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7" s="66" t="str">
        <f>IF(OR(NOTA[[#This Row],[QTY]]="",NOTA[[#This Row],[HARGA SATUAN]]="",),"",NOTA[[#This Row],[QTY]]*NOTA[[#This Row],[HARGA SATUAN]])</f>
        <v/>
      </c>
      <c r="AH697" s="60" t="str">
        <f ca="1">IF(NOTA[ID_H]="","",INDEX(NOTA[TANGGAL],MATCH(,INDIRECT(ADDRESS(ROW(NOTA[TANGGAL]),COLUMN(NOTA[TANGGAL]))&amp;":"&amp;ADDRESS(ROW(),COLUMN(NOTA[TANGGAL]))),-1)))</f>
        <v/>
      </c>
      <c r="AI697" s="55" t="str">
        <f ca="1">IF(NOTA[[#This Row],[NAMA BARANG]]="","",INDEX(NOTA[SUPPLIER],MATCH(,INDIRECT(ADDRESS(ROW(NOTA[ID]),COLUMN(NOTA[ID]))&amp;":"&amp;ADDRESS(ROW(),COLUMN(NOTA[ID]))),-1)))</f>
        <v/>
      </c>
      <c r="AJ697" s="55" t="str">
        <f ca="1">IF(NOTA[[#This Row],[ID_H]]="","",IF(NOTA[[#This Row],[FAKTUR]]="",INDIRECT(ADDRESS(ROW()-1,COLUMN())),NOTA[[#This Row],[FAKTUR]]))</f>
        <v/>
      </c>
      <c r="AK697" s="56" t="str">
        <f ca="1">IF(NOTA[[#This Row],[ID]]="","",COUNTIF(NOTA[ID_H],NOTA[[#This Row],[ID_H]]))</f>
        <v/>
      </c>
      <c r="AL697" s="56" t="str">
        <f ca="1">IF(NOTA[[#This Row],[TGL.NOTA]]="",IF(NOTA[[#This Row],[SUPPLIER_H]]="","",AL696),MONTH(NOTA[[#This Row],[TGL.NOTA]]))</f>
        <v/>
      </c>
      <c r="AM697" s="56" t="str">
        <f>LOWER(SUBSTITUTE(SUBSTITUTE(SUBSTITUTE(SUBSTITUTE(SUBSTITUTE(SUBSTITUTE(SUBSTITUTE(SUBSTITUTE(SUBSTITUTE(NOTA[NAMA BARANG]," ",),".",""),"-",""),"(",""),")",""),",",""),"/",""),"""",""),"+",""))</f>
        <v/>
      </c>
      <c r="AN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56" t="str">
        <f>IF(NOTA[[#This Row],[CONCAT4]]="","",_xlfn.IFNA(MATCH(NOTA[[#This Row],[CONCAT4]],[2]!RAW[CONCAT_H],0),FALSE))</f>
        <v/>
      </c>
      <c r="AR697" s="56" t="str">
        <f>IF(NOTA[[#This Row],[CONCAT1]]="","",MATCH(NOTA[[#This Row],[CONCAT1]],[3]!db[NB NOTA_C],0))</f>
        <v/>
      </c>
      <c r="AS697" s="56" t="str">
        <f>IF(NOTA[[#This Row],[QTY/ CTN]]="","",TRUE)</f>
        <v/>
      </c>
      <c r="AT697" s="56" t="str">
        <f ca="1">IF(NOTA[[#This Row],[ID_H]]="","",IF(NOTA[[#This Row],[Column3]]=TRUE,NOTA[[#This Row],[QTY/ CTN]],INDEX([3]!db[QTY/ CTN],NOTA[[#This Row],[//DB]])))</f>
        <v/>
      </c>
      <c r="AU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7" s="56" t="str">
        <f ca="1">IF(NOTA[[#This Row],[ID_H]]="","",MATCH(NOTA[[#This Row],[NB NOTA_C_QTY]],[4]!db[NB NOTA_C_QTY+F],0))</f>
        <v/>
      </c>
      <c r="AW697" s="68" t="str">
        <f ca="1">IF(NOTA[[#This Row],[NB NOTA_C_QTY]]="","",ROW()-2)</f>
        <v/>
      </c>
    </row>
    <row r="698" spans="1:49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8" s="66" t="str">
        <f>IF(OR(NOTA[[#This Row],[QTY]]="",NOTA[[#This Row],[HARGA SATUAN]]="",),"",NOTA[[#This Row],[QTY]]*NOTA[[#This Row],[HARGA SATUAN]])</f>
        <v/>
      </c>
      <c r="AH698" s="60" t="str">
        <f ca="1">IF(NOTA[ID_H]="","",INDEX(NOTA[TANGGAL],MATCH(,INDIRECT(ADDRESS(ROW(NOTA[TANGGAL]),COLUMN(NOTA[TANGGAL]))&amp;":"&amp;ADDRESS(ROW(),COLUMN(NOTA[TANGGAL]))),-1)))</f>
        <v/>
      </c>
      <c r="AI698" s="55" t="str">
        <f ca="1">IF(NOTA[[#This Row],[NAMA BARANG]]="","",INDEX(NOTA[SUPPLIER],MATCH(,INDIRECT(ADDRESS(ROW(NOTA[ID]),COLUMN(NOTA[ID]))&amp;":"&amp;ADDRESS(ROW(),COLUMN(NOTA[ID]))),-1)))</f>
        <v/>
      </c>
      <c r="AJ698" s="55" t="str">
        <f ca="1">IF(NOTA[[#This Row],[ID_H]]="","",IF(NOTA[[#This Row],[FAKTUR]]="",INDIRECT(ADDRESS(ROW()-1,COLUMN())),NOTA[[#This Row],[FAKTUR]]))</f>
        <v/>
      </c>
      <c r="AK698" s="56" t="str">
        <f ca="1">IF(NOTA[[#This Row],[ID]]="","",COUNTIF(NOTA[ID_H],NOTA[[#This Row],[ID_H]]))</f>
        <v/>
      </c>
      <c r="AL698" s="56" t="str">
        <f ca="1">IF(NOTA[[#This Row],[TGL.NOTA]]="",IF(NOTA[[#This Row],[SUPPLIER_H]]="","",AL697),MONTH(NOTA[[#This Row],[TGL.NOTA]]))</f>
        <v/>
      </c>
      <c r="AM698" s="56" t="str">
        <f>LOWER(SUBSTITUTE(SUBSTITUTE(SUBSTITUTE(SUBSTITUTE(SUBSTITUTE(SUBSTITUTE(SUBSTITUTE(SUBSTITUTE(SUBSTITUTE(NOTA[NAMA BARANG]," ",),".",""),"-",""),"(",""),")",""),",",""),"/",""),"""",""),"+",""))</f>
        <v/>
      </c>
      <c r="AN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8" s="56" t="str">
        <f>IF(NOTA[[#This Row],[CONCAT4]]="","",_xlfn.IFNA(MATCH(NOTA[[#This Row],[CONCAT4]],[2]!RAW[CONCAT_H],0),FALSE))</f>
        <v/>
      </c>
      <c r="AR698" s="56" t="str">
        <f>IF(NOTA[[#This Row],[CONCAT1]]="","",MATCH(NOTA[[#This Row],[CONCAT1]],[3]!db[NB NOTA_C],0))</f>
        <v/>
      </c>
      <c r="AS698" s="56" t="str">
        <f>IF(NOTA[[#This Row],[QTY/ CTN]]="","",TRUE)</f>
        <v/>
      </c>
      <c r="AT698" s="56" t="str">
        <f ca="1">IF(NOTA[[#This Row],[ID_H]]="","",IF(NOTA[[#This Row],[Column3]]=TRUE,NOTA[[#This Row],[QTY/ CTN]],INDEX([3]!db[QTY/ CTN],NOTA[[#This Row],[//DB]])))</f>
        <v/>
      </c>
      <c r="AU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8" s="56" t="str">
        <f ca="1">IF(NOTA[[#This Row],[ID_H]]="","",MATCH(NOTA[[#This Row],[NB NOTA_C_QTY]],[4]!db[NB NOTA_C_QTY+F],0))</f>
        <v/>
      </c>
      <c r="AW698" s="68" t="str">
        <f ca="1">IF(NOTA[[#This Row],[NB NOTA_C_QTY]]="","",ROW()-2)</f>
        <v/>
      </c>
    </row>
    <row r="699" spans="1:49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699" s="66" t="str">
        <f>IF(OR(NOTA[[#This Row],[QTY]]="",NOTA[[#This Row],[HARGA SATUAN]]="",),"",NOTA[[#This Row],[QTY]]*NOTA[[#This Row],[HARGA SATUAN]])</f>
        <v/>
      </c>
      <c r="AH699" s="60" t="str">
        <f ca="1">IF(NOTA[ID_H]="","",INDEX(NOTA[TANGGAL],MATCH(,INDIRECT(ADDRESS(ROW(NOTA[TANGGAL]),COLUMN(NOTA[TANGGAL]))&amp;":"&amp;ADDRESS(ROW(),COLUMN(NOTA[TANGGAL]))),-1)))</f>
        <v/>
      </c>
      <c r="AI699" s="55" t="str">
        <f ca="1">IF(NOTA[[#This Row],[NAMA BARANG]]="","",INDEX(NOTA[SUPPLIER],MATCH(,INDIRECT(ADDRESS(ROW(NOTA[ID]),COLUMN(NOTA[ID]))&amp;":"&amp;ADDRESS(ROW(),COLUMN(NOTA[ID]))),-1)))</f>
        <v/>
      </c>
      <c r="AJ699" s="55" t="str">
        <f ca="1">IF(NOTA[[#This Row],[ID_H]]="","",IF(NOTA[[#This Row],[FAKTUR]]="",INDIRECT(ADDRESS(ROW()-1,COLUMN())),NOTA[[#This Row],[FAKTUR]]))</f>
        <v/>
      </c>
      <c r="AK699" s="56" t="str">
        <f ca="1">IF(NOTA[[#This Row],[ID]]="","",COUNTIF(NOTA[ID_H],NOTA[[#This Row],[ID_H]]))</f>
        <v/>
      </c>
      <c r="AL699" s="56" t="str">
        <f ca="1">IF(NOTA[[#This Row],[TGL.NOTA]]="",IF(NOTA[[#This Row],[SUPPLIER_H]]="","",AL698),MONTH(NOTA[[#This Row],[TGL.NOTA]]))</f>
        <v/>
      </c>
      <c r="AM699" s="56" t="str">
        <f>LOWER(SUBSTITUTE(SUBSTITUTE(SUBSTITUTE(SUBSTITUTE(SUBSTITUTE(SUBSTITUTE(SUBSTITUTE(SUBSTITUTE(SUBSTITUTE(NOTA[NAMA BARANG]," ",),".",""),"-",""),"(",""),")",""),",",""),"/",""),"""",""),"+",""))</f>
        <v/>
      </c>
      <c r="AN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56" t="str">
        <f>IF(NOTA[[#This Row],[CONCAT4]]="","",_xlfn.IFNA(MATCH(NOTA[[#This Row],[CONCAT4]],[2]!RAW[CONCAT_H],0),FALSE))</f>
        <v/>
      </c>
      <c r="AR699" s="56" t="str">
        <f>IF(NOTA[[#This Row],[CONCAT1]]="","",MATCH(NOTA[[#This Row],[CONCAT1]],[3]!db[NB NOTA_C],0))</f>
        <v/>
      </c>
      <c r="AS699" s="56" t="str">
        <f>IF(NOTA[[#This Row],[QTY/ CTN]]="","",TRUE)</f>
        <v/>
      </c>
      <c r="AT699" s="56" t="str">
        <f ca="1">IF(NOTA[[#This Row],[ID_H]]="","",IF(NOTA[[#This Row],[Column3]]=TRUE,NOTA[[#This Row],[QTY/ CTN]],INDEX([3]!db[QTY/ CTN],NOTA[[#This Row],[//DB]])))</f>
        <v/>
      </c>
      <c r="AU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9" s="56" t="str">
        <f ca="1">IF(NOTA[[#This Row],[ID_H]]="","",MATCH(NOTA[[#This Row],[NB NOTA_C_QTY]],[4]!db[NB NOTA_C_QTY+F],0))</f>
        <v/>
      </c>
      <c r="AW699" s="68" t="str">
        <f ca="1">IF(NOTA[[#This Row],[NB NOTA_C_QTY]]="","",ROW()-2)</f>
        <v/>
      </c>
    </row>
    <row r="700" spans="1:49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0" s="66" t="str">
        <f>IF(OR(NOTA[[#This Row],[QTY]]="",NOTA[[#This Row],[HARGA SATUAN]]="",),"",NOTA[[#This Row],[QTY]]*NOTA[[#This Row],[HARGA SATUAN]])</f>
        <v/>
      </c>
      <c r="AH700" s="60" t="str">
        <f ca="1">IF(NOTA[ID_H]="","",INDEX(NOTA[TANGGAL],MATCH(,INDIRECT(ADDRESS(ROW(NOTA[TANGGAL]),COLUMN(NOTA[TANGGAL]))&amp;":"&amp;ADDRESS(ROW(),COLUMN(NOTA[TANGGAL]))),-1)))</f>
        <v/>
      </c>
      <c r="AI700" s="55" t="str">
        <f ca="1">IF(NOTA[[#This Row],[NAMA BARANG]]="","",INDEX(NOTA[SUPPLIER],MATCH(,INDIRECT(ADDRESS(ROW(NOTA[ID]),COLUMN(NOTA[ID]))&amp;":"&amp;ADDRESS(ROW(),COLUMN(NOTA[ID]))),-1)))</f>
        <v/>
      </c>
      <c r="AJ700" s="55" t="str">
        <f ca="1">IF(NOTA[[#This Row],[ID_H]]="","",IF(NOTA[[#This Row],[FAKTUR]]="",INDIRECT(ADDRESS(ROW()-1,COLUMN())),NOTA[[#This Row],[FAKTUR]]))</f>
        <v/>
      </c>
      <c r="AK700" s="56" t="str">
        <f ca="1">IF(NOTA[[#This Row],[ID]]="","",COUNTIF(NOTA[ID_H],NOTA[[#This Row],[ID_H]]))</f>
        <v/>
      </c>
      <c r="AL700" s="56" t="str">
        <f ca="1">IF(NOTA[[#This Row],[TGL.NOTA]]="",IF(NOTA[[#This Row],[SUPPLIER_H]]="","",AL699),MONTH(NOTA[[#This Row],[TGL.NOTA]]))</f>
        <v/>
      </c>
      <c r="AM700" s="56" t="str">
        <f>LOWER(SUBSTITUTE(SUBSTITUTE(SUBSTITUTE(SUBSTITUTE(SUBSTITUTE(SUBSTITUTE(SUBSTITUTE(SUBSTITUTE(SUBSTITUTE(NOTA[NAMA BARANG]," ",),".",""),"-",""),"(",""),")",""),",",""),"/",""),"""",""),"+",""))</f>
        <v/>
      </c>
      <c r="AN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56" t="str">
        <f>IF(NOTA[[#This Row],[CONCAT4]]="","",_xlfn.IFNA(MATCH(NOTA[[#This Row],[CONCAT4]],[2]!RAW[CONCAT_H],0),FALSE))</f>
        <v/>
      </c>
      <c r="AR700" s="56" t="str">
        <f>IF(NOTA[[#This Row],[CONCAT1]]="","",MATCH(NOTA[[#This Row],[CONCAT1]],[3]!db[NB NOTA_C],0))</f>
        <v/>
      </c>
      <c r="AS700" s="56" t="str">
        <f>IF(NOTA[[#This Row],[QTY/ CTN]]="","",TRUE)</f>
        <v/>
      </c>
      <c r="AT700" s="56" t="str">
        <f ca="1">IF(NOTA[[#This Row],[ID_H]]="","",IF(NOTA[[#This Row],[Column3]]=TRUE,NOTA[[#This Row],[QTY/ CTN]],INDEX([3]!db[QTY/ CTN],NOTA[[#This Row],[//DB]])))</f>
        <v/>
      </c>
      <c r="AU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0" s="56" t="str">
        <f ca="1">IF(NOTA[[#This Row],[ID_H]]="","",MATCH(NOTA[[#This Row],[NB NOTA_C_QTY]],[4]!db[NB NOTA_C_QTY+F],0))</f>
        <v/>
      </c>
      <c r="AW700" s="68" t="str">
        <f ca="1">IF(NOTA[[#This Row],[NB NOTA_C_QTY]]="","",ROW()-2)</f>
        <v/>
      </c>
    </row>
    <row r="701" spans="1:49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1" s="66" t="str">
        <f>IF(OR(NOTA[[#This Row],[QTY]]="",NOTA[[#This Row],[HARGA SATUAN]]="",),"",NOTA[[#This Row],[QTY]]*NOTA[[#This Row],[HARGA SATUAN]])</f>
        <v/>
      </c>
      <c r="AH701" s="60" t="str">
        <f ca="1">IF(NOTA[ID_H]="","",INDEX(NOTA[TANGGAL],MATCH(,INDIRECT(ADDRESS(ROW(NOTA[TANGGAL]),COLUMN(NOTA[TANGGAL]))&amp;":"&amp;ADDRESS(ROW(),COLUMN(NOTA[TANGGAL]))),-1)))</f>
        <v/>
      </c>
      <c r="AI701" s="55" t="str">
        <f ca="1">IF(NOTA[[#This Row],[NAMA BARANG]]="","",INDEX(NOTA[SUPPLIER],MATCH(,INDIRECT(ADDRESS(ROW(NOTA[ID]),COLUMN(NOTA[ID]))&amp;":"&amp;ADDRESS(ROW(),COLUMN(NOTA[ID]))),-1)))</f>
        <v/>
      </c>
      <c r="AJ701" s="55" t="str">
        <f ca="1">IF(NOTA[[#This Row],[ID_H]]="","",IF(NOTA[[#This Row],[FAKTUR]]="",INDIRECT(ADDRESS(ROW()-1,COLUMN())),NOTA[[#This Row],[FAKTUR]]))</f>
        <v/>
      </c>
      <c r="AK701" s="56" t="str">
        <f ca="1">IF(NOTA[[#This Row],[ID]]="","",COUNTIF(NOTA[ID_H],NOTA[[#This Row],[ID_H]]))</f>
        <v/>
      </c>
      <c r="AL701" s="56" t="str">
        <f ca="1">IF(NOTA[[#This Row],[TGL.NOTA]]="",IF(NOTA[[#This Row],[SUPPLIER_H]]="","",AL700),MONTH(NOTA[[#This Row],[TGL.NOTA]]))</f>
        <v/>
      </c>
      <c r="AM701" s="56" t="str">
        <f>LOWER(SUBSTITUTE(SUBSTITUTE(SUBSTITUTE(SUBSTITUTE(SUBSTITUTE(SUBSTITUTE(SUBSTITUTE(SUBSTITUTE(SUBSTITUTE(NOTA[NAMA BARANG]," ",),".",""),"-",""),"(",""),")",""),",",""),"/",""),"""",""),"+",""))</f>
        <v/>
      </c>
      <c r="AN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56" t="str">
        <f>IF(NOTA[[#This Row],[CONCAT4]]="","",_xlfn.IFNA(MATCH(NOTA[[#This Row],[CONCAT4]],[2]!RAW[CONCAT_H],0),FALSE))</f>
        <v/>
      </c>
      <c r="AR701" s="56" t="str">
        <f>IF(NOTA[[#This Row],[CONCAT1]]="","",MATCH(NOTA[[#This Row],[CONCAT1]],[3]!db[NB NOTA_C],0))</f>
        <v/>
      </c>
      <c r="AS701" s="56" t="str">
        <f>IF(NOTA[[#This Row],[QTY/ CTN]]="","",TRUE)</f>
        <v/>
      </c>
      <c r="AT701" s="56" t="str">
        <f ca="1">IF(NOTA[[#This Row],[ID_H]]="","",IF(NOTA[[#This Row],[Column3]]=TRUE,NOTA[[#This Row],[QTY/ CTN]],INDEX([3]!db[QTY/ CTN],NOTA[[#This Row],[//DB]])))</f>
        <v/>
      </c>
      <c r="AU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1" s="56" t="str">
        <f ca="1">IF(NOTA[[#This Row],[ID_H]]="","",MATCH(NOTA[[#This Row],[NB NOTA_C_QTY]],[4]!db[NB NOTA_C_QTY+F],0))</f>
        <v/>
      </c>
      <c r="AW701" s="68" t="str">
        <f ca="1">IF(NOTA[[#This Row],[NB NOTA_C_QTY]]="","",ROW()-2)</f>
        <v/>
      </c>
    </row>
    <row r="702" spans="1:49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2" s="66" t="str">
        <f>IF(OR(NOTA[[#This Row],[QTY]]="",NOTA[[#This Row],[HARGA SATUAN]]="",),"",NOTA[[#This Row],[QTY]]*NOTA[[#This Row],[HARGA SATUAN]])</f>
        <v/>
      </c>
      <c r="AH702" s="60" t="str">
        <f ca="1">IF(NOTA[ID_H]="","",INDEX(NOTA[TANGGAL],MATCH(,INDIRECT(ADDRESS(ROW(NOTA[TANGGAL]),COLUMN(NOTA[TANGGAL]))&amp;":"&amp;ADDRESS(ROW(),COLUMN(NOTA[TANGGAL]))),-1)))</f>
        <v/>
      </c>
      <c r="AI702" s="55" t="str">
        <f ca="1">IF(NOTA[[#This Row],[NAMA BARANG]]="","",INDEX(NOTA[SUPPLIER],MATCH(,INDIRECT(ADDRESS(ROW(NOTA[ID]),COLUMN(NOTA[ID]))&amp;":"&amp;ADDRESS(ROW(),COLUMN(NOTA[ID]))),-1)))</f>
        <v/>
      </c>
      <c r="AJ702" s="55" t="str">
        <f ca="1">IF(NOTA[[#This Row],[ID_H]]="","",IF(NOTA[[#This Row],[FAKTUR]]="",INDIRECT(ADDRESS(ROW()-1,COLUMN())),NOTA[[#This Row],[FAKTUR]]))</f>
        <v/>
      </c>
      <c r="AK702" s="56" t="str">
        <f ca="1">IF(NOTA[[#This Row],[ID]]="","",COUNTIF(NOTA[ID_H],NOTA[[#This Row],[ID_H]]))</f>
        <v/>
      </c>
      <c r="AL702" s="56" t="str">
        <f ca="1">IF(NOTA[[#This Row],[TGL.NOTA]]="",IF(NOTA[[#This Row],[SUPPLIER_H]]="","",AL701),MONTH(NOTA[[#This Row],[TGL.NOTA]]))</f>
        <v/>
      </c>
      <c r="AM702" s="56" t="str">
        <f>LOWER(SUBSTITUTE(SUBSTITUTE(SUBSTITUTE(SUBSTITUTE(SUBSTITUTE(SUBSTITUTE(SUBSTITUTE(SUBSTITUTE(SUBSTITUTE(NOTA[NAMA BARANG]," ",),".",""),"-",""),"(",""),")",""),",",""),"/",""),"""",""),"+",""))</f>
        <v/>
      </c>
      <c r="AN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56" t="str">
        <f>IF(NOTA[[#This Row],[CONCAT4]]="","",_xlfn.IFNA(MATCH(NOTA[[#This Row],[CONCAT4]],[2]!RAW[CONCAT_H],0),FALSE))</f>
        <v/>
      </c>
      <c r="AR702" s="56" t="str">
        <f>IF(NOTA[[#This Row],[CONCAT1]]="","",MATCH(NOTA[[#This Row],[CONCAT1]],[3]!db[NB NOTA_C],0))</f>
        <v/>
      </c>
      <c r="AS702" s="56" t="str">
        <f>IF(NOTA[[#This Row],[QTY/ CTN]]="","",TRUE)</f>
        <v/>
      </c>
      <c r="AT702" s="56" t="str">
        <f ca="1">IF(NOTA[[#This Row],[ID_H]]="","",IF(NOTA[[#This Row],[Column3]]=TRUE,NOTA[[#This Row],[QTY/ CTN]],INDEX([3]!db[QTY/ CTN],NOTA[[#This Row],[//DB]])))</f>
        <v/>
      </c>
      <c r="AU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2" s="56" t="str">
        <f ca="1">IF(NOTA[[#This Row],[ID_H]]="","",MATCH(NOTA[[#This Row],[NB NOTA_C_QTY]],[4]!db[NB NOTA_C_QTY+F],0))</f>
        <v/>
      </c>
      <c r="AW702" s="68" t="str">
        <f ca="1">IF(NOTA[[#This Row],[NB NOTA_C_QTY]]="","",ROW()-2)</f>
        <v/>
      </c>
    </row>
    <row r="703" spans="1:49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3" s="66" t="str">
        <f>IF(OR(NOTA[[#This Row],[QTY]]="",NOTA[[#This Row],[HARGA SATUAN]]="",),"",NOTA[[#This Row],[QTY]]*NOTA[[#This Row],[HARGA SATUAN]])</f>
        <v/>
      </c>
      <c r="AH703" s="60" t="str">
        <f ca="1">IF(NOTA[ID_H]="","",INDEX(NOTA[TANGGAL],MATCH(,INDIRECT(ADDRESS(ROW(NOTA[TANGGAL]),COLUMN(NOTA[TANGGAL]))&amp;":"&amp;ADDRESS(ROW(),COLUMN(NOTA[TANGGAL]))),-1)))</f>
        <v/>
      </c>
      <c r="AI703" s="55" t="str">
        <f ca="1">IF(NOTA[[#This Row],[NAMA BARANG]]="","",INDEX(NOTA[SUPPLIER],MATCH(,INDIRECT(ADDRESS(ROW(NOTA[ID]),COLUMN(NOTA[ID]))&amp;":"&amp;ADDRESS(ROW(),COLUMN(NOTA[ID]))),-1)))</f>
        <v/>
      </c>
      <c r="AJ703" s="55" t="str">
        <f ca="1">IF(NOTA[[#This Row],[ID_H]]="","",IF(NOTA[[#This Row],[FAKTUR]]="",INDIRECT(ADDRESS(ROW()-1,COLUMN())),NOTA[[#This Row],[FAKTUR]]))</f>
        <v/>
      </c>
      <c r="AK703" s="56" t="str">
        <f ca="1">IF(NOTA[[#This Row],[ID]]="","",COUNTIF(NOTA[ID_H],NOTA[[#This Row],[ID_H]]))</f>
        <v/>
      </c>
      <c r="AL703" s="56" t="str">
        <f ca="1">IF(NOTA[[#This Row],[TGL.NOTA]]="",IF(NOTA[[#This Row],[SUPPLIER_H]]="","",AL702),MONTH(NOTA[[#This Row],[TGL.NOTA]]))</f>
        <v/>
      </c>
      <c r="AM703" s="56" t="str">
        <f>LOWER(SUBSTITUTE(SUBSTITUTE(SUBSTITUTE(SUBSTITUTE(SUBSTITUTE(SUBSTITUTE(SUBSTITUTE(SUBSTITUTE(SUBSTITUTE(NOTA[NAMA BARANG]," ",),".",""),"-",""),"(",""),")",""),",",""),"/",""),"""",""),"+",""))</f>
        <v/>
      </c>
      <c r="AN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3" s="56" t="str">
        <f>IF(NOTA[[#This Row],[CONCAT4]]="","",_xlfn.IFNA(MATCH(NOTA[[#This Row],[CONCAT4]],[2]!RAW[CONCAT_H],0),FALSE))</f>
        <v/>
      </c>
      <c r="AR703" s="56" t="str">
        <f>IF(NOTA[[#This Row],[CONCAT1]]="","",MATCH(NOTA[[#This Row],[CONCAT1]],[3]!db[NB NOTA_C],0))</f>
        <v/>
      </c>
      <c r="AS703" s="56" t="str">
        <f>IF(NOTA[[#This Row],[QTY/ CTN]]="","",TRUE)</f>
        <v/>
      </c>
      <c r="AT703" s="56" t="str">
        <f ca="1">IF(NOTA[[#This Row],[ID_H]]="","",IF(NOTA[[#This Row],[Column3]]=TRUE,NOTA[[#This Row],[QTY/ CTN]],INDEX([3]!db[QTY/ CTN],NOTA[[#This Row],[//DB]])))</f>
        <v/>
      </c>
      <c r="AU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3" s="56" t="str">
        <f ca="1">IF(NOTA[[#This Row],[ID_H]]="","",MATCH(NOTA[[#This Row],[NB NOTA_C_QTY]],[4]!db[NB NOTA_C_QTY+F],0))</f>
        <v/>
      </c>
      <c r="AW703" s="68" t="str">
        <f ca="1">IF(NOTA[[#This Row],[NB NOTA_C_QTY]]="","",ROW()-2)</f>
        <v/>
      </c>
    </row>
    <row r="704" spans="1:49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4" s="66" t="str">
        <f>IF(OR(NOTA[[#This Row],[QTY]]="",NOTA[[#This Row],[HARGA SATUAN]]="",),"",NOTA[[#This Row],[QTY]]*NOTA[[#This Row],[HARGA SATUAN]])</f>
        <v/>
      </c>
      <c r="AH704" s="60" t="str">
        <f ca="1">IF(NOTA[ID_H]="","",INDEX(NOTA[TANGGAL],MATCH(,INDIRECT(ADDRESS(ROW(NOTA[TANGGAL]),COLUMN(NOTA[TANGGAL]))&amp;":"&amp;ADDRESS(ROW(),COLUMN(NOTA[TANGGAL]))),-1)))</f>
        <v/>
      </c>
      <c r="AI704" s="55" t="str">
        <f ca="1">IF(NOTA[[#This Row],[NAMA BARANG]]="","",INDEX(NOTA[SUPPLIER],MATCH(,INDIRECT(ADDRESS(ROW(NOTA[ID]),COLUMN(NOTA[ID]))&amp;":"&amp;ADDRESS(ROW(),COLUMN(NOTA[ID]))),-1)))</f>
        <v/>
      </c>
      <c r="AJ704" s="55" t="str">
        <f ca="1">IF(NOTA[[#This Row],[ID_H]]="","",IF(NOTA[[#This Row],[FAKTUR]]="",INDIRECT(ADDRESS(ROW()-1,COLUMN())),NOTA[[#This Row],[FAKTUR]]))</f>
        <v/>
      </c>
      <c r="AK704" s="56" t="str">
        <f ca="1">IF(NOTA[[#This Row],[ID]]="","",COUNTIF(NOTA[ID_H],NOTA[[#This Row],[ID_H]]))</f>
        <v/>
      </c>
      <c r="AL704" s="56" t="str">
        <f ca="1">IF(NOTA[[#This Row],[TGL.NOTA]]="",IF(NOTA[[#This Row],[SUPPLIER_H]]="","",AL703),MONTH(NOTA[[#This Row],[TGL.NOTA]]))</f>
        <v/>
      </c>
      <c r="AM704" s="56" t="str">
        <f>LOWER(SUBSTITUTE(SUBSTITUTE(SUBSTITUTE(SUBSTITUTE(SUBSTITUTE(SUBSTITUTE(SUBSTITUTE(SUBSTITUTE(SUBSTITUTE(NOTA[NAMA BARANG]," ",),".",""),"-",""),"(",""),")",""),",",""),"/",""),"""",""),"+",""))</f>
        <v/>
      </c>
      <c r="AN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56" t="str">
        <f>IF(NOTA[[#This Row],[CONCAT4]]="","",_xlfn.IFNA(MATCH(NOTA[[#This Row],[CONCAT4]],[2]!RAW[CONCAT_H],0),FALSE))</f>
        <v/>
      </c>
      <c r="AR704" s="56" t="str">
        <f>IF(NOTA[[#This Row],[CONCAT1]]="","",MATCH(NOTA[[#This Row],[CONCAT1]],[3]!db[NB NOTA_C],0))</f>
        <v/>
      </c>
      <c r="AS704" s="56" t="str">
        <f>IF(NOTA[[#This Row],[QTY/ CTN]]="","",TRUE)</f>
        <v/>
      </c>
      <c r="AT704" s="56" t="str">
        <f ca="1">IF(NOTA[[#This Row],[ID_H]]="","",IF(NOTA[[#This Row],[Column3]]=TRUE,NOTA[[#This Row],[QTY/ CTN]],INDEX([3]!db[QTY/ CTN],NOTA[[#This Row],[//DB]])))</f>
        <v/>
      </c>
      <c r="AU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4" s="56" t="str">
        <f ca="1">IF(NOTA[[#This Row],[ID_H]]="","",MATCH(NOTA[[#This Row],[NB NOTA_C_QTY]],[4]!db[NB NOTA_C_QTY+F],0))</f>
        <v/>
      </c>
      <c r="AW704" s="68" t="str">
        <f ca="1">IF(NOTA[[#This Row],[NB NOTA_C_QTY]]="","",ROW()-2)</f>
        <v/>
      </c>
    </row>
    <row r="705" spans="1:49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5" s="66" t="str">
        <f>IF(OR(NOTA[[#This Row],[QTY]]="",NOTA[[#This Row],[HARGA SATUAN]]="",),"",NOTA[[#This Row],[QTY]]*NOTA[[#This Row],[HARGA SATUAN]])</f>
        <v/>
      </c>
      <c r="AH705" s="60" t="str">
        <f ca="1">IF(NOTA[ID_H]="","",INDEX(NOTA[TANGGAL],MATCH(,INDIRECT(ADDRESS(ROW(NOTA[TANGGAL]),COLUMN(NOTA[TANGGAL]))&amp;":"&amp;ADDRESS(ROW(),COLUMN(NOTA[TANGGAL]))),-1)))</f>
        <v/>
      </c>
      <c r="AI705" s="55" t="str">
        <f ca="1">IF(NOTA[[#This Row],[NAMA BARANG]]="","",INDEX(NOTA[SUPPLIER],MATCH(,INDIRECT(ADDRESS(ROW(NOTA[ID]),COLUMN(NOTA[ID]))&amp;":"&amp;ADDRESS(ROW(),COLUMN(NOTA[ID]))),-1)))</f>
        <v/>
      </c>
      <c r="AJ705" s="55" t="str">
        <f ca="1">IF(NOTA[[#This Row],[ID_H]]="","",IF(NOTA[[#This Row],[FAKTUR]]="",INDIRECT(ADDRESS(ROW()-1,COLUMN())),NOTA[[#This Row],[FAKTUR]]))</f>
        <v/>
      </c>
      <c r="AK705" s="56" t="str">
        <f ca="1">IF(NOTA[[#This Row],[ID]]="","",COUNTIF(NOTA[ID_H],NOTA[[#This Row],[ID_H]]))</f>
        <v/>
      </c>
      <c r="AL705" s="56" t="str">
        <f ca="1">IF(NOTA[[#This Row],[TGL.NOTA]]="",IF(NOTA[[#This Row],[SUPPLIER_H]]="","",AL704),MONTH(NOTA[[#This Row],[TGL.NOTA]]))</f>
        <v/>
      </c>
      <c r="AM705" s="56" t="str">
        <f>LOWER(SUBSTITUTE(SUBSTITUTE(SUBSTITUTE(SUBSTITUTE(SUBSTITUTE(SUBSTITUTE(SUBSTITUTE(SUBSTITUTE(SUBSTITUTE(NOTA[NAMA BARANG]," ",),".",""),"-",""),"(",""),")",""),",",""),"/",""),"""",""),"+",""))</f>
        <v/>
      </c>
      <c r="AN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56" t="str">
        <f>IF(NOTA[[#This Row],[CONCAT4]]="","",_xlfn.IFNA(MATCH(NOTA[[#This Row],[CONCAT4]],[2]!RAW[CONCAT_H],0),FALSE))</f>
        <v/>
      </c>
      <c r="AR705" s="56" t="str">
        <f>IF(NOTA[[#This Row],[CONCAT1]]="","",MATCH(NOTA[[#This Row],[CONCAT1]],[3]!db[NB NOTA_C],0))</f>
        <v/>
      </c>
      <c r="AS705" s="56" t="str">
        <f>IF(NOTA[[#This Row],[QTY/ CTN]]="","",TRUE)</f>
        <v/>
      </c>
      <c r="AT705" s="56" t="str">
        <f ca="1">IF(NOTA[[#This Row],[ID_H]]="","",IF(NOTA[[#This Row],[Column3]]=TRUE,NOTA[[#This Row],[QTY/ CTN]],INDEX([3]!db[QTY/ CTN],NOTA[[#This Row],[//DB]])))</f>
        <v/>
      </c>
      <c r="AU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5" s="56" t="str">
        <f ca="1">IF(NOTA[[#This Row],[ID_H]]="","",MATCH(NOTA[[#This Row],[NB NOTA_C_QTY]],[4]!db[NB NOTA_C_QTY+F],0))</f>
        <v/>
      </c>
      <c r="AW705" s="68" t="str">
        <f ca="1">IF(NOTA[[#This Row],[NB NOTA_C_QTY]]="","",ROW()-2)</f>
        <v/>
      </c>
    </row>
    <row r="706" spans="1:49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6" s="66" t="str">
        <f>IF(OR(NOTA[[#This Row],[QTY]]="",NOTA[[#This Row],[HARGA SATUAN]]="",),"",NOTA[[#This Row],[QTY]]*NOTA[[#This Row],[HARGA SATUAN]])</f>
        <v/>
      </c>
      <c r="AH706" s="60" t="str">
        <f ca="1">IF(NOTA[ID_H]="","",INDEX(NOTA[TANGGAL],MATCH(,INDIRECT(ADDRESS(ROW(NOTA[TANGGAL]),COLUMN(NOTA[TANGGAL]))&amp;":"&amp;ADDRESS(ROW(),COLUMN(NOTA[TANGGAL]))),-1)))</f>
        <v/>
      </c>
      <c r="AI706" s="55" t="str">
        <f ca="1">IF(NOTA[[#This Row],[NAMA BARANG]]="","",INDEX(NOTA[SUPPLIER],MATCH(,INDIRECT(ADDRESS(ROW(NOTA[ID]),COLUMN(NOTA[ID]))&amp;":"&amp;ADDRESS(ROW(),COLUMN(NOTA[ID]))),-1)))</f>
        <v/>
      </c>
      <c r="AJ706" s="55" t="str">
        <f ca="1">IF(NOTA[[#This Row],[ID_H]]="","",IF(NOTA[[#This Row],[FAKTUR]]="",INDIRECT(ADDRESS(ROW()-1,COLUMN())),NOTA[[#This Row],[FAKTUR]]))</f>
        <v/>
      </c>
      <c r="AK706" s="56" t="str">
        <f ca="1">IF(NOTA[[#This Row],[ID]]="","",COUNTIF(NOTA[ID_H],NOTA[[#This Row],[ID_H]]))</f>
        <v/>
      </c>
      <c r="AL706" s="56" t="str">
        <f ca="1">IF(NOTA[[#This Row],[TGL.NOTA]]="",IF(NOTA[[#This Row],[SUPPLIER_H]]="","",AL705),MONTH(NOTA[[#This Row],[TGL.NOTA]]))</f>
        <v/>
      </c>
      <c r="AM706" s="56" t="str">
        <f>LOWER(SUBSTITUTE(SUBSTITUTE(SUBSTITUTE(SUBSTITUTE(SUBSTITUTE(SUBSTITUTE(SUBSTITUTE(SUBSTITUTE(SUBSTITUTE(NOTA[NAMA BARANG]," ",),".",""),"-",""),"(",""),")",""),",",""),"/",""),"""",""),"+",""))</f>
        <v/>
      </c>
      <c r="AN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56" t="str">
        <f>IF(NOTA[[#This Row],[CONCAT4]]="","",_xlfn.IFNA(MATCH(NOTA[[#This Row],[CONCAT4]],[2]!RAW[CONCAT_H],0),FALSE))</f>
        <v/>
      </c>
      <c r="AR706" s="56" t="str">
        <f>IF(NOTA[[#This Row],[CONCAT1]]="","",MATCH(NOTA[[#This Row],[CONCAT1]],[3]!db[NB NOTA_C],0))</f>
        <v/>
      </c>
      <c r="AS706" s="56" t="str">
        <f>IF(NOTA[[#This Row],[QTY/ CTN]]="","",TRUE)</f>
        <v/>
      </c>
      <c r="AT706" s="56" t="str">
        <f ca="1">IF(NOTA[[#This Row],[ID_H]]="","",IF(NOTA[[#This Row],[Column3]]=TRUE,NOTA[[#This Row],[QTY/ CTN]],INDEX([3]!db[QTY/ CTN],NOTA[[#This Row],[//DB]])))</f>
        <v/>
      </c>
      <c r="AU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6" s="56" t="str">
        <f ca="1">IF(NOTA[[#This Row],[ID_H]]="","",MATCH(NOTA[[#This Row],[NB NOTA_C_QTY]],[4]!db[NB NOTA_C_QTY+F],0))</f>
        <v/>
      </c>
      <c r="AW706" s="68" t="str">
        <f ca="1">IF(NOTA[[#This Row],[NB NOTA_C_QTY]]="","",ROW()-2)</f>
        <v/>
      </c>
    </row>
    <row r="707" spans="1:49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7" s="66" t="str">
        <f>IF(OR(NOTA[[#This Row],[QTY]]="",NOTA[[#This Row],[HARGA SATUAN]]="",),"",NOTA[[#This Row],[QTY]]*NOTA[[#This Row],[HARGA SATUAN]])</f>
        <v/>
      </c>
      <c r="AH707" s="60" t="str">
        <f ca="1">IF(NOTA[ID_H]="","",INDEX(NOTA[TANGGAL],MATCH(,INDIRECT(ADDRESS(ROW(NOTA[TANGGAL]),COLUMN(NOTA[TANGGAL]))&amp;":"&amp;ADDRESS(ROW(),COLUMN(NOTA[TANGGAL]))),-1)))</f>
        <v/>
      </c>
      <c r="AI707" s="55" t="str">
        <f ca="1">IF(NOTA[[#This Row],[NAMA BARANG]]="","",INDEX(NOTA[SUPPLIER],MATCH(,INDIRECT(ADDRESS(ROW(NOTA[ID]),COLUMN(NOTA[ID]))&amp;":"&amp;ADDRESS(ROW(),COLUMN(NOTA[ID]))),-1)))</f>
        <v/>
      </c>
      <c r="AJ707" s="55" t="str">
        <f ca="1">IF(NOTA[[#This Row],[ID_H]]="","",IF(NOTA[[#This Row],[FAKTUR]]="",INDIRECT(ADDRESS(ROW()-1,COLUMN())),NOTA[[#This Row],[FAKTUR]]))</f>
        <v/>
      </c>
      <c r="AK707" s="56" t="str">
        <f ca="1">IF(NOTA[[#This Row],[ID]]="","",COUNTIF(NOTA[ID_H],NOTA[[#This Row],[ID_H]]))</f>
        <v/>
      </c>
      <c r="AL707" s="56" t="str">
        <f ca="1">IF(NOTA[[#This Row],[TGL.NOTA]]="",IF(NOTA[[#This Row],[SUPPLIER_H]]="","",AL706),MONTH(NOTA[[#This Row],[TGL.NOTA]]))</f>
        <v/>
      </c>
      <c r="AM707" s="56" t="str">
        <f>LOWER(SUBSTITUTE(SUBSTITUTE(SUBSTITUTE(SUBSTITUTE(SUBSTITUTE(SUBSTITUTE(SUBSTITUTE(SUBSTITUTE(SUBSTITUTE(NOTA[NAMA BARANG]," ",),".",""),"-",""),"(",""),")",""),",",""),"/",""),"""",""),"+",""))</f>
        <v/>
      </c>
      <c r="AN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56" t="str">
        <f>IF(NOTA[[#This Row],[CONCAT4]]="","",_xlfn.IFNA(MATCH(NOTA[[#This Row],[CONCAT4]],[2]!RAW[CONCAT_H],0),FALSE))</f>
        <v/>
      </c>
      <c r="AR707" s="56" t="str">
        <f>IF(NOTA[[#This Row],[CONCAT1]]="","",MATCH(NOTA[[#This Row],[CONCAT1]],[3]!db[NB NOTA_C],0))</f>
        <v/>
      </c>
      <c r="AS707" s="56" t="str">
        <f>IF(NOTA[[#This Row],[QTY/ CTN]]="","",TRUE)</f>
        <v/>
      </c>
      <c r="AT707" s="56" t="str">
        <f ca="1">IF(NOTA[[#This Row],[ID_H]]="","",IF(NOTA[[#This Row],[Column3]]=TRUE,NOTA[[#This Row],[QTY/ CTN]],INDEX([3]!db[QTY/ CTN],NOTA[[#This Row],[//DB]])))</f>
        <v/>
      </c>
      <c r="AU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7" s="56" t="str">
        <f ca="1">IF(NOTA[[#This Row],[ID_H]]="","",MATCH(NOTA[[#This Row],[NB NOTA_C_QTY]],[4]!db[NB NOTA_C_QTY+F],0))</f>
        <v/>
      </c>
      <c r="AW707" s="68" t="str">
        <f ca="1">IF(NOTA[[#This Row],[NB NOTA_C_QTY]]="","",ROW()-2)</f>
        <v/>
      </c>
    </row>
    <row r="708" spans="1:49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8" s="66" t="str">
        <f>IF(OR(NOTA[[#This Row],[QTY]]="",NOTA[[#This Row],[HARGA SATUAN]]="",),"",NOTA[[#This Row],[QTY]]*NOTA[[#This Row],[HARGA SATUAN]])</f>
        <v/>
      </c>
      <c r="AH708" s="60" t="str">
        <f ca="1">IF(NOTA[ID_H]="","",INDEX(NOTA[TANGGAL],MATCH(,INDIRECT(ADDRESS(ROW(NOTA[TANGGAL]),COLUMN(NOTA[TANGGAL]))&amp;":"&amp;ADDRESS(ROW(),COLUMN(NOTA[TANGGAL]))),-1)))</f>
        <v/>
      </c>
      <c r="AI708" s="55" t="str">
        <f ca="1">IF(NOTA[[#This Row],[NAMA BARANG]]="","",INDEX(NOTA[SUPPLIER],MATCH(,INDIRECT(ADDRESS(ROW(NOTA[ID]),COLUMN(NOTA[ID]))&amp;":"&amp;ADDRESS(ROW(),COLUMN(NOTA[ID]))),-1)))</f>
        <v/>
      </c>
      <c r="AJ708" s="55" t="str">
        <f ca="1">IF(NOTA[[#This Row],[ID_H]]="","",IF(NOTA[[#This Row],[FAKTUR]]="",INDIRECT(ADDRESS(ROW()-1,COLUMN())),NOTA[[#This Row],[FAKTUR]]))</f>
        <v/>
      </c>
      <c r="AK708" s="56" t="str">
        <f ca="1">IF(NOTA[[#This Row],[ID]]="","",COUNTIF(NOTA[ID_H],NOTA[[#This Row],[ID_H]]))</f>
        <v/>
      </c>
      <c r="AL708" s="56" t="str">
        <f ca="1">IF(NOTA[[#This Row],[TGL.NOTA]]="",IF(NOTA[[#This Row],[SUPPLIER_H]]="","",AL707),MONTH(NOTA[[#This Row],[TGL.NOTA]]))</f>
        <v/>
      </c>
      <c r="AM708" s="56" t="str">
        <f>LOWER(SUBSTITUTE(SUBSTITUTE(SUBSTITUTE(SUBSTITUTE(SUBSTITUTE(SUBSTITUTE(SUBSTITUTE(SUBSTITUTE(SUBSTITUTE(NOTA[NAMA BARANG]," ",),".",""),"-",""),"(",""),")",""),",",""),"/",""),"""",""),"+",""))</f>
        <v/>
      </c>
      <c r="AN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56" t="str">
        <f>IF(NOTA[[#This Row],[CONCAT4]]="","",_xlfn.IFNA(MATCH(NOTA[[#This Row],[CONCAT4]],[2]!RAW[CONCAT_H],0),FALSE))</f>
        <v/>
      </c>
      <c r="AR708" s="56" t="str">
        <f>IF(NOTA[[#This Row],[CONCAT1]]="","",MATCH(NOTA[[#This Row],[CONCAT1]],[3]!db[NB NOTA_C],0))</f>
        <v/>
      </c>
      <c r="AS708" s="56" t="str">
        <f>IF(NOTA[[#This Row],[QTY/ CTN]]="","",TRUE)</f>
        <v/>
      </c>
      <c r="AT708" s="56" t="str">
        <f ca="1">IF(NOTA[[#This Row],[ID_H]]="","",IF(NOTA[[#This Row],[Column3]]=TRUE,NOTA[[#This Row],[QTY/ CTN]],INDEX([3]!db[QTY/ CTN],NOTA[[#This Row],[//DB]])))</f>
        <v/>
      </c>
      <c r="AU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8" s="56" t="str">
        <f ca="1">IF(NOTA[[#This Row],[ID_H]]="","",MATCH(NOTA[[#This Row],[NB NOTA_C_QTY]],[4]!db[NB NOTA_C_QTY+F],0))</f>
        <v/>
      </c>
      <c r="AW708" s="68" t="str">
        <f ca="1">IF(NOTA[[#This Row],[NB NOTA_C_QTY]]="","",ROW()-2)</f>
        <v/>
      </c>
    </row>
    <row r="709" spans="1:49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09" s="66" t="str">
        <f>IF(OR(NOTA[[#This Row],[QTY]]="",NOTA[[#This Row],[HARGA SATUAN]]="",),"",NOTA[[#This Row],[QTY]]*NOTA[[#This Row],[HARGA SATUAN]])</f>
        <v/>
      </c>
      <c r="AH709" s="60" t="str">
        <f ca="1">IF(NOTA[ID_H]="","",INDEX(NOTA[TANGGAL],MATCH(,INDIRECT(ADDRESS(ROW(NOTA[TANGGAL]),COLUMN(NOTA[TANGGAL]))&amp;":"&amp;ADDRESS(ROW(),COLUMN(NOTA[TANGGAL]))),-1)))</f>
        <v/>
      </c>
      <c r="AI709" s="55" t="str">
        <f ca="1">IF(NOTA[[#This Row],[NAMA BARANG]]="","",INDEX(NOTA[SUPPLIER],MATCH(,INDIRECT(ADDRESS(ROW(NOTA[ID]),COLUMN(NOTA[ID]))&amp;":"&amp;ADDRESS(ROW(),COLUMN(NOTA[ID]))),-1)))</f>
        <v/>
      </c>
      <c r="AJ709" s="55" t="str">
        <f ca="1">IF(NOTA[[#This Row],[ID_H]]="","",IF(NOTA[[#This Row],[FAKTUR]]="",INDIRECT(ADDRESS(ROW()-1,COLUMN())),NOTA[[#This Row],[FAKTUR]]))</f>
        <v/>
      </c>
      <c r="AK709" s="56" t="str">
        <f ca="1">IF(NOTA[[#This Row],[ID]]="","",COUNTIF(NOTA[ID_H],NOTA[[#This Row],[ID_H]]))</f>
        <v/>
      </c>
      <c r="AL709" s="56" t="str">
        <f ca="1">IF(NOTA[[#This Row],[TGL.NOTA]]="",IF(NOTA[[#This Row],[SUPPLIER_H]]="","",AL708),MONTH(NOTA[[#This Row],[TGL.NOTA]]))</f>
        <v/>
      </c>
      <c r="AM709" s="56" t="str">
        <f>LOWER(SUBSTITUTE(SUBSTITUTE(SUBSTITUTE(SUBSTITUTE(SUBSTITUTE(SUBSTITUTE(SUBSTITUTE(SUBSTITUTE(SUBSTITUTE(NOTA[NAMA BARANG]," ",),".",""),"-",""),"(",""),")",""),",",""),"/",""),"""",""),"+",""))</f>
        <v/>
      </c>
      <c r="AN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56" t="str">
        <f>IF(NOTA[[#This Row],[CONCAT4]]="","",_xlfn.IFNA(MATCH(NOTA[[#This Row],[CONCAT4]],[2]!RAW[CONCAT_H],0),FALSE))</f>
        <v/>
      </c>
      <c r="AR709" s="56" t="str">
        <f>IF(NOTA[[#This Row],[CONCAT1]]="","",MATCH(NOTA[[#This Row],[CONCAT1]],[3]!db[NB NOTA_C],0))</f>
        <v/>
      </c>
      <c r="AS709" s="56" t="str">
        <f>IF(NOTA[[#This Row],[QTY/ CTN]]="","",TRUE)</f>
        <v/>
      </c>
      <c r="AT709" s="56" t="str">
        <f ca="1">IF(NOTA[[#This Row],[ID_H]]="","",IF(NOTA[[#This Row],[Column3]]=TRUE,NOTA[[#This Row],[QTY/ CTN]],INDEX([3]!db[QTY/ CTN],NOTA[[#This Row],[//DB]])))</f>
        <v/>
      </c>
      <c r="AU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9" s="56" t="str">
        <f ca="1">IF(NOTA[[#This Row],[ID_H]]="","",MATCH(NOTA[[#This Row],[NB NOTA_C_QTY]],[4]!db[NB NOTA_C_QTY+F],0))</f>
        <v/>
      </c>
      <c r="AW709" s="68" t="str">
        <f ca="1">IF(NOTA[[#This Row],[NB NOTA_C_QTY]]="","",ROW()-2)</f>
        <v/>
      </c>
    </row>
    <row r="710" spans="1:49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0" s="66" t="str">
        <f>IF(OR(NOTA[[#This Row],[QTY]]="",NOTA[[#This Row],[HARGA SATUAN]]="",),"",NOTA[[#This Row],[QTY]]*NOTA[[#This Row],[HARGA SATUAN]])</f>
        <v/>
      </c>
      <c r="AH710" s="60" t="str">
        <f ca="1">IF(NOTA[ID_H]="","",INDEX(NOTA[TANGGAL],MATCH(,INDIRECT(ADDRESS(ROW(NOTA[TANGGAL]),COLUMN(NOTA[TANGGAL]))&amp;":"&amp;ADDRESS(ROW(),COLUMN(NOTA[TANGGAL]))),-1)))</f>
        <v/>
      </c>
      <c r="AI710" s="55" t="str">
        <f ca="1">IF(NOTA[[#This Row],[NAMA BARANG]]="","",INDEX(NOTA[SUPPLIER],MATCH(,INDIRECT(ADDRESS(ROW(NOTA[ID]),COLUMN(NOTA[ID]))&amp;":"&amp;ADDRESS(ROW(),COLUMN(NOTA[ID]))),-1)))</f>
        <v/>
      </c>
      <c r="AJ710" s="55" t="str">
        <f ca="1">IF(NOTA[[#This Row],[ID_H]]="","",IF(NOTA[[#This Row],[FAKTUR]]="",INDIRECT(ADDRESS(ROW()-1,COLUMN())),NOTA[[#This Row],[FAKTUR]]))</f>
        <v/>
      </c>
      <c r="AK710" s="56" t="str">
        <f ca="1">IF(NOTA[[#This Row],[ID]]="","",COUNTIF(NOTA[ID_H],NOTA[[#This Row],[ID_H]]))</f>
        <v/>
      </c>
      <c r="AL710" s="56" t="str">
        <f ca="1">IF(NOTA[[#This Row],[TGL.NOTA]]="",IF(NOTA[[#This Row],[SUPPLIER_H]]="","",AL709),MONTH(NOTA[[#This Row],[TGL.NOTA]]))</f>
        <v/>
      </c>
      <c r="AM710" s="56" t="str">
        <f>LOWER(SUBSTITUTE(SUBSTITUTE(SUBSTITUTE(SUBSTITUTE(SUBSTITUTE(SUBSTITUTE(SUBSTITUTE(SUBSTITUTE(SUBSTITUTE(NOTA[NAMA BARANG]," ",),".",""),"-",""),"(",""),")",""),",",""),"/",""),"""",""),"+",""))</f>
        <v/>
      </c>
      <c r="AN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0" s="56" t="str">
        <f>IF(NOTA[[#This Row],[CONCAT4]]="","",_xlfn.IFNA(MATCH(NOTA[[#This Row],[CONCAT4]],[2]!RAW[CONCAT_H],0),FALSE))</f>
        <v/>
      </c>
      <c r="AR710" s="56" t="str">
        <f>IF(NOTA[[#This Row],[CONCAT1]]="","",MATCH(NOTA[[#This Row],[CONCAT1]],[3]!db[NB NOTA_C],0))</f>
        <v/>
      </c>
      <c r="AS710" s="56" t="str">
        <f>IF(NOTA[[#This Row],[QTY/ CTN]]="","",TRUE)</f>
        <v/>
      </c>
      <c r="AT710" s="56" t="str">
        <f ca="1">IF(NOTA[[#This Row],[ID_H]]="","",IF(NOTA[[#This Row],[Column3]]=TRUE,NOTA[[#This Row],[QTY/ CTN]],INDEX([3]!db[QTY/ CTN],NOTA[[#This Row],[//DB]])))</f>
        <v/>
      </c>
      <c r="AU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0" s="56" t="str">
        <f ca="1">IF(NOTA[[#This Row],[ID_H]]="","",MATCH(NOTA[[#This Row],[NB NOTA_C_QTY]],[4]!db[NB NOTA_C_QTY+F],0))</f>
        <v/>
      </c>
      <c r="AW710" s="68" t="str">
        <f ca="1">IF(NOTA[[#This Row],[NB NOTA_C_QTY]]="","",ROW()-2)</f>
        <v/>
      </c>
    </row>
    <row r="711" spans="1:49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1" s="66" t="str">
        <f>IF(OR(NOTA[[#This Row],[QTY]]="",NOTA[[#This Row],[HARGA SATUAN]]="",),"",NOTA[[#This Row],[QTY]]*NOTA[[#This Row],[HARGA SATUAN]])</f>
        <v/>
      </c>
      <c r="AH711" s="60" t="str">
        <f ca="1">IF(NOTA[ID_H]="","",INDEX(NOTA[TANGGAL],MATCH(,INDIRECT(ADDRESS(ROW(NOTA[TANGGAL]),COLUMN(NOTA[TANGGAL]))&amp;":"&amp;ADDRESS(ROW(),COLUMN(NOTA[TANGGAL]))),-1)))</f>
        <v/>
      </c>
      <c r="AI711" s="55" t="str">
        <f ca="1">IF(NOTA[[#This Row],[NAMA BARANG]]="","",INDEX(NOTA[SUPPLIER],MATCH(,INDIRECT(ADDRESS(ROW(NOTA[ID]),COLUMN(NOTA[ID]))&amp;":"&amp;ADDRESS(ROW(),COLUMN(NOTA[ID]))),-1)))</f>
        <v/>
      </c>
      <c r="AJ711" s="55" t="str">
        <f ca="1">IF(NOTA[[#This Row],[ID_H]]="","",IF(NOTA[[#This Row],[FAKTUR]]="",INDIRECT(ADDRESS(ROW()-1,COLUMN())),NOTA[[#This Row],[FAKTUR]]))</f>
        <v/>
      </c>
      <c r="AK711" s="56" t="str">
        <f ca="1">IF(NOTA[[#This Row],[ID]]="","",COUNTIF(NOTA[ID_H],NOTA[[#This Row],[ID_H]]))</f>
        <v/>
      </c>
      <c r="AL711" s="56" t="str">
        <f ca="1">IF(NOTA[[#This Row],[TGL.NOTA]]="",IF(NOTA[[#This Row],[SUPPLIER_H]]="","",AL710),MONTH(NOTA[[#This Row],[TGL.NOTA]]))</f>
        <v/>
      </c>
      <c r="AM711" s="56" t="str">
        <f>LOWER(SUBSTITUTE(SUBSTITUTE(SUBSTITUTE(SUBSTITUTE(SUBSTITUTE(SUBSTITUTE(SUBSTITUTE(SUBSTITUTE(SUBSTITUTE(NOTA[NAMA BARANG]," ",),".",""),"-",""),"(",""),")",""),",",""),"/",""),"""",""),"+",""))</f>
        <v/>
      </c>
      <c r="AN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56" t="str">
        <f>IF(NOTA[[#This Row],[CONCAT4]]="","",_xlfn.IFNA(MATCH(NOTA[[#This Row],[CONCAT4]],[2]!RAW[CONCAT_H],0),FALSE))</f>
        <v/>
      </c>
      <c r="AR711" s="56" t="str">
        <f>IF(NOTA[[#This Row],[CONCAT1]]="","",MATCH(NOTA[[#This Row],[CONCAT1]],[3]!db[NB NOTA_C],0))</f>
        <v/>
      </c>
      <c r="AS711" s="56" t="str">
        <f>IF(NOTA[[#This Row],[QTY/ CTN]]="","",TRUE)</f>
        <v/>
      </c>
      <c r="AT711" s="56" t="str">
        <f ca="1">IF(NOTA[[#This Row],[ID_H]]="","",IF(NOTA[[#This Row],[Column3]]=TRUE,NOTA[[#This Row],[QTY/ CTN]],INDEX([3]!db[QTY/ CTN],NOTA[[#This Row],[//DB]])))</f>
        <v/>
      </c>
      <c r="AU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1" s="56" t="str">
        <f ca="1">IF(NOTA[[#This Row],[ID_H]]="","",MATCH(NOTA[[#This Row],[NB NOTA_C_QTY]],[4]!db[NB NOTA_C_QTY+F],0))</f>
        <v/>
      </c>
      <c r="AW711" s="68" t="str">
        <f ca="1">IF(NOTA[[#This Row],[NB NOTA_C_QTY]]="","",ROW()-2)</f>
        <v/>
      </c>
    </row>
    <row r="712" spans="1:49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2" s="66" t="str">
        <f>IF(OR(NOTA[[#This Row],[QTY]]="",NOTA[[#This Row],[HARGA SATUAN]]="",),"",NOTA[[#This Row],[QTY]]*NOTA[[#This Row],[HARGA SATUAN]])</f>
        <v/>
      </c>
      <c r="AH712" s="60" t="str">
        <f ca="1">IF(NOTA[ID_H]="","",INDEX(NOTA[TANGGAL],MATCH(,INDIRECT(ADDRESS(ROW(NOTA[TANGGAL]),COLUMN(NOTA[TANGGAL]))&amp;":"&amp;ADDRESS(ROW(),COLUMN(NOTA[TANGGAL]))),-1)))</f>
        <v/>
      </c>
      <c r="AI712" s="55" t="str">
        <f ca="1">IF(NOTA[[#This Row],[NAMA BARANG]]="","",INDEX(NOTA[SUPPLIER],MATCH(,INDIRECT(ADDRESS(ROW(NOTA[ID]),COLUMN(NOTA[ID]))&amp;":"&amp;ADDRESS(ROW(),COLUMN(NOTA[ID]))),-1)))</f>
        <v/>
      </c>
      <c r="AJ712" s="55" t="str">
        <f ca="1">IF(NOTA[[#This Row],[ID_H]]="","",IF(NOTA[[#This Row],[FAKTUR]]="",INDIRECT(ADDRESS(ROW()-1,COLUMN())),NOTA[[#This Row],[FAKTUR]]))</f>
        <v/>
      </c>
      <c r="AK712" s="56" t="str">
        <f ca="1">IF(NOTA[[#This Row],[ID]]="","",COUNTIF(NOTA[ID_H],NOTA[[#This Row],[ID_H]]))</f>
        <v/>
      </c>
      <c r="AL712" s="56" t="str">
        <f ca="1">IF(NOTA[[#This Row],[TGL.NOTA]]="",IF(NOTA[[#This Row],[SUPPLIER_H]]="","",AL711),MONTH(NOTA[[#This Row],[TGL.NOTA]]))</f>
        <v/>
      </c>
      <c r="AM712" s="56" t="str">
        <f>LOWER(SUBSTITUTE(SUBSTITUTE(SUBSTITUTE(SUBSTITUTE(SUBSTITUTE(SUBSTITUTE(SUBSTITUTE(SUBSTITUTE(SUBSTITUTE(NOTA[NAMA BARANG]," ",),".",""),"-",""),"(",""),")",""),",",""),"/",""),"""",""),"+",""))</f>
        <v/>
      </c>
      <c r="AN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56" t="str">
        <f>IF(NOTA[[#This Row],[CONCAT4]]="","",_xlfn.IFNA(MATCH(NOTA[[#This Row],[CONCAT4]],[2]!RAW[CONCAT_H],0),FALSE))</f>
        <v/>
      </c>
      <c r="AR712" s="56" t="str">
        <f>IF(NOTA[[#This Row],[CONCAT1]]="","",MATCH(NOTA[[#This Row],[CONCAT1]],[3]!db[NB NOTA_C],0))</f>
        <v/>
      </c>
      <c r="AS712" s="56" t="str">
        <f>IF(NOTA[[#This Row],[QTY/ CTN]]="","",TRUE)</f>
        <v/>
      </c>
      <c r="AT712" s="56" t="str">
        <f ca="1">IF(NOTA[[#This Row],[ID_H]]="","",IF(NOTA[[#This Row],[Column3]]=TRUE,NOTA[[#This Row],[QTY/ CTN]],INDEX([3]!db[QTY/ CTN],NOTA[[#This Row],[//DB]])))</f>
        <v/>
      </c>
      <c r="AU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2" s="56" t="str">
        <f ca="1">IF(NOTA[[#This Row],[ID_H]]="","",MATCH(NOTA[[#This Row],[NB NOTA_C_QTY]],[4]!db[NB NOTA_C_QTY+F],0))</f>
        <v/>
      </c>
      <c r="AW712" s="68" t="str">
        <f ca="1">IF(NOTA[[#This Row],[NB NOTA_C_QTY]]="","",ROW()-2)</f>
        <v/>
      </c>
    </row>
    <row r="713" spans="1:49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3" s="66" t="str">
        <f>IF(OR(NOTA[[#This Row],[QTY]]="",NOTA[[#This Row],[HARGA SATUAN]]="",),"",NOTA[[#This Row],[QTY]]*NOTA[[#This Row],[HARGA SATUAN]])</f>
        <v/>
      </c>
      <c r="AH713" s="60" t="str">
        <f ca="1">IF(NOTA[ID_H]="","",INDEX(NOTA[TANGGAL],MATCH(,INDIRECT(ADDRESS(ROW(NOTA[TANGGAL]),COLUMN(NOTA[TANGGAL]))&amp;":"&amp;ADDRESS(ROW(),COLUMN(NOTA[TANGGAL]))),-1)))</f>
        <v/>
      </c>
      <c r="AI713" s="55" t="str">
        <f ca="1">IF(NOTA[[#This Row],[NAMA BARANG]]="","",INDEX(NOTA[SUPPLIER],MATCH(,INDIRECT(ADDRESS(ROW(NOTA[ID]),COLUMN(NOTA[ID]))&amp;":"&amp;ADDRESS(ROW(),COLUMN(NOTA[ID]))),-1)))</f>
        <v/>
      </c>
      <c r="AJ713" s="55" t="str">
        <f ca="1">IF(NOTA[[#This Row],[ID_H]]="","",IF(NOTA[[#This Row],[FAKTUR]]="",INDIRECT(ADDRESS(ROW()-1,COLUMN())),NOTA[[#This Row],[FAKTUR]]))</f>
        <v/>
      </c>
      <c r="AK713" s="56" t="str">
        <f ca="1">IF(NOTA[[#This Row],[ID]]="","",COUNTIF(NOTA[ID_H],NOTA[[#This Row],[ID_H]]))</f>
        <v/>
      </c>
      <c r="AL713" s="56" t="str">
        <f ca="1">IF(NOTA[[#This Row],[TGL.NOTA]]="",IF(NOTA[[#This Row],[SUPPLIER_H]]="","",AL712),MONTH(NOTA[[#This Row],[TGL.NOTA]]))</f>
        <v/>
      </c>
      <c r="AM713" s="56" t="str">
        <f>LOWER(SUBSTITUTE(SUBSTITUTE(SUBSTITUTE(SUBSTITUTE(SUBSTITUTE(SUBSTITUTE(SUBSTITUTE(SUBSTITUTE(SUBSTITUTE(NOTA[NAMA BARANG]," ",),".",""),"-",""),"(",""),")",""),",",""),"/",""),"""",""),"+",""))</f>
        <v/>
      </c>
      <c r="AN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56" t="str">
        <f>IF(NOTA[[#This Row],[CONCAT4]]="","",_xlfn.IFNA(MATCH(NOTA[[#This Row],[CONCAT4]],[2]!RAW[CONCAT_H],0),FALSE))</f>
        <v/>
      </c>
      <c r="AR713" s="56" t="str">
        <f>IF(NOTA[[#This Row],[CONCAT1]]="","",MATCH(NOTA[[#This Row],[CONCAT1]],[3]!db[NB NOTA_C],0))</f>
        <v/>
      </c>
      <c r="AS713" s="56" t="str">
        <f>IF(NOTA[[#This Row],[QTY/ CTN]]="","",TRUE)</f>
        <v/>
      </c>
      <c r="AT713" s="56" t="str">
        <f ca="1">IF(NOTA[[#This Row],[ID_H]]="","",IF(NOTA[[#This Row],[Column3]]=TRUE,NOTA[[#This Row],[QTY/ CTN]],INDEX([3]!db[QTY/ CTN],NOTA[[#This Row],[//DB]])))</f>
        <v/>
      </c>
      <c r="AU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3" s="56" t="str">
        <f ca="1">IF(NOTA[[#This Row],[ID_H]]="","",MATCH(NOTA[[#This Row],[NB NOTA_C_QTY]],[4]!db[NB NOTA_C_QTY+F],0))</f>
        <v/>
      </c>
      <c r="AW713" s="68" t="str">
        <f ca="1">IF(NOTA[[#This Row],[NB NOTA_C_QTY]]="","",ROW()-2)</f>
        <v/>
      </c>
    </row>
    <row r="714" spans="1:49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4" s="66" t="str">
        <f>IF(OR(NOTA[[#This Row],[QTY]]="",NOTA[[#This Row],[HARGA SATUAN]]="",),"",NOTA[[#This Row],[QTY]]*NOTA[[#This Row],[HARGA SATUAN]])</f>
        <v/>
      </c>
      <c r="AH714" s="60" t="str">
        <f ca="1">IF(NOTA[ID_H]="","",INDEX(NOTA[TANGGAL],MATCH(,INDIRECT(ADDRESS(ROW(NOTA[TANGGAL]),COLUMN(NOTA[TANGGAL]))&amp;":"&amp;ADDRESS(ROW(),COLUMN(NOTA[TANGGAL]))),-1)))</f>
        <v/>
      </c>
      <c r="AI714" s="55" t="str">
        <f ca="1">IF(NOTA[[#This Row],[NAMA BARANG]]="","",INDEX(NOTA[SUPPLIER],MATCH(,INDIRECT(ADDRESS(ROW(NOTA[ID]),COLUMN(NOTA[ID]))&amp;":"&amp;ADDRESS(ROW(),COLUMN(NOTA[ID]))),-1)))</f>
        <v/>
      </c>
      <c r="AJ714" s="55" t="str">
        <f ca="1">IF(NOTA[[#This Row],[ID_H]]="","",IF(NOTA[[#This Row],[FAKTUR]]="",INDIRECT(ADDRESS(ROW()-1,COLUMN())),NOTA[[#This Row],[FAKTUR]]))</f>
        <v/>
      </c>
      <c r="AK714" s="56" t="str">
        <f ca="1">IF(NOTA[[#This Row],[ID]]="","",COUNTIF(NOTA[ID_H],NOTA[[#This Row],[ID_H]]))</f>
        <v/>
      </c>
      <c r="AL714" s="56" t="str">
        <f ca="1">IF(NOTA[[#This Row],[TGL.NOTA]]="",IF(NOTA[[#This Row],[SUPPLIER_H]]="","",AL713),MONTH(NOTA[[#This Row],[TGL.NOTA]]))</f>
        <v/>
      </c>
      <c r="AM714" s="56" t="str">
        <f>LOWER(SUBSTITUTE(SUBSTITUTE(SUBSTITUTE(SUBSTITUTE(SUBSTITUTE(SUBSTITUTE(SUBSTITUTE(SUBSTITUTE(SUBSTITUTE(NOTA[NAMA BARANG]," ",),".",""),"-",""),"(",""),")",""),",",""),"/",""),"""",""),"+",""))</f>
        <v/>
      </c>
      <c r="AN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56" t="str">
        <f>IF(NOTA[[#This Row],[CONCAT4]]="","",_xlfn.IFNA(MATCH(NOTA[[#This Row],[CONCAT4]],[2]!RAW[CONCAT_H],0),FALSE))</f>
        <v/>
      </c>
      <c r="AR714" s="56" t="str">
        <f>IF(NOTA[[#This Row],[CONCAT1]]="","",MATCH(NOTA[[#This Row],[CONCAT1]],[3]!db[NB NOTA_C],0))</f>
        <v/>
      </c>
      <c r="AS714" s="56" t="str">
        <f>IF(NOTA[[#This Row],[QTY/ CTN]]="","",TRUE)</f>
        <v/>
      </c>
      <c r="AT714" s="56" t="str">
        <f ca="1">IF(NOTA[[#This Row],[ID_H]]="","",IF(NOTA[[#This Row],[Column3]]=TRUE,NOTA[[#This Row],[QTY/ CTN]],INDEX([3]!db[QTY/ CTN],NOTA[[#This Row],[//DB]])))</f>
        <v/>
      </c>
      <c r="AU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4" s="56" t="str">
        <f ca="1">IF(NOTA[[#This Row],[ID_H]]="","",MATCH(NOTA[[#This Row],[NB NOTA_C_QTY]],[4]!db[NB NOTA_C_QTY+F],0))</f>
        <v/>
      </c>
      <c r="AW714" s="68" t="str">
        <f ca="1">IF(NOTA[[#This Row],[NB NOTA_C_QTY]]="","",ROW()-2)</f>
        <v/>
      </c>
    </row>
    <row r="715" spans="1:49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5" s="66" t="str">
        <f>IF(OR(NOTA[[#This Row],[QTY]]="",NOTA[[#This Row],[HARGA SATUAN]]="",),"",NOTA[[#This Row],[QTY]]*NOTA[[#This Row],[HARGA SATUAN]])</f>
        <v/>
      </c>
      <c r="AH715" s="60" t="str">
        <f ca="1">IF(NOTA[ID_H]="","",INDEX(NOTA[TANGGAL],MATCH(,INDIRECT(ADDRESS(ROW(NOTA[TANGGAL]),COLUMN(NOTA[TANGGAL]))&amp;":"&amp;ADDRESS(ROW(),COLUMN(NOTA[TANGGAL]))),-1)))</f>
        <v/>
      </c>
      <c r="AI715" s="55" t="str">
        <f ca="1">IF(NOTA[[#This Row],[NAMA BARANG]]="","",INDEX(NOTA[SUPPLIER],MATCH(,INDIRECT(ADDRESS(ROW(NOTA[ID]),COLUMN(NOTA[ID]))&amp;":"&amp;ADDRESS(ROW(),COLUMN(NOTA[ID]))),-1)))</f>
        <v/>
      </c>
      <c r="AJ715" s="55" t="str">
        <f ca="1">IF(NOTA[[#This Row],[ID_H]]="","",IF(NOTA[[#This Row],[FAKTUR]]="",INDIRECT(ADDRESS(ROW()-1,COLUMN())),NOTA[[#This Row],[FAKTUR]]))</f>
        <v/>
      </c>
      <c r="AK715" s="56" t="str">
        <f ca="1">IF(NOTA[[#This Row],[ID]]="","",COUNTIF(NOTA[ID_H],NOTA[[#This Row],[ID_H]]))</f>
        <v/>
      </c>
      <c r="AL715" s="56" t="str">
        <f ca="1">IF(NOTA[[#This Row],[TGL.NOTA]]="",IF(NOTA[[#This Row],[SUPPLIER_H]]="","",AL714),MONTH(NOTA[[#This Row],[TGL.NOTA]]))</f>
        <v/>
      </c>
      <c r="AM715" s="56" t="str">
        <f>LOWER(SUBSTITUTE(SUBSTITUTE(SUBSTITUTE(SUBSTITUTE(SUBSTITUTE(SUBSTITUTE(SUBSTITUTE(SUBSTITUTE(SUBSTITUTE(NOTA[NAMA BARANG]," ",),".",""),"-",""),"(",""),")",""),",",""),"/",""),"""",""),"+",""))</f>
        <v/>
      </c>
      <c r="AN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56" t="str">
        <f>IF(NOTA[[#This Row],[CONCAT4]]="","",_xlfn.IFNA(MATCH(NOTA[[#This Row],[CONCAT4]],[2]!RAW[CONCAT_H],0),FALSE))</f>
        <v/>
      </c>
      <c r="AR715" s="56" t="str">
        <f>IF(NOTA[[#This Row],[CONCAT1]]="","",MATCH(NOTA[[#This Row],[CONCAT1]],[3]!db[NB NOTA_C],0))</f>
        <v/>
      </c>
      <c r="AS715" s="56" t="str">
        <f>IF(NOTA[[#This Row],[QTY/ CTN]]="","",TRUE)</f>
        <v/>
      </c>
      <c r="AT715" s="56" t="str">
        <f ca="1">IF(NOTA[[#This Row],[ID_H]]="","",IF(NOTA[[#This Row],[Column3]]=TRUE,NOTA[[#This Row],[QTY/ CTN]],INDEX([3]!db[QTY/ CTN],NOTA[[#This Row],[//DB]])))</f>
        <v/>
      </c>
      <c r="AU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5" s="56" t="str">
        <f ca="1">IF(NOTA[[#This Row],[ID_H]]="","",MATCH(NOTA[[#This Row],[NB NOTA_C_QTY]],[4]!db[NB NOTA_C_QTY+F],0))</f>
        <v/>
      </c>
      <c r="AW715" s="68" t="str">
        <f ca="1">IF(NOTA[[#This Row],[NB NOTA_C_QTY]]="","",ROW()-2)</f>
        <v/>
      </c>
    </row>
    <row r="716" spans="1:49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6" s="66" t="str">
        <f>IF(OR(NOTA[[#This Row],[QTY]]="",NOTA[[#This Row],[HARGA SATUAN]]="",),"",NOTA[[#This Row],[QTY]]*NOTA[[#This Row],[HARGA SATUAN]])</f>
        <v/>
      </c>
      <c r="AH716" s="60" t="str">
        <f ca="1">IF(NOTA[ID_H]="","",INDEX(NOTA[TANGGAL],MATCH(,INDIRECT(ADDRESS(ROW(NOTA[TANGGAL]),COLUMN(NOTA[TANGGAL]))&amp;":"&amp;ADDRESS(ROW(),COLUMN(NOTA[TANGGAL]))),-1)))</f>
        <v/>
      </c>
      <c r="AI716" s="55" t="str">
        <f ca="1">IF(NOTA[[#This Row],[NAMA BARANG]]="","",INDEX(NOTA[SUPPLIER],MATCH(,INDIRECT(ADDRESS(ROW(NOTA[ID]),COLUMN(NOTA[ID]))&amp;":"&amp;ADDRESS(ROW(),COLUMN(NOTA[ID]))),-1)))</f>
        <v/>
      </c>
      <c r="AJ716" s="55" t="str">
        <f ca="1">IF(NOTA[[#This Row],[ID_H]]="","",IF(NOTA[[#This Row],[FAKTUR]]="",INDIRECT(ADDRESS(ROW()-1,COLUMN())),NOTA[[#This Row],[FAKTUR]]))</f>
        <v/>
      </c>
      <c r="AK716" s="56" t="str">
        <f ca="1">IF(NOTA[[#This Row],[ID]]="","",COUNTIF(NOTA[ID_H],NOTA[[#This Row],[ID_H]]))</f>
        <v/>
      </c>
      <c r="AL716" s="56" t="str">
        <f ca="1">IF(NOTA[[#This Row],[TGL.NOTA]]="",IF(NOTA[[#This Row],[SUPPLIER_H]]="","",AL715),MONTH(NOTA[[#This Row],[TGL.NOTA]]))</f>
        <v/>
      </c>
      <c r="AM716" s="56" t="str">
        <f>LOWER(SUBSTITUTE(SUBSTITUTE(SUBSTITUTE(SUBSTITUTE(SUBSTITUTE(SUBSTITUTE(SUBSTITUTE(SUBSTITUTE(SUBSTITUTE(NOTA[NAMA BARANG]," ",),".",""),"-",""),"(",""),")",""),",",""),"/",""),"""",""),"+",""))</f>
        <v/>
      </c>
      <c r="AN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56" t="str">
        <f>IF(NOTA[[#This Row],[CONCAT4]]="","",_xlfn.IFNA(MATCH(NOTA[[#This Row],[CONCAT4]],[2]!RAW[CONCAT_H],0),FALSE))</f>
        <v/>
      </c>
      <c r="AR716" s="56" t="str">
        <f>IF(NOTA[[#This Row],[CONCAT1]]="","",MATCH(NOTA[[#This Row],[CONCAT1]],[3]!db[NB NOTA_C],0))</f>
        <v/>
      </c>
      <c r="AS716" s="56" t="str">
        <f>IF(NOTA[[#This Row],[QTY/ CTN]]="","",TRUE)</f>
        <v/>
      </c>
      <c r="AT716" s="56" t="str">
        <f ca="1">IF(NOTA[[#This Row],[ID_H]]="","",IF(NOTA[[#This Row],[Column3]]=TRUE,NOTA[[#This Row],[QTY/ CTN]],INDEX([3]!db[QTY/ CTN],NOTA[[#This Row],[//DB]])))</f>
        <v/>
      </c>
      <c r="AU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6" s="56" t="str">
        <f ca="1">IF(NOTA[[#This Row],[ID_H]]="","",MATCH(NOTA[[#This Row],[NB NOTA_C_QTY]],[4]!db[NB NOTA_C_QTY+F],0))</f>
        <v/>
      </c>
      <c r="AW716" s="68" t="str">
        <f ca="1">IF(NOTA[[#This Row],[NB NOTA_C_QTY]]="","",ROW()-2)</f>
        <v/>
      </c>
    </row>
    <row r="717" spans="1:49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7" s="66" t="str">
        <f>IF(OR(NOTA[[#This Row],[QTY]]="",NOTA[[#This Row],[HARGA SATUAN]]="",),"",NOTA[[#This Row],[QTY]]*NOTA[[#This Row],[HARGA SATUAN]])</f>
        <v/>
      </c>
      <c r="AH717" s="60" t="str">
        <f ca="1">IF(NOTA[ID_H]="","",INDEX(NOTA[TANGGAL],MATCH(,INDIRECT(ADDRESS(ROW(NOTA[TANGGAL]),COLUMN(NOTA[TANGGAL]))&amp;":"&amp;ADDRESS(ROW(),COLUMN(NOTA[TANGGAL]))),-1)))</f>
        <v/>
      </c>
      <c r="AI717" s="55" t="str">
        <f ca="1">IF(NOTA[[#This Row],[NAMA BARANG]]="","",INDEX(NOTA[SUPPLIER],MATCH(,INDIRECT(ADDRESS(ROW(NOTA[ID]),COLUMN(NOTA[ID]))&amp;":"&amp;ADDRESS(ROW(),COLUMN(NOTA[ID]))),-1)))</f>
        <v/>
      </c>
      <c r="AJ717" s="55" t="str">
        <f ca="1">IF(NOTA[[#This Row],[ID_H]]="","",IF(NOTA[[#This Row],[FAKTUR]]="",INDIRECT(ADDRESS(ROW()-1,COLUMN())),NOTA[[#This Row],[FAKTUR]]))</f>
        <v/>
      </c>
      <c r="AK717" s="56" t="str">
        <f ca="1">IF(NOTA[[#This Row],[ID]]="","",COUNTIF(NOTA[ID_H],NOTA[[#This Row],[ID_H]]))</f>
        <v/>
      </c>
      <c r="AL717" s="56" t="str">
        <f ca="1">IF(NOTA[[#This Row],[TGL.NOTA]]="",IF(NOTA[[#This Row],[SUPPLIER_H]]="","",AL716),MONTH(NOTA[[#This Row],[TGL.NOTA]]))</f>
        <v/>
      </c>
      <c r="AM717" s="56" t="str">
        <f>LOWER(SUBSTITUTE(SUBSTITUTE(SUBSTITUTE(SUBSTITUTE(SUBSTITUTE(SUBSTITUTE(SUBSTITUTE(SUBSTITUTE(SUBSTITUTE(NOTA[NAMA BARANG]," ",),".",""),"-",""),"(",""),")",""),",",""),"/",""),"""",""),"+",""))</f>
        <v/>
      </c>
      <c r="AN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7" s="56" t="str">
        <f>IF(NOTA[[#This Row],[CONCAT4]]="","",_xlfn.IFNA(MATCH(NOTA[[#This Row],[CONCAT4]],[2]!RAW[CONCAT_H],0),FALSE))</f>
        <v/>
      </c>
      <c r="AR717" s="56" t="str">
        <f>IF(NOTA[[#This Row],[CONCAT1]]="","",MATCH(NOTA[[#This Row],[CONCAT1]],[3]!db[NB NOTA_C],0))</f>
        <v/>
      </c>
      <c r="AS717" s="56" t="str">
        <f>IF(NOTA[[#This Row],[QTY/ CTN]]="","",TRUE)</f>
        <v/>
      </c>
      <c r="AT717" s="56" t="str">
        <f ca="1">IF(NOTA[[#This Row],[ID_H]]="","",IF(NOTA[[#This Row],[Column3]]=TRUE,NOTA[[#This Row],[QTY/ CTN]],INDEX([3]!db[QTY/ CTN],NOTA[[#This Row],[//DB]])))</f>
        <v/>
      </c>
      <c r="AU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7" s="56" t="str">
        <f ca="1">IF(NOTA[[#This Row],[ID_H]]="","",MATCH(NOTA[[#This Row],[NB NOTA_C_QTY]],[4]!db[NB NOTA_C_QTY+F],0))</f>
        <v/>
      </c>
      <c r="AW717" s="68" t="str">
        <f ca="1">IF(NOTA[[#This Row],[NB NOTA_C_QTY]]="","",ROW()-2)</f>
        <v/>
      </c>
    </row>
    <row r="718" spans="1:49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8" s="66" t="str">
        <f>IF(OR(NOTA[[#This Row],[QTY]]="",NOTA[[#This Row],[HARGA SATUAN]]="",),"",NOTA[[#This Row],[QTY]]*NOTA[[#This Row],[HARGA SATUAN]])</f>
        <v/>
      </c>
      <c r="AH718" s="60" t="str">
        <f ca="1">IF(NOTA[ID_H]="","",INDEX(NOTA[TANGGAL],MATCH(,INDIRECT(ADDRESS(ROW(NOTA[TANGGAL]),COLUMN(NOTA[TANGGAL]))&amp;":"&amp;ADDRESS(ROW(),COLUMN(NOTA[TANGGAL]))),-1)))</f>
        <v/>
      </c>
      <c r="AI718" s="55" t="str">
        <f ca="1">IF(NOTA[[#This Row],[NAMA BARANG]]="","",INDEX(NOTA[SUPPLIER],MATCH(,INDIRECT(ADDRESS(ROW(NOTA[ID]),COLUMN(NOTA[ID]))&amp;":"&amp;ADDRESS(ROW(),COLUMN(NOTA[ID]))),-1)))</f>
        <v/>
      </c>
      <c r="AJ718" s="55" t="str">
        <f ca="1">IF(NOTA[[#This Row],[ID_H]]="","",IF(NOTA[[#This Row],[FAKTUR]]="",INDIRECT(ADDRESS(ROW()-1,COLUMN())),NOTA[[#This Row],[FAKTUR]]))</f>
        <v/>
      </c>
      <c r="AK718" s="56" t="str">
        <f ca="1">IF(NOTA[[#This Row],[ID]]="","",COUNTIF(NOTA[ID_H],NOTA[[#This Row],[ID_H]]))</f>
        <v/>
      </c>
      <c r="AL718" s="56" t="str">
        <f ca="1">IF(NOTA[[#This Row],[TGL.NOTA]]="",IF(NOTA[[#This Row],[SUPPLIER_H]]="","",AL717),MONTH(NOTA[[#This Row],[TGL.NOTA]]))</f>
        <v/>
      </c>
      <c r="AM718" s="56" t="str">
        <f>LOWER(SUBSTITUTE(SUBSTITUTE(SUBSTITUTE(SUBSTITUTE(SUBSTITUTE(SUBSTITUTE(SUBSTITUTE(SUBSTITUTE(SUBSTITUTE(NOTA[NAMA BARANG]," ",),".",""),"-",""),"(",""),")",""),",",""),"/",""),"""",""),"+",""))</f>
        <v/>
      </c>
      <c r="AN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56" t="str">
        <f>IF(NOTA[[#This Row],[CONCAT4]]="","",_xlfn.IFNA(MATCH(NOTA[[#This Row],[CONCAT4]],[2]!RAW[CONCAT_H],0),FALSE))</f>
        <v/>
      </c>
      <c r="AR718" s="56" t="str">
        <f>IF(NOTA[[#This Row],[CONCAT1]]="","",MATCH(NOTA[[#This Row],[CONCAT1]],[3]!db[NB NOTA_C],0))</f>
        <v/>
      </c>
      <c r="AS718" s="56" t="str">
        <f>IF(NOTA[[#This Row],[QTY/ CTN]]="","",TRUE)</f>
        <v/>
      </c>
      <c r="AT718" s="56" t="str">
        <f ca="1">IF(NOTA[[#This Row],[ID_H]]="","",IF(NOTA[[#This Row],[Column3]]=TRUE,NOTA[[#This Row],[QTY/ CTN]],INDEX([3]!db[QTY/ CTN],NOTA[[#This Row],[//DB]])))</f>
        <v/>
      </c>
      <c r="AU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8" s="56" t="str">
        <f ca="1">IF(NOTA[[#This Row],[ID_H]]="","",MATCH(NOTA[[#This Row],[NB NOTA_C_QTY]],[4]!db[NB NOTA_C_QTY+F],0))</f>
        <v/>
      </c>
      <c r="AW718" s="68" t="str">
        <f ca="1">IF(NOTA[[#This Row],[NB NOTA_C_QTY]]="","",ROW()-2)</f>
        <v/>
      </c>
    </row>
    <row r="719" spans="1:49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19" s="66" t="str">
        <f>IF(OR(NOTA[[#This Row],[QTY]]="",NOTA[[#This Row],[HARGA SATUAN]]="",),"",NOTA[[#This Row],[QTY]]*NOTA[[#This Row],[HARGA SATUAN]])</f>
        <v/>
      </c>
      <c r="AH719" s="60" t="str">
        <f ca="1">IF(NOTA[ID_H]="","",INDEX(NOTA[TANGGAL],MATCH(,INDIRECT(ADDRESS(ROW(NOTA[TANGGAL]),COLUMN(NOTA[TANGGAL]))&amp;":"&amp;ADDRESS(ROW(),COLUMN(NOTA[TANGGAL]))),-1)))</f>
        <v/>
      </c>
      <c r="AI719" s="55" t="str">
        <f ca="1">IF(NOTA[[#This Row],[NAMA BARANG]]="","",INDEX(NOTA[SUPPLIER],MATCH(,INDIRECT(ADDRESS(ROW(NOTA[ID]),COLUMN(NOTA[ID]))&amp;":"&amp;ADDRESS(ROW(),COLUMN(NOTA[ID]))),-1)))</f>
        <v/>
      </c>
      <c r="AJ719" s="55" t="str">
        <f ca="1">IF(NOTA[[#This Row],[ID_H]]="","",IF(NOTA[[#This Row],[FAKTUR]]="",INDIRECT(ADDRESS(ROW()-1,COLUMN())),NOTA[[#This Row],[FAKTUR]]))</f>
        <v/>
      </c>
      <c r="AK719" s="56" t="str">
        <f ca="1">IF(NOTA[[#This Row],[ID]]="","",COUNTIF(NOTA[ID_H],NOTA[[#This Row],[ID_H]]))</f>
        <v/>
      </c>
      <c r="AL719" s="56" t="str">
        <f ca="1">IF(NOTA[[#This Row],[TGL.NOTA]]="",IF(NOTA[[#This Row],[SUPPLIER_H]]="","",AL718),MONTH(NOTA[[#This Row],[TGL.NOTA]]))</f>
        <v/>
      </c>
      <c r="AM719" s="56" t="str">
        <f>LOWER(SUBSTITUTE(SUBSTITUTE(SUBSTITUTE(SUBSTITUTE(SUBSTITUTE(SUBSTITUTE(SUBSTITUTE(SUBSTITUTE(SUBSTITUTE(NOTA[NAMA BARANG]," ",),".",""),"-",""),"(",""),")",""),",",""),"/",""),"""",""),"+",""))</f>
        <v/>
      </c>
      <c r="AN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9" s="56" t="str">
        <f>IF(NOTA[[#This Row],[CONCAT4]]="","",_xlfn.IFNA(MATCH(NOTA[[#This Row],[CONCAT4]],[2]!RAW[CONCAT_H],0),FALSE))</f>
        <v/>
      </c>
      <c r="AR719" s="56" t="str">
        <f>IF(NOTA[[#This Row],[CONCAT1]]="","",MATCH(NOTA[[#This Row],[CONCAT1]],[3]!db[NB NOTA_C],0))</f>
        <v/>
      </c>
      <c r="AS719" s="56" t="str">
        <f>IF(NOTA[[#This Row],[QTY/ CTN]]="","",TRUE)</f>
        <v/>
      </c>
      <c r="AT719" s="56" t="str">
        <f ca="1">IF(NOTA[[#This Row],[ID_H]]="","",IF(NOTA[[#This Row],[Column3]]=TRUE,NOTA[[#This Row],[QTY/ CTN]],INDEX([3]!db[QTY/ CTN],NOTA[[#This Row],[//DB]])))</f>
        <v/>
      </c>
      <c r="AU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9" s="56" t="str">
        <f ca="1">IF(NOTA[[#This Row],[ID_H]]="","",MATCH(NOTA[[#This Row],[NB NOTA_C_QTY]],[4]!db[NB NOTA_C_QTY+F],0))</f>
        <v/>
      </c>
      <c r="AW719" s="68" t="str">
        <f ca="1">IF(NOTA[[#This Row],[NB NOTA_C_QTY]]="","",ROW()-2)</f>
        <v/>
      </c>
    </row>
    <row r="720" spans="1:49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0" s="66" t="str">
        <f>IF(OR(NOTA[[#This Row],[QTY]]="",NOTA[[#This Row],[HARGA SATUAN]]="",),"",NOTA[[#This Row],[QTY]]*NOTA[[#This Row],[HARGA SATUAN]])</f>
        <v/>
      </c>
      <c r="AH720" s="60" t="str">
        <f ca="1">IF(NOTA[ID_H]="","",INDEX(NOTA[TANGGAL],MATCH(,INDIRECT(ADDRESS(ROW(NOTA[TANGGAL]),COLUMN(NOTA[TANGGAL]))&amp;":"&amp;ADDRESS(ROW(),COLUMN(NOTA[TANGGAL]))),-1)))</f>
        <v/>
      </c>
      <c r="AI720" s="55" t="str">
        <f ca="1">IF(NOTA[[#This Row],[NAMA BARANG]]="","",INDEX(NOTA[SUPPLIER],MATCH(,INDIRECT(ADDRESS(ROW(NOTA[ID]),COLUMN(NOTA[ID]))&amp;":"&amp;ADDRESS(ROW(),COLUMN(NOTA[ID]))),-1)))</f>
        <v/>
      </c>
      <c r="AJ720" s="55" t="str">
        <f ca="1">IF(NOTA[[#This Row],[ID_H]]="","",IF(NOTA[[#This Row],[FAKTUR]]="",INDIRECT(ADDRESS(ROW()-1,COLUMN())),NOTA[[#This Row],[FAKTUR]]))</f>
        <v/>
      </c>
      <c r="AK720" s="56" t="str">
        <f ca="1">IF(NOTA[[#This Row],[ID]]="","",COUNTIF(NOTA[ID_H],NOTA[[#This Row],[ID_H]]))</f>
        <v/>
      </c>
      <c r="AL720" s="56" t="str">
        <f ca="1">IF(NOTA[[#This Row],[TGL.NOTA]]="",IF(NOTA[[#This Row],[SUPPLIER_H]]="","",AL719),MONTH(NOTA[[#This Row],[TGL.NOTA]]))</f>
        <v/>
      </c>
      <c r="AM720" s="56" t="str">
        <f>LOWER(SUBSTITUTE(SUBSTITUTE(SUBSTITUTE(SUBSTITUTE(SUBSTITUTE(SUBSTITUTE(SUBSTITUTE(SUBSTITUTE(SUBSTITUTE(NOTA[NAMA BARANG]," ",),".",""),"-",""),"(",""),")",""),",",""),"/",""),"""",""),"+",""))</f>
        <v/>
      </c>
      <c r="AN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56" t="str">
        <f>IF(NOTA[[#This Row],[CONCAT4]]="","",_xlfn.IFNA(MATCH(NOTA[[#This Row],[CONCAT4]],[2]!RAW[CONCAT_H],0),FALSE))</f>
        <v/>
      </c>
      <c r="AR720" s="56" t="str">
        <f>IF(NOTA[[#This Row],[CONCAT1]]="","",MATCH(NOTA[[#This Row],[CONCAT1]],[3]!db[NB NOTA_C],0))</f>
        <v/>
      </c>
      <c r="AS720" s="56" t="str">
        <f>IF(NOTA[[#This Row],[QTY/ CTN]]="","",TRUE)</f>
        <v/>
      </c>
      <c r="AT720" s="56" t="str">
        <f ca="1">IF(NOTA[[#This Row],[ID_H]]="","",IF(NOTA[[#This Row],[Column3]]=TRUE,NOTA[[#This Row],[QTY/ CTN]],INDEX([3]!db[QTY/ CTN],NOTA[[#This Row],[//DB]])))</f>
        <v/>
      </c>
      <c r="AU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0" s="56" t="str">
        <f ca="1">IF(NOTA[[#This Row],[ID_H]]="","",MATCH(NOTA[[#This Row],[NB NOTA_C_QTY]],[4]!db[NB NOTA_C_QTY+F],0))</f>
        <v/>
      </c>
      <c r="AW720" s="68" t="str">
        <f ca="1">IF(NOTA[[#This Row],[NB NOTA_C_QTY]]="","",ROW()-2)</f>
        <v/>
      </c>
    </row>
    <row r="721" spans="1:49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1" s="66" t="str">
        <f>IF(OR(NOTA[[#This Row],[QTY]]="",NOTA[[#This Row],[HARGA SATUAN]]="",),"",NOTA[[#This Row],[QTY]]*NOTA[[#This Row],[HARGA SATUAN]])</f>
        <v/>
      </c>
      <c r="AH721" s="60" t="str">
        <f ca="1">IF(NOTA[ID_H]="","",INDEX(NOTA[TANGGAL],MATCH(,INDIRECT(ADDRESS(ROW(NOTA[TANGGAL]),COLUMN(NOTA[TANGGAL]))&amp;":"&amp;ADDRESS(ROW(),COLUMN(NOTA[TANGGAL]))),-1)))</f>
        <v/>
      </c>
      <c r="AI721" s="55" t="str">
        <f ca="1">IF(NOTA[[#This Row],[NAMA BARANG]]="","",INDEX(NOTA[SUPPLIER],MATCH(,INDIRECT(ADDRESS(ROW(NOTA[ID]),COLUMN(NOTA[ID]))&amp;":"&amp;ADDRESS(ROW(),COLUMN(NOTA[ID]))),-1)))</f>
        <v/>
      </c>
      <c r="AJ721" s="55" t="str">
        <f ca="1">IF(NOTA[[#This Row],[ID_H]]="","",IF(NOTA[[#This Row],[FAKTUR]]="",INDIRECT(ADDRESS(ROW()-1,COLUMN())),NOTA[[#This Row],[FAKTUR]]))</f>
        <v/>
      </c>
      <c r="AK721" s="56" t="str">
        <f ca="1">IF(NOTA[[#This Row],[ID]]="","",COUNTIF(NOTA[ID_H],NOTA[[#This Row],[ID_H]]))</f>
        <v/>
      </c>
      <c r="AL721" s="56" t="str">
        <f ca="1">IF(NOTA[[#This Row],[TGL.NOTA]]="",IF(NOTA[[#This Row],[SUPPLIER_H]]="","",AL720),MONTH(NOTA[[#This Row],[TGL.NOTA]]))</f>
        <v/>
      </c>
      <c r="AM721" s="56" t="str">
        <f>LOWER(SUBSTITUTE(SUBSTITUTE(SUBSTITUTE(SUBSTITUTE(SUBSTITUTE(SUBSTITUTE(SUBSTITUTE(SUBSTITUTE(SUBSTITUTE(NOTA[NAMA BARANG]," ",),".",""),"-",""),"(",""),")",""),",",""),"/",""),"""",""),"+",""))</f>
        <v/>
      </c>
      <c r="AN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56" t="str">
        <f>IF(NOTA[[#This Row],[CONCAT4]]="","",_xlfn.IFNA(MATCH(NOTA[[#This Row],[CONCAT4]],[2]!RAW[CONCAT_H],0),FALSE))</f>
        <v/>
      </c>
      <c r="AR721" s="56" t="str">
        <f>IF(NOTA[[#This Row],[CONCAT1]]="","",MATCH(NOTA[[#This Row],[CONCAT1]],[3]!db[NB NOTA_C],0))</f>
        <v/>
      </c>
      <c r="AS721" s="56" t="str">
        <f>IF(NOTA[[#This Row],[QTY/ CTN]]="","",TRUE)</f>
        <v/>
      </c>
      <c r="AT721" s="56" t="str">
        <f ca="1">IF(NOTA[[#This Row],[ID_H]]="","",IF(NOTA[[#This Row],[Column3]]=TRUE,NOTA[[#This Row],[QTY/ CTN]],INDEX([3]!db[QTY/ CTN],NOTA[[#This Row],[//DB]])))</f>
        <v/>
      </c>
      <c r="AU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1" s="56" t="str">
        <f ca="1">IF(NOTA[[#This Row],[ID_H]]="","",MATCH(NOTA[[#This Row],[NB NOTA_C_QTY]],[4]!db[NB NOTA_C_QTY+F],0))</f>
        <v/>
      </c>
      <c r="AW721" s="68" t="str">
        <f ca="1">IF(NOTA[[#This Row],[NB NOTA_C_QTY]]="","",ROW()-2)</f>
        <v/>
      </c>
    </row>
    <row r="722" spans="1:49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2" s="66" t="str">
        <f>IF(OR(NOTA[[#This Row],[QTY]]="",NOTA[[#This Row],[HARGA SATUAN]]="",),"",NOTA[[#This Row],[QTY]]*NOTA[[#This Row],[HARGA SATUAN]])</f>
        <v/>
      </c>
      <c r="AH722" s="60" t="str">
        <f ca="1">IF(NOTA[ID_H]="","",INDEX(NOTA[TANGGAL],MATCH(,INDIRECT(ADDRESS(ROW(NOTA[TANGGAL]),COLUMN(NOTA[TANGGAL]))&amp;":"&amp;ADDRESS(ROW(),COLUMN(NOTA[TANGGAL]))),-1)))</f>
        <v/>
      </c>
      <c r="AI722" s="55" t="str">
        <f ca="1">IF(NOTA[[#This Row],[NAMA BARANG]]="","",INDEX(NOTA[SUPPLIER],MATCH(,INDIRECT(ADDRESS(ROW(NOTA[ID]),COLUMN(NOTA[ID]))&amp;":"&amp;ADDRESS(ROW(),COLUMN(NOTA[ID]))),-1)))</f>
        <v/>
      </c>
      <c r="AJ722" s="55" t="str">
        <f ca="1">IF(NOTA[[#This Row],[ID_H]]="","",IF(NOTA[[#This Row],[FAKTUR]]="",INDIRECT(ADDRESS(ROW()-1,COLUMN())),NOTA[[#This Row],[FAKTUR]]))</f>
        <v/>
      </c>
      <c r="AK722" s="56" t="str">
        <f ca="1">IF(NOTA[[#This Row],[ID]]="","",COUNTIF(NOTA[ID_H],NOTA[[#This Row],[ID_H]]))</f>
        <v/>
      </c>
      <c r="AL722" s="56" t="str">
        <f ca="1">IF(NOTA[[#This Row],[TGL.NOTA]]="",IF(NOTA[[#This Row],[SUPPLIER_H]]="","",AL721),MONTH(NOTA[[#This Row],[TGL.NOTA]]))</f>
        <v/>
      </c>
      <c r="AM722" s="56" t="str">
        <f>LOWER(SUBSTITUTE(SUBSTITUTE(SUBSTITUTE(SUBSTITUTE(SUBSTITUTE(SUBSTITUTE(SUBSTITUTE(SUBSTITUTE(SUBSTITUTE(NOTA[NAMA BARANG]," ",),".",""),"-",""),"(",""),")",""),",",""),"/",""),"""",""),"+",""))</f>
        <v/>
      </c>
      <c r="AN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2" s="56" t="str">
        <f>IF(NOTA[[#This Row],[CONCAT4]]="","",_xlfn.IFNA(MATCH(NOTA[[#This Row],[CONCAT4]],[2]!RAW[CONCAT_H],0),FALSE))</f>
        <v/>
      </c>
      <c r="AR722" s="56" t="str">
        <f>IF(NOTA[[#This Row],[CONCAT1]]="","",MATCH(NOTA[[#This Row],[CONCAT1]],[3]!db[NB NOTA_C],0))</f>
        <v/>
      </c>
      <c r="AS722" s="56" t="str">
        <f>IF(NOTA[[#This Row],[QTY/ CTN]]="","",TRUE)</f>
        <v/>
      </c>
      <c r="AT722" s="56" t="str">
        <f ca="1">IF(NOTA[[#This Row],[ID_H]]="","",IF(NOTA[[#This Row],[Column3]]=TRUE,NOTA[[#This Row],[QTY/ CTN]],INDEX([3]!db[QTY/ CTN],NOTA[[#This Row],[//DB]])))</f>
        <v/>
      </c>
      <c r="AU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2" s="56" t="str">
        <f ca="1">IF(NOTA[[#This Row],[ID_H]]="","",MATCH(NOTA[[#This Row],[NB NOTA_C_QTY]],[4]!db[NB NOTA_C_QTY+F],0))</f>
        <v/>
      </c>
      <c r="AW722" s="68" t="str">
        <f ca="1">IF(NOTA[[#This Row],[NB NOTA_C_QTY]]="","",ROW()-2)</f>
        <v/>
      </c>
    </row>
    <row r="723" spans="1:49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3" s="66" t="str">
        <f>IF(OR(NOTA[[#This Row],[QTY]]="",NOTA[[#This Row],[HARGA SATUAN]]="",),"",NOTA[[#This Row],[QTY]]*NOTA[[#This Row],[HARGA SATUAN]])</f>
        <v/>
      </c>
      <c r="AH723" s="60" t="str">
        <f ca="1">IF(NOTA[ID_H]="","",INDEX(NOTA[TANGGAL],MATCH(,INDIRECT(ADDRESS(ROW(NOTA[TANGGAL]),COLUMN(NOTA[TANGGAL]))&amp;":"&amp;ADDRESS(ROW(),COLUMN(NOTA[TANGGAL]))),-1)))</f>
        <v/>
      </c>
      <c r="AI723" s="55" t="str">
        <f ca="1">IF(NOTA[[#This Row],[NAMA BARANG]]="","",INDEX(NOTA[SUPPLIER],MATCH(,INDIRECT(ADDRESS(ROW(NOTA[ID]),COLUMN(NOTA[ID]))&amp;":"&amp;ADDRESS(ROW(),COLUMN(NOTA[ID]))),-1)))</f>
        <v/>
      </c>
      <c r="AJ723" s="55" t="str">
        <f ca="1">IF(NOTA[[#This Row],[ID_H]]="","",IF(NOTA[[#This Row],[FAKTUR]]="",INDIRECT(ADDRESS(ROW()-1,COLUMN())),NOTA[[#This Row],[FAKTUR]]))</f>
        <v/>
      </c>
      <c r="AK723" s="56" t="str">
        <f ca="1">IF(NOTA[[#This Row],[ID]]="","",COUNTIF(NOTA[ID_H],NOTA[[#This Row],[ID_H]]))</f>
        <v/>
      </c>
      <c r="AL723" s="56" t="str">
        <f ca="1">IF(NOTA[[#This Row],[TGL.NOTA]]="",IF(NOTA[[#This Row],[SUPPLIER_H]]="","",AL722),MONTH(NOTA[[#This Row],[TGL.NOTA]]))</f>
        <v/>
      </c>
      <c r="AM723" s="56" t="str">
        <f>LOWER(SUBSTITUTE(SUBSTITUTE(SUBSTITUTE(SUBSTITUTE(SUBSTITUTE(SUBSTITUTE(SUBSTITUTE(SUBSTITUTE(SUBSTITUTE(NOTA[NAMA BARANG]," ",),".",""),"-",""),"(",""),")",""),",",""),"/",""),"""",""),"+",""))</f>
        <v/>
      </c>
      <c r="AN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56" t="str">
        <f>IF(NOTA[[#This Row],[CONCAT4]]="","",_xlfn.IFNA(MATCH(NOTA[[#This Row],[CONCAT4]],[2]!RAW[CONCAT_H],0),FALSE))</f>
        <v/>
      </c>
      <c r="AR723" s="56" t="str">
        <f>IF(NOTA[[#This Row],[CONCAT1]]="","",MATCH(NOTA[[#This Row],[CONCAT1]],[3]!db[NB NOTA_C],0))</f>
        <v/>
      </c>
      <c r="AS723" s="56" t="str">
        <f>IF(NOTA[[#This Row],[QTY/ CTN]]="","",TRUE)</f>
        <v/>
      </c>
      <c r="AT723" s="56" t="str">
        <f ca="1">IF(NOTA[[#This Row],[ID_H]]="","",IF(NOTA[[#This Row],[Column3]]=TRUE,NOTA[[#This Row],[QTY/ CTN]],INDEX([3]!db[QTY/ CTN],NOTA[[#This Row],[//DB]])))</f>
        <v/>
      </c>
      <c r="AU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3" s="56" t="str">
        <f ca="1">IF(NOTA[[#This Row],[ID_H]]="","",MATCH(NOTA[[#This Row],[NB NOTA_C_QTY]],[4]!db[NB NOTA_C_QTY+F],0))</f>
        <v/>
      </c>
      <c r="AW723" s="68" t="str">
        <f ca="1">IF(NOTA[[#This Row],[NB NOTA_C_QTY]]="","",ROW()-2)</f>
        <v/>
      </c>
    </row>
    <row r="724" spans="1:49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4" s="66" t="str">
        <f>IF(OR(NOTA[[#This Row],[QTY]]="",NOTA[[#This Row],[HARGA SATUAN]]="",),"",NOTA[[#This Row],[QTY]]*NOTA[[#This Row],[HARGA SATUAN]])</f>
        <v/>
      </c>
      <c r="AH724" s="60" t="str">
        <f ca="1">IF(NOTA[ID_H]="","",INDEX(NOTA[TANGGAL],MATCH(,INDIRECT(ADDRESS(ROW(NOTA[TANGGAL]),COLUMN(NOTA[TANGGAL]))&amp;":"&amp;ADDRESS(ROW(),COLUMN(NOTA[TANGGAL]))),-1)))</f>
        <v/>
      </c>
      <c r="AI724" s="55" t="str">
        <f ca="1">IF(NOTA[[#This Row],[NAMA BARANG]]="","",INDEX(NOTA[SUPPLIER],MATCH(,INDIRECT(ADDRESS(ROW(NOTA[ID]),COLUMN(NOTA[ID]))&amp;":"&amp;ADDRESS(ROW(),COLUMN(NOTA[ID]))),-1)))</f>
        <v/>
      </c>
      <c r="AJ724" s="55" t="str">
        <f ca="1">IF(NOTA[[#This Row],[ID_H]]="","",IF(NOTA[[#This Row],[FAKTUR]]="",INDIRECT(ADDRESS(ROW()-1,COLUMN())),NOTA[[#This Row],[FAKTUR]]))</f>
        <v/>
      </c>
      <c r="AK724" s="56" t="str">
        <f ca="1">IF(NOTA[[#This Row],[ID]]="","",COUNTIF(NOTA[ID_H],NOTA[[#This Row],[ID_H]]))</f>
        <v/>
      </c>
      <c r="AL724" s="56" t="str">
        <f ca="1">IF(NOTA[[#This Row],[TGL.NOTA]]="",IF(NOTA[[#This Row],[SUPPLIER_H]]="","",AL723),MONTH(NOTA[[#This Row],[TGL.NOTA]]))</f>
        <v/>
      </c>
      <c r="AM724" s="56" t="str">
        <f>LOWER(SUBSTITUTE(SUBSTITUTE(SUBSTITUTE(SUBSTITUTE(SUBSTITUTE(SUBSTITUTE(SUBSTITUTE(SUBSTITUTE(SUBSTITUTE(NOTA[NAMA BARANG]," ",),".",""),"-",""),"(",""),")",""),",",""),"/",""),"""",""),"+",""))</f>
        <v/>
      </c>
      <c r="AN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56" t="str">
        <f>IF(NOTA[[#This Row],[CONCAT4]]="","",_xlfn.IFNA(MATCH(NOTA[[#This Row],[CONCAT4]],[2]!RAW[CONCAT_H],0),FALSE))</f>
        <v/>
      </c>
      <c r="AR724" s="56" t="str">
        <f>IF(NOTA[[#This Row],[CONCAT1]]="","",MATCH(NOTA[[#This Row],[CONCAT1]],[3]!db[NB NOTA_C],0))</f>
        <v/>
      </c>
      <c r="AS724" s="56" t="str">
        <f>IF(NOTA[[#This Row],[QTY/ CTN]]="","",TRUE)</f>
        <v/>
      </c>
      <c r="AT724" s="56" t="str">
        <f ca="1">IF(NOTA[[#This Row],[ID_H]]="","",IF(NOTA[[#This Row],[Column3]]=TRUE,NOTA[[#This Row],[QTY/ CTN]],INDEX([3]!db[QTY/ CTN],NOTA[[#This Row],[//DB]])))</f>
        <v/>
      </c>
      <c r="AU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4" s="56" t="str">
        <f ca="1">IF(NOTA[[#This Row],[ID_H]]="","",MATCH(NOTA[[#This Row],[NB NOTA_C_QTY]],[4]!db[NB NOTA_C_QTY+F],0))</f>
        <v/>
      </c>
      <c r="AW724" s="68" t="str">
        <f ca="1">IF(NOTA[[#This Row],[NB NOTA_C_QTY]]="","",ROW()-2)</f>
        <v/>
      </c>
    </row>
    <row r="725" spans="1:49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5" s="66" t="str">
        <f>IF(OR(NOTA[[#This Row],[QTY]]="",NOTA[[#This Row],[HARGA SATUAN]]="",),"",NOTA[[#This Row],[QTY]]*NOTA[[#This Row],[HARGA SATUAN]])</f>
        <v/>
      </c>
      <c r="AH725" s="60" t="str">
        <f ca="1">IF(NOTA[ID_H]="","",INDEX(NOTA[TANGGAL],MATCH(,INDIRECT(ADDRESS(ROW(NOTA[TANGGAL]),COLUMN(NOTA[TANGGAL]))&amp;":"&amp;ADDRESS(ROW(),COLUMN(NOTA[TANGGAL]))),-1)))</f>
        <v/>
      </c>
      <c r="AI725" s="55" t="str">
        <f ca="1">IF(NOTA[[#This Row],[NAMA BARANG]]="","",INDEX(NOTA[SUPPLIER],MATCH(,INDIRECT(ADDRESS(ROW(NOTA[ID]),COLUMN(NOTA[ID]))&amp;":"&amp;ADDRESS(ROW(),COLUMN(NOTA[ID]))),-1)))</f>
        <v/>
      </c>
      <c r="AJ725" s="55" t="str">
        <f ca="1">IF(NOTA[[#This Row],[ID_H]]="","",IF(NOTA[[#This Row],[FAKTUR]]="",INDIRECT(ADDRESS(ROW()-1,COLUMN())),NOTA[[#This Row],[FAKTUR]]))</f>
        <v/>
      </c>
      <c r="AK725" s="56" t="str">
        <f ca="1">IF(NOTA[[#This Row],[ID]]="","",COUNTIF(NOTA[ID_H],NOTA[[#This Row],[ID_H]]))</f>
        <v/>
      </c>
      <c r="AL725" s="56" t="str">
        <f ca="1">IF(NOTA[[#This Row],[TGL.NOTA]]="",IF(NOTA[[#This Row],[SUPPLIER_H]]="","",AL724),MONTH(NOTA[[#This Row],[TGL.NOTA]]))</f>
        <v/>
      </c>
      <c r="AM725" s="56" t="str">
        <f>LOWER(SUBSTITUTE(SUBSTITUTE(SUBSTITUTE(SUBSTITUTE(SUBSTITUTE(SUBSTITUTE(SUBSTITUTE(SUBSTITUTE(SUBSTITUTE(NOTA[NAMA BARANG]," ",),".",""),"-",""),"(",""),")",""),",",""),"/",""),"""",""),"+",""))</f>
        <v/>
      </c>
      <c r="AN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5" s="56" t="str">
        <f>IF(NOTA[[#This Row],[CONCAT4]]="","",_xlfn.IFNA(MATCH(NOTA[[#This Row],[CONCAT4]],[2]!RAW[CONCAT_H],0),FALSE))</f>
        <v/>
      </c>
      <c r="AR725" s="56" t="str">
        <f>IF(NOTA[[#This Row],[CONCAT1]]="","",MATCH(NOTA[[#This Row],[CONCAT1]],[3]!db[NB NOTA_C],0))</f>
        <v/>
      </c>
      <c r="AS725" s="56" t="str">
        <f>IF(NOTA[[#This Row],[QTY/ CTN]]="","",TRUE)</f>
        <v/>
      </c>
      <c r="AT725" s="56" t="str">
        <f ca="1">IF(NOTA[[#This Row],[ID_H]]="","",IF(NOTA[[#This Row],[Column3]]=TRUE,NOTA[[#This Row],[QTY/ CTN]],INDEX([3]!db[QTY/ CTN],NOTA[[#This Row],[//DB]])))</f>
        <v/>
      </c>
      <c r="AU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5" s="56" t="str">
        <f ca="1">IF(NOTA[[#This Row],[ID_H]]="","",MATCH(NOTA[[#This Row],[NB NOTA_C_QTY]],[4]!db[NB NOTA_C_QTY+F],0))</f>
        <v/>
      </c>
      <c r="AW725" s="68" t="str">
        <f ca="1">IF(NOTA[[#This Row],[NB NOTA_C_QTY]]="","",ROW()-2)</f>
        <v/>
      </c>
    </row>
    <row r="726" spans="1:49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6" s="66" t="str">
        <f>IF(OR(NOTA[[#This Row],[QTY]]="",NOTA[[#This Row],[HARGA SATUAN]]="",),"",NOTA[[#This Row],[QTY]]*NOTA[[#This Row],[HARGA SATUAN]])</f>
        <v/>
      </c>
      <c r="AH726" s="60" t="str">
        <f ca="1">IF(NOTA[ID_H]="","",INDEX(NOTA[TANGGAL],MATCH(,INDIRECT(ADDRESS(ROW(NOTA[TANGGAL]),COLUMN(NOTA[TANGGAL]))&amp;":"&amp;ADDRESS(ROW(),COLUMN(NOTA[TANGGAL]))),-1)))</f>
        <v/>
      </c>
      <c r="AI726" s="55" t="str">
        <f ca="1">IF(NOTA[[#This Row],[NAMA BARANG]]="","",INDEX(NOTA[SUPPLIER],MATCH(,INDIRECT(ADDRESS(ROW(NOTA[ID]),COLUMN(NOTA[ID]))&amp;":"&amp;ADDRESS(ROW(),COLUMN(NOTA[ID]))),-1)))</f>
        <v/>
      </c>
      <c r="AJ726" s="55" t="str">
        <f ca="1">IF(NOTA[[#This Row],[ID_H]]="","",IF(NOTA[[#This Row],[FAKTUR]]="",INDIRECT(ADDRESS(ROW()-1,COLUMN())),NOTA[[#This Row],[FAKTUR]]))</f>
        <v/>
      </c>
      <c r="AK726" s="56" t="str">
        <f ca="1">IF(NOTA[[#This Row],[ID]]="","",COUNTIF(NOTA[ID_H],NOTA[[#This Row],[ID_H]]))</f>
        <v/>
      </c>
      <c r="AL726" s="56" t="str">
        <f ca="1">IF(NOTA[[#This Row],[TGL.NOTA]]="",IF(NOTA[[#This Row],[SUPPLIER_H]]="","",AL725),MONTH(NOTA[[#This Row],[TGL.NOTA]]))</f>
        <v/>
      </c>
      <c r="AM726" s="56" t="str">
        <f>LOWER(SUBSTITUTE(SUBSTITUTE(SUBSTITUTE(SUBSTITUTE(SUBSTITUTE(SUBSTITUTE(SUBSTITUTE(SUBSTITUTE(SUBSTITUTE(NOTA[NAMA BARANG]," ",),".",""),"-",""),"(",""),")",""),",",""),"/",""),"""",""),"+",""))</f>
        <v/>
      </c>
      <c r="AN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56" t="str">
        <f>IF(NOTA[[#This Row],[CONCAT4]]="","",_xlfn.IFNA(MATCH(NOTA[[#This Row],[CONCAT4]],[2]!RAW[CONCAT_H],0),FALSE))</f>
        <v/>
      </c>
      <c r="AR726" s="56" t="str">
        <f>IF(NOTA[[#This Row],[CONCAT1]]="","",MATCH(NOTA[[#This Row],[CONCAT1]],[3]!db[NB NOTA_C],0))</f>
        <v/>
      </c>
      <c r="AS726" s="56" t="str">
        <f>IF(NOTA[[#This Row],[QTY/ CTN]]="","",TRUE)</f>
        <v/>
      </c>
      <c r="AT726" s="56" t="str">
        <f ca="1">IF(NOTA[[#This Row],[ID_H]]="","",IF(NOTA[[#This Row],[Column3]]=TRUE,NOTA[[#This Row],[QTY/ CTN]],INDEX([3]!db[QTY/ CTN],NOTA[[#This Row],[//DB]])))</f>
        <v/>
      </c>
      <c r="AU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6" s="56" t="str">
        <f ca="1">IF(NOTA[[#This Row],[ID_H]]="","",MATCH(NOTA[[#This Row],[NB NOTA_C_QTY]],[4]!db[NB NOTA_C_QTY+F],0))</f>
        <v/>
      </c>
      <c r="AW726" s="68" t="str">
        <f ca="1">IF(NOTA[[#This Row],[NB NOTA_C_QTY]]="","",ROW()-2)</f>
        <v/>
      </c>
    </row>
    <row r="727" spans="1:49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7" s="66" t="str">
        <f>IF(OR(NOTA[[#This Row],[QTY]]="",NOTA[[#This Row],[HARGA SATUAN]]="",),"",NOTA[[#This Row],[QTY]]*NOTA[[#This Row],[HARGA SATUAN]])</f>
        <v/>
      </c>
      <c r="AH727" s="60" t="str">
        <f ca="1">IF(NOTA[ID_H]="","",INDEX(NOTA[TANGGAL],MATCH(,INDIRECT(ADDRESS(ROW(NOTA[TANGGAL]),COLUMN(NOTA[TANGGAL]))&amp;":"&amp;ADDRESS(ROW(),COLUMN(NOTA[TANGGAL]))),-1)))</f>
        <v/>
      </c>
      <c r="AI727" s="55" t="str">
        <f ca="1">IF(NOTA[[#This Row],[NAMA BARANG]]="","",INDEX(NOTA[SUPPLIER],MATCH(,INDIRECT(ADDRESS(ROW(NOTA[ID]),COLUMN(NOTA[ID]))&amp;":"&amp;ADDRESS(ROW(),COLUMN(NOTA[ID]))),-1)))</f>
        <v/>
      </c>
      <c r="AJ727" s="55" t="str">
        <f ca="1">IF(NOTA[[#This Row],[ID_H]]="","",IF(NOTA[[#This Row],[FAKTUR]]="",INDIRECT(ADDRESS(ROW()-1,COLUMN())),NOTA[[#This Row],[FAKTUR]]))</f>
        <v/>
      </c>
      <c r="AK727" s="56" t="str">
        <f ca="1">IF(NOTA[[#This Row],[ID]]="","",COUNTIF(NOTA[ID_H],NOTA[[#This Row],[ID_H]]))</f>
        <v/>
      </c>
      <c r="AL727" s="56" t="str">
        <f ca="1">IF(NOTA[[#This Row],[TGL.NOTA]]="",IF(NOTA[[#This Row],[SUPPLIER_H]]="","",AL726),MONTH(NOTA[[#This Row],[TGL.NOTA]]))</f>
        <v/>
      </c>
      <c r="AM727" s="56" t="str">
        <f>LOWER(SUBSTITUTE(SUBSTITUTE(SUBSTITUTE(SUBSTITUTE(SUBSTITUTE(SUBSTITUTE(SUBSTITUTE(SUBSTITUTE(SUBSTITUTE(NOTA[NAMA BARANG]," ",),".",""),"-",""),"(",""),")",""),",",""),"/",""),"""",""),"+",""))</f>
        <v/>
      </c>
      <c r="AN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56" t="str">
        <f>IF(NOTA[[#This Row],[CONCAT4]]="","",_xlfn.IFNA(MATCH(NOTA[[#This Row],[CONCAT4]],[2]!RAW[CONCAT_H],0),FALSE))</f>
        <v/>
      </c>
      <c r="AR727" s="56" t="str">
        <f>IF(NOTA[[#This Row],[CONCAT1]]="","",MATCH(NOTA[[#This Row],[CONCAT1]],[3]!db[NB NOTA_C],0))</f>
        <v/>
      </c>
      <c r="AS727" s="56" t="str">
        <f>IF(NOTA[[#This Row],[QTY/ CTN]]="","",TRUE)</f>
        <v/>
      </c>
      <c r="AT727" s="56" t="str">
        <f ca="1">IF(NOTA[[#This Row],[ID_H]]="","",IF(NOTA[[#This Row],[Column3]]=TRUE,NOTA[[#This Row],[QTY/ CTN]],INDEX([3]!db[QTY/ CTN],NOTA[[#This Row],[//DB]])))</f>
        <v/>
      </c>
      <c r="AU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7" s="56" t="str">
        <f ca="1">IF(NOTA[[#This Row],[ID_H]]="","",MATCH(NOTA[[#This Row],[NB NOTA_C_QTY]],[4]!db[NB NOTA_C_QTY+F],0))</f>
        <v/>
      </c>
      <c r="AW727" s="68" t="str">
        <f ca="1">IF(NOTA[[#This Row],[NB NOTA_C_QTY]]="","",ROW()-2)</f>
        <v/>
      </c>
    </row>
    <row r="728" spans="1:49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8" s="66" t="str">
        <f>IF(OR(NOTA[[#This Row],[QTY]]="",NOTA[[#This Row],[HARGA SATUAN]]="",),"",NOTA[[#This Row],[QTY]]*NOTA[[#This Row],[HARGA SATUAN]])</f>
        <v/>
      </c>
      <c r="AH728" s="60" t="str">
        <f ca="1">IF(NOTA[ID_H]="","",INDEX(NOTA[TANGGAL],MATCH(,INDIRECT(ADDRESS(ROW(NOTA[TANGGAL]),COLUMN(NOTA[TANGGAL]))&amp;":"&amp;ADDRESS(ROW(),COLUMN(NOTA[TANGGAL]))),-1)))</f>
        <v/>
      </c>
      <c r="AI728" s="55" t="str">
        <f ca="1">IF(NOTA[[#This Row],[NAMA BARANG]]="","",INDEX(NOTA[SUPPLIER],MATCH(,INDIRECT(ADDRESS(ROW(NOTA[ID]),COLUMN(NOTA[ID]))&amp;":"&amp;ADDRESS(ROW(),COLUMN(NOTA[ID]))),-1)))</f>
        <v/>
      </c>
      <c r="AJ728" s="55" t="str">
        <f ca="1">IF(NOTA[[#This Row],[ID_H]]="","",IF(NOTA[[#This Row],[FAKTUR]]="",INDIRECT(ADDRESS(ROW()-1,COLUMN())),NOTA[[#This Row],[FAKTUR]]))</f>
        <v/>
      </c>
      <c r="AK728" s="56" t="str">
        <f ca="1">IF(NOTA[[#This Row],[ID]]="","",COUNTIF(NOTA[ID_H],NOTA[[#This Row],[ID_H]]))</f>
        <v/>
      </c>
      <c r="AL728" s="56" t="str">
        <f ca="1">IF(NOTA[[#This Row],[TGL.NOTA]]="",IF(NOTA[[#This Row],[SUPPLIER_H]]="","",AL727),MONTH(NOTA[[#This Row],[TGL.NOTA]]))</f>
        <v/>
      </c>
      <c r="AM728" s="56" t="str">
        <f>LOWER(SUBSTITUTE(SUBSTITUTE(SUBSTITUTE(SUBSTITUTE(SUBSTITUTE(SUBSTITUTE(SUBSTITUTE(SUBSTITUTE(SUBSTITUTE(NOTA[NAMA BARANG]," ",),".",""),"-",""),"(",""),")",""),",",""),"/",""),"""",""),"+",""))</f>
        <v/>
      </c>
      <c r="AN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56" t="str">
        <f>IF(NOTA[[#This Row],[CONCAT4]]="","",_xlfn.IFNA(MATCH(NOTA[[#This Row],[CONCAT4]],[2]!RAW[CONCAT_H],0),FALSE))</f>
        <v/>
      </c>
      <c r="AR728" s="56" t="str">
        <f>IF(NOTA[[#This Row],[CONCAT1]]="","",MATCH(NOTA[[#This Row],[CONCAT1]],[3]!db[NB NOTA_C],0))</f>
        <v/>
      </c>
      <c r="AS728" s="56" t="str">
        <f>IF(NOTA[[#This Row],[QTY/ CTN]]="","",TRUE)</f>
        <v/>
      </c>
      <c r="AT728" s="56" t="str">
        <f ca="1">IF(NOTA[[#This Row],[ID_H]]="","",IF(NOTA[[#This Row],[Column3]]=TRUE,NOTA[[#This Row],[QTY/ CTN]],INDEX([3]!db[QTY/ CTN],NOTA[[#This Row],[//DB]])))</f>
        <v/>
      </c>
      <c r="AU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8" s="56" t="str">
        <f ca="1">IF(NOTA[[#This Row],[ID_H]]="","",MATCH(NOTA[[#This Row],[NB NOTA_C_QTY]],[4]!db[NB NOTA_C_QTY+F],0))</f>
        <v/>
      </c>
      <c r="AW728" s="68" t="str">
        <f ca="1">IF(NOTA[[#This Row],[NB NOTA_C_QTY]]="","",ROW()-2)</f>
        <v/>
      </c>
    </row>
    <row r="729" spans="1:49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29" s="66" t="str">
        <f>IF(OR(NOTA[[#This Row],[QTY]]="",NOTA[[#This Row],[HARGA SATUAN]]="",),"",NOTA[[#This Row],[QTY]]*NOTA[[#This Row],[HARGA SATUAN]])</f>
        <v/>
      </c>
      <c r="AH729" s="60" t="str">
        <f ca="1">IF(NOTA[ID_H]="","",INDEX(NOTA[TANGGAL],MATCH(,INDIRECT(ADDRESS(ROW(NOTA[TANGGAL]),COLUMN(NOTA[TANGGAL]))&amp;":"&amp;ADDRESS(ROW(),COLUMN(NOTA[TANGGAL]))),-1)))</f>
        <v/>
      </c>
      <c r="AI729" s="55" t="str">
        <f ca="1">IF(NOTA[[#This Row],[NAMA BARANG]]="","",INDEX(NOTA[SUPPLIER],MATCH(,INDIRECT(ADDRESS(ROW(NOTA[ID]),COLUMN(NOTA[ID]))&amp;":"&amp;ADDRESS(ROW(),COLUMN(NOTA[ID]))),-1)))</f>
        <v/>
      </c>
      <c r="AJ729" s="55" t="str">
        <f ca="1">IF(NOTA[[#This Row],[ID_H]]="","",IF(NOTA[[#This Row],[FAKTUR]]="",INDIRECT(ADDRESS(ROW()-1,COLUMN())),NOTA[[#This Row],[FAKTUR]]))</f>
        <v/>
      </c>
      <c r="AK729" s="56" t="str">
        <f ca="1">IF(NOTA[[#This Row],[ID]]="","",COUNTIF(NOTA[ID_H],NOTA[[#This Row],[ID_H]]))</f>
        <v/>
      </c>
      <c r="AL729" s="56" t="str">
        <f ca="1">IF(NOTA[[#This Row],[TGL.NOTA]]="",IF(NOTA[[#This Row],[SUPPLIER_H]]="","",AL728),MONTH(NOTA[[#This Row],[TGL.NOTA]]))</f>
        <v/>
      </c>
      <c r="AM729" s="56" t="str">
        <f>LOWER(SUBSTITUTE(SUBSTITUTE(SUBSTITUTE(SUBSTITUTE(SUBSTITUTE(SUBSTITUTE(SUBSTITUTE(SUBSTITUTE(SUBSTITUTE(NOTA[NAMA BARANG]," ",),".",""),"-",""),"(",""),")",""),",",""),"/",""),"""",""),"+",""))</f>
        <v/>
      </c>
      <c r="AN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9" s="56" t="str">
        <f>IF(NOTA[[#This Row],[CONCAT4]]="","",_xlfn.IFNA(MATCH(NOTA[[#This Row],[CONCAT4]],[2]!RAW[CONCAT_H],0),FALSE))</f>
        <v/>
      </c>
      <c r="AR729" s="56" t="str">
        <f>IF(NOTA[[#This Row],[CONCAT1]]="","",MATCH(NOTA[[#This Row],[CONCAT1]],[3]!db[NB NOTA_C],0))</f>
        <v/>
      </c>
      <c r="AS729" s="56" t="str">
        <f>IF(NOTA[[#This Row],[QTY/ CTN]]="","",TRUE)</f>
        <v/>
      </c>
      <c r="AT729" s="56" t="str">
        <f ca="1">IF(NOTA[[#This Row],[ID_H]]="","",IF(NOTA[[#This Row],[Column3]]=TRUE,NOTA[[#This Row],[QTY/ CTN]],INDEX([3]!db[QTY/ CTN],NOTA[[#This Row],[//DB]])))</f>
        <v/>
      </c>
      <c r="AU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9" s="56" t="str">
        <f ca="1">IF(NOTA[[#This Row],[ID_H]]="","",MATCH(NOTA[[#This Row],[NB NOTA_C_QTY]],[4]!db[NB NOTA_C_QTY+F],0))</f>
        <v/>
      </c>
      <c r="AW729" s="68" t="str">
        <f ca="1">IF(NOTA[[#This Row],[NB NOTA_C_QTY]]="","",ROW()-2)</f>
        <v/>
      </c>
    </row>
    <row r="730" spans="1:49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0" s="66" t="str">
        <f>IF(OR(NOTA[[#This Row],[QTY]]="",NOTA[[#This Row],[HARGA SATUAN]]="",),"",NOTA[[#This Row],[QTY]]*NOTA[[#This Row],[HARGA SATUAN]])</f>
        <v/>
      </c>
      <c r="AH730" s="60" t="str">
        <f ca="1">IF(NOTA[ID_H]="","",INDEX(NOTA[TANGGAL],MATCH(,INDIRECT(ADDRESS(ROW(NOTA[TANGGAL]),COLUMN(NOTA[TANGGAL]))&amp;":"&amp;ADDRESS(ROW(),COLUMN(NOTA[TANGGAL]))),-1)))</f>
        <v/>
      </c>
      <c r="AI730" s="55" t="str">
        <f ca="1">IF(NOTA[[#This Row],[NAMA BARANG]]="","",INDEX(NOTA[SUPPLIER],MATCH(,INDIRECT(ADDRESS(ROW(NOTA[ID]),COLUMN(NOTA[ID]))&amp;":"&amp;ADDRESS(ROW(),COLUMN(NOTA[ID]))),-1)))</f>
        <v/>
      </c>
      <c r="AJ730" s="55" t="str">
        <f ca="1">IF(NOTA[[#This Row],[ID_H]]="","",IF(NOTA[[#This Row],[FAKTUR]]="",INDIRECT(ADDRESS(ROW()-1,COLUMN())),NOTA[[#This Row],[FAKTUR]]))</f>
        <v/>
      </c>
      <c r="AK730" s="56" t="str">
        <f ca="1">IF(NOTA[[#This Row],[ID]]="","",COUNTIF(NOTA[ID_H],NOTA[[#This Row],[ID_H]]))</f>
        <v/>
      </c>
      <c r="AL730" s="56" t="str">
        <f ca="1">IF(NOTA[[#This Row],[TGL.NOTA]]="",IF(NOTA[[#This Row],[SUPPLIER_H]]="","",AL729),MONTH(NOTA[[#This Row],[TGL.NOTA]]))</f>
        <v/>
      </c>
      <c r="AM730" s="56" t="str">
        <f>LOWER(SUBSTITUTE(SUBSTITUTE(SUBSTITUTE(SUBSTITUTE(SUBSTITUTE(SUBSTITUTE(SUBSTITUTE(SUBSTITUTE(SUBSTITUTE(NOTA[NAMA BARANG]," ",),".",""),"-",""),"(",""),")",""),",",""),"/",""),"""",""),"+",""))</f>
        <v/>
      </c>
      <c r="AN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56" t="str">
        <f>IF(NOTA[[#This Row],[CONCAT4]]="","",_xlfn.IFNA(MATCH(NOTA[[#This Row],[CONCAT4]],[2]!RAW[CONCAT_H],0),FALSE))</f>
        <v/>
      </c>
      <c r="AR730" s="56" t="str">
        <f>IF(NOTA[[#This Row],[CONCAT1]]="","",MATCH(NOTA[[#This Row],[CONCAT1]],[3]!db[NB NOTA_C],0))</f>
        <v/>
      </c>
      <c r="AS730" s="56" t="str">
        <f>IF(NOTA[[#This Row],[QTY/ CTN]]="","",TRUE)</f>
        <v/>
      </c>
      <c r="AT730" s="56" t="str">
        <f ca="1">IF(NOTA[[#This Row],[ID_H]]="","",IF(NOTA[[#This Row],[Column3]]=TRUE,NOTA[[#This Row],[QTY/ CTN]],INDEX([3]!db[QTY/ CTN],NOTA[[#This Row],[//DB]])))</f>
        <v/>
      </c>
      <c r="AU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0" s="56" t="str">
        <f ca="1">IF(NOTA[[#This Row],[ID_H]]="","",MATCH(NOTA[[#This Row],[NB NOTA_C_QTY]],[4]!db[NB NOTA_C_QTY+F],0))</f>
        <v/>
      </c>
      <c r="AW730" s="68" t="str">
        <f ca="1">IF(NOTA[[#This Row],[NB NOTA_C_QTY]]="","",ROW()-2)</f>
        <v/>
      </c>
    </row>
    <row r="731" spans="1:49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1" s="66" t="str">
        <f>IF(OR(NOTA[[#This Row],[QTY]]="",NOTA[[#This Row],[HARGA SATUAN]]="",),"",NOTA[[#This Row],[QTY]]*NOTA[[#This Row],[HARGA SATUAN]])</f>
        <v/>
      </c>
      <c r="AH731" s="60" t="str">
        <f ca="1">IF(NOTA[ID_H]="","",INDEX(NOTA[TANGGAL],MATCH(,INDIRECT(ADDRESS(ROW(NOTA[TANGGAL]),COLUMN(NOTA[TANGGAL]))&amp;":"&amp;ADDRESS(ROW(),COLUMN(NOTA[TANGGAL]))),-1)))</f>
        <v/>
      </c>
      <c r="AI731" s="55" t="str">
        <f ca="1">IF(NOTA[[#This Row],[NAMA BARANG]]="","",INDEX(NOTA[SUPPLIER],MATCH(,INDIRECT(ADDRESS(ROW(NOTA[ID]),COLUMN(NOTA[ID]))&amp;":"&amp;ADDRESS(ROW(),COLUMN(NOTA[ID]))),-1)))</f>
        <v/>
      </c>
      <c r="AJ731" s="55" t="str">
        <f ca="1">IF(NOTA[[#This Row],[ID_H]]="","",IF(NOTA[[#This Row],[FAKTUR]]="",INDIRECT(ADDRESS(ROW()-1,COLUMN())),NOTA[[#This Row],[FAKTUR]]))</f>
        <v/>
      </c>
      <c r="AK731" s="56" t="str">
        <f ca="1">IF(NOTA[[#This Row],[ID]]="","",COUNTIF(NOTA[ID_H],NOTA[[#This Row],[ID_H]]))</f>
        <v/>
      </c>
      <c r="AL731" s="56" t="str">
        <f ca="1">IF(NOTA[[#This Row],[TGL.NOTA]]="",IF(NOTA[[#This Row],[SUPPLIER_H]]="","",AL730),MONTH(NOTA[[#This Row],[TGL.NOTA]]))</f>
        <v/>
      </c>
      <c r="AM731" s="56" t="str">
        <f>LOWER(SUBSTITUTE(SUBSTITUTE(SUBSTITUTE(SUBSTITUTE(SUBSTITUTE(SUBSTITUTE(SUBSTITUTE(SUBSTITUTE(SUBSTITUTE(NOTA[NAMA BARANG]," ",),".",""),"-",""),"(",""),")",""),",",""),"/",""),"""",""),"+",""))</f>
        <v/>
      </c>
      <c r="AN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56" t="str">
        <f>IF(NOTA[[#This Row],[CONCAT4]]="","",_xlfn.IFNA(MATCH(NOTA[[#This Row],[CONCAT4]],[2]!RAW[CONCAT_H],0),FALSE))</f>
        <v/>
      </c>
      <c r="AR731" s="56" t="str">
        <f>IF(NOTA[[#This Row],[CONCAT1]]="","",MATCH(NOTA[[#This Row],[CONCAT1]],[3]!db[NB NOTA_C],0))</f>
        <v/>
      </c>
      <c r="AS731" s="56" t="str">
        <f>IF(NOTA[[#This Row],[QTY/ CTN]]="","",TRUE)</f>
        <v/>
      </c>
      <c r="AT731" s="56" t="str">
        <f ca="1">IF(NOTA[[#This Row],[ID_H]]="","",IF(NOTA[[#This Row],[Column3]]=TRUE,NOTA[[#This Row],[QTY/ CTN]],INDEX([3]!db[QTY/ CTN],NOTA[[#This Row],[//DB]])))</f>
        <v/>
      </c>
      <c r="AU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1" s="56" t="str">
        <f ca="1">IF(NOTA[[#This Row],[ID_H]]="","",MATCH(NOTA[[#This Row],[NB NOTA_C_QTY]],[4]!db[NB NOTA_C_QTY+F],0))</f>
        <v/>
      </c>
      <c r="AW731" s="68" t="str">
        <f ca="1">IF(NOTA[[#This Row],[NB NOTA_C_QTY]]="","",ROW()-2)</f>
        <v/>
      </c>
    </row>
    <row r="732" spans="1:49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2" s="66" t="str">
        <f>IF(OR(NOTA[[#This Row],[QTY]]="",NOTA[[#This Row],[HARGA SATUAN]]="",),"",NOTA[[#This Row],[QTY]]*NOTA[[#This Row],[HARGA SATUAN]])</f>
        <v/>
      </c>
      <c r="AH732" s="60" t="str">
        <f ca="1">IF(NOTA[ID_H]="","",INDEX(NOTA[TANGGAL],MATCH(,INDIRECT(ADDRESS(ROW(NOTA[TANGGAL]),COLUMN(NOTA[TANGGAL]))&amp;":"&amp;ADDRESS(ROW(),COLUMN(NOTA[TANGGAL]))),-1)))</f>
        <v/>
      </c>
      <c r="AI732" s="55" t="str">
        <f ca="1">IF(NOTA[[#This Row],[NAMA BARANG]]="","",INDEX(NOTA[SUPPLIER],MATCH(,INDIRECT(ADDRESS(ROW(NOTA[ID]),COLUMN(NOTA[ID]))&amp;":"&amp;ADDRESS(ROW(),COLUMN(NOTA[ID]))),-1)))</f>
        <v/>
      </c>
      <c r="AJ732" s="55" t="str">
        <f ca="1">IF(NOTA[[#This Row],[ID_H]]="","",IF(NOTA[[#This Row],[FAKTUR]]="",INDIRECT(ADDRESS(ROW()-1,COLUMN())),NOTA[[#This Row],[FAKTUR]]))</f>
        <v/>
      </c>
      <c r="AK732" s="56" t="str">
        <f ca="1">IF(NOTA[[#This Row],[ID]]="","",COUNTIF(NOTA[ID_H],NOTA[[#This Row],[ID_H]]))</f>
        <v/>
      </c>
      <c r="AL732" s="56" t="str">
        <f ca="1">IF(NOTA[[#This Row],[TGL.NOTA]]="",IF(NOTA[[#This Row],[SUPPLIER_H]]="","",AL731),MONTH(NOTA[[#This Row],[TGL.NOTA]]))</f>
        <v/>
      </c>
      <c r="AM732" s="56" t="str">
        <f>LOWER(SUBSTITUTE(SUBSTITUTE(SUBSTITUTE(SUBSTITUTE(SUBSTITUTE(SUBSTITUTE(SUBSTITUTE(SUBSTITUTE(SUBSTITUTE(NOTA[NAMA BARANG]," ",),".",""),"-",""),"(",""),")",""),",",""),"/",""),"""",""),"+",""))</f>
        <v/>
      </c>
      <c r="AN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56" t="str">
        <f>IF(NOTA[[#This Row],[CONCAT4]]="","",_xlfn.IFNA(MATCH(NOTA[[#This Row],[CONCAT4]],[2]!RAW[CONCAT_H],0),FALSE))</f>
        <v/>
      </c>
      <c r="AR732" s="56" t="str">
        <f>IF(NOTA[[#This Row],[CONCAT1]]="","",MATCH(NOTA[[#This Row],[CONCAT1]],[3]!db[NB NOTA_C],0))</f>
        <v/>
      </c>
      <c r="AS732" s="56" t="str">
        <f>IF(NOTA[[#This Row],[QTY/ CTN]]="","",TRUE)</f>
        <v/>
      </c>
      <c r="AT732" s="56" t="str">
        <f ca="1">IF(NOTA[[#This Row],[ID_H]]="","",IF(NOTA[[#This Row],[Column3]]=TRUE,NOTA[[#This Row],[QTY/ CTN]],INDEX([3]!db[QTY/ CTN],NOTA[[#This Row],[//DB]])))</f>
        <v/>
      </c>
      <c r="AU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2" s="56" t="str">
        <f ca="1">IF(NOTA[[#This Row],[ID_H]]="","",MATCH(NOTA[[#This Row],[NB NOTA_C_QTY]],[4]!db[NB NOTA_C_QTY+F],0))</f>
        <v/>
      </c>
      <c r="AW732" s="68" t="str">
        <f ca="1">IF(NOTA[[#This Row],[NB NOTA_C_QTY]]="","",ROW()-2)</f>
        <v/>
      </c>
    </row>
    <row r="733" spans="1:49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3" s="66" t="str">
        <f>IF(OR(NOTA[[#This Row],[QTY]]="",NOTA[[#This Row],[HARGA SATUAN]]="",),"",NOTA[[#This Row],[QTY]]*NOTA[[#This Row],[HARGA SATUAN]])</f>
        <v/>
      </c>
      <c r="AH733" s="60" t="str">
        <f ca="1">IF(NOTA[ID_H]="","",INDEX(NOTA[TANGGAL],MATCH(,INDIRECT(ADDRESS(ROW(NOTA[TANGGAL]),COLUMN(NOTA[TANGGAL]))&amp;":"&amp;ADDRESS(ROW(),COLUMN(NOTA[TANGGAL]))),-1)))</f>
        <v/>
      </c>
      <c r="AI733" s="55" t="str">
        <f ca="1">IF(NOTA[[#This Row],[NAMA BARANG]]="","",INDEX(NOTA[SUPPLIER],MATCH(,INDIRECT(ADDRESS(ROW(NOTA[ID]),COLUMN(NOTA[ID]))&amp;":"&amp;ADDRESS(ROW(),COLUMN(NOTA[ID]))),-1)))</f>
        <v/>
      </c>
      <c r="AJ733" s="55" t="str">
        <f ca="1">IF(NOTA[[#This Row],[ID_H]]="","",IF(NOTA[[#This Row],[FAKTUR]]="",INDIRECT(ADDRESS(ROW()-1,COLUMN())),NOTA[[#This Row],[FAKTUR]]))</f>
        <v/>
      </c>
      <c r="AK733" s="56" t="str">
        <f ca="1">IF(NOTA[[#This Row],[ID]]="","",COUNTIF(NOTA[ID_H],NOTA[[#This Row],[ID_H]]))</f>
        <v/>
      </c>
      <c r="AL733" s="56" t="str">
        <f ca="1">IF(NOTA[[#This Row],[TGL.NOTA]]="",IF(NOTA[[#This Row],[SUPPLIER_H]]="","",AL732),MONTH(NOTA[[#This Row],[TGL.NOTA]]))</f>
        <v/>
      </c>
      <c r="AM733" s="56" t="str">
        <f>LOWER(SUBSTITUTE(SUBSTITUTE(SUBSTITUTE(SUBSTITUTE(SUBSTITUTE(SUBSTITUTE(SUBSTITUTE(SUBSTITUTE(SUBSTITUTE(NOTA[NAMA BARANG]," ",),".",""),"-",""),"(",""),")",""),",",""),"/",""),"""",""),"+",""))</f>
        <v/>
      </c>
      <c r="AN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56" t="str">
        <f>IF(NOTA[[#This Row],[CONCAT4]]="","",_xlfn.IFNA(MATCH(NOTA[[#This Row],[CONCAT4]],[2]!RAW[CONCAT_H],0),FALSE))</f>
        <v/>
      </c>
      <c r="AR733" s="56" t="str">
        <f>IF(NOTA[[#This Row],[CONCAT1]]="","",MATCH(NOTA[[#This Row],[CONCAT1]],[3]!db[NB NOTA_C],0))</f>
        <v/>
      </c>
      <c r="AS733" s="56" t="str">
        <f>IF(NOTA[[#This Row],[QTY/ CTN]]="","",TRUE)</f>
        <v/>
      </c>
      <c r="AT733" s="56" t="str">
        <f ca="1">IF(NOTA[[#This Row],[ID_H]]="","",IF(NOTA[[#This Row],[Column3]]=TRUE,NOTA[[#This Row],[QTY/ CTN]],INDEX([3]!db[QTY/ CTN],NOTA[[#This Row],[//DB]])))</f>
        <v/>
      </c>
      <c r="AU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3" s="56" t="str">
        <f ca="1">IF(NOTA[[#This Row],[ID_H]]="","",MATCH(NOTA[[#This Row],[NB NOTA_C_QTY]],[4]!db[NB NOTA_C_QTY+F],0))</f>
        <v/>
      </c>
      <c r="AW733" s="68" t="str">
        <f ca="1">IF(NOTA[[#This Row],[NB NOTA_C_QTY]]="","",ROW()-2)</f>
        <v/>
      </c>
    </row>
    <row r="734" spans="1:49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4" s="66" t="str">
        <f>IF(OR(NOTA[[#This Row],[QTY]]="",NOTA[[#This Row],[HARGA SATUAN]]="",),"",NOTA[[#This Row],[QTY]]*NOTA[[#This Row],[HARGA SATUAN]])</f>
        <v/>
      </c>
      <c r="AH734" s="60" t="str">
        <f ca="1">IF(NOTA[ID_H]="","",INDEX(NOTA[TANGGAL],MATCH(,INDIRECT(ADDRESS(ROW(NOTA[TANGGAL]),COLUMN(NOTA[TANGGAL]))&amp;":"&amp;ADDRESS(ROW(),COLUMN(NOTA[TANGGAL]))),-1)))</f>
        <v/>
      </c>
      <c r="AI734" s="55" t="str">
        <f ca="1">IF(NOTA[[#This Row],[NAMA BARANG]]="","",INDEX(NOTA[SUPPLIER],MATCH(,INDIRECT(ADDRESS(ROW(NOTA[ID]),COLUMN(NOTA[ID]))&amp;":"&amp;ADDRESS(ROW(),COLUMN(NOTA[ID]))),-1)))</f>
        <v/>
      </c>
      <c r="AJ734" s="55" t="str">
        <f ca="1">IF(NOTA[[#This Row],[ID_H]]="","",IF(NOTA[[#This Row],[FAKTUR]]="",INDIRECT(ADDRESS(ROW()-1,COLUMN())),NOTA[[#This Row],[FAKTUR]]))</f>
        <v/>
      </c>
      <c r="AK734" s="56" t="str">
        <f ca="1">IF(NOTA[[#This Row],[ID]]="","",COUNTIF(NOTA[ID_H],NOTA[[#This Row],[ID_H]]))</f>
        <v/>
      </c>
      <c r="AL734" s="56" t="str">
        <f ca="1">IF(NOTA[[#This Row],[TGL.NOTA]]="",IF(NOTA[[#This Row],[SUPPLIER_H]]="","",AL733),MONTH(NOTA[[#This Row],[TGL.NOTA]]))</f>
        <v/>
      </c>
      <c r="AM734" s="56" t="str">
        <f>LOWER(SUBSTITUTE(SUBSTITUTE(SUBSTITUTE(SUBSTITUTE(SUBSTITUTE(SUBSTITUTE(SUBSTITUTE(SUBSTITUTE(SUBSTITUTE(NOTA[NAMA BARANG]," ",),".",""),"-",""),"(",""),")",""),",",""),"/",""),"""",""),"+",""))</f>
        <v/>
      </c>
      <c r="AN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56" t="str">
        <f>IF(NOTA[[#This Row],[CONCAT4]]="","",_xlfn.IFNA(MATCH(NOTA[[#This Row],[CONCAT4]],[2]!RAW[CONCAT_H],0),FALSE))</f>
        <v/>
      </c>
      <c r="AR734" s="56" t="str">
        <f>IF(NOTA[[#This Row],[CONCAT1]]="","",MATCH(NOTA[[#This Row],[CONCAT1]],[3]!db[NB NOTA_C],0))</f>
        <v/>
      </c>
      <c r="AS734" s="56" t="str">
        <f>IF(NOTA[[#This Row],[QTY/ CTN]]="","",TRUE)</f>
        <v/>
      </c>
      <c r="AT734" s="56" t="str">
        <f ca="1">IF(NOTA[[#This Row],[ID_H]]="","",IF(NOTA[[#This Row],[Column3]]=TRUE,NOTA[[#This Row],[QTY/ CTN]],INDEX([3]!db[QTY/ CTN],NOTA[[#This Row],[//DB]])))</f>
        <v/>
      </c>
      <c r="AU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4" s="56" t="str">
        <f ca="1">IF(NOTA[[#This Row],[ID_H]]="","",MATCH(NOTA[[#This Row],[NB NOTA_C_QTY]],[4]!db[NB NOTA_C_QTY+F],0))</f>
        <v/>
      </c>
      <c r="AW734" s="68" t="str">
        <f ca="1">IF(NOTA[[#This Row],[NB NOTA_C_QTY]]="","",ROW()-2)</f>
        <v/>
      </c>
    </row>
    <row r="735" spans="1:49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5" s="66" t="str">
        <f>IF(OR(NOTA[[#This Row],[QTY]]="",NOTA[[#This Row],[HARGA SATUAN]]="",),"",NOTA[[#This Row],[QTY]]*NOTA[[#This Row],[HARGA SATUAN]])</f>
        <v/>
      </c>
      <c r="AH735" s="60" t="str">
        <f ca="1">IF(NOTA[ID_H]="","",INDEX(NOTA[TANGGAL],MATCH(,INDIRECT(ADDRESS(ROW(NOTA[TANGGAL]),COLUMN(NOTA[TANGGAL]))&amp;":"&amp;ADDRESS(ROW(),COLUMN(NOTA[TANGGAL]))),-1)))</f>
        <v/>
      </c>
      <c r="AI735" s="55" t="str">
        <f ca="1">IF(NOTA[[#This Row],[NAMA BARANG]]="","",INDEX(NOTA[SUPPLIER],MATCH(,INDIRECT(ADDRESS(ROW(NOTA[ID]),COLUMN(NOTA[ID]))&amp;":"&amp;ADDRESS(ROW(),COLUMN(NOTA[ID]))),-1)))</f>
        <v/>
      </c>
      <c r="AJ735" s="55" t="str">
        <f ca="1">IF(NOTA[[#This Row],[ID_H]]="","",IF(NOTA[[#This Row],[FAKTUR]]="",INDIRECT(ADDRESS(ROW()-1,COLUMN())),NOTA[[#This Row],[FAKTUR]]))</f>
        <v/>
      </c>
      <c r="AK735" s="56" t="str">
        <f ca="1">IF(NOTA[[#This Row],[ID]]="","",COUNTIF(NOTA[ID_H],NOTA[[#This Row],[ID_H]]))</f>
        <v/>
      </c>
      <c r="AL735" s="56" t="str">
        <f ca="1">IF(NOTA[[#This Row],[TGL.NOTA]]="",IF(NOTA[[#This Row],[SUPPLIER_H]]="","",AL734),MONTH(NOTA[[#This Row],[TGL.NOTA]]))</f>
        <v/>
      </c>
      <c r="AM735" s="56" t="str">
        <f>LOWER(SUBSTITUTE(SUBSTITUTE(SUBSTITUTE(SUBSTITUTE(SUBSTITUTE(SUBSTITUTE(SUBSTITUTE(SUBSTITUTE(SUBSTITUTE(NOTA[NAMA BARANG]," ",),".",""),"-",""),"(",""),")",""),",",""),"/",""),"""",""),"+",""))</f>
        <v/>
      </c>
      <c r="AN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56" t="str">
        <f>IF(NOTA[[#This Row],[CONCAT4]]="","",_xlfn.IFNA(MATCH(NOTA[[#This Row],[CONCAT4]],[2]!RAW[CONCAT_H],0),FALSE))</f>
        <v/>
      </c>
      <c r="AR735" s="56" t="str">
        <f>IF(NOTA[[#This Row],[CONCAT1]]="","",MATCH(NOTA[[#This Row],[CONCAT1]],[3]!db[NB NOTA_C],0))</f>
        <v/>
      </c>
      <c r="AS735" s="56" t="str">
        <f>IF(NOTA[[#This Row],[QTY/ CTN]]="","",TRUE)</f>
        <v/>
      </c>
      <c r="AT735" s="56" t="str">
        <f ca="1">IF(NOTA[[#This Row],[ID_H]]="","",IF(NOTA[[#This Row],[Column3]]=TRUE,NOTA[[#This Row],[QTY/ CTN]],INDEX([3]!db[QTY/ CTN],NOTA[[#This Row],[//DB]])))</f>
        <v/>
      </c>
      <c r="AU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5" s="56" t="str">
        <f ca="1">IF(NOTA[[#This Row],[ID_H]]="","",MATCH(NOTA[[#This Row],[NB NOTA_C_QTY]],[4]!db[NB NOTA_C_QTY+F],0))</f>
        <v/>
      </c>
      <c r="AW735" s="68" t="str">
        <f ca="1">IF(NOTA[[#This Row],[NB NOTA_C_QTY]]="","",ROW()-2)</f>
        <v/>
      </c>
    </row>
    <row r="736" spans="1:49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6" s="66" t="str">
        <f>IF(OR(NOTA[[#This Row],[QTY]]="",NOTA[[#This Row],[HARGA SATUAN]]="",),"",NOTA[[#This Row],[QTY]]*NOTA[[#This Row],[HARGA SATUAN]])</f>
        <v/>
      </c>
      <c r="AH736" s="60" t="str">
        <f ca="1">IF(NOTA[ID_H]="","",INDEX(NOTA[TANGGAL],MATCH(,INDIRECT(ADDRESS(ROW(NOTA[TANGGAL]),COLUMN(NOTA[TANGGAL]))&amp;":"&amp;ADDRESS(ROW(),COLUMN(NOTA[TANGGAL]))),-1)))</f>
        <v/>
      </c>
      <c r="AI736" s="55" t="str">
        <f ca="1">IF(NOTA[[#This Row],[NAMA BARANG]]="","",INDEX(NOTA[SUPPLIER],MATCH(,INDIRECT(ADDRESS(ROW(NOTA[ID]),COLUMN(NOTA[ID]))&amp;":"&amp;ADDRESS(ROW(),COLUMN(NOTA[ID]))),-1)))</f>
        <v/>
      </c>
      <c r="AJ736" s="55" t="str">
        <f ca="1">IF(NOTA[[#This Row],[ID_H]]="","",IF(NOTA[[#This Row],[FAKTUR]]="",INDIRECT(ADDRESS(ROW()-1,COLUMN())),NOTA[[#This Row],[FAKTUR]]))</f>
        <v/>
      </c>
      <c r="AK736" s="56" t="str">
        <f ca="1">IF(NOTA[[#This Row],[ID]]="","",COUNTIF(NOTA[ID_H],NOTA[[#This Row],[ID_H]]))</f>
        <v/>
      </c>
      <c r="AL736" s="56" t="str">
        <f ca="1">IF(NOTA[[#This Row],[TGL.NOTA]]="",IF(NOTA[[#This Row],[SUPPLIER_H]]="","",AL735),MONTH(NOTA[[#This Row],[TGL.NOTA]]))</f>
        <v/>
      </c>
      <c r="AM736" s="56" t="str">
        <f>LOWER(SUBSTITUTE(SUBSTITUTE(SUBSTITUTE(SUBSTITUTE(SUBSTITUTE(SUBSTITUTE(SUBSTITUTE(SUBSTITUTE(SUBSTITUTE(NOTA[NAMA BARANG]," ",),".",""),"-",""),"(",""),")",""),",",""),"/",""),"""",""),"+",""))</f>
        <v/>
      </c>
      <c r="AN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56" t="str">
        <f>IF(NOTA[[#This Row],[CONCAT4]]="","",_xlfn.IFNA(MATCH(NOTA[[#This Row],[CONCAT4]],[2]!RAW[CONCAT_H],0),FALSE))</f>
        <v/>
      </c>
      <c r="AR736" s="56" t="str">
        <f>IF(NOTA[[#This Row],[CONCAT1]]="","",MATCH(NOTA[[#This Row],[CONCAT1]],[3]!db[NB NOTA_C],0))</f>
        <v/>
      </c>
      <c r="AS736" s="56" t="str">
        <f>IF(NOTA[[#This Row],[QTY/ CTN]]="","",TRUE)</f>
        <v/>
      </c>
      <c r="AT736" s="56" t="str">
        <f ca="1">IF(NOTA[[#This Row],[ID_H]]="","",IF(NOTA[[#This Row],[Column3]]=TRUE,NOTA[[#This Row],[QTY/ CTN]],INDEX([3]!db[QTY/ CTN],NOTA[[#This Row],[//DB]])))</f>
        <v/>
      </c>
      <c r="AU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6" s="56" t="str">
        <f ca="1">IF(NOTA[[#This Row],[ID_H]]="","",MATCH(NOTA[[#This Row],[NB NOTA_C_QTY]],[4]!db[NB NOTA_C_QTY+F],0))</f>
        <v/>
      </c>
      <c r="AW736" s="68" t="str">
        <f ca="1">IF(NOTA[[#This Row],[NB NOTA_C_QTY]]="","",ROW()-2)</f>
        <v/>
      </c>
    </row>
    <row r="737" spans="1:49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7" s="66" t="str">
        <f>IF(OR(NOTA[[#This Row],[QTY]]="",NOTA[[#This Row],[HARGA SATUAN]]="",),"",NOTA[[#This Row],[QTY]]*NOTA[[#This Row],[HARGA SATUAN]])</f>
        <v/>
      </c>
      <c r="AH737" s="60" t="str">
        <f ca="1">IF(NOTA[ID_H]="","",INDEX(NOTA[TANGGAL],MATCH(,INDIRECT(ADDRESS(ROW(NOTA[TANGGAL]),COLUMN(NOTA[TANGGAL]))&amp;":"&amp;ADDRESS(ROW(),COLUMN(NOTA[TANGGAL]))),-1)))</f>
        <v/>
      </c>
      <c r="AI737" s="55" t="str">
        <f ca="1">IF(NOTA[[#This Row],[NAMA BARANG]]="","",INDEX(NOTA[SUPPLIER],MATCH(,INDIRECT(ADDRESS(ROW(NOTA[ID]),COLUMN(NOTA[ID]))&amp;":"&amp;ADDRESS(ROW(),COLUMN(NOTA[ID]))),-1)))</f>
        <v/>
      </c>
      <c r="AJ737" s="55" t="str">
        <f ca="1">IF(NOTA[[#This Row],[ID_H]]="","",IF(NOTA[[#This Row],[FAKTUR]]="",INDIRECT(ADDRESS(ROW()-1,COLUMN())),NOTA[[#This Row],[FAKTUR]]))</f>
        <v/>
      </c>
      <c r="AK737" s="56" t="str">
        <f ca="1">IF(NOTA[[#This Row],[ID]]="","",COUNTIF(NOTA[ID_H],NOTA[[#This Row],[ID_H]]))</f>
        <v/>
      </c>
      <c r="AL737" s="56" t="str">
        <f ca="1">IF(NOTA[[#This Row],[TGL.NOTA]]="",IF(NOTA[[#This Row],[SUPPLIER_H]]="","",AL736),MONTH(NOTA[[#This Row],[TGL.NOTA]]))</f>
        <v/>
      </c>
      <c r="AM737" s="56" t="str">
        <f>LOWER(SUBSTITUTE(SUBSTITUTE(SUBSTITUTE(SUBSTITUTE(SUBSTITUTE(SUBSTITUTE(SUBSTITUTE(SUBSTITUTE(SUBSTITUTE(NOTA[NAMA BARANG]," ",),".",""),"-",""),"(",""),")",""),",",""),"/",""),"""",""),"+",""))</f>
        <v/>
      </c>
      <c r="AN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56" t="str">
        <f>IF(NOTA[[#This Row],[CONCAT4]]="","",_xlfn.IFNA(MATCH(NOTA[[#This Row],[CONCAT4]],[2]!RAW[CONCAT_H],0),FALSE))</f>
        <v/>
      </c>
      <c r="AR737" s="56" t="str">
        <f>IF(NOTA[[#This Row],[CONCAT1]]="","",MATCH(NOTA[[#This Row],[CONCAT1]],[3]!db[NB NOTA_C],0))</f>
        <v/>
      </c>
      <c r="AS737" s="56" t="str">
        <f>IF(NOTA[[#This Row],[QTY/ CTN]]="","",TRUE)</f>
        <v/>
      </c>
      <c r="AT737" s="56" t="str">
        <f ca="1">IF(NOTA[[#This Row],[ID_H]]="","",IF(NOTA[[#This Row],[Column3]]=TRUE,NOTA[[#This Row],[QTY/ CTN]],INDEX([3]!db[QTY/ CTN],NOTA[[#This Row],[//DB]])))</f>
        <v/>
      </c>
      <c r="AU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7" s="56" t="str">
        <f ca="1">IF(NOTA[[#This Row],[ID_H]]="","",MATCH(NOTA[[#This Row],[NB NOTA_C_QTY]],[4]!db[NB NOTA_C_QTY+F],0))</f>
        <v/>
      </c>
      <c r="AW737" s="68" t="str">
        <f ca="1">IF(NOTA[[#This Row],[NB NOTA_C_QTY]]="","",ROW()-2)</f>
        <v/>
      </c>
    </row>
    <row r="738" spans="1:49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8" s="66" t="str">
        <f>IF(OR(NOTA[[#This Row],[QTY]]="",NOTA[[#This Row],[HARGA SATUAN]]="",),"",NOTA[[#This Row],[QTY]]*NOTA[[#This Row],[HARGA SATUAN]])</f>
        <v/>
      </c>
      <c r="AH738" s="60" t="str">
        <f ca="1">IF(NOTA[ID_H]="","",INDEX(NOTA[TANGGAL],MATCH(,INDIRECT(ADDRESS(ROW(NOTA[TANGGAL]),COLUMN(NOTA[TANGGAL]))&amp;":"&amp;ADDRESS(ROW(),COLUMN(NOTA[TANGGAL]))),-1)))</f>
        <v/>
      </c>
      <c r="AI738" s="55" t="str">
        <f ca="1">IF(NOTA[[#This Row],[NAMA BARANG]]="","",INDEX(NOTA[SUPPLIER],MATCH(,INDIRECT(ADDRESS(ROW(NOTA[ID]),COLUMN(NOTA[ID]))&amp;":"&amp;ADDRESS(ROW(),COLUMN(NOTA[ID]))),-1)))</f>
        <v/>
      </c>
      <c r="AJ738" s="55" t="str">
        <f ca="1">IF(NOTA[[#This Row],[ID_H]]="","",IF(NOTA[[#This Row],[FAKTUR]]="",INDIRECT(ADDRESS(ROW()-1,COLUMN())),NOTA[[#This Row],[FAKTUR]]))</f>
        <v/>
      </c>
      <c r="AK738" s="56" t="str">
        <f ca="1">IF(NOTA[[#This Row],[ID]]="","",COUNTIF(NOTA[ID_H],NOTA[[#This Row],[ID_H]]))</f>
        <v/>
      </c>
      <c r="AL738" s="56" t="str">
        <f ca="1">IF(NOTA[[#This Row],[TGL.NOTA]]="",IF(NOTA[[#This Row],[SUPPLIER_H]]="","",AL737),MONTH(NOTA[[#This Row],[TGL.NOTA]]))</f>
        <v/>
      </c>
      <c r="AM738" s="56" t="str">
        <f>LOWER(SUBSTITUTE(SUBSTITUTE(SUBSTITUTE(SUBSTITUTE(SUBSTITUTE(SUBSTITUTE(SUBSTITUTE(SUBSTITUTE(SUBSTITUTE(NOTA[NAMA BARANG]," ",),".",""),"-",""),"(",""),")",""),",",""),"/",""),"""",""),"+",""))</f>
        <v/>
      </c>
      <c r="AN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56" t="str">
        <f>IF(NOTA[[#This Row],[CONCAT4]]="","",_xlfn.IFNA(MATCH(NOTA[[#This Row],[CONCAT4]],[2]!RAW[CONCAT_H],0),FALSE))</f>
        <v/>
      </c>
      <c r="AR738" s="56" t="str">
        <f>IF(NOTA[[#This Row],[CONCAT1]]="","",MATCH(NOTA[[#This Row],[CONCAT1]],[3]!db[NB NOTA_C],0))</f>
        <v/>
      </c>
      <c r="AS738" s="56" t="str">
        <f>IF(NOTA[[#This Row],[QTY/ CTN]]="","",TRUE)</f>
        <v/>
      </c>
      <c r="AT738" s="56" t="str">
        <f ca="1">IF(NOTA[[#This Row],[ID_H]]="","",IF(NOTA[[#This Row],[Column3]]=TRUE,NOTA[[#This Row],[QTY/ CTN]],INDEX([3]!db[QTY/ CTN],NOTA[[#This Row],[//DB]])))</f>
        <v/>
      </c>
      <c r="AU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8" s="56" t="str">
        <f ca="1">IF(NOTA[[#This Row],[ID_H]]="","",MATCH(NOTA[[#This Row],[NB NOTA_C_QTY]],[4]!db[NB NOTA_C_QTY+F],0))</f>
        <v/>
      </c>
      <c r="AW738" s="68" t="str">
        <f ca="1">IF(NOTA[[#This Row],[NB NOTA_C_QTY]]="","",ROW()-2)</f>
        <v/>
      </c>
    </row>
    <row r="739" spans="1:49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39" s="66" t="str">
        <f>IF(OR(NOTA[[#This Row],[QTY]]="",NOTA[[#This Row],[HARGA SATUAN]]="",),"",NOTA[[#This Row],[QTY]]*NOTA[[#This Row],[HARGA SATUAN]])</f>
        <v/>
      </c>
      <c r="AH739" s="60" t="str">
        <f ca="1">IF(NOTA[ID_H]="","",INDEX(NOTA[TANGGAL],MATCH(,INDIRECT(ADDRESS(ROW(NOTA[TANGGAL]),COLUMN(NOTA[TANGGAL]))&amp;":"&amp;ADDRESS(ROW(),COLUMN(NOTA[TANGGAL]))),-1)))</f>
        <v/>
      </c>
      <c r="AI739" s="55" t="str">
        <f ca="1">IF(NOTA[[#This Row],[NAMA BARANG]]="","",INDEX(NOTA[SUPPLIER],MATCH(,INDIRECT(ADDRESS(ROW(NOTA[ID]),COLUMN(NOTA[ID]))&amp;":"&amp;ADDRESS(ROW(),COLUMN(NOTA[ID]))),-1)))</f>
        <v/>
      </c>
      <c r="AJ739" s="55" t="str">
        <f ca="1">IF(NOTA[[#This Row],[ID_H]]="","",IF(NOTA[[#This Row],[FAKTUR]]="",INDIRECT(ADDRESS(ROW()-1,COLUMN())),NOTA[[#This Row],[FAKTUR]]))</f>
        <v/>
      </c>
      <c r="AK739" s="56" t="str">
        <f ca="1">IF(NOTA[[#This Row],[ID]]="","",COUNTIF(NOTA[ID_H],NOTA[[#This Row],[ID_H]]))</f>
        <v/>
      </c>
      <c r="AL739" s="56" t="str">
        <f ca="1">IF(NOTA[[#This Row],[TGL.NOTA]]="",IF(NOTA[[#This Row],[SUPPLIER_H]]="","",AL738),MONTH(NOTA[[#This Row],[TGL.NOTA]]))</f>
        <v/>
      </c>
      <c r="AM739" s="56" t="str">
        <f>LOWER(SUBSTITUTE(SUBSTITUTE(SUBSTITUTE(SUBSTITUTE(SUBSTITUTE(SUBSTITUTE(SUBSTITUTE(SUBSTITUTE(SUBSTITUTE(NOTA[NAMA BARANG]," ",),".",""),"-",""),"(",""),")",""),",",""),"/",""),"""",""),"+",""))</f>
        <v/>
      </c>
      <c r="AN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56" t="str">
        <f>IF(NOTA[[#This Row],[CONCAT4]]="","",_xlfn.IFNA(MATCH(NOTA[[#This Row],[CONCAT4]],[2]!RAW[CONCAT_H],0),FALSE))</f>
        <v/>
      </c>
      <c r="AR739" s="56" t="str">
        <f>IF(NOTA[[#This Row],[CONCAT1]]="","",MATCH(NOTA[[#This Row],[CONCAT1]],[3]!db[NB NOTA_C],0))</f>
        <v/>
      </c>
      <c r="AS739" s="56" t="str">
        <f>IF(NOTA[[#This Row],[QTY/ CTN]]="","",TRUE)</f>
        <v/>
      </c>
      <c r="AT739" s="56" t="str">
        <f ca="1">IF(NOTA[[#This Row],[ID_H]]="","",IF(NOTA[[#This Row],[Column3]]=TRUE,NOTA[[#This Row],[QTY/ CTN]],INDEX([3]!db[QTY/ CTN],NOTA[[#This Row],[//DB]])))</f>
        <v/>
      </c>
      <c r="AU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9" s="56" t="str">
        <f ca="1">IF(NOTA[[#This Row],[ID_H]]="","",MATCH(NOTA[[#This Row],[NB NOTA_C_QTY]],[4]!db[NB NOTA_C_QTY+F],0))</f>
        <v/>
      </c>
      <c r="AW739" s="68" t="str">
        <f ca="1">IF(NOTA[[#This Row],[NB NOTA_C_QTY]]="","",ROW()-2)</f>
        <v/>
      </c>
    </row>
    <row r="740" spans="1:49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0" s="66" t="str">
        <f>IF(OR(NOTA[[#This Row],[QTY]]="",NOTA[[#This Row],[HARGA SATUAN]]="",),"",NOTA[[#This Row],[QTY]]*NOTA[[#This Row],[HARGA SATUAN]])</f>
        <v/>
      </c>
      <c r="AH740" s="60" t="str">
        <f ca="1">IF(NOTA[ID_H]="","",INDEX(NOTA[TANGGAL],MATCH(,INDIRECT(ADDRESS(ROW(NOTA[TANGGAL]),COLUMN(NOTA[TANGGAL]))&amp;":"&amp;ADDRESS(ROW(),COLUMN(NOTA[TANGGAL]))),-1)))</f>
        <v/>
      </c>
      <c r="AI740" s="55" t="str">
        <f ca="1">IF(NOTA[[#This Row],[NAMA BARANG]]="","",INDEX(NOTA[SUPPLIER],MATCH(,INDIRECT(ADDRESS(ROW(NOTA[ID]),COLUMN(NOTA[ID]))&amp;":"&amp;ADDRESS(ROW(),COLUMN(NOTA[ID]))),-1)))</f>
        <v/>
      </c>
      <c r="AJ740" s="55" t="str">
        <f ca="1">IF(NOTA[[#This Row],[ID_H]]="","",IF(NOTA[[#This Row],[FAKTUR]]="",INDIRECT(ADDRESS(ROW()-1,COLUMN())),NOTA[[#This Row],[FAKTUR]]))</f>
        <v/>
      </c>
      <c r="AK740" s="56" t="str">
        <f ca="1">IF(NOTA[[#This Row],[ID]]="","",COUNTIF(NOTA[ID_H],NOTA[[#This Row],[ID_H]]))</f>
        <v/>
      </c>
      <c r="AL740" s="56" t="str">
        <f ca="1">IF(NOTA[[#This Row],[TGL.NOTA]]="",IF(NOTA[[#This Row],[SUPPLIER_H]]="","",AL739),MONTH(NOTA[[#This Row],[TGL.NOTA]]))</f>
        <v/>
      </c>
      <c r="AM740" s="56" t="str">
        <f>LOWER(SUBSTITUTE(SUBSTITUTE(SUBSTITUTE(SUBSTITUTE(SUBSTITUTE(SUBSTITUTE(SUBSTITUTE(SUBSTITUTE(SUBSTITUTE(NOTA[NAMA BARANG]," ",),".",""),"-",""),"(",""),")",""),",",""),"/",""),"""",""),"+",""))</f>
        <v/>
      </c>
      <c r="AN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56" t="str">
        <f>IF(NOTA[[#This Row],[CONCAT4]]="","",_xlfn.IFNA(MATCH(NOTA[[#This Row],[CONCAT4]],[2]!RAW[CONCAT_H],0),FALSE))</f>
        <v/>
      </c>
      <c r="AR740" s="56" t="str">
        <f>IF(NOTA[[#This Row],[CONCAT1]]="","",MATCH(NOTA[[#This Row],[CONCAT1]],[3]!db[NB NOTA_C],0))</f>
        <v/>
      </c>
      <c r="AS740" s="56" t="str">
        <f>IF(NOTA[[#This Row],[QTY/ CTN]]="","",TRUE)</f>
        <v/>
      </c>
      <c r="AT740" s="56" t="str">
        <f ca="1">IF(NOTA[[#This Row],[ID_H]]="","",IF(NOTA[[#This Row],[Column3]]=TRUE,NOTA[[#This Row],[QTY/ CTN]],INDEX([3]!db[QTY/ CTN],NOTA[[#This Row],[//DB]])))</f>
        <v/>
      </c>
      <c r="AU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0" s="56" t="str">
        <f ca="1">IF(NOTA[[#This Row],[ID_H]]="","",MATCH(NOTA[[#This Row],[NB NOTA_C_QTY]],[4]!db[NB NOTA_C_QTY+F],0))</f>
        <v/>
      </c>
      <c r="AW740" s="68" t="str">
        <f ca="1">IF(NOTA[[#This Row],[NB NOTA_C_QTY]]="","",ROW()-2)</f>
        <v/>
      </c>
    </row>
    <row r="741" spans="1:49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1" s="66" t="str">
        <f>IF(OR(NOTA[[#This Row],[QTY]]="",NOTA[[#This Row],[HARGA SATUAN]]="",),"",NOTA[[#This Row],[QTY]]*NOTA[[#This Row],[HARGA SATUAN]])</f>
        <v/>
      </c>
      <c r="AH741" s="60" t="str">
        <f ca="1">IF(NOTA[ID_H]="","",INDEX(NOTA[TANGGAL],MATCH(,INDIRECT(ADDRESS(ROW(NOTA[TANGGAL]),COLUMN(NOTA[TANGGAL]))&amp;":"&amp;ADDRESS(ROW(),COLUMN(NOTA[TANGGAL]))),-1)))</f>
        <v/>
      </c>
      <c r="AI741" s="55" t="str">
        <f ca="1">IF(NOTA[[#This Row],[NAMA BARANG]]="","",INDEX(NOTA[SUPPLIER],MATCH(,INDIRECT(ADDRESS(ROW(NOTA[ID]),COLUMN(NOTA[ID]))&amp;":"&amp;ADDRESS(ROW(),COLUMN(NOTA[ID]))),-1)))</f>
        <v/>
      </c>
      <c r="AJ741" s="55" t="str">
        <f ca="1">IF(NOTA[[#This Row],[ID_H]]="","",IF(NOTA[[#This Row],[FAKTUR]]="",INDIRECT(ADDRESS(ROW()-1,COLUMN())),NOTA[[#This Row],[FAKTUR]]))</f>
        <v/>
      </c>
      <c r="AK741" s="56" t="str">
        <f ca="1">IF(NOTA[[#This Row],[ID]]="","",COUNTIF(NOTA[ID_H],NOTA[[#This Row],[ID_H]]))</f>
        <v/>
      </c>
      <c r="AL741" s="56" t="str">
        <f ca="1">IF(NOTA[[#This Row],[TGL.NOTA]]="",IF(NOTA[[#This Row],[SUPPLIER_H]]="","",AL740),MONTH(NOTA[[#This Row],[TGL.NOTA]]))</f>
        <v/>
      </c>
      <c r="AM741" s="56" t="str">
        <f>LOWER(SUBSTITUTE(SUBSTITUTE(SUBSTITUTE(SUBSTITUTE(SUBSTITUTE(SUBSTITUTE(SUBSTITUTE(SUBSTITUTE(SUBSTITUTE(NOTA[NAMA BARANG]," ",),".",""),"-",""),"(",""),")",""),",",""),"/",""),"""",""),"+",""))</f>
        <v/>
      </c>
      <c r="AN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56" t="str">
        <f>IF(NOTA[[#This Row],[CONCAT4]]="","",_xlfn.IFNA(MATCH(NOTA[[#This Row],[CONCAT4]],[2]!RAW[CONCAT_H],0),FALSE))</f>
        <v/>
      </c>
      <c r="AR741" s="56" t="str">
        <f>IF(NOTA[[#This Row],[CONCAT1]]="","",MATCH(NOTA[[#This Row],[CONCAT1]],[3]!db[NB NOTA_C],0))</f>
        <v/>
      </c>
      <c r="AS741" s="56" t="str">
        <f>IF(NOTA[[#This Row],[QTY/ CTN]]="","",TRUE)</f>
        <v/>
      </c>
      <c r="AT741" s="56" t="str">
        <f ca="1">IF(NOTA[[#This Row],[ID_H]]="","",IF(NOTA[[#This Row],[Column3]]=TRUE,NOTA[[#This Row],[QTY/ CTN]],INDEX([3]!db[QTY/ CTN],NOTA[[#This Row],[//DB]])))</f>
        <v/>
      </c>
      <c r="AU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1" s="56" t="str">
        <f ca="1">IF(NOTA[[#This Row],[ID_H]]="","",MATCH(NOTA[[#This Row],[NB NOTA_C_QTY]],[4]!db[NB NOTA_C_QTY+F],0))</f>
        <v/>
      </c>
      <c r="AW741" s="68" t="str">
        <f ca="1">IF(NOTA[[#This Row],[NB NOTA_C_QTY]]="","",ROW()-2)</f>
        <v/>
      </c>
    </row>
    <row r="742" spans="1:49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2" s="66" t="str">
        <f>IF(OR(NOTA[[#This Row],[QTY]]="",NOTA[[#This Row],[HARGA SATUAN]]="",),"",NOTA[[#This Row],[QTY]]*NOTA[[#This Row],[HARGA SATUAN]])</f>
        <v/>
      </c>
      <c r="AH742" s="60" t="str">
        <f ca="1">IF(NOTA[ID_H]="","",INDEX(NOTA[TANGGAL],MATCH(,INDIRECT(ADDRESS(ROW(NOTA[TANGGAL]),COLUMN(NOTA[TANGGAL]))&amp;":"&amp;ADDRESS(ROW(),COLUMN(NOTA[TANGGAL]))),-1)))</f>
        <v/>
      </c>
      <c r="AI742" s="55" t="str">
        <f ca="1">IF(NOTA[[#This Row],[NAMA BARANG]]="","",INDEX(NOTA[SUPPLIER],MATCH(,INDIRECT(ADDRESS(ROW(NOTA[ID]),COLUMN(NOTA[ID]))&amp;":"&amp;ADDRESS(ROW(),COLUMN(NOTA[ID]))),-1)))</f>
        <v/>
      </c>
      <c r="AJ742" s="55" t="str">
        <f ca="1">IF(NOTA[[#This Row],[ID_H]]="","",IF(NOTA[[#This Row],[FAKTUR]]="",INDIRECT(ADDRESS(ROW()-1,COLUMN())),NOTA[[#This Row],[FAKTUR]]))</f>
        <v/>
      </c>
      <c r="AK742" s="56" t="str">
        <f ca="1">IF(NOTA[[#This Row],[ID]]="","",COUNTIF(NOTA[ID_H],NOTA[[#This Row],[ID_H]]))</f>
        <v/>
      </c>
      <c r="AL742" s="56" t="str">
        <f ca="1">IF(NOTA[[#This Row],[TGL.NOTA]]="",IF(NOTA[[#This Row],[SUPPLIER_H]]="","",AL741),MONTH(NOTA[[#This Row],[TGL.NOTA]]))</f>
        <v/>
      </c>
      <c r="AM742" s="56" t="str">
        <f>LOWER(SUBSTITUTE(SUBSTITUTE(SUBSTITUTE(SUBSTITUTE(SUBSTITUTE(SUBSTITUTE(SUBSTITUTE(SUBSTITUTE(SUBSTITUTE(NOTA[NAMA BARANG]," ",),".",""),"-",""),"(",""),")",""),",",""),"/",""),"""",""),"+",""))</f>
        <v/>
      </c>
      <c r="AN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56" t="str">
        <f>IF(NOTA[[#This Row],[CONCAT4]]="","",_xlfn.IFNA(MATCH(NOTA[[#This Row],[CONCAT4]],[2]!RAW[CONCAT_H],0),FALSE))</f>
        <v/>
      </c>
      <c r="AR742" s="56" t="str">
        <f>IF(NOTA[[#This Row],[CONCAT1]]="","",MATCH(NOTA[[#This Row],[CONCAT1]],[3]!db[NB NOTA_C],0))</f>
        <v/>
      </c>
      <c r="AS742" s="56" t="str">
        <f>IF(NOTA[[#This Row],[QTY/ CTN]]="","",TRUE)</f>
        <v/>
      </c>
      <c r="AT742" s="56" t="str">
        <f ca="1">IF(NOTA[[#This Row],[ID_H]]="","",IF(NOTA[[#This Row],[Column3]]=TRUE,NOTA[[#This Row],[QTY/ CTN]],INDEX([3]!db[QTY/ CTN],NOTA[[#This Row],[//DB]])))</f>
        <v/>
      </c>
      <c r="AU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2" s="56" t="str">
        <f ca="1">IF(NOTA[[#This Row],[ID_H]]="","",MATCH(NOTA[[#This Row],[NB NOTA_C_QTY]],[4]!db[NB NOTA_C_QTY+F],0))</f>
        <v/>
      </c>
      <c r="AW742" s="68" t="str">
        <f ca="1">IF(NOTA[[#This Row],[NB NOTA_C_QTY]]="","",ROW()-2)</f>
        <v/>
      </c>
    </row>
    <row r="743" spans="1:49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3" s="66" t="str">
        <f>IF(OR(NOTA[[#This Row],[QTY]]="",NOTA[[#This Row],[HARGA SATUAN]]="",),"",NOTA[[#This Row],[QTY]]*NOTA[[#This Row],[HARGA SATUAN]])</f>
        <v/>
      </c>
      <c r="AH743" s="60" t="str">
        <f ca="1">IF(NOTA[ID_H]="","",INDEX(NOTA[TANGGAL],MATCH(,INDIRECT(ADDRESS(ROW(NOTA[TANGGAL]),COLUMN(NOTA[TANGGAL]))&amp;":"&amp;ADDRESS(ROW(),COLUMN(NOTA[TANGGAL]))),-1)))</f>
        <v/>
      </c>
      <c r="AI743" s="55" t="str">
        <f ca="1">IF(NOTA[[#This Row],[NAMA BARANG]]="","",INDEX(NOTA[SUPPLIER],MATCH(,INDIRECT(ADDRESS(ROW(NOTA[ID]),COLUMN(NOTA[ID]))&amp;":"&amp;ADDRESS(ROW(),COLUMN(NOTA[ID]))),-1)))</f>
        <v/>
      </c>
      <c r="AJ743" s="55" t="str">
        <f ca="1">IF(NOTA[[#This Row],[ID_H]]="","",IF(NOTA[[#This Row],[FAKTUR]]="",INDIRECT(ADDRESS(ROW()-1,COLUMN())),NOTA[[#This Row],[FAKTUR]]))</f>
        <v/>
      </c>
      <c r="AK743" s="56" t="str">
        <f ca="1">IF(NOTA[[#This Row],[ID]]="","",COUNTIF(NOTA[ID_H],NOTA[[#This Row],[ID_H]]))</f>
        <v/>
      </c>
      <c r="AL743" s="56" t="str">
        <f ca="1">IF(NOTA[[#This Row],[TGL.NOTA]]="",IF(NOTA[[#This Row],[SUPPLIER_H]]="","",AL742),MONTH(NOTA[[#This Row],[TGL.NOTA]]))</f>
        <v/>
      </c>
      <c r="AM743" s="56" t="str">
        <f>LOWER(SUBSTITUTE(SUBSTITUTE(SUBSTITUTE(SUBSTITUTE(SUBSTITUTE(SUBSTITUTE(SUBSTITUTE(SUBSTITUTE(SUBSTITUTE(NOTA[NAMA BARANG]," ",),".",""),"-",""),"(",""),")",""),",",""),"/",""),"""",""),"+",""))</f>
        <v/>
      </c>
      <c r="AN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56" t="str">
        <f>IF(NOTA[[#This Row],[CONCAT4]]="","",_xlfn.IFNA(MATCH(NOTA[[#This Row],[CONCAT4]],[2]!RAW[CONCAT_H],0),FALSE))</f>
        <v/>
      </c>
      <c r="AR743" s="56" t="str">
        <f>IF(NOTA[[#This Row],[CONCAT1]]="","",MATCH(NOTA[[#This Row],[CONCAT1]],[3]!db[NB NOTA_C],0))</f>
        <v/>
      </c>
      <c r="AS743" s="56" t="str">
        <f>IF(NOTA[[#This Row],[QTY/ CTN]]="","",TRUE)</f>
        <v/>
      </c>
      <c r="AT743" s="56" t="str">
        <f ca="1">IF(NOTA[[#This Row],[ID_H]]="","",IF(NOTA[[#This Row],[Column3]]=TRUE,NOTA[[#This Row],[QTY/ CTN]],INDEX([3]!db[QTY/ CTN],NOTA[[#This Row],[//DB]])))</f>
        <v/>
      </c>
      <c r="AU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3" s="56" t="str">
        <f ca="1">IF(NOTA[[#This Row],[ID_H]]="","",MATCH(NOTA[[#This Row],[NB NOTA_C_QTY]],[4]!db[NB NOTA_C_QTY+F],0))</f>
        <v/>
      </c>
      <c r="AW743" s="68" t="str">
        <f ca="1">IF(NOTA[[#This Row],[NB NOTA_C_QTY]]="","",ROW()-2)</f>
        <v/>
      </c>
    </row>
    <row r="744" spans="1:49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4" s="66" t="str">
        <f>IF(OR(NOTA[[#This Row],[QTY]]="",NOTA[[#This Row],[HARGA SATUAN]]="",),"",NOTA[[#This Row],[QTY]]*NOTA[[#This Row],[HARGA SATUAN]])</f>
        <v/>
      </c>
      <c r="AH744" s="60" t="str">
        <f ca="1">IF(NOTA[ID_H]="","",INDEX(NOTA[TANGGAL],MATCH(,INDIRECT(ADDRESS(ROW(NOTA[TANGGAL]),COLUMN(NOTA[TANGGAL]))&amp;":"&amp;ADDRESS(ROW(),COLUMN(NOTA[TANGGAL]))),-1)))</f>
        <v/>
      </c>
      <c r="AI744" s="55" t="str">
        <f ca="1">IF(NOTA[[#This Row],[NAMA BARANG]]="","",INDEX(NOTA[SUPPLIER],MATCH(,INDIRECT(ADDRESS(ROW(NOTA[ID]),COLUMN(NOTA[ID]))&amp;":"&amp;ADDRESS(ROW(),COLUMN(NOTA[ID]))),-1)))</f>
        <v/>
      </c>
      <c r="AJ744" s="55" t="str">
        <f ca="1">IF(NOTA[[#This Row],[ID_H]]="","",IF(NOTA[[#This Row],[FAKTUR]]="",INDIRECT(ADDRESS(ROW()-1,COLUMN())),NOTA[[#This Row],[FAKTUR]]))</f>
        <v/>
      </c>
      <c r="AK744" s="56" t="str">
        <f ca="1">IF(NOTA[[#This Row],[ID]]="","",COUNTIF(NOTA[ID_H],NOTA[[#This Row],[ID_H]]))</f>
        <v/>
      </c>
      <c r="AL744" s="56" t="str">
        <f ca="1">IF(NOTA[[#This Row],[TGL.NOTA]]="",IF(NOTA[[#This Row],[SUPPLIER_H]]="","",AL743),MONTH(NOTA[[#This Row],[TGL.NOTA]]))</f>
        <v/>
      </c>
      <c r="AM744" s="56" t="str">
        <f>LOWER(SUBSTITUTE(SUBSTITUTE(SUBSTITUTE(SUBSTITUTE(SUBSTITUTE(SUBSTITUTE(SUBSTITUTE(SUBSTITUTE(SUBSTITUTE(NOTA[NAMA BARANG]," ",),".",""),"-",""),"(",""),")",""),",",""),"/",""),"""",""),"+",""))</f>
        <v/>
      </c>
      <c r="AN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4" s="56" t="str">
        <f>IF(NOTA[[#This Row],[CONCAT4]]="","",_xlfn.IFNA(MATCH(NOTA[[#This Row],[CONCAT4]],[2]!RAW[CONCAT_H],0),FALSE))</f>
        <v/>
      </c>
      <c r="AR744" s="56" t="str">
        <f>IF(NOTA[[#This Row],[CONCAT1]]="","",MATCH(NOTA[[#This Row],[CONCAT1]],[3]!db[NB NOTA_C],0))</f>
        <v/>
      </c>
      <c r="AS744" s="56" t="str">
        <f>IF(NOTA[[#This Row],[QTY/ CTN]]="","",TRUE)</f>
        <v/>
      </c>
      <c r="AT744" s="56" t="str">
        <f ca="1">IF(NOTA[[#This Row],[ID_H]]="","",IF(NOTA[[#This Row],[Column3]]=TRUE,NOTA[[#This Row],[QTY/ CTN]],INDEX([3]!db[QTY/ CTN],NOTA[[#This Row],[//DB]])))</f>
        <v/>
      </c>
      <c r="AU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4" s="56" t="str">
        <f ca="1">IF(NOTA[[#This Row],[ID_H]]="","",MATCH(NOTA[[#This Row],[NB NOTA_C_QTY]],[4]!db[NB NOTA_C_QTY+F],0))</f>
        <v/>
      </c>
      <c r="AW744" s="68" t="str">
        <f ca="1">IF(NOTA[[#This Row],[NB NOTA_C_QTY]]="","",ROW()-2)</f>
        <v/>
      </c>
    </row>
    <row r="745" spans="1:49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5" s="66" t="str">
        <f>IF(OR(NOTA[[#This Row],[QTY]]="",NOTA[[#This Row],[HARGA SATUAN]]="",),"",NOTA[[#This Row],[QTY]]*NOTA[[#This Row],[HARGA SATUAN]])</f>
        <v/>
      </c>
      <c r="AH745" s="60" t="str">
        <f ca="1">IF(NOTA[ID_H]="","",INDEX(NOTA[TANGGAL],MATCH(,INDIRECT(ADDRESS(ROW(NOTA[TANGGAL]),COLUMN(NOTA[TANGGAL]))&amp;":"&amp;ADDRESS(ROW(),COLUMN(NOTA[TANGGAL]))),-1)))</f>
        <v/>
      </c>
      <c r="AI745" s="55" t="str">
        <f ca="1">IF(NOTA[[#This Row],[NAMA BARANG]]="","",INDEX(NOTA[SUPPLIER],MATCH(,INDIRECT(ADDRESS(ROW(NOTA[ID]),COLUMN(NOTA[ID]))&amp;":"&amp;ADDRESS(ROW(),COLUMN(NOTA[ID]))),-1)))</f>
        <v/>
      </c>
      <c r="AJ745" s="55" t="str">
        <f ca="1">IF(NOTA[[#This Row],[ID_H]]="","",IF(NOTA[[#This Row],[FAKTUR]]="",INDIRECT(ADDRESS(ROW()-1,COLUMN())),NOTA[[#This Row],[FAKTUR]]))</f>
        <v/>
      </c>
      <c r="AK745" s="56" t="str">
        <f ca="1">IF(NOTA[[#This Row],[ID]]="","",COUNTIF(NOTA[ID_H],NOTA[[#This Row],[ID_H]]))</f>
        <v/>
      </c>
      <c r="AL745" s="56" t="str">
        <f ca="1">IF(NOTA[[#This Row],[TGL.NOTA]]="",IF(NOTA[[#This Row],[SUPPLIER_H]]="","",AL744),MONTH(NOTA[[#This Row],[TGL.NOTA]]))</f>
        <v/>
      </c>
      <c r="AM745" s="56" t="str">
        <f>LOWER(SUBSTITUTE(SUBSTITUTE(SUBSTITUTE(SUBSTITUTE(SUBSTITUTE(SUBSTITUTE(SUBSTITUTE(SUBSTITUTE(SUBSTITUTE(NOTA[NAMA BARANG]," ",),".",""),"-",""),"(",""),")",""),",",""),"/",""),"""",""),"+",""))</f>
        <v/>
      </c>
      <c r="AN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56" t="str">
        <f>IF(NOTA[[#This Row],[CONCAT4]]="","",_xlfn.IFNA(MATCH(NOTA[[#This Row],[CONCAT4]],[2]!RAW[CONCAT_H],0),FALSE))</f>
        <v/>
      </c>
      <c r="AR745" s="56" t="str">
        <f>IF(NOTA[[#This Row],[CONCAT1]]="","",MATCH(NOTA[[#This Row],[CONCAT1]],[3]!db[NB NOTA_C],0))</f>
        <v/>
      </c>
      <c r="AS745" s="56" t="str">
        <f>IF(NOTA[[#This Row],[QTY/ CTN]]="","",TRUE)</f>
        <v/>
      </c>
      <c r="AT745" s="56" t="str">
        <f ca="1">IF(NOTA[[#This Row],[ID_H]]="","",IF(NOTA[[#This Row],[Column3]]=TRUE,NOTA[[#This Row],[QTY/ CTN]],INDEX([3]!db[QTY/ CTN],NOTA[[#This Row],[//DB]])))</f>
        <v/>
      </c>
      <c r="AU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5" s="56" t="str">
        <f ca="1">IF(NOTA[[#This Row],[ID_H]]="","",MATCH(NOTA[[#This Row],[NB NOTA_C_QTY]],[4]!db[NB NOTA_C_QTY+F],0))</f>
        <v/>
      </c>
      <c r="AW745" s="68" t="str">
        <f ca="1">IF(NOTA[[#This Row],[NB NOTA_C_QTY]]="","",ROW()-2)</f>
        <v/>
      </c>
    </row>
    <row r="746" spans="1:49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6" s="66" t="str">
        <f>IF(OR(NOTA[[#This Row],[QTY]]="",NOTA[[#This Row],[HARGA SATUAN]]="",),"",NOTA[[#This Row],[QTY]]*NOTA[[#This Row],[HARGA SATUAN]])</f>
        <v/>
      </c>
      <c r="AH746" s="60" t="str">
        <f ca="1">IF(NOTA[ID_H]="","",INDEX(NOTA[TANGGAL],MATCH(,INDIRECT(ADDRESS(ROW(NOTA[TANGGAL]),COLUMN(NOTA[TANGGAL]))&amp;":"&amp;ADDRESS(ROW(),COLUMN(NOTA[TANGGAL]))),-1)))</f>
        <v/>
      </c>
      <c r="AI746" s="55" t="str">
        <f ca="1">IF(NOTA[[#This Row],[NAMA BARANG]]="","",INDEX(NOTA[SUPPLIER],MATCH(,INDIRECT(ADDRESS(ROW(NOTA[ID]),COLUMN(NOTA[ID]))&amp;":"&amp;ADDRESS(ROW(),COLUMN(NOTA[ID]))),-1)))</f>
        <v/>
      </c>
      <c r="AJ746" s="55" t="str">
        <f ca="1">IF(NOTA[[#This Row],[ID_H]]="","",IF(NOTA[[#This Row],[FAKTUR]]="",INDIRECT(ADDRESS(ROW()-1,COLUMN())),NOTA[[#This Row],[FAKTUR]]))</f>
        <v/>
      </c>
      <c r="AK746" s="56" t="str">
        <f ca="1">IF(NOTA[[#This Row],[ID]]="","",COUNTIF(NOTA[ID_H],NOTA[[#This Row],[ID_H]]))</f>
        <v/>
      </c>
      <c r="AL746" s="56" t="str">
        <f ca="1">IF(NOTA[[#This Row],[TGL.NOTA]]="",IF(NOTA[[#This Row],[SUPPLIER_H]]="","",AL745),MONTH(NOTA[[#This Row],[TGL.NOTA]]))</f>
        <v/>
      </c>
      <c r="AM746" s="56" t="str">
        <f>LOWER(SUBSTITUTE(SUBSTITUTE(SUBSTITUTE(SUBSTITUTE(SUBSTITUTE(SUBSTITUTE(SUBSTITUTE(SUBSTITUTE(SUBSTITUTE(NOTA[NAMA BARANG]," ",),".",""),"-",""),"(",""),")",""),",",""),"/",""),"""",""),"+",""))</f>
        <v/>
      </c>
      <c r="AN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6" s="56" t="str">
        <f>IF(NOTA[[#This Row],[CONCAT4]]="","",_xlfn.IFNA(MATCH(NOTA[[#This Row],[CONCAT4]],[2]!RAW[CONCAT_H],0),FALSE))</f>
        <v/>
      </c>
      <c r="AR746" s="56" t="str">
        <f>IF(NOTA[[#This Row],[CONCAT1]]="","",MATCH(NOTA[[#This Row],[CONCAT1]],[3]!db[NB NOTA_C],0))</f>
        <v/>
      </c>
      <c r="AS746" s="56" t="str">
        <f>IF(NOTA[[#This Row],[QTY/ CTN]]="","",TRUE)</f>
        <v/>
      </c>
      <c r="AT746" s="56" t="str">
        <f ca="1">IF(NOTA[[#This Row],[ID_H]]="","",IF(NOTA[[#This Row],[Column3]]=TRUE,NOTA[[#This Row],[QTY/ CTN]],INDEX([3]!db[QTY/ CTN],NOTA[[#This Row],[//DB]])))</f>
        <v/>
      </c>
      <c r="AU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6" s="56" t="str">
        <f ca="1">IF(NOTA[[#This Row],[ID_H]]="","",MATCH(NOTA[[#This Row],[NB NOTA_C_QTY]],[4]!db[NB NOTA_C_QTY+F],0))</f>
        <v/>
      </c>
      <c r="AW746" s="68" t="str">
        <f ca="1">IF(NOTA[[#This Row],[NB NOTA_C_QTY]]="","",ROW()-2)</f>
        <v/>
      </c>
    </row>
    <row r="747" spans="1:49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7" s="66" t="str">
        <f>IF(OR(NOTA[[#This Row],[QTY]]="",NOTA[[#This Row],[HARGA SATUAN]]="",),"",NOTA[[#This Row],[QTY]]*NOTA[[#This Row],[HARGA SATUAN]])</f>
        <v/>
      </c>
      <c r="AH747" s="60" t="str">
        <f ca="1">IF(NOTA[ID_H]="","",INDEX(NOTA[TANGGAL],MATCH(,INDIRECT(ADDRESS(ROW(NOTA[TANGGAL]),COLUMN(NOTA[TANGGAL]))&amp;":"&amp;ADDRESS(ROW(),COLUMN(NOTA[TANGGAL]))),-1)))</f>
        <v/>
      </c>
      <c r="AI747" s="55" t="str">
        <f ca="1">IF(NOTA[[#This Row],[NAMA BARANG]]="","",INDEX(NOTA[SUPPLIER],MATCH(,INDIRECT(ADDRESS(ROW(NOTA[ID]),COLUMN(NOTA[ID]))&amp;":"&amp;ADDRESS(ROW(),COLUMN(NOTA[ID]))),-1)))</f>
        <v/>
      </c>
      <c r="AJ747" s="55" t="str">
        <f ca="1">IF(NOTA[[#This Row],[ID_H]]="","",IF(NOTA[[#This Row],[FAKTUR]]="",INDIRECT(ADDRESS(ROW()-1,COLUMN())),NOTA[[#This Row],[FAKTUR]]))</f>
        <v/>
      </c>
      <c r="AK747" s="56" t="str">
        <f ca="1">IF(NOTA[[#This Row],[ID]]="","",COUNTIF(NOTA[ID_H],NOTA[[#This Row],[ID_H]]))</f>
        <v/>
      </c>
      <c r="AL747" s="56" t="str">
        <f ca="1">IF(NOTA[[#This Row],[TGL.NOTA]]="",IF(NOTA[[#This Row],[SUPPLIER_H]]="","",AL746),MONTH(NOTA[[#This Row],[TGL.NOTA]]))</f>
        <v/>
      </c>
      <c r="AM747" s="56" t="str">
        <f>LOWER(SUBSTITUTE(SUBSTITUTE(SUBSTITUTE(SUBSTITUTE(SUBSTITUTE(SUBSTITUTE(SUBSTITUTE(SUBSTITUTE(SUBSTITUTE(NOTA[NAMA BARANG]," ",),".",""),"-",""),"(",""),")",""),",",""),"/",""),"""",""),"+",""))</f>
        <v/>
      </c>
      <c r="AN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56" t="str">
        <f>IF(NOTA[[#This Row],[CONCAT4]]="","",_xlfn.IFNA(MATCH(NOTA[[#This Row],[CONCAT4]],[2]!RAW[CONCAT_H],0),FALSE))</f>
        <v/>
      </c>
      <c r="AR747" s="56" t="str">
        <f>IF(NOTA[[#This Row],[CONCAT1]]="","",MATCH(NOTA[[#This Row],[CONCAT1]],[3]!db[NB NOTA_C],0))</f>
        <v/>
      </c>
      <c r="AS747" s="56" t="str">
        <f>IF(NOTA[[#This Row],[QTY/ CTN]]="","",TRUE)</f>
        <v/>
      </c>
      <c r="AT747" s="56" t="str">
        <f ca="1">IF(NOTA[[#This Row],[ID_H]]="","",IF(NOTA[[#This Row],[Column3]]=TRUE,NOTA[[#This Row],[QTY/ CTN]],INDEX([3]!db[QTY/ CTN],NOTA[[#This Row],[//DB]])))</f>
        <v/>
      </c>
      <c r="AU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7" s="56" t="str">
        <f ca="1">IF(NOTA[[#This Row],[ID_H]]="","",MATCH(NOTA[[#This Row],[NB NOTA_C_QTY]],[4]!db[NB NOTA_C_QTY+F],0))</f>
        <v/>
      </c>
      <c r="AW747" s="68" t="str">
        <f ca="1">IF(NOTA[[#This Row],[NB NOTA_C_QTY]]="","",ROW()-2)</f>
        <v/>
      </c>
    </row>
    <row r="748" spans="1:49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8" s="66" t="str">
        <f>IF(OR(NOTA[[#This Row],[QTY]]="",NOTA[[#This Row],[HARGA SATUAN]]="",),"",NOTA[[#This Row],[QTY]]*NOTA[[#This Row],[HARGA SATUAN]])</f>
        <v/>
      </c>
      <c r="AH748" s="60" t="str">
        <f ca="1">IF(NOTA[ID_H]="","",INDEX(NOTA[TANGGAL],MATCH(,INDIRECT(ADDRESS(ROW(NOTA[TANGGAL]),COLUMN(NOTA[TANGGAL]))&amp;":"&amp;ADDRESS(ROW(),COLUMN(NOTA[TANGGAL]))),-1)))</f>
        <v/>
      </c>
      <c r="AI748" s="55" t="str">
        <f ca="1">IF(NOTA[[#This Row],[NAMA BARANG]]="","",INDEX(NOTA[SUPPLIER],MATCH(,INDIRECT(ADDRESS(ROW(NOTA[ID]),COLUMN(NOTA[ID]))&amp;":"&amp;ADDRESS(ROW(),COLUMN(NOTA[ID]))),-1)))</f>
        <v/>
      </c>
      <c r="AJ748" s="55" t="str">
        <f ca="1">IF(NOTA[[#This Row],[ID_H]]="","",IF(NOTA[[#This Row],[FAKTUR]]="",INDIRECT(ADDRESS(ROW()-1,COLUMN())),NOTA[[#This Row],[FAKTUR]]))</f>
        <v/>
      </c>
      <c r="AK748" s="56" t="str">
        <f ca="1">IF(NOTA[[#This Row],[ID]]="","",COUNTIF(NOTA[ID_H],NOTA[[#This Row],[ID_H]]))</f>
        <v/>
      </c>
      <c r="AL748" s="56" t="str">
        <f ca="1">IF(NOTA[[#This Row],[TGL.NOTA]]="",IF(NOTA[[#This Row],[SUPPLIER_H]]="","",AL747),MONTH(NOTA[[#This Row],[TGL.NOTA]]))</f>
        <v/>
      </c>
      <c r="AM748" s="56" t="str">
        <f>LOWER(SUBSTITUTE(SUBSTITUTE(SUBSTITUTE(SUBSTITUTE(SUBSTITUTE(SUBSTITUTE(SUBSTITUTE(SUBSTITUTE(SUBSTITUTE(NOTA[NAMA BARANG]," ",),".",""),"-",""),"(",""),")",""),",",""),"/",""),"""",""),"+",""))</f>
        <v/>
      </c>
      <c r="AN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56" t="str">
        <f>IF(NOTA[[#This Row],[CONCAT4]]="","",_xlfn.IFNA(MATCH(NOTA[[#This Row],[CONCAT4]],[2]!RAW[CONCAT_H],0),FALSE))</f>
        <v/>
      </c>
      <c r="AR748" s="56" t="str">
        <f>IF(NOTA[[#This Row],[CONCAT1]]="","",MATCH(NOTA[[#This Row],[CONCAT1]],[3]!db[NB NOTA_C],0))</f>
        <v/>
      </c>
      <c r="AS748" s="56" t="str">
        <f>IF(NOTA[[#This Row],[QTY/ CTN]]="","",TRUE)</f>
        <v/>
      </c>
      <c r="AT748" s="56" t="str">
        <f ca="1">IF(NOTA[[#This Row],[ID_H]]="","",IF(NOTA[[#This Row],[Column3]]=TRUE,NOTA[[#This Row],[QTY/ CTN]],INDEX([3]!db[QTY/ CTN],NOTA[[#This Row],[//DB]])))</f>
        <v/>
      </c>
      <c r="AU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8" s="56" t="str">
        <f ca="1">IF(NOTA[[#This Row],[ID_H]]="","",MATCH(NOTA[[#This Row],[NB NOTA_C_QTY]],[4]!db[NB NOTA_C_QTY+F],0))</f>
        <v/>
      </c>
      <c r="AW748" s="68" t="str">
        <f ca="1">IF(NOTA[[#This Row],[NB NOTA_C_QTY]]="","",ROW()-2)</f>
        <v/>
      </c>
    </row>
    <row r="749" spans="1:49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49" s="66" t="str">
        <f>IF(OR(NOTA[[#This Row],[QTY]]="",NOTA[[#This Row],[HARGA SATUAN]]="",),"",NOTA[[#This Row],[QTY]]*NOTA[[#This Row],[HARGA SATUAN]])</f>
        <v/>
      </c>
      <c r="AH749" s="60" t="str">
        <f ca="1">IF(NOTA[ID_H]="","",INDEX(NOTA[TANGGAL],MATCH(,INDIRECT(ADDRESS(ROW(NOTA[TANGGAL]),COLUMN(NOTA[TANGGAL]))&amp;":"&amp;ADDRESS(ROW(),COLUMN(NOTA[TANGGAL]))),-1)))</f>
        <v/>
      </c>
      <c r="AI749" s="55" t="str">
        <f ca="1">IF(NOTA[[#This Row],[NAMA BARANG]]="","",INDEX(NOTA[SUPPLIER],MATCH(,INDIRECT(ADDRESS(ROW(NOTA[ID]),COLUMN(NOTA[ID]))&amp;":"&amp;ADDRESS(ROW(),COLUMN(NOTA[ID]))),-1)))</f>
        <v/>
      </c>
      <c r="AJ749" s="55" t="str">
        <f ca="1">IF(NOTA[[#This Row],[ID_H]]="","",IF(NOTA[[#This Row],[FAKTUR]]="",INDIRECT(ADDRESS(ROW()-1,COLUMN())),NOTA[[#This Row],[FAKTUR]]))</f>
        <v/>
      </c>
      <c r="AK749" s="56" t="str">
        <f ca="1">IF(NOTA[[#This Row],[ID]]="","",COUNTIF(NOTA[ID_H],NOTA[[#This Row],[ID_H]]))</f>
        <v/>
      </c>
      <c r="AL749" s="56" t="str">
        <f ca="1">IF(NOTA[[#This Row],[TGL.NOTA]]="",IF(NOTA[[#This Row],[SUPPLIER_H]]="","",AL748),MONTH(NOTA[[#This Row],[TGL.NOTA]]))</f>
        <v/>
      </c>
      <c r="AM749" s="56" t="str">
        <f>LOWER(SUBSTITUTE(SUBSTITUTE(SUBSTITUTE(SUBSTITUTE(SUBSTITUTE(SUBSTITUTE(SUBSTITUTE(SUBSTITUTE(SUBSTITUTE(NOTA[NAMA BARANG]," ",),".",""),"-",""),"(",""),")",""),",",""),"/",""),"""",""),"+",""))</f>
        <v/>
      </c>
      <c r="AN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56" t="str">
        <f>IF(NOTA[[#This Row],[CONCAT4]]="","",_xlfn.IFNA(MATCH(NOTA[[#This Row],[CONCAT4]],[2]!RAW[CONCAT_H],0),FALSE))</f>
        <v/>
      </c>
      <c r="AR749" s="56" t="str">
        <f>IF(NOTA[[#This Row],[CONCAT1]]="","",MATCH(NOTA[[#This Row],[CONCAT1]],[3]!db[NB NOTA_C],0))</f>
        <v/>
      </c>
      <c r="AS749" s="56" t="str">
        <f>IF(NOTA[[#This Row],[QTY/ CTN]]="","",TRUE)</f>
        <v/>
      </c>
      <c r="AT749" s="56" t="str">
        <f ca="1">IF(NOTA[[#This Row],[ID_H]]="","",IF(NOTA[[#This Row],[Column3]]=TRUE,NOTA[[#This Row],[QTY/ CTN]],INDEX([3]!db[QTY/ CTN],NOTA[[#This Row],[//DB]])))</f>
        <v/>
      </c>
      <c r="AU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9" s="56" t="str">
        <f ca="1">IF(NOTA[[#This Row],[ID_H]]="","",MATCH(NOTA[[#This Row],[NB NOTA_C_QTY]],[4]!db[NB NOTA_C_QTY+F],0))</f>
        <v/>
      </c>
      <c r="AW749" s="68" t="str">
        <f ca="1">IF(NOTA[[#This Row],[NB NOTA_C_QTY]]="","",ROW()-2)</f>
        <v/>
      </c>
    </row>
    <row r="750" spans="1:49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0" s="66" t="str">
        <f>IF(OR(NOTA[[#This Row],[QTY]]="",NOTA[[#This Row],[HARGA SATUAN]]="",),"",NOTA[[#This Row],[QTY]]*NOTA[[#This Row],[HARGA SATUAN]])</f>
        <v/>
      </c>
      <c r="AH750" s="60" t="str">
        <f ca="1">IF(NOTA[ID_H]="","",INDEX(NOTA[TANGGAL],MATCH(,INDIRECT(ADDRESS(ROW(NOTA[TANGGAL]),COLUMN(NOTA[TANGGAL]))&amp;":"&amp;ADDRESS(ROW(),COLUMN(NOTA[TANGGAL]))),-1)))</f>
        <v/>
      </c>
      <c r="AI750" s="55" t="str">
        <f ca="1">IF(NOTA[[#This Row],[NAMA BARANG]]="","",INDEX(NOTA[SUPPLIER],MATCH(,INDIRECT(ADDRESS(ROW(NOTA[ID]),COLUMN(NOTA[ID]))&amp;":"&amp;ADDRESS(ROW(),COLUMN(NOTA[ID]))),-1)))</f>
        <v/>
      </c>
      <c r="AJ750" s="55" t="str">
        <f ca="1">IF(NOTA[[#This Row],[ID_H]]="","",IF(NOTA[[#This Row],[FAKTUR]]="",INDIRECT(ADDRESS(ROW()-1,COLUMN())),NOTA[[#This Row],[FAKTUR]]))</f>
        <v/>
      </c>
      <c r="AK750" s="56" t="str">
        <f ca="1">IF(NOTA[[#This Row],[ID]]="","",COUNTIF(NOTA[ID_H],NOTA[[#This Row],[ID_H]]))</f>
        <v/>
      </c>
      <c r="AL750" s="56" t="str">
        <f ca="1">IF(NOTA[[#This Row],[TGL.NOTA]]="",IF(NOTA[[#This Row],[SUPPLIER_H]]="","",AL749),MONTH(NOTA[[#This Row],[TGL.NOTA]]))</f>
        <v/>
      </c>
      <c r="AM750" s="56" t="str">
        <f>LOWER(SUBSTITUTE(SUBSTITUTE(SUBSTITUTE(SUBSTITUTE(SUBSTITUTE(SUBSTITUTE(SUBSTITUTE(SUBSTITUTE(SUBSTITUTE(NOTA[NAMA BARANG]," ",),".",""),"-",""),"(",""),")",""),",",""),"/",""),"""",""),"+",""))</f>
        <v/>
      </c>
      <c r="AN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56" t="str">
        <f>IF(NOTA[[#This Row],[CONCAT4]]="","",_xlfn.IFNA(MATCH(NOTA[[#This Row],[CONCAT4]],[2]!RAW[CONCAT_H],0),FALSE))</f>
        <v/>
      </c>
      <c r="AR750" s="56" t="str">
        <f>IF(NOTA[[#This Row],[CONCAT1]]="","",MATCH(NOTA[[#This Row],[CONCAT1]],[3]!db[NB NOTA_C],0))</f>
        <v/>
      </c>
      <c r="AS750" s="56" t="str">
        <f>IF(NOTA[[#This Row],[QTY/ CTN]]="","",TRUE)</f>
        <v/>
      </c>
      <c r="AT750" s="56" t="str">
        <f ca="1">IF(NOTA[[#This Row],[ID_H]]="","",IF(NOTA[[#This Row],[Column3]]=TRUE,NOTA[[#This Row],[QTY/ CTN]],INDEX([3]!db[QTY/ CTN],NOTA[[#This Row],[//DB]])))</f>
        <v/>
      </c>
      <c r="AU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0" s="56" t="str">
        <f ca="1">IF(NOTA[[#This Row],[ID_H]]="","",MATCH(NOTA[[#This Row],[NB NOTA_C_QTY]],[4]!db[NB NOTA_C_QTY+F],0))</f>
        <v/>
      </c>
      <c r="AW750" s="68" t="str">
        <f ca="1">IF(NOTA[[#This Row],[NB NOTA_C_QTY]]="","",ROW()-2)</f>
        <v/>
      </c>
    </row>
    <row r="751" spans="1:49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1" s="66" t="str">
        <f>IF(OR(NOTA[[#This Row],[QTY]]="",NOTA[[#This Row],[HARGA SATUAN]]="",),"",NOTA[[#This Row],[QTY]]*NOTA[[#This Row],[HARGA SATUAN]])</f>
        <v/>
      </c>
      <c r="AH751" s="60" t="str">
        <f ca="1">IF(NOTA[ID_H]="","",INDEX(NOTA[TANGGAL],MATCH(,INDIRECT(ADDRESS(ROW(NOTA[TANGGAL]),COLUMN(NOTA[TANGGAL]))&amp;":"&amp;ADDRESS(ROW(),COLUMN(NOTA[TANGGAL]))),-1)))</f>
        <v/>
      </c>
      <c r="AI751" s="55" t="str">
        <f ca="1">IF(NOTA[[#This Row],[NAMA BARANG]]="","",INDEX(NOTA[SUPPLIER],MATCH(,INDIRECT(ADDRESS(ROW(NOTA[ID]),COLUMN(NOTA[ID]))&amp;":"&amp;ADDRESS(ROW(),COLUMN(NOTA[ID]))),-1)))</f>
        <v/>
      </c>
      <c r="AJ751" s="55" t="str">
        <f ca="1">IF(NOTA[[#This Row],[ID_H]]="","",IF(NOTA[[#This Row],[FAKTUR]]="",INDIRECT(ADDRESS(ROW()-1,COLUMN())),NOTA[[#This Row],[FAKTUR]]))</f>
        <v/>
      </c>
      <c r="AK751" s="56" t="str">
        <f ca="1">IF(NOTA[[#This Row],[ID]]="","",COUNTIF(NOTA[ID_H],NOTA[[#This Row],[ID_H]]))</f>
        <v/>
      </c>
      <c r="AL751" s="56" t="str">
        <f ca="1">IF(NOTA[[#This Row],[TGL.NOTA]]="",IF(NOTA[[#This Row],[SUPPLIER_H]]="","",AL750),MONTH(NOTA[[#This Row],[TGL.NOTA]]))</f>
        <v/>
      </c>
      <c r="AM751" s="56" t="str">
        <f>LOWER(SUBSTITUTE(SUBSTITUTE(SUBSTITUTE(SUBSTITUTE(SUBSTITUTE(SUBSTITUTE(SUBSTITUTE(SUBSTITUTE(SUBSTITUTE(NOTA[NAMA BARANG]," ",),".",""),"-",""),"(",""),")",""),",",""),"/",""),"""",""),"+",""))</f>
        <v/>
      </c>
      <c r="AN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56" t="str">
        <f>IF(NOTA[[#This Row],[CONCAT4]]="","",_xlfn.IFNA(MATCH(NOTA[[#This Row],[CONCAT4]],[2]!RAW[CONCAT_H],0),FALSE))</f>
        <v/>
      </c>
      <c r="AR751" s="56" t="str">
        <f>IF(NOTA[[#This Row],[CONCAT1]]="","",MATCH(NOTA[[#This Row],[CONCAT1]],[3]!db[NB NOTA_C],0))</f>
        <v/>
      </c>
      <c r="AS751" s="56" t="str">
        <f>IF(NOTA[[#This Row],[QTY/ CTN]]="","",TRUE)</f>
        <v/>
      </c>
      <c r="AT751" s="56" t="str">
        <f ca="1">IF(NOTA[[#This Row],[ID_H]]="","",IF(NOTA[[#This Row],[Column3]]=TRUE,NOTA[[#This Row],[QTY/ CTN]],INDEX([3]!db[QTY/ CTN],NOTA[[#This Row],[//DB]])))</f>
        <v/>
      </c>
      <c r="AU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1" s="56" t="str">
        <f ca="1">IF(NOTA[[#This Row],[ID_H]]="","",MATCH(NOTA[[#This Row],[NB NOTA_C_QTY]],[4]!db[NB NOTA_C_QTY+F],0))</f>
        <v/>
      </c>
      <c r="AW751" s="68" t="str">
        <f ca="1">IF(NOTA[[#This Row],[NB NOTA_C_QTY]]="","",ROW()-2)</f>
        <v/>
      </c>
    </row>
    <row r="752" spans="1:49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2" s="66" t="str">
        <f>IF(OR(NOTA[[#This Row],[QTY]]="",NOTA[[#This Row],[HARGA SATUAN]]="",),"",NOTA[[#This Row],[QTY]]*NOTA[[#This Row],[HARGA SATUAN]])</f>
        <v/>
      </c>
      <c r="AH752" s="60" t="str">
        <f ca="1">IF(NOTA[ID_H]="","",INDEX(NOTA[TANGGAL],MATCH(,INDIRECT(ADDRESS(ROW(NOTA[TANGGAL]),COLUMN(NOTA[TANGGAL]))&amp;":"&amp;ADDRESS(ROW(),COLUMN(NOTA[TANGGAL]))),-1)))</f>
        <v/>
      </c>
      <c r="AI752" s="55" t="str">
        <f ca="1">IF(NOTA[[#This Row],[NAMA BARANG]]="","",INDEX(NOTA[SUPPLIER],MATCH(,INDIRECT(ADDRESS(ROW(NOTA[ID]),COLUMN(NOTA[ID]))&amp;":"&amp;ADDRESS(ROW(),COLUMN(NOTA[ID]))),-1)))</f>
        <v/>
      </c>
      <c r="AJ752" s="55" t="str">
        <f ca="1">IF(NOTA[[#This Row],[ID_H]]="","",IF(NOTA[[#This Row],[FAKTUR]]="",INDIRECT(ADDRESS(ROW()-1,COLUMN())),NOTA[[#This Row],[FAKTUR]]))</f>
        <v/>
      </c>
      <c r="AK752" s="56" t="str">
        <f ca="1">IF(NOTA[[#This Row],[ID]]="","",COUNTIF(NOTA[ID_H],NOTA[[#This Row],[ID_H]]))</f>
        <v/>
      </c>
      <c r="AL752" s="56" t="str">
        <f ca="1">IF(NOTA[[#This Row],[TGL.NOTA]]="",IF(NOTA[[#This Row],[SUPPLIER_H]]="","",AL751),MONTH(NOTA[[#This Row],[TGL.NOTA]]))</f>
        <v/>
      </c>
      <c r="AM752" s="56" t="str">
        <f>LOWER(SUBSTITUTE(SUBSTITUTE(SUBSTITUTE(SUBSTITUTE(SUBSTITUTE(SUBSTITUTE(SUBSTITUTE(SUBSTITUTE(SUBSTITUTE(NOTA[NAMA BARANG]," ",),".",""),"-",""),"(",""),")",""),",",""),"/",""),"""",""),"+",""))</f>
        <v/>
      </c>
      <c r="AN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56" t="str">
        <f>IF(NOTA[[#This Row],[CONCAT4]]="","",_xlfn.IFNA(MATCH(NOTA[[#This Row],[CONCAT4]],[2]!RAW[CONCAT_H],0),FALSE))</f>
        <v/>
      </c>
      <c r="AR752" s="56" t="str">
        <f>IF(NOTA[[#This Row],[CONCAT1]]="","",MATCH(NOTA[[#This Row],[CONCAT1]],[3]!db[NB NOTA_C],0))</f>
        <v/>
      </c>
      <c r="AS752" s="56" t="str">
        <f>IF(NOTA[[#This Row],[QTY/ CTN]]="","",TRUE)</f>
        <v/>
      </c>
      <c r="AT752" s="56" t="str">
        <f ca="1">IF(NOTA[[#This Row],[ID_H]]="","",IF(NOTA[[#This Row],[Column3]]=TRUE,NOTA[[#This Row],[QTY/ CTN]],INDEX([3]!db[QTY/ CTN],NOTA[[#This Row],[//DB]])))</f>
        <v/>
      </c>
      <c r="AU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2" s="56" t="str">
        <f ca="1">IF(NOTA[[#This Row],[ID_H]]="","",MATCH(NOTA[[#This Row],[NB NOTA_C_QTY]],[4]!db[NB NOTA_C_QTY+F],0))</f>
        <v/>
      </c>
      <c r="AW752" s="68" t="str">
        <f ca="1">IF(NOTA[[#This Row],[NB NOTA_C_QTY]]="","",ROW()-2)</f>
        <v/>
      </c>
    </row>
    <row r="753" spans="1:49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3" s="66" t="str">
        <f>IF(OR(NOTA[[#This Row],[QTY]]="",NOTA[[#This Row],[HARGA SATUAN]]="",),"",NOTA[[#This Row],[QTY]]*NOTA[[#This Row],[HARGA SATUAN]])</f>
        <v/>
      </c>
      <c r="AH753" s="60" t="str">
        <f ca="1">IF(NOTA[ID_H]="","",INDEX(NOTA[TANGGAL],MATCH(,INDIRECT(ADDRESS(ROW(NOTA[TANGGAL]),COLUMN(NOTA[TANGGAL]))&amp;":"&amp;ADDRESS(ROW(),COLUMN(NOTA[TANGGAL]))),-1)))</f>
        <v/>
      </c>
      <c r="AI753" s="55" t="str">
        <f ca="1">IF(NOTA[[#This Row],[NAMA BARANG]]="","",INDEX(NOTA[SUPPLIER],MATCH(,INDIRECT(ADDRESS(ROW(NOTA[ID]),COLUMN(NOTA[ID]))&amp;":"&amp;ADDRESS(ROW(),COLUMN(NOTA[ID]))),-1)))</f>
        <v/>
      </c>
      <c r="AJ753" s="55" t="str">
        <f ca="1">IF(NOTA[[#This Row],[ID_H]]="","",IF(NOTA[[#This Row],[FAKTUR]]="",INDIRECT(ADDRESS(ROW()-1,COLUMN())),NOTA[[#This Row],[FAKTUR]]))</f>
        <v/>
      </c>
      <c r="AK753" s="56" t="str">
        <f ca="1">IF(NOTA[[#This Row],[ID]]="","",COUNTIF(NOTA[ID_H],NOTA[[#This Row],[ID_H]]))</f>
        <v/>
      </c>
      <c r="AL753" s="56" t="str">
        <f ca="1">IF(NOTA[[#This Row],[TGL.NOTA]]="",IF(NOTA[[#This Row],[SUPPLIER_H]]="","",AL752),MONTH(NOTA[[#This Row],[TGL.NOTA]]))</f>
        <v/>
      </c>
      <c r="AM753" s="56" t="str">
        <f>LOWER(SUBSTITUTE(SUBSTITUTE(SUBSTITUTE(SUBSTITUTE(SUBSTITUTE(SUBSTITUTE(SUBSTITUTE(SUBSTITUTE(SUBSTITUTE(NOTA[NAMA BARANG]," ",),".",""),"-",""),"(",""),")",""),",",""),"/",""),"""",""),"+",""))</f>
        <v/>
      </c>
      <c r="AN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56" t="str">
        <f>IF(NOTA[[#This Row],[CONCAT4]]="","",_xlfn.IFNA(MATCH(NOTA[[#This Row],[CONCAT4]],[2]!RAW[CONCAT_H],0),FALSE))</f>
        <v/>
      </c>
      <c r="AR753" s="56" t="str">
        <f>IF(NOTA[[#This Row],[CONCAT1]]="","",MATCH(NOTA[[#This Row],[CONCAT1]],[3]!db[NB NOTA_C],0))</f>
        <v/>
      </c>
      <c r="AS753" s="56" t="str">
        <f>IF(NOTA[[#This Row],[QTY/ CTN]]="","",TRUE)</f>
        <v/>
      </c>
      <c r="AT753" s="56" t="str">
        <f ca="1">IF(NOTA[[#This Row],[ID_H]]="","",IF(NOTA[[#This Row],[Column3]]=TRUE,NOTA[[#This Row],[QTY/ CTN]],INDEX([3]!db[QTY/ CTN],NOTA[[#This Row],[//DB]])))</f>
        <v/>
      </c>
      <c r="AU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3" s="56" t="str">
        <f ca="1">IF(NOTA[[#This Row],[ID_H]]="","",MATCH(NOTA[[#This Row],[NB NOTA_C_QTY]],[4]!db[NB NOTA_C_QTY+F],0))</f>
        <v/>
      </c>
      <c r="AW753" s="68" t="str">
        <f ca="1">IF(NOTA[[#This Row],[NB NOTA_C_QTY]]="","",ROW()-2)</f>
        <v/>
      </c>
    </row>
    <row r="754" spans="1:49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4" s="66" t="str">
        <f>IF(OR(NOTA[[#This Row],[QTY]]="",NOTA[[#This Row],[HARGA SATUAN]]="",),"",NOTA[[#This Row],[QTY]]*NOTA[[#This Row],[HARGA SATUAN]])</f>
        <v/>
      </c>
      <c r="AH754" s="60" t="str">
        <f ca="1">IF(NOTA[ID_H]="","",INDEX(NOTA[TANGGAL],MATCH(,INDIRECT(ADDRESS(ROW(NOTA[TANGGAL]),COLUMN(NOTA[TANGGAL]))&amp;":"&amp;ADDRESS(ROW(),COLUMN(NOTA[TANGGAL]))),-1)))</f>
        <v/>
      </c>
      <c r="AI754" s="55" t="str">
        <f ca="1">IF(NOTA[[#This Row],[NAMA BARANG]]="","",INDEX(NOTA[SUPPLIER],MATCH(,INDIRECT(ADDRESS(ROW(NOTA[ID]),COLUMN(NOTA[ID]))&amp;":"&amp;ADDRESS(ROW(),COLUMN(NOTA[ID]))),-1)))</f>
        <v/>
      </c>
      <c r="AJ754" s="55" t="str">
        <f ca="1">IF(NOTA[[#This Row],[ID_H]]="","",IF(NOTA[[#This Row],[FAKTUR]]="",INDIRECT(ADDRESS(ROW()-1,COLUMN())),NOTA[[#This Row],[FAKTUR]]))</f>
        <v/>
      </c>
      <c r="AK754" s="56" t="str">
        <f ca="1">IF(NOTA[[#This Row],[ID]]="","",COUNTIF(NOTA[ID_H],NOTA[[#This Row],[ID_H]]))</f>
        <v/>
      </c>
      <c r="AL754" s="56" t="str">
        <f ca="1">IF(NOTA[[#This Row],[TGL.NOTA]]="",IF(NOTA[[#This Row],[SUPPLIER_H]]="","",AL753),MONTH(NOTA[[#This Row],[TGL.NOTA]]))</f>
        <v/>
      </c>
      <c r="AM754" s="56" t="str">
        <f>LOWER(SUBSTITUTE(SUBSTITUTE(SUBSTITUTE(SUBSTITUTE(SUBSTITUTE(SUBSTITUTE(SUBSTITUTE(SUBSTITUTE(SUBSTITUTE(NOTA[NAMA BARANG]," ",),".",""),"-",""),"(",""),")",""),",",""),"/",""),"""",""),"+",""))</f>
        <v/>
      </c>
      <c r="AN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4" s="56" t="str">
        <f>IF(NOTA[[#This Row],[CONCAT4]]="","",_xlfn.IFNA(MATCH(NOTA[[#This Row],[CONCAT4]],[2]!RAW[CONCAT_H],0),FALSE))</f>
        <v/>
      </c>
      <c r="AR754" s="56" t="str">
        <f>IF(NOTA[[#This Row],[CONCAT1]]="","",MATCH(NOTA[[#This Row],[CONCAT1]],[3]!db[NB NOTA_C],0))</f>
        <v/>
      </c>
      <c r="AS754" s="56" t="str">
        <f>IF(NOTA[[#This Row],[QTY/ CTN]]="","",TRUE)</f>
        <v/>
      </c>
      <c r="AT754" s="56" t="str">
        <f ca="1">IF(NOTA[[#This Row],[ID_H]]="","",IF(NOTA[[#This Row],[Column3]]=TRUE,NOTA[[#This Row],[QTY/ CTN]],INDEX([3]!db[QTY/ CTN],NOTA[[#This Row],[//DB]])))</f>
        <v/>
      </c>
      <c r="AU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4" s="56" t="str">
        <f ca="1">IF(NOTA[[#This Row],[ID_H]]="","",MATCH(NOTA[[#This Row],[NB NOTA_C_QTY]],[4]!db[NB NOTA_C_QTY+F],0))</f>
        <v/>
      </c>
      <c r="AW754" s="68" t="str">
        <f ca="1">IF(NOTA[[#This Row],[NB NOTA_C_QTY]]="","",ROW()-2)</f>
        <v/>
      </c>
    </row>
    <row r="755" spans="1:49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5" s="66" t="str">
        <f>IF(OR(NOTA[[#This Row],[QTY]]="",NOTA[[#This Row],[HARGA SATUAN]]="",),"",NOTA[[#This Row],[QTY]]*NOTA[[#This Row],[HARGA SATUAN]])</f>
        <v/>
      </c>
      <c r="AH755" s="60" t="str">
        <f ca="1">IF(NOTA[ID_H]="","",INDEX(NOTA[TANGGAL],MATCH(,INDIRECT(ADDRESS(ROW(NOTA[TANGGAL]),COLUMN(NOTA[TANGGAL]))&amp;":"&amp;ADDRESS(ROW(),COLUMN(NOTA[TANGGAL]))),-1)))</f>
        <v/>
      </c>
      <c r="AI755" s="55" t="str">
        <f ca="1">IF(NOTA[[#This Row],[NAMA BARANG]]="","",INDEX(NOTA[SUPPLIER],MATCH(,INDIRECT(ADDRESS(ROW(NOTA[ID]),COLUMN(NOTA[ID]))&amp;":"&amp;ADDRESS(ROW(),COLUMN(NOTA[ID]))),-1)))</f>
        <v/>
      </c>
      <c r="AJ755" s="55" t="str">
        <f ca="1">IF(NOTA[[#This Row],[ID_H]]="","",IF(NOTA[[#This Row],[FAKTUR]]="",INDIRECT(ADDRESS(ROW()-1,COLUMN())),NOTA[[#This Row],[FAKTUR]]))</f>
        <v/>
      </c>
      <c r="AK755" s="56" t="str">
        <f ca="1">IF(NOTA[[#This Row],[ID]]="","",COUNTIF(NOTA[ID_H],NOTA[[#This Row],[ID_H]]))</f>
        <v/>
      </c>
      <c r="AL755" s="56" t="str">
        <f ca="1">IF(NOTA[[#This Row],[TGL.NOTA]]="",IF(NOTA[[#This Row],[SUPPLIER_H]]="","",AL754),MONTH(NOTA[[#This Row],[TGL.NOTA]]))</f>
        <v/>
      </c>
      <c r="AM755" s="56" t="str">
        <f>LOWER(SUBSTITUTE(SUBSTITUTE(SUBSTITUTE(SUBSTITUTE(SUBSTITUTE(SUBSTITUTE(SUBSTITUTE(SUBSTITUTE(SUBSTITUTE(NOTA[NAMA BARANG]," ",),".",""),"-",""),"(",""),")",""),",",""),"/",""),"""",""),"+",""))</f>
        <v/>
      </c>
      <c r="AN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56" t="str">
        <f>IF(NOTA[[#This Row],[CONCAT4]]="","",_xlfn.IFNA(MATCH(NOTA[[#This Row],[CONCAT4]],[2]!RAW[CONCAT_H],0),FALSE))</f>
        <v/>
      </c>
      <c r="AR755" s="56" t="str">
        <f>IF(NOTA[[#This Row],[CONCAT1]]="","",MATCH(NOTA[[#This Row],[CONCAT1]],[3]!db[NB NOTA_C],0))</f>
        <v/>
      </c>
      <c r="AS755" s="56" t="str">
        <f>IF(NOTA[[#This Row],[QTY/ CTN]]="","",TRUE)</f>
        <v/>
      </c>
      <c r="AT755" s="56" t="str">
        <f ca="1">IF(NOTA[[#This Row],[ID_H]]="","",IF(NOTA[[#This Row],[Column3]]=TRUE,NOTA[[#This Row],[QTY/ CTN]],INDEX([3]!db[QTY/ CTN],NOTA[[#This Row],[//DB]])))</f>
        <v/>
      </c>
      <c r="AU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5" s="56" t="str">
        <f ca="1">IF(NOTA[[#This Row],[ID_H]]="","",MATCH(NOTA[[#This Row],[NB NOTA_C_QTY]],[4]!db[NB NOTA_C_QTY+F],0))</f>
        <v/>
      </c>
      <c r="AW755" s="68" t="str">
        <f ca="1">IF(NOTA[[#This Row],[NB NOTA_C_QTY]]="","",ROW()-2)</f>
        <v/>
      </c>
    </row>
    <row r="756" spans="1:49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6" s="66" t="str">
        <f>IF(OR(NOTA[[#This Row],[QTY]]="",NOTA[[#This Row],[HARGA SATUAN]]="",),"",NOTA[[#This Row],[QTY]]*NOTA[[#This Row],[HARGA SATUAN]])</f>
        <v/>
      </c>
      <c r="AH756" s="60" t="str">
        <f ca="1">IF(NOTA[ID_H]="","",INDEX(NOTA[TANGGAL],MATCH(,INDIRECT(ADDRESS(ROW(NOTA[TANGGAL]),COLUMN(NOTA[TANGGAL]))&amp;":"&amp;ADDRESS(ROW(),COLUMN(NOTA[TANGGAL]))),-1)))</f>
        <v/>
      </c>
      <c r="AI756" s="55" t="str">
        <f ca="1">IF(NOTA[[#This Row],[NAMA BARANG]]="","",INDEX(NOTA[SUPPLIER],MATCH(,INDIRECT(ADDRESS(ROW(NOTA[ID]),COLUMN(NOTA[ID]))&amp;":"&amp;ADDRESS(ROW(),COLUMN(NOTA[ID]))),-1)))</f>
        <v/>
      </c>
      <c r="AJ756" s="55" t="str">
        <f ca="1">IF(NOTA[[#This Row],[ID_H]]="","",IF(NOTA[[#This Row],[FAKTUR]]="",INDIRECT(ADDRESS(ROW()-1,COLUMN())),NOTA[[#This Row],[FAKTUR]]))</f>
        <v/>
      </c>
      <c r="AK756" s="56" t="str">
        <f ca="1">IF(NOTA[[#This Row],[ID]]="","",COUNTIF(NOTA[ID_H],NOTA[[#This Row],[ID_H]]))</f>
        <v/>
      </c>
      <c r="AL756" s="56" t="str">
        <f ca="1">IF(NOTA[[#This Row],[TGL.NOTA]]="",IF(NOTA[[#This Row],[SUPPLIER_H]]="","",AL755),MONTH(NOTA[[#This Row],[TGL.NOTA]]))</f>
        <v/>
      </c>
      <c r="AM756" s="56" t="str">
        <f>LOWER(SUBSTITUTE(SUBSTITUTE(SUBSTITUTE(SUBSTITUTE(SUBSTITUTE(SUBSTITUTE(SUBSTITUTE(SUBSTITUTE(SUBSTITUTE(NOTA[NAMA BARANG]," ",),".",""),"-",""),"(",""),")",""),",",""),"/",""),"""",""),"+",""))</f>
        <v/>
      </c>
      <c r="AN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56" t="str">
        <f>IF(NOTA[[#This Row],[CONCAT4]]="","",_xlfn.IFNA(MATCH(NOTA[[#This Row],[CONCAT4]],[2]!RAW[CONCAT_H],0),FALSE))</f>
        <v/>
      </c>
      <c r="AR756" s="56" t="str">
        <f>IF(NOTA[[#This Row],[CONCAT1]]="","",MATCH(NOTA[[#This Row],[CONCAT1]],[3]!db[NB NOTA_C],0))</f>
        <v/>
      </c>
      <c r="AS756" s="56" t="str">
        <f>IF(NOTA[[#This Row],[QTY/ CTN]]="","",TRUE)</f>
        <v/>
      </c>
      <c r="AT756" s="56" t="str">
        <f ca="1">IF(NOTA[[#This Row],[ID_H]]="","",IF(NOTA[[#This Row],[Column3]]=TRUE,NOTA[[#This Row],[QTY/ CTN]],INDEX([3]!db[QTY/ CTN],NOTA[[#This Row],[//DB]])))</f>
        <v/>
      </c>
      <c r="AU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6" s="56" t="str">
        <f ca="1">IF(NOTA[[#This Row],[ID_H]]="","",MATCH(NOTA[[#This Row],[NB NOTA_C_QTY]],[4]!db[NB NOTA_C_QTY+F],0))</f>
        <v/>
      </c>
      <c r="AW756" s="68" t="str">
        <f ca="1">IF(NOTA[[#This Row],[NB NOTA_C_QTY]]="","",ROW()-2)</f>
        <v/>
      </c>
    </row>
    <row r="757" spans="1:49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7" s="66" t="str">
        <f>IF(OR(NOTA[[#This Row],[QTY]]="",NOTA[[#This Row],[HARGA SATUAN]]="",),"",NOTA[[#This Row],[QTY]]*NOTA[[#This Row],[HARGA SATUAN]])</f>
        <v/>
      </c>
      <c r="AH757" s="60" t="str">
        <f ca="1">IF(NOTA[ID_H]="","",INDEX(NOTA[TANGGAL],MATCH(,INDIRECT(ADDRESS(ROW(NOTA[TANGGAL]),COLUMN(NOTA[TANGGAL]))&amp;":"&amp;ADDRESS(ROW(),COLUMN(NOTA[TANGGAL]))),-1)))</f>
        <v/>
      </c>
      <c r="AI757" s="55" t="str">
        <f ca="1">IF(NOTA[[#This Row],[NAMA BARANG]]="","",INDEX(NOTA[SUPPLIER],MATCH(,INDIRECT(ADDRESS(ROW(NOTA[ID]),COLUMN(NOTA[ID]))&amp;":"&amp;ADDRESS(ROW(),COLUMN(NOTA[ID]))),-1)))</f>
        <v/>
      </c>
      <c r="AJ757" s="55" t="str">
        <f ca="1">IF(NOTA[[#This Row],[ID_H]]="","",IF(NOTA[[#This Row],[FAKTUR]]="",INDIRECT(ADDRESS(ROW()-1,COLUMN())),NOTA[[#This Row],[FAKTUR]]))</f>
        <v/>
      </c>
      <c r="AK757" s="56" t="str">
        <f ca="1">IF(NOTA[[#This Row],[ID]]="","",COUNTIF(NOTA[ID_H],NOTA[[#This Row],[ID_H]]))</f>
        <v/>
      </c>
      <c r="AL757" s="56" t="str">
        <f ca="1">IF(NOTA[[#This Row],[TGL.NOTA]]="",IF(NOTA[[#This Row],[SUPPLIER_H]]="","",AL756),MONTH(NOTA[[#This Row],[TGL.NOTA]]))</f>
        <v/>
      </c>
      <c r="AM757" s="56" t="str">
        <f>LOWER(SUBSTITUTE(SUBSTITUTE(SUBSTITUTE(SUBSTITUTE(SUBSTITUTE(SUBSTITUTE(SUBSTITUTE(SUBSTITUTE(SUBSTITUTE(NOTA[NAMA BARANG]," ",),".",""),"-",""),"(",""),")",""),",",""),"/",""),"""",""),"+",""))</f>
        <v/>
      </c>
      <c r="AN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56" t="str">
        <f>IF(NOTA[[#This Row],[CONCAT4]]="","",_xlfn.IFNA(MATCH(NOTA[[#This Row],[CONCAT4]],[2]!RAW[CONCAT_H],0),FALSE))</f>
        <v/>
      </c>
      <c r="AR757" s="56" t="str">
        <f>IF(NOTA[[#This Row],[CONCAT1]]="","",MATCH(NOTA[[#This Row],[CONCAT1]],[3]!db[NB NOTA_C],0))</f>
        <v/>
      </c>
      <c r="AS757" s="56" t="str">
        <f>IF(NOTA[[#This Row],[QTY/ CTN]]="","",TRUE)</f>
        <v/>
      </c>
      <c r="AT757" s="56" t="str">
        <f ca="1">IF(NOTA[[#This Row],[ID_H]]="","",IF(NOTA[[#This Row],[Column3]]=TRUE,NOTA[[#This Row],[QTY/ CTN]],INDEX([3]!db[QTY/ CTN],NOTA[[#This Row],[//DB]])))</f>
        <v/>
      </c>
      <c r="AU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7" s="56" t="str">
        <f ca="1">IF(NOTA[[#This Row],[ID_H]]="","",MATCH(NOTA[[#This Row],[NB NOTA_C_QTY]],[4]!db[NB NOTA_C_QTY+F],0))</f>
        <v/>
      </c>
      <c r="AW757" s="68" t="str">
        <f ca="1">IF(NOTA[[#This Row],[NB NOTA_C_QTY]]="","",ROW()-2)</f>
        <v/>
      </c>
    </row>
    <row r="758" spans="1:49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8" s="66" t="str">
        <f>IF(OR(NOTA[[#This Row],[QTY]]="",NOTA[[#This Row],[HARGA SATUAN]]="",),"",NOTA[[#This Row],[QTY]]*NOTA[[#This Row],[HARGA SATUAN]])</f>
        <v/>
      </c>
      <c r="AH758" s="60" t="str">
        <f ca="1">IF(NOTA[ID_H]="","",INDEX(NOTA[TANGGAL],MATCH(,INDIRECT(ADDRESS(ROW(NOTA[TANGGAL]),COLUMN(NOTA[TANGGAL]))&amp;":"&amp;ADDRESS(ROW(),COLUMN(NOTA[TANGGAL]))),-1)))</f>
        <v/>
      </c>
      <c r="AI758" s="55" t="str">
        <f ca="1">IF(NOTA[[#This Row],[NAMA BARANG]]="","",INDEX(NOTA[SUPPLIER],MATCH(,INDIRECT(ADDRESS(ROW(NOTA[ID]),COLUMN(NOTA[ID]))&amp;":"&amp;ADDRESS(ROW(),COLUMN(NOTA[ID]))),-1)))</f>
        <v/>
      </c>
      <c r="AJ758" s="55" t="str">
        <f ca="1">IF(NOTA[[#This Row],[ID_H]]="","",IF(NOTA[[#This Row],[FAKTUR]]="",INDIRECT(ADDRESS(ROW()-1,COLUMN())),NOTA[[#This Row],[FAKTUR]]))</f>
        <v/>
      </c>
      <c r="AK758" s="56" t="str">
        <f ca="1">IF(NOTA[[#This Row],[ID]]="","",COUNTIF(NOTA[ID_H],NOTA[[#This Row],[ID_H]]))</f>
        <v/>
      </c>
      <c r="AL758" s="56" t="str">
        <f ca="1">IF(NOTA[[#This Row],[TGL.NOTA]]="",IF(NOTA[[#This Row],[SUPPLIER_H]]="","",AL757),MONTH(NOTA[[#This Row],[TGL.NOTA]]))</f>
        <v/>
      </c>
      <c r="AM758" s="56" t="str">
        <f>LOWER(SUBSTITUTE(SUBSTITUTE(SUBSTITUTE(SUBSTITUTE(SUBSTITUTE(SUBSTITUTE(SUBSTITUTE(SUBSTITUTE(SUBSTITUTE(NOTA[NAMA BARANG]," ",),".",""),"-",""),"(",""),")",""),",",""),"/",""),"""",""),"+",""))</f>
        <v/>
      </c>
      <c r="AN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56" t="str">
        <f>IF(NOTA[[#This Row],[CONCAT4]]="","",_xlfn.IFNA(MATCH(NOTA[[#This Row],[CONCAT4]],[2]!RAW[CONCAT_H],0),FALSE))</f>
        <v/>
      </c>
      <c r="AR758" s="56" t="str">
        <f>IF(NOTA[[#This Row],[CONCAT1]]="","",MATCH(NOTA[[#This Row],[CONCAT1]],[3]!db[NB NOTA_C],0))</f>
        <v/>
      </c>
      <c r="AS758" s="56" t="str">
        <f>IF(NOTA[[#This Row],[QTY/ CTN]]="","",TRUE)</f>
        <v/>
      </c>
      <c r="AT758" s="56" t="str">
        <f ca="1">IF(NOTA[[#This Row],[ID_H]]="","",IF(NOTA[[#This Row],[Column3]]=TRUE,NOTA[[#This Row],[QTY/ CTN]],INDEX([3]!db[QTY/ CTN],NOTA[[#This Row],[//DB]])))</f>
        <v/>
      </c>
      <c r="AU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8" s="56" t="str">
        <f ca="1">IF(NOTA[[#This Row],[ID_H]]="","",MATCH(NOTA[[#This Row],[NB NOTA_C_QTY]],[4]!db[NB NOTA_C_QTY+F],0))</f>
        <v/>
      </c>
      <c r="AW758" s="68" t="str">
        <f ca="1">IF(NOTA[[#This Row],[NB NOTA_C_QTY]]="","",ROW()-2)</f>
        <v/>
      </c>
    </row>
    <row r="759" spans="1:49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59" s="66" t="str">
        <f>IF(OR(NOTA[[#This Row],[QTY]]="",NOTA[[#This Row],[HARGA SATUAN]]="",),"",NOTA[[#This Row],[QTY]]*NOTA[[#This Row],[HARGA SATUAN]])</f>
        <v/>
      </c>
      <c r="AH759" s="60" t="str">
        <f ca="1">IF(NOTA[ID_H]="","",INDEX(NOTA[TANGGAL],MATCH(,INDIRECT(ADDRESS(ROW(NOTA[TANGGAL]),COLUMN(NOTA[TANGGAL]))&amp;":"&amp;ADDRESS(ROW(),COLUMN(NOTA[TANGGAL]))),-1)))</f>
        <v/>
      </c>
      <c r="AI759" s="55" t="str">
        <f ca="1">IF(NOTA[[#This Row],[NAMA BARANG]]="","",INDEX(NOTA[SUPPLIER],MATCH(,INDIRECT(ADDRESS(ROW(NOTA[ID]),COLUMN(NOTA[ID]))&amp;":"&amp;ADDRESS(ROW(),COLUMN(NOTA[ID]))),-1)))</f>
        <v/>
      </c>
      <c r="AJ759" s="55" t="str">
        <f ca="1">IF(NOTA[[#This Row],[ID_H]]="","",IF(NOTA[[#This Row],[FAKTUR]]="",INDIRECT(ADDRESS(ROW()-1,COLUMN())),NOTA[[#This Row],[FAKTUR]]))</f>
        <v/>
      </c>
      <c r="AK759" s="56" t="str">
        <f ca="1">IF(NOTA[[#This Row],[ID]]="","",COUNTIF(NOTA[ID_H],NOTA[[#This Row],[ID_H]]))</f>
        <v/>
      </c>
      <c r="AL759" s="56" t="str">
        <f ca="1">IF(NOTA[[#This Row],[TGL.NOTA]]="",IF(NOTA[[#This Row],[SUPPLIER_H]]="","",AL758),MONTH(NOTA[[#This Row],[TGL.NOTA]]))</f>
        <v/>
      </c>
      <c r="AM759" s="56" t="str">
        <f>LOWER(SUBSTITUTE(SUBSTITUTE(SUBSTITUTE(SUBSTITUTE(SUBSTITUTE(SUBSTITUTE(SUBSTITUTE(SUBSTITUTE(SUBSTITUTE(NOTA[NAMA BARANG]," ",),".",""),"-",""),"(",""),")",""),",",""),"/",""),"""",""),"+",""))</f>
        <v/>
      </c>
      <c r="AN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56" t="str">
        <f>IF(NOTA[[#This Row],[CONCAT4]]="","",_xlfn.IFNA(MATCH(NOTA[[#This Row],[CONCAT4]],[2]!RAW[CONCAT_H],0),FALSE))</f>
        <v/>
      </c>
      <c r="AR759" s="56" t="str">
        <f>IF(NOTA[[#This Row],[CONCAT1]]="","",MATCH(NOTA[[#This Row],[CONCAT1]],[3]!db[NB NOTA_C],0))</f>
        <v/>
      </c>
      <c r="AS759" s="56" t="str">
        <f>IF(NOTA[[#This Row],[QTY/ CTN]]="","",TRUE)</f>
        <v/>
      </c>
      <c r="AT759" s="56" t="str">
        <f ca="1">IF(NOTA[[#This Row],[ID_H]]="","",IF(NOTA[[#This Row],[Column3]]=TRUE,NOTA[[#This Row],[QTY/ CTN]],INDEX([3]!db[QTY/ CTN],NOTA[[#This Row],[//DB]])))</f>
        <v/>
      </c>
      <c r="AU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9" s="56" t="str">
        <f ca="1">IF(NOTA[[#This Row],[ID_H]]="","",MATCH(NOTA[[#This Row],[NB NOTA_C_QTY]],[4]!db[NB NOTA_C_QTY+F],0))</f>
        <v/>
      </c>
      <c r="AW759" s="68" t="str">
        <f ca="1">IF(NOTA[[#This Row],[NB NOTA_C_QTY]]="","",ROW()-2)</f>
        <v/>
      </c>
    </row>
    <row r="760" spans="1:49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0" s="66" t="str">
        <f>IF(OR(NOTA[[#This Row],[QTY]]="",NOTA[[#This Row],[HARGA SATUAN]]="",),"",NOTA[[#This Row],[QTY]]*NOTA[[#This Row],[HARGA SATUAN]])</f>
        <v/>
      </c>
      <c r="AH760" s="60" t="str">
        <f ca="1">IF(NOTA[ID_H]="","",INDEX(NOTA[TANGGAL],MATCH(,INDIRECT(ADDRESS(ROW(NOTA[TANGGAL]),COLUMN(NOTA[TANGGAL]))&amp;":"&amp;ADDRESS(ROW(),COLUMN(NOTA[TANGGAL]))),-1)))</f>
        <v/>
      </c>
      <c r="AI760" s="55" t="str">
        <f ca="1">IF(NOTA[[#This Row],[NAMA BARANG]]="","",INDEX(NOTA[SUPPLIER],MATCH(,INDIRECT(ADDRESS(ROW(NOTA[ID]),COLUMN(NOTA[ID]))&amp;":"&amp;ADDRESS(ROW(),COLUMN(NOTA[ID]))),-1)))</f>
        <v/>
      </c>
      <c r="AJ760" s="55" t="str">
        <f ca="1">IF(NOTA[[#This Row],[ID_H]]="","",IF(NOTA[[#This Row],[FAKTUR]]="",INDIRECT(ADDRESS(ROW()-1,COLUMN())),NOTA[[#This Row],[FAKTUR]]))</f>
        <v/>
      </c>
      <c r="AK760" s="56" t="str">
        <f ca="1">IF(NOTA[[#This Row],[ID]]="","",COUNTIF(NOTA[ID_H],NOTA[[#This Row],[ID_H]]))</f>
        <v/>
      </c>
      <c r="AL760" s="56" t="str">
        <f ca="1">IF(NOTA[[#This Row],[TGL.NOTA]]="",IF(NOTA[[#This Row],[SUPPLIER_H]]="","",AL759),MONTH(NOTA[[#This Row],[TGL.NOTA]]))</f>
        <v/>
      </c>
      <c r="AM760" s="56" t="str">
        <f>LOWER(SUBSTITUTE(SUBSTITUTE(SUBSTITUTE(SUBSTITUTE(SUBSTITUTE(SUBSTITUTE(SUBSTITUTE(SUBSTITUTE(SUBSTITUTE(NOTA[NAMA BARANG]," ",),".",""),"-",""),"(",""),")",""),",",""),"/",""),"""",""),"+",""))</f>
        <v/>
      </c>
      <c r="AN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56" t="str">
        <f>IF(NOTA[[#This Row],[CONCAT4]]="","",_xlfn.IFNA(MATCH(NOTA[[#This Row],[CONCAT4]],[2]!RAW[CONCAT_H],0),FALSE))</f>
        <v/>
      </c>
      <c r="AR760" s="56" t="str">
        <f>IF(NOTA[[#This Row],[CONCAT1]]="","",MATCH(NOTA[[#This Row],[CONCAT1]],[3]!db[NB NOTA_C],0))</f>
        <v/>
      </c>
      <c r="AS760" s="56" t="str">
        <f>IF(NOTA[[#This Row],[QTY/ CTN]]="","",TRUE)</f>
        <v/>
      </c>
      <c r="AT760" s="56" t="str">
        <f ca="1">IF(NOTA[[#This Row],[ID_H]]="","",IF(NOTA[[#This Row],[Column3]]=TRUE,NOTA[[#This Row],[QTY/ CTN]],INDEX([3]!db[QTY/ CTN],NOTA[[#This Row],[//DB]])))</f>
        <v/>
      </c>
      <c r="AU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0" s="56" t="str">
        <f ca="1">IF(NOTA[[#This Row],[ID_H]]="","",MATCH(NOTA[[#This Row],[NB NOTA_C_QTY]],[4]!db[NB NOTA_C_QTY+F],0))</f>
        <v/>
      </c>
      <c r="AW760" s="68" t="str">
        <f ca="1">IF(NOTA[[#This Row],[NB NOTA_C_QTY]]="","",ROW()-2)</f>
        <v/>
      </c>
    </row>
    <row r="761" spans="1:49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1" s="66" t="str">
        <f>IF(OR(NOTA[[#This Row],[QTY]]="",NOTA[[#This Row],[HARGA SATUAN]]="",),"",NOTA[[#This Row],[QTY]]*NOTA[[#This Row],[HARGA SATUAN]])</f>
        <v/>
      </c>
      <c r="AH761" s="60" t="str">
        <f ca="1">IF(NOTA[ID_H]="","",INDEX(NOTA[TANGGAL],MATCH(,INDIRECT(ADDRESS(ROW(NOTA[TANGGAL]),COLUMN(NOTA[TANGGAL]))&amp;":"&amp;ADDRESS(ROW(),COLUMN(NOTA[TANGGAL]))),-1)))</f>
        <v/>
      </c>
      <c r="AI761" s="55" t="str">
        <f ca="1">IF(NOTA[[#This Row],[NAMA BARANG]]="","",INDEX(NOTA[SUPPLIER],MATCH(,INDIRECT(ADDRESS(ROW(NOTA[ID]),COLUMN(NOTA[ID]))&amp;":"&amp;ADDRESS(ROW(),COLUMN(NOTA[ID]))),-1)))</f>
        <v/>
      </c>
      <c r="AJ761" s="55" t="str">
        <f ca="1">IF(NOTA[[#This Row],[ID_H]]="","",IF(NOTA[[#This Row],[FAKTUR]]="",INDIRECT(ADDRESS(ROW()-1,COLUMN())),NOTA[[#This Row],[FAKTUR]]))</f>
        <v/>
      </c>
      <c r="AK761" s="56" t="str">
        <f ca="1">IF(NOTA[[#This Row],[ID]]="","",COUNTIF(NOTA[ID_H],NOTA[[#This Row],[ID_H]]))</f>
        <v/>
      </c>
      <c r="AL761" s="56" t="str">
        <f ca="1">IF(NOTA[[#This Row],[TGL.NOTA]]="",IF(NOTA[[#This Row],[SUPPLIER_H]]="","",AL760),MONTH(NOTA[[#This Row],[TGL.NOTA]]))</f>
        <v/>
      </c>
      <c r="AM761" s="56" t="str">
        <f>LOWER(SUBSTITUTE(SUBSTITUTE(SUBSTITUTE(SUBSTITUTE(SUBSTITUTE(SUBSTITUTE(SUBSTITUTE(SUBSTITUTE(SUBSTITUTE(NOTA[NAMA BARANG]," ",),".",""),"-",""),"(",""),")",""),",",""),"/",""),"""",""),"+",""))</f>
        <v/>
      </c>
      <c r="AN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1" s="56" t="str">
        <f>IF(NOTA[[#This Row],[CONCAT4]]="","",_xlfn.IFNA(MATCH(NOTA[[#This Row],[CONCAT4]],[2]!RAW[CONCAT_H],0),FALSE))</f>
        <v/>
      </c>
      <c r="AR761" s="56" t="str">
        <f>IF(NOTA[[#This Row],[CONCAT1]]="","",MATCH(NOTA[[#This Row],[CONCAT1]],[3]!db[NB NOTA_C],0))</f>
        <v/>
      </c>
      <c r="AS761" s="56" t="str">
        <f>IF(NOTA[[#This Row],[QTY/ CTN]]="","",TRUE)</f>
        <v/>
      </c>
      <c r="AT761" s="56" t="str">
        <f ca="1">IF(NOTA[[#This Row],[ID_H]]="","",IF(NOTA[[#This Row],[Column3]]=TRUE,NOTA[[#This Row],[QTY/ CTN]],INDEX([3]!db[QTY/ CTN],NOTA[[#This Row],[//DB]])))</f>
        <v/>
      </c>
      <c r="AU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1" s="56" t="str">
        <f ca="1">IF(NOTA[[#This Row],[ID_H]]="","",MATCH(NOTA[[#This Row],[NB NOTA_C_QTY]],[4]!db[NB NOTA_C_QTY+F],0))</f>
        <v/>
      </c>
      <c r="AW761" s="68" t="str">
        <f ca="1">IF(NOTA[[#This Row],[NB NOTA_C_QTY]]="","",ROW()-2)</f>
        <v/>
      </c>
    </row>
    <row r="762" spans="1:49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2" s="66" t="str">
        <f>IF(OR(NOTA[[#This Row],[QTY]]="",NOTA[[#This Row],[HARGA SATUAN]]="",),"",NOTA[[#This Row],[QTY]]*NOTA[[#This Row],[HARGA SATUAN]])</f>
        <v/>
      </c>
      <c r="AH762" s="60" t="str">
        <f ca="1">IF(NOTA[ID_H]="","",INDEX(NOTA[TANGGAL],MATCH(,INDIRECT(ADDRESS(ROW(NOTA[TANGGAL]),COLUMN(NOTA[TANGGAL]))&amp;":"&amp;ADDRESS(ROW(),COLUMN(NOTA[TANGGAL]))),-1)))</f>
        <v/>
      </c>
      <c r="AI762" s="55" t="str">
        <f ca="1">IF(NOTA[[#This Row],[NAMA BARANG]]="","",INDEX(NOTA[SUPPLIER],MATCH(,INDIRECT(ADDRESS(ROW(NOTA[ID]),COLUMN(NOTA[ID]))&amp;":"&amp;ADDRESS(ROW(),COLUMN(NOTA[ID]))),-1)))</f>
        <v/>
      </c>
      <c r="AJ762" s="55" t="str">
        <f ca="1">IF(NOTA[[#This Row],[ID_H]]="","",IF(NOTA[[#This Row],[FAKTUR]]="",INDIRECT(ADDRESS(ROW()-1,COLUMN())),NOTA[[#This Row],[FAKTUR]]))</f>
        <v/>
      </c>
      <c r="AK762" s="56" t="str">
        <f ca="1">IF(NOTA[[#This Row],[ID]]="","",COUNTIF(NOTA[ID_H],NOTA[[#This Row],[ID_H]]))</f>
        <v/>
      </c>
      <c r="AL762" s="56" t="str">
        <f ca="1">IF(NOTA[[#This Row],[TGL.NOTA]]="",IF(NOTA[[#This Row],[SUPPLIER_H]]="","",AL761),MONTH(NOTA[[#This Row],[TGL.NOTA]]))</f>
        <v/>
      </c>
      <c r="AM762" s="56" t="str">
        <f>LOWER(SUBSTITUTE(SUBSTITUTE(SUBSTITUTE(SUBSTITUTE(SUBSTITUTE(SUBSTITUTE(SUBSTITUTE(SUBSTITUTE(SUBSTITUTE(NOTA[NAMA BARANG]," ",),".",""),"-",""),"(",""),")",""),",",""),"/",""),"""",""),"+",""))</f>
        <v/>
      </c>
      <c r="AN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56" t="str">
        <f>IF(NOTA[[#This Row],[CONCAT4]]="","",_xlfn.IFNA(MATCH(NOTA[[#This Row],[CONCAT4]],[2]!RAW[CONCAT_H],0),FALSE))</f>
        <v/>
      </c>
      <c r="AR762" s="56" t="str">
        <f>IF(NOTA[[#This Row],[CONCAT1]]="","",MATCH(NOTA[[#This Row],[CONCAT1]],[3]!db[NB NOTA_C],0))</f>
        <v/>
      </c>
      <c r="AS762" s="56" t="str">
        <f>IF(NOTA[[#This Row],[QTY/ CTN]]="","",TRUE)</f>
        <v/>
      </c>
      <c r="AT762" s="56" t="str">
        <f ca="1">IF(NOTA[[#This Row],[ID_H]]="","",IF(NOTA[[#This Row],[Column3]]=TRUE,NOTA[[#This Row],[QTY/ CTN]],INDEX([3]!db[QTY/ CTN],NOTA[[#This Row],[//DB]])))</f>
        <v/>
      </c>
      <c r="AU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2" s="56" t="str">
        <f ca="1">IF(NOTA[[#This Row],[ID_H]]="","",MATCH(NOTA[[#This Row],[NB NOTA_C_QTY]],[4]!db[NB NOTA_C_QTY+F],0))</f>
        <v/>
      </c>
      <c r="AW762" s="68" t="str">
        <f ca="1">IF(NOTA[[#This Row],[NB NOTA_C_QTY]]="","",ROW()-2)</f>
        <v/>
      </c>
    </row>
    <row r="763" spans="1:49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3" s="66" t="str">
        <f>IF(OR(NOTA[[#This Row],[QTY]]="",NOTA[[#This Row],[HARGA SATUAN]]="",),"",NOTA[[#This Row],[QTY]]*NOTA[[#This Row],[HARGA SATUAN]])</f>
        <v/>
      </c>
      <c r="AH763" s="60" t="str">
        <f ca="1">IF(NOTA[ID_H]="","",INDEX(NOTA[TANGGAL],MATCH(,INDIRECT(ADDRESS(ROW(NOTA[TANGGAL]),COLUMN(NOTA[TANGGAL]))&amp;":"&amp;ADDRESS(ROW(),COLUMN(NOTA[TANGGAL]))),-1)))</f>
        <v/>
      </c>
      <c r="AI763" s="55" t="str">
        <f ca="1">IF(NOTA[[#This Row],[NAMA BARANG]]="","",INDEX(NOTA[SUPPLIER],MATCH(,INDIRECT(ADDRESS(ROW(NOTA[ID]),COLUMN(NOTA[ID]))&amp;":"&amp;ADDRESS(ROW(),COLUMN(NOTA[ID]))),-1)))</f>
        <v/>
      </c>
      <c r="AJ763" s="55" t="str">
        <f ca="1">IF(NOTA[[#This Row],[ID_H]]="","",IF(NOTA[[#This Row],[FAKTUR]]="",INDIRECT(ADDRESS(ROW()-1,COLUMN())),NOTA[[#This Row],[FAKTUR]]))</f>
        <v/>
      </c>
      <c r="AK763" s="56" t="str">
        <f ca="1">IF(NOTA[[#This Row],[ID]]="","",COUNTIF(NOTA[ID_H],NOTA[[#This Row],[ID_H]]))</f>
        <v/>
      </c>
      <c r="AL763" s="56" t="str">
        <f ca="1">IF(NOTA[[#This Row],[TGL.NOTA]]="",IF(NOTA[[#This Row],[SUPPLIER_H]]="","",AL762),MONTH(NOTA[[#This Row],[TGL.NOTA]]))</f>
        <v/>
      </c>
      <c r="AM763" s="56" t="str">
        <f>LOWER(SUBSTITUTE(SUBSTITUTE(SUBSTITUTE(SUBSTITUTE(SUBSTITUTE(SUBSTITUTE(SUBSTITUTE(SUBSTITUTE(SUBSTITUTE(NOTA[NAMA BARANG]," ",),".",""),"-",""),"(",""),")",""),",",""),"/",""),"""",""),"+",""))</f>
        <v/>
      </c>
      <c r="AN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56" t="str">
        <f>IF(NOTA[[#This Row],[CONCAT4]]="","",_xlfn.IFNA(MATCH(NOTA[[#This Row],[CONCAT4]],[2]!RAW[CONCAT_H],0),FALSE))</f>
        <v/>
      </c>
      <c r="AR763" s="56" t="str">
        <f>IF(NOTA[[#This Row],[CONCAT1]]="","",MATCH(NOTA[[#This Row],[CONCAT1]],[3]!db[NB NOTA_C],0))</f>
        <v/>
      </c>
      <c r="AS763" s="56" t="str">
        <f>IF(NOTA[[#This Row],[QTY/ CTN]]="","",TRUE)</f>
        <v/>
      </c>
      <c r="AT763" s="56" t="str">
        <f ca="1">IF(NOTA[[#This Row],[ID_H]]="","",IF(NOTA[[#This Row],[Column3]]=TRUE,NOTA[[#This Row],[QTY/ CTN]],INDEX([3]!db[QTY/ CTN],NOTA[[#This Row],[//DB]])))</f>
        <v/>
      </c>
      <c r="AU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3" s="56" t="str">
        <f ca="1">IF(NOTA[[#This Row],[ID_H]]="","",MATCH(NOTA[[#This Row],[NB NOTA_C_QTY]],[4]!db[NB NOTA_C_QTY+F],0))</f>
        <v/>
      </c>
      <c r="AW763" s="68" t="str">
        <f ca="1">IF(NOTA[[#This Row],[NB NOTA_C_QTY]]="","",ROW()-2)</f>
        <v/>
      </c>
    </row>
    <row r="764" spans="1:49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4" s="66" t="str">
        <f>IF(OR(NOTA[[#This Row],[QTY]]="",NOTA[[#This Row],[HARGA SATUAN]]="",),"",NOTA[[#This Row],[QTY]]*NOTA[[#This Row],[HARGA SATUAN]])</f>
        <v/>
      </c>
      <c r="AH764" s="60" t="str">
        <f ca="1">IF(NOTA[ID_H]="","",INDEX(NOTA[TANGGAL],MATCH(,INDIRECT(ADDRESS(ROW(NOTA[TANGGAL]),COLUMN(NOTA[TANGGAL]))&amp;":"&amp;ADDRESS(ROW(),COLUMN(NOTA[TANGGAL]))),-1)))</f>
        <v/>
      </c>
      <c r="AI764" s="55" t="str">
        <f ca="1">IF(NOTA[[#This Row],[NAMA BARANG]]="","",INDEX(NOTA[SUPPLIER],MATCH(,INDIRECT(ADDRESS(ROW(NOTA[ID]),COLUMN(NOTA[ID]))&amp;":"&amp;ADDRESS(ROW(),COLUMN(NOTA[ID]))),-1)))</f>
        <v/>
      </c>
      <c r="AJ764" s="55" t="str">
        <f ca="1">IF(NOTA[[#This Row],[ID_H]]="","",IF(NOTA[[#This Row],[FAKTUR]]="",INDIRECT(ADDRESS(ROW()-1,COLUMN())),NOTA[[#This Row],[FAKTUR]]))</f>
        <v/>
      </c>
      <c r="AK764" s="56" t="str">
        <f ca="1">IF(NOTA[[#This Row],[ID]]="","",COUNTIF(NOTA[ID_H],NOTA[[#This Row],[ID_H]]))</f>
        <v/>
      </c>
      <c r="AL764" s="56" t="str">
        <f ca="1">IF(NOTA[[#This Row],[TGL.NOTA]]="",IF(NOTA[[#This Row],[SUPPLIER_H]]="","",AL763),MONTH(NOTA[[#This Row],[TGL.NOTA]]))</f>
        <v/>
      </c>
      <c r="AM764" s="56" t="str">
        <f>LOWER(SUBSTITUTE(SUBSTITUTE(SUBSTITUTE(SUBSTITUTE(SUBSTITUTE(SUBSTITUTE(SUBSTITUTE(SUBSTITUTE(SUBSTITUTE(NOTA[NAMA BARANG]," ",),".",""),"-",""),"(",""),")",""),",",""),"/",""),"""",""),"+",""))</f>
        <v/>
      </c>
      <c r="AN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56" t="str">
        <f>IF(NOTA[[#This Row],[CONCAT4]]="","",_xlfn.IFNA(MATCH(NOTA[[#This Row],[CONCAT4]],[2]!RAW[CONCAT_H],0),FALSE))</f>
        <v/>
      </c>
      <c r="AR764" s="56" t="str">
        <f>IF(NOTA[[#This Row],[CONCAT1]]="","",MATCH(NOTA[[#This Row],[CONCAT1]],[3]!db[NB NOTA_C],0))</f>
        <v/>
      </c>
      <c r="AS764" s="56" t="str">
        <f>IF(NOTA[[#This Row],[QTY/ CTN]]="","",TRUE)</f>
        <v/>
      </c>
      <c r="AT764" s="56" t="str">
        <f ca="1">IF(NOTA[[#This Row],[ID_H]]="","",IF(NOTA[[#This Row],[Column3]]=TRUE,NOTA[[#This Row],[QTY/ CTN]],INDEX([3]!db[QTY/ CTN],NOTA[[#This Row],[//DB]])))</f>
        <v/>
      </c>
      <c r="AU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4" s="56" t="str">
        <f ca="1">IF(NOTA[[#This Row],[ID_H]]="","",MATCH(NOTA[[#This Row],[NB NOTA_C_QTY]],[4]!db[NB NOTA_C_QTY+F],0))</f>
        <v/>
      </c>
      <c r="AW764" s="68" t="str">
        <f ca="1">IF(NOTA[[#This Row],[NB NOTA_C_QTY]]="","",ROW()-2)</f>
        <v/>
      </c>
    </row>
    <row r="765" spans="1:49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5" s="66" t="str">
        <f>IF(OR(NOTA[[#This Row],[QTY]]="",NOTA[[#This Row],[HARGA SATUAN]]="",),"",NOTA[[#This Row],[QTY]]*NOTA[[#This Row],[HARGA SATUAN]])</f>
        <v/>
      </c>
      <c r="AH765" s="60" t="str">
        <f ca="1">IF(NOTA[ID_H]="","",INDEX(NOTA[TANGGAL],MATCH(,INDIRECT(ADDRESS(ROW(NOTA[TANGGAL]),COLUMN(NOTA[TANGGAL]))&amp;":"&amp;ADDRESS(ROW(),COLUMN(NOTA[TANGGAL]))),-1)))</f>
        <v/>
      </c>
      <c r="AI765" s="55" t="str">
        <f ca="1">IF(NOTA[[#This Row],[NAMA BARANG]]="","",INDEX(NOTA[SUPPLIER],MATCH(,INDIRECT(ADDRESS(ROW(NOTA[ID]),COLUMN(NOTA[ID]))&amp;":"&amp;ADDRESS(ROW(),COLUMN(NOTA[ID]))),-1)))</f>
        <v/>
      </c>
      <c r="AJ765" s="55" t="str">
        <f ca="1">IF(NOTA[[#This Row],[ID_H]]="","",IF(NOTA[[#This Row],[FAKTUR]]="",INDIRECT(ADDRESS(ROW()-1,COLUMN())),NOTA[[#This Row],[FAKTUR]]))</f>
        <v/>
      </c>
      <c r="AK765" s="56" t="str">
        <f ca="1">IF(NOTA[[#This Row],[ID]]="","",COUNTIF(NOTA[ID_H],NOTA[[#This Row],[ID_H]]))</f>
        <v/>
      </c>
      <c r="AL765" s="56" t="str">
        <f ca="1">IF(NOTA[[#This Row],[TGL.NOTA]]="",IF(NOTA[[#This Row],[SUPPLIER_H]]="","",AL764),MONTH(NOTA[[#This Row],[TGL.NOTA]]))</f>
        <v/>
      </c>
      <c r="AM765" s="56" t="str">
        <f>LOWER(SUBSTITUTE(SUBSTITUTE(SUBSTITUTE(SUBSTITUTE(SUBSTITUTE(SUBSTITUTE(SUBSTITUTE(SUBSTITUTE(SUBSTITUTE(NOTA[NAMA BARANG]," ",),".",""),"-",""),"(",""),")",""),",",""),"/",""),"""",""),"+",""))</f>
        <v/>
      </c>
      <c r="AN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56" t="str">
        <f>IF(NOTA[[#This Row],[CONCAT4]]="","",_xlfn.IFNA(MATCH(NOTA[[#This Row],[CONCAT4]],[2]!RAW[CONCAT_H],0),FALSE))</f>
        <v/>
      </c>
      <c r="AR765" s="56" t="str">
        <f>IF(NOTA[[#This Row],[CONCAT1]]="","",MATCH(NOTA[[#This Row],[CONCAT1]],[3]!db[NB NOTA_C],0))</f>
        <v/>
      </c>
      <c r="AS765" s="56" t="str">
        <f>IF(NOTA[[#This Row],[QTY/ CTN]]="","",TRUE)</f>
        <v/>
      </c>
      <c r="AT765" s="56" t="str">
        <f ca="1">IF(NOTA[[#This Row],[ID_H]]="","",IF(NOTA[[#This Row],[Column3]]=TRUE,NOTA[[#This Row],[QTY/ CTN]],INDEX([3]!db[QTY/ CTN],NOTA[[#This Row],[//DB]])))</f>
        <v/>
      </c>
      <c r="AU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5" s="56" t="str">
        <f ca="1">IF(NOTA[[#This Row],[ID_H]]="","",MATCH(NOTA[[#This Row],[NB NOTA_C_QTY]],[4]!db[NB NOTA_C_QTY+F],0))</f>
        <v/>
      </c>
      <c r="AW765" s="68" t="str">
        <f ca="1">IF(NOTA[[#This Row],[NB NOTA_C_QTY]]="","",ROW()-2)</f>
        <v/>
      </c>
    </row>
    <row r="766" spans="1:49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6" s="66" t="str">
        <f>IF(OR(NOTA[[#This Row],[QTY]]="",NOTA[[#This Row],[HARGA SATUAN]]="",),"",NOTA[[#This Row],[QTY]]*NOTA[[#This Row],[HARGA SATUAN]])</f>
        <v/>
      </c>
      <c r="AH766" s="60" t="str">
        <f ca="1">IF(NOTA[ID_H]="","",INDEX(NOTA[TANGGAL],MATCH(,INDIRECT(ADDRESS(ROW(NOTA[TANGGAL]),COLUMN(NOTA[TANGGAL]))&amp;":"&amp;ADDRESS(ROW(),COLUMN(NOTA[TANGGAL]))),-1)))</f>
        <v/>
      </c>
      <c r="AI766" s="55" t="str">
        <f ca="1">IF(NOTA[[#This Row],[NAMA BARANG]]="","",INDEX(NOTA[SUPPLIER],MATCH(,INDIRECT(ADDRESS(ROW(NOTA[ID]),COLUMN(NOTA[ID]))&amp;":"&amp;ADDRESS(ROW(),COLUMN(NOTA[ID]))),-1)))</f>
        <v/>
      </c>
      <c r="AJ766" s="55" t="str">
        <f ca="1">IF(NOTA[[#This Row],[ID_H]]="","",IF(NOTA[[#This Row],[FAKTUR]]="",INDIRECT(ADDRESS(ROW()-1,COLUMN())),NOTA[[#This Row],[FAKTUR]]))</f>
        <v/>
      </c>
      <c r="AK766" s="56" t="str">
        <f ca="1">IF(NOTA[[#This Row],[ID]]="","",COUNTIF(NOTA[ID_H],NOTA[[#This Row],[ID_H]]))</f>
        <v/>
      </c>
      <c r="AL766" s="56" t="str">
        <f ca="1">IF(NOTA[[#This Row],[TGL.NOTA]]="",IF(NOTA[[#This Row],[SUPPLIER_H]]="","",AL765),MONTH(NOTA[[#This Row],[TGL.NOTA]]))</f>
        <v/>
      </c>
      <c r="AM766" s="56" t="str">
        <f>LOWER(SUBSTITUTE(SUBSTITUTE(SUBSTITUTE(SUBSTITUTE(SUBSTITUTE(SUBSTITUTE(SUBSTITUTE(SUBSTITUTE(SUBSTITUTE(NOTA[NAMA BARANG]," ",),".",""),"-",""),"(",""),")",""),",",""),"/",""),"""",""),"+",""))</f>
        <v/>
      </c>
      <c r="AN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56" t="str">
        <f>IF(NOTA[[#This Row],[CONCAT4]]="","",_xlfn.IFNA(MATCH(NOTA[[#This Row],[CONCAT4]],[2]!RAW[CONCAT_H],0),FALSE))</f>
        <v/>
      </c>
      <c r="AR766" s="56" t="str">
        <f>IF(NOTA[[#This Row],[CONCAT1]]="","",MATCH(NOTA[[#This Row],[CONCAT1]],[3]!db[NB NOTA_C],0))</f>
        <v/>
      </c>
      <c r="AS766" s="56" t="str">
        <f>IF(NOTA[[#This Row],[QTY/ CTN]]="","",TRUE)</f>
        <v/>
      </c>
      <c r="AT766" s="56" t="str">
        <f ca="1">IF(NOTA[[#This Row],[ID_H]]="","",IF(NOTA[[#This Row],[Column3]]=TRUE,NOTA[[#This Row],[QTY/ CTN]],INDEX([3]!db[QTY/ CTN],NOTA[[#This Row],[//DB]])))</f>
        <v/>
      </c>
      <c r="AU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6" s="56" t="str">
        <f ca="1">IF(NOTA[[#This Row],[ID_H]]="","",MATCH(NOTA[[#This Row],[NB NOTA_C_QTY]],[4]!db[NB NOTA_C_QTY+F],0))</f>
        <v/>
      </c>
      <c r="AW766" s="68" t="str">
        <f ca="1">IF(NOTA[[#This Row],[NB NOTA_C_QTY]]="","",ROW()-2)</f>
        <v/>
      </c>
    </row>
    <row r="767" spans="1:49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7" s="66" t="str">
        <f>IF(OR(NOTA[[#This Row],[QTY]]="",NOTA[[#This Row],[HARGA SATUAN]]="",),"",NOTA[[#This Row],[QTY]]*NOTA[[#This Row],[HARGA SATUAN]])</f>
        <v/>
      </c>
      <c r="AH767" s="60" t="str">
        <f ca="1">IF(NOTA[ID_H]="","",INDEX(NOTA[TANGGAL],MATCH(,INDIRECT(ADDRESS(ROW(NOTA[TANGGAL]),COLUMN(NOTA[TANGGAL]))&amp;":"&amp;ADDRESS(ROW(),COLUMN(NOTA[TANGGAL]))),-1)))</f>
        <v/>
      </c>
      <c r="AI767" s="55" t="str">
        <f ca="1">IF(NOTA[[#This Row],[NAMA BARANG]]="","",INDEX(NOTA[SUPPLIER],MATCH(,INDIRECT(ADDRESS(ROW(NOTA[ID]),COLUMN(NOTA[ID]))&amp;":"&amp;ADDRESS(ROW(),COLUMN(NOTA[ID]))),-1)))</f>
        <v/>
      </c>
      <c r="AJ767" s="55" t="str">
        <f ca="1">IF(NOTA[[#This Row],[ID_H]]="","",IF(NOTA[[#This Row],[FAKTUR]]="",INDIRECT(ADDRESS(ROW()-1,COLUMN())),NOTA[[#This Row],[FAKTUR]]))</f>
        <v/>
      </c>
      <c r="AK767" s="56" t="str">
        <f ca="1">IF(NOTA[[#This Row],[ID]]="","",COUNTIF(NOTA[ID_H],NOTA[[#This Row],[ID_H]]))</f>
        <v/>
      </c>
      <c r="AL767" s="56" t="str">
        <f ca="1">IF(NOTA[[#This Row],[TGL.NOTA]]="",IF(NOTA[[#This Row],[SUPPLIER_H]]="","",AL766),MONTH(NOTA[[#This Row],[TGL.NOTA]]))</f>
        <v/>
      </c>
      <c r="AM767" s="56" t="str">
        <f>LOWER(SUBSTITUTE(SUBSTITUTE(SUBSTITUTE(SUBSTITUTE(SUBSTITUTE(SUBSTITUTE(SUBSTITUTE(SUBSTITUTE(SUBSTITUTE(NOTA[NAMA BARANG]," ",),".",""),"-",""),"(",""),")",""),",",""),"/",""),"""",""),"+",""))</f>
        <v/>
      </c>
      <c r="AN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56" t="str">
        <f>IF(NOTA[[#This Row],[CONCAT4]]="","",_xlfn.IFNA(MATCH(NOTA[[#This Row],[CONCAT4]],[2]!RAW[CONCAT_H],0),FALSE))</f>
        <v/>
      </c>
      <c r="AR767" s="56" t="str">
        <f>IF(NOTA[[#This Row],[CONCAT1]]="","",MATCH(NOTA[[#This Row],[CONCAT1]],[3]!db[NB NOTA_C],0))</f>
        <v/>
      </c>
      <c r="AS767" s="56" t="str">
        <f>IF(NOTA[[#This Row],[QTY/ CTN]]="","",TRUE)</f>
        <v/>
      </c>
      <c r="AT767" s="56" t="str">
        <f ca="1">IF(NOTA[[#This Row],[ID_H]]="","",IF(NOTA[[#This Row],[Column3]]=TRUE,NOTA[[#This Row],[QTY/ CTN]],INDEX([3]!db[QTY/ CTN],NOTA[[#This Row],[//DB]])))</f>
        <v/>
      </c>
      <c r="AU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7" s="56" t="str">
        <f ca="1">IF(NOTA[[#This Row],[ID_H]]="","",MATCH(NOTA[[#This Row],[NB NOTA_C_QTY]],[4]!db[NB NOTA_C_QTY+F],0))</f>
        <v/>
      </c>
      <c r="AW767" s="68" t="str">
        <f ca="1">IF(NOTA[[#This Row],[NB NOTA_C_QTY]]="","",ROW()-2)</f>
        <v/>
      </c>
    </row>
    <row r="768" spans="1:49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8" s="66" t="str">
        <f>IF(OR(NOTA[[#This Row],[QTY]]="",NOTA[[#This Row],[HARGA SATUAN]]="",),"",NOTA[[#This Row],[QTY]]*NOTA[[#This Row],[HARGA SATUAN]])</f>
        <v/>
      </c>
      <c r="AH768" s="60" t="str">
        <f ca="1">IF(NOTA[ID_H]="","",INDEX(NOTA[TANGGAL],MATCH(,INDIRECT(ADDRESS(ROW(NOTA[TANGGAL]),COLUMN(NOTA[TANGGAL]))&amp;":"&amp;ADDRESS(ROW(),COLUMN(NOTA[TANGGAL]))),-1)))</f>
        <v/>
      </c>
      <c r="AI768" s="55" t="str">
        <f ca="1">IF(NOTA[[#This Row],[NAMA BARANG]]="","",INDEX(NOTA[SUPPLIER],MATCH(,INDIRECT(ADDRESS(ROW(NOTA[ID]),COLUMN(NOTA[ID]))&amp;":"&amp;ADDRESS(ROW(),COLUMN(NOTA[ID]))),-1)))</f>
        <v/>
      </c>
      <c r="AJ768" s="55" t="str">
        <f ca="1">IF(NOTA[[#This Row],[ID_H]]="","",IF(NOTA[[#This Row],[FAKTUR]]="",INDIRECT(ADDRESS(ROW()-1,COLUMN())),NOTA[[#This Row],[FAKTUR]]))</f>
        <v/>
      </c>
      <c r="AK768" s="56" t="str">
        <f ca="1">IF(NOTA[[#This Row],[ID]]="","",COUNTIF(NOTA[ID_H],NOTA[[#This Row],[ID_H]]))</f>
        <v/>
      </c>
      <c r="AL768" s="56" t="str">
        <f ca="1">IF(NOTA[[#This Row],[TGL.NOTA]]="",IF(NOTA[[#This Row],[SUPPLIER_H]]="","",AL767),MONTH(NOTA[[#This Row],[TGL.NOTA]]))</f>
        <v/>
      </c>
      <c r="AM768" s="56" t="str">
        <f>LOWER(SUBSTITUTE(SUBSTITUTE(SUBSTITUTE(SUBSTITUTE(SUBSTITUTE(SUBSTITUTE(SUBSTITUTE(SUBSTITUTE(SUBSTITUTE(NOTA[NAMA BARANG]," ",),".",""),"-",""),"(",""),")",""),",",""),"/",""),"""",""),"+",""))</f>
        <v/>
      </c>
      <c r="AN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8" s="56" t="str">
        <f>IF(NOTA[[#This Row],[CONCAT4]]="","",_xlfn.IFNA(MATCH(NOTA[[#This Row],[CONCAT4]],[2]!RAW[CONCAT_H],0),FALSE))</f>
        <v/>
      </c>
      <c r="AR768" s="56" t="str">
        <f>IF(NOTA[[#This Row],[CONCAT1]]="","",MATCH(NOTA[[#This Row],[CONCAT1]],[3]!db[NB NOTA_C],0))</f>
        <v/>
      </c>
      <c r="AS768" s="56" t="str">
        <f>IF(NOTA[[#This Row],[QTY/ CTN]]="","",TRUE)</f>
        <v/>
      </c>
      <c r="AT768" s="56" t="str">
        <f ca="1">IF(NOTA[[#This Row],[ID_H]]="","",IF(NOTA[[#This Row],[Column3]]=TRUE,NOTA[[#This Row],[QTY/ CTN]],INDEX([3]!db[QTY/ CTN],NOTA[[#This Row],[//DB]])))</f>
        <v/>
      </c>
      <c r="AU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8" s="56" t="str">
        <f ca="1">IF(NOTA[[#This Row],[ID_H]]="","",MATCH(NOTA[[#This Row],[NB NOTA_C_QTY]],[4]!db[NB NOTA_C_QTY+F],0))</f>
        <v/>
      </c>
      <c r="AW768" s="68" t="str">
        <f ca="1">IF(NOTA[[#This Row],[NB NOTA_C_QTY]]="","",ROW()-2)</f>
        <v/>
      </c>
    </row>
    <row r="769" spans="1:49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69" s="66" t="str">
        <f>IF(OR(NOTA[[#This Row],[QTY]]="",NOTA[[#This Row],[HARGA SATUAN]]="",),"",NOTA[[#This Row],[QTY]]*NOTA[[#This Row],[HARGA SATUAN]])</f>
        <v/>
      </c>
      <c r="AH769" s="60" t="str">
        <f ca="1">IF(NOTA[ID_H]="","",INDEX(NOTA[TANGGAL],MATCH(,INDIRECT(ADDRESS(ROW(NOTA[TANGGAL]),COLUMN(NOTA[TANGGAL]))&amp;":"&amp;ADDRESS(ROW(),COLUMN(NOTA[TANGGAL]))),-1)))</f>
        <v/>
      </c>
      <c r="AI769" s="55" t="str">
        <f ca="1">IF(NOTA[[#This Row],[NAMA BARANG]]="","",INDEX(NOTA[SUPPLIER],MATCH(,INDIRECT(ADDRESS(ROW(NOTA[ID]),COLUMN(NOTA[ID]))&amp;":"&amp;ADDRESS(ROW(),COLUMN(NOTA[ID]))),-1)))</f>
        <v/>
      </c>
      <c r="AJ769" s="55" t="str">
        <f ca="1">IF(NOTA[[#This Row],[ID_H]]="","",IF(NOTA[[#This Row],[FAKTUR]]="",INDIRECT(ADDRESS(ROW()-1,COLUMN())),NOTA[[#This Row],[FAKTUR]]))</f>
        <v/>
      </c>
      <c r="AK769" s="56" t="str">
        <f ca="1">IF(NOTA[[#This Row],[ID]]="","",COUNTIF(NOTA[ID_H],NOTA[[#This Row],[ID_H]]))</f>
        <v/>
      </c>
      <c r="AL769" s="56" t="str">
        <f ca="1">IF(NOTA[[#This Row],[TGL.NOTA]]="",IF(NOTA[[#This Row],[SUPPLIER_H]]="","",AL768),MONTH(NOTA[[#This Row],[TGL.NOTA]]))</f>
        <v/>
      </c>
      <c r="AM769" s="56" t="str">
        <f>LOWER(SUBSTITUTE(SUBSTITUTE(SUBSTITUTE(SUBSTITUTE(SUBSTITUTE(SUBSTITUTE(SUBSTITUTE(SUBSTITUTE(SUBSTITUTE(NOTA[NAMA BARANG]," ",),".",""),"-",""),"(",""),")",""),",",""),"/",""),"""",""),"+",""))</f>
        <v/>
      </c>
      <c r="AN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56" t="str">
        <f>IF(NOTA[[#This Row],[CONCAT4]]="","",_xlfn.IFNA(MATCH(NOTA[[#This Row],[CONCAT4]],[2]!RAW[CONCAT_H],0),FALSE))</f>
        <v/>
      </c>
      <c r="AR769" s="56" t="str">
        <f>IF(NOTA[[#This Row],[CONCAT1]]="","",MATCH(NOTA[[#This Row],[CONCAT1]],[3]!db[NB NOTA_C],0))</f>
        <v/>
      </c>
      <c r="AS769" s="56" t="str">
        <f>IF(NOTA[[#This Row],[QTY/ CTN]]="","",TRUE)</f>
        <v/>
      </c>
      <c r="AT769" s="56" t="str">
        <f ca="1">IF(NOTA[[#This Row],[ID_H]]="","",IF(NOTA[[#This Row],[Column3]]=TRUE,NOTA[[#This Row],[QTY/ CTN]],INDEX([3]!db[QTY/ CTN],NOTA[[#This Row],[//DB]])))</f>
        <v/>
      </c>
      <c r="AU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9" s="56" t="str">
        <f ca="1">IF(NOTA[[#This Row],[ID_H]]="","",MATCH(NOTA[[#This Row],[NB NOTA_C_QTY]],[4]!db[NB NOTA_C_QTY+F],0))</f>
        <v/>
      </c>
      <c r="AW769" s="68" t="str">
        <f ca="1">IF(NOTA[[#This Row],[NB NOTA_C_QTY]]="","",ROW()-2)</f>
        <v/>
      </c>
    </row>
    <row r="770" spans="1:49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0" s="66" t="str">
        <f>IF(OR(NOTA[[#This Row],[QTY]]="",NOTA[[#This Row],[HARGA SATUAN]]="",),"",NOTA[[#This Row],[QTY]]*NOTA[[#This Row],[HARGA SATUAN]])</f>
        <v/>
      </c>
      <c r="AH770" s="60" t="str">
        <f ca="1">IF(NOTA[ID_H]="","",INDEX(NOTA[TANGGAL],MATCH(,INDIRECT(ADDRESS(ROW(NOTA[TANGGAL]),COLUMN(NOTA[TANGGAL]))&amp;":"&amp;ADDRESS(ROW(),COLUMN(NOTA[TANGGAL]))),-1)))</f>
        <v/>
      </c>
      <c r="AI770" s="55" t="str">
        <f ca="1">IF(NOTA[[#This Row],[NAMA BARANG]]="","",INDEX(NOTA[SUPPLIER],MATCH(,INDIRECT(ADDRESS(ROW(NOTA[ID]),COLUMN(NOTA[ID]))&amp;":"&amp;ADDRESS(ROW(),COLUMN(NOTA[ID]))),-1)))</f>
        <v/>
      </c>
      <c r="AJ770" s="55" t="str">
        <f ca="1">IF(NOTA[[#This Row],[ID_H]]="","",IF(NOTA[[#This Row],[FAKTUR]]="",INDIRECT(ADDRESS(ROW()-1,COLUMN())),NOTA[[#This Row],[FAKTUR]]))</f>
        <v/>
      </c>
      <c r="AK770" s="56" t="str">
        <f ca="1">IF(NOTA[[#This Row],[ID]]="","",COUNTIF(NOTA[ID_H],NOTA[[#This Row],[ID_H]]))</f>
        <v/>
      </c>
      <c r="AL770" s="56" t="str">
        <f ca="1">IF(NOTA[[#This Row],[TGL.NOTA]]="",IF(NOTA[[#This Row],[SUPPLIER_H]]="","",AL769),MONTH(NOTA[[#This Row],[TGL.NOTA]]))</f>
        <v/>
      </c>
      <c r="AM770" s="56" t="str">
        <f>LOWER(SUBSTITUTE(SUBSTITUTE(SUBSTITUTE(SUBSTITUTE(SUBSTITUTE(SUBSTITUTE(SUBSTITUTE(SUBSTITUTE(SUBSTITUTE(NOTA[NAMA BARANG]," ",),".",""),"-",""),"(",""),")",""),",",""),"/",""),"""",""),"+",""))</f>
        <v/>
      </c>
      <c r="AN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56" t="str">
        <f>IF(NOTA[[#This Row],[CONCAT4]]="","",_xlfn.IFNA(MATCH(NOTA[[#This Row],[CONCAT4]],[2]!RAW[CONCAT_H],0),FALSE))</f>
        <v/>
      </c>
      <c r="AR770" s="56" t="str">
        <f>IF(NOTA[[#This Row],[CONCAT1]]="","",MATCH(NOTA[[#This Row],[CONCAT1]],[3]!db[NB NOTA_C],0))</f>
        <v/>
      </c>
      <c r="AS770" s="56" t="str">
        <f>IF(NOTA[[#This Row],[QTY/ CTN]]="","",TRUE)</f>
        <v/>
      </c>
      <c r="AT770" s="56" t="str">
        <f ca="1">IF(NOTA[[#This Row],[ID_H]]="","",IF(NOTA[[#This Row],[Column3]]=TRUE,NOTA[[#This Row],[QTY/ CTN]],INDEX([3]!db[QTY/ CTN],NOTA[[#This Row],[//DB]])))</f>
        <v/>
      </c>
      <c r="AU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0" s="56" t="str">
        <f ca="1">IF(NOTA[[#This Row],[ID_H]]="","",MATCH(NOTA[[#This Row],[NB NOTA_C_QTY]],[4]!db[NB NOTA_C_QTY+F],0))</f>
        <v/>
      </c>
      <c r="AW770" s="68" t="str">
        <f ca="1">IF(NOTA[[#This Row],[NB NOTA_C_QTY]]="","",ROW()-2)</f>
        <v/>
      </c>
    </row>
    <row r="771" spans="1:49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1" s="66" t="str">
        <f>IF(OR(NOTA[[#This Row],[QTY]]="",NOTA[[#This Row],[HARGA SATUAN]]="",),"",NOTA[[#This Row],[QTY]]*NOTA[[#This Row],[HARGA SATUAN]])</f>
        <v/>
      </c>
      <c r="AH771" s="60" t="str">
        <f ca="1">IF(NOTA[ID_H]="","",INDEX(NOTA[TANGGAL],MATCH(,INDIRECT(ADDRESS(ROW(NOTA[TANGGAL]),COLUMN(NOTA[TANGGAL]))&amp;":"&amp;ADDRESS(ROW(),COLUMN(NOTA[TANGGAL]))),-1)))</f>
        <v/>
      </c>
      <c r="AI771" s="55" t="str">
        <f ca="1">IF(NOTA[[#This Row],[NAMA BARANG]]="","",INDEX(NOTA[SUPPLIER],MATCH(,INDIRECT(ADDRESS(ROW(NOTA[ID]),COLUMN(NOTA[ID]))&amp;":"&amp;ADDRESS(ROW(),COLUMN(NOTA[ID]))),-1)))</f>
        <v/>
      </c>
      <c r="AJ771" s="55" t="str">
        <f ca="1">IF(NOTA[[#This Row],[ID_H]]="","",IF(NOTA[[#This Row],[FAKTUR]]="",INDIRECT(ADDRESS(ROW()-1,COLUMN())),NOTA[[#This Row],[FAKTUR]]))</f>
        <v/>
      </c>
      <c r="AK771" s="56" t="str">
        <f ca="1">IF(NOTA[[#This Row],[ID]]="","",COUNTIF(NOTA[ID_H],NOTA[[#This Row],[ID_H]]))</f>
        <v/>
      </c>
      <c r="AL771" s="56" t="str">
        <f ca="1">IF(NOTA[[#This Row],[TGL.NOTA]]="",IF(NOTA[[#This Row],[SUPPLIER_H]]="","",AL770),MONTH(NOTA[[#This Row],[TGL.NOTA]]))</f>
        <v/>
      </c>
      <c r="AM771" s="56" t="str">
        <f>LOWER(SUBSTITUTE(SUBSTITUTE(SUBSTITUTE(SUBSTITUTE(SUBSTITUTE(SUBSTITUTE(SUBSTITUTE(SUBSTITUTE(SUBSTITUTE(NOTA[NAMA BARANG]," ",),".",""),"-",""),"(",""),")",""),",",""),"/",""),"""",""),"+",""))</f>
        <v/>
      </c>
      <c r="AN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56" t="str">
        <f>IF(NOTA[[#This Row],[CONCAT4]]="","",_xlfn.IFNA(MATCH(NOTA[[#This Row],[CONCAT4]],[2]!RAW[CONCAT_H],0),FALSE))</f>
        <v/>
      </c>
      <c r="AR771" s="56" t="str">
        <f>IF(NOTA[[#This Row],[CONCAT1]]="","",MATCH(NOTA[[#This Row],[CONCAT1]],[3]!db[NB NOTA_C],0))</f>
        <v/>
      </c>
      <c r="AS771" s="56" t="str">
        <f>IF(NOTA[[#This Row],[QTY/ CTN]]="","",TRUE)</f>
        <v/>
      </c>
      <c r="AT771" s="56" t="str">
        <f ca="1">IF(NOTA[[#This Row],[ID_H]]="","",IF(NOTA[[#This Row],[Column3]]=TRUE,NOTA[[#This Row],[QTY/ CTN]],INDEX([3]!db[QTY/ CTN],NOTA[[#This Row],[//DB]])))</f>
        <v/>
      </c>
      <c r="AU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1" s="56" t="str">
        <f ca="1">IF(NOTA[[#This Row],[ID_H]]="","",MATCH(NOTA[[#This Row],[NB NOTA_C_QTY]],[4]!db[NB NOTA_C_QTY+F],0))</f>
        <v/>
      </c>
      <c r="AW771" s="68" t="str">
        <f ca="1">IF(NOTA[[#This Row],[NB NOTA_C_QTY]]="","",ROW()-2)</f>
        <v/>
      </c>
    </row>
    <row r="772" spans="1:49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2" s="66" t="str">
        <f>IF(OR(NOTA[[#This Row],[QTY]]="",NOTA[[#This Row],[HARGA SATUAN]]="",),"",NOTA[[#This Row],[QTY]]*NOTA[[#This Row],[HARGA SATUAN]])</f>
        <v/>
      </c>
      <c r="AH772" s="60" t="str">
        <f ca="1">IF(NOTA[ID_H]="","",INDEX(NOTA[TANGGAL],MATCH(,INDIRECT(ADDRESS(ROW(NOTA[TANGGAL]),COLUMN(NOTA[TANGGAL]))&amp;":"&amp;ADDRESS(ROW(),COLUMN(NOTA[TANGGAL]))),-1)))</f>
        <v/>
      </c>
      <c r="AI772" s="55" t="str">
        <f ca="1">IF(NOTA[[#This Row],[NAMA BARANG]]="","",INDEX(NOTA[SUPPLIER],MATCH(,INDIRECT(ADDRESS(ROW(NOTA[ID]),COLUMN(NOTA[ID]))&amp;":"&amp;ADDRESS(ROW(),COLUMN(NOTA[ID]))),-1)))</f>
        <v/>
      </c>
      <c r="AJ772" s="55" t="str">
        <f ca="1">IF(NOTA[[#This Row],[ID_H]]="","",IF(NOTA[[#This Row],[FAKTUR]]="",INDIRECT(ADDRESS(ROW()-1,COLUMN())),NOTA[[#This Row],[FAKTUR]]))</f>
        <v/>
      </c>
      <c r="AK772" s="56" t="str">
        <f ca="1">IF(NOTA[[#This Row],[ID]]="","",COUNTIF(NOTA[ID_H],NOTA[[#This Row],[ID_H]]))</f>
        <v/>
      </c>
      <c r="AL772" s="56" t="str">
        <f ca="1">IF(NOTA[[#This Row],[TGL.NOTA]]="",IF(NOTA[[#This Row],[SUPPLIER_H]]="","",AL771),MONTH(NOTA[[#This Row],[TGL.NOTA]]))</f>
        <v/>
      </c>
      <c r="AM772" s="56" t="str">
        <f>LOWER(SUBSTITUTE(SUBSTITUTE(SUBSTITUTE(SUBSTITUTE(SUBSTITUTE(SUBSTITUTE(SUBSTITUTE(SUBSTITUTE(SUBSTITUTE(NOTA[NAMA BARANG]," ",),".",""),"-",""),"(",""),")",""),",",""),"/",""),"""",""),"+",""))</f>
        <v/>
      </c>
      <c r="AN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2" s="56" t="str">
        <f>IF(NOTA[[#This Row],[CONCAT4]]="","",_xlfn.IFNA(MATCH(NOTA[[#This Row],[CONCAT4]],[2]!RAW[CONCAT_H],0),FALSE))</f>
        <v/>
      </c>
      <c r="AR772" s="56" t="str">
        <f>IF(NOTA[[#This Row],[CONCAT1]]="","",MATCH(NOTA[[#This Row],[CONCAT1]],[3]!db[NB NOTA_C],0))</f>
        <v/>
      </c>
      <c r="AS772" s="56" t="str">
        <f>IF(NOTA[[#This Row],[QTY/ CTN]]="","",TRUE)</f>
        <v/>
      </c>
      <c r="AT772" s="56" t="str">
        <f ca="1">IF(NOTA[[#This Row],[ID_H]]="","",IF(NOTA[[#This Row],[Column3]]=TRUE,NOTA[[#This Row],[QTY/ CTN]],INDEX([3]!db[QTY/ CTN],NOTA[[#This Row],[//DB]])))</f>
        <v/>
      </c>
      <c r="AU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2" s="56" t="str">
        <f ca="1">IF(NOTA[[#This Row],[ID_H]]="","",MATCH(NOTA[[#This Row],[NB NOTA_C_QTY]],[4]!db[NB NOTA_C_QTY+F],0))</f>
        <v/>
      </c>
      <c r="AW772" s="68" t="str">
        <f ca="1">IF(NOTA[[#This Row],[NB NOTA_C_QTY]]="","",ROW()-2)</f>
        <v/>
      </c>
    </row>
    <row r="773" spans="1:49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3" s="66" t="str">
        <f>IF(OR(NOTA[[#This Row],[QTY]]="",NOTA[[#This Row],[HARGA SATUAN]]="",),"",NOTA[[#This Row],[QTY]]*NOTA[[#This Row],[HARGA SATUAN]])</f>
        <v/>
      </c>
      <c r="AH773" s="60" t="str">
        <f ca="1">IF(NOTA[ID_H]="","",INDEX(NOTA[TANGGAL],MATCH(,INDIRECT(ADDRESS(ROW(NOTA[TANGGAL]),COLUMN(NOTA[TANGGAL]))&amp;":"&amp;ADDRESS(ROW(),COLUMN(NOTA[TANGGAL]))),-1)))</f>
        <v/>
      </c>
      <c r="AI773" s="55" t="str">
        <f ca="1">IF(NOTA[[#This Row],[NAMA BARANG]]="","",INDEX(NOTA[SUPPLIER],MATCH(,INDIRECT(ADDRESS(ROW(NOTA[ID]),COLUMN(NOTA[ID]))&amp;":"&amp;ADDRESS(ROW(),COLUMN(NOTA[ID]))),-1)))</f>
        <v/>
      </c>
      <c r="AJ773" s="55" t="str">
        <f ca="1">IF(NOTA[[#This Row],[ID_H]]="","",IF(NOTA[[#This Row],[FAKTUR]]="",INDIRECT(ADDRESS(ROW()-1,COLUMN())),NOTA[[#This Row],[FAKTUR]]))</f>
        <v/>
      </c>
      <c r="AK773" s="56" t="str">
        <f ca="1">IF(NOTA[[#This Row],[ID]]="","",COUNTIF(NOTA[ID_H],NOTA[[#This Row],[ID_H]]))</f>
        <v/>
      </c>
      <c r="AL773" s="56" t="str">
        <f ca="1">IF(NOTA[[#This Row],[TGL.NOTA]]="",IF(NOTA[[#This Row],[SUPPLIER_H]]="","",AL772),MONTH(NOTA[[#This Row],[TGL.NOTA]]))</f>
        <v/>
      </c>
      <c r="AM773" s="56" t="str">
        <f>LOWER(SUBSTITUTE(SUBSTITUTE(SUBSTITUTE(SUBSTITUTE(SUBSTITUTE(SUBSTITUTE(SUBSTITUTE(SUBSTITUTE(SUBSTITUTE(NOTA[NAMA BARANG]," ",),".",""),"-",""),"(",""),")",""),",",""),"/",""),"""",""),"+",""))</f>
        <v/>
      </c>
      <c r="AN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56" t="str">
        <f>IF(NOTA[[#This Row],[CONCAT4]]="","",_xlfn.IFNA(MATCH(NOTA[[#This Row],[CONCAT4]],[2]!RAW[CONCAT_H],0),FALSE))</f>
        <v/>
      </c>
      <c r="AR773" s="56" t="str">
        <f>IF(NOTA[[#This Row],[CONCAT1]]="","",MATCH(NOTA[[#This Row],[CONCAT1]],[3]!db[NB NOTA_C],0))</f>
        <v/>
      </c>
      <c r="AS773" s="56" t="str">
        <f>IF(NOTA[[#This Row],[QTY/ CTN]]="","",TRUE)</f>
        <v/>
      </c>
      <c r="AT773" s="56" t="str">
        <f ca="1">IF(NOTA[[#This Row],[ID_H]]="","",IF(NOTA[[#This Row],[Column3]]=TRUE,NOTA[[#This Row],[QTY/ CTN]],INDEX([3]!db[QTY/ CTN],NOTA[[#This Row],[//DB]])))</f>
        <v/>
      </c>
      <c r="AU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3" s="56" t="str">
        <f ca="1">IF(NOTA[[#This Row],[ID_H]]="","",MATCH(NOTA[[#This Row],[NB NOTA_C_QTY]],[4]!db[NB NOTA_C_QTY+F],0))</f>
        <v/>
      </c>
      <c r="AW773" s="68" t="str">
        <f ca="1">IF(NOTA[[#This Row],[NB NOTA_C_QTY]]="","",ROW()-2)</f>
        <v/>
      </c>
    </row>
    <row r="774" spans="1:49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4" s="66" t="str">
        <f>IF(OR(NOTA[[#This Row],[QTY]]="",NOTA[[#This Row],[HARGA SATUAN]]="",),"",NOTA[[#This Row],[QTY]]*NOTA[[#This Row],[HARGA SATUAN]])</f>
        <v/>
      </c>
      <c r="AH774" s="60" t="str">
        <f ca="1">IF(NOTA[ID_H]="","",INDEX(NOTA[TANGGAL],MATCH(,INDIRECT(ADDRESS(ROW(NOTA[TANGGAL]),COLUMN(NOTA[TANGGAL]))&amp;":"&amp;ADDRESS(ROW(),COLUMN(NOTA[TANGGAL]))),-1)))</f>
        <v/>
      </c>
      <c r="AI774" s="55" t="str">
        <f ca="1">IF(NOTA[[#This Row],[NAMA BARANG]]="","",INDEX(NOTA[SUPPLIER],MATCH(,INDIRECT(ADDRESS(ROW(NOTA[ID]),COLUMN(NOTA[ID]))&amp;":"&amp;ADDRESS(ROW(),COLUMN(NOTA[ID]))),-1)))</f>
        <v/>
      </c>
      <c r="AJ774" s="55" t="str">
        <f ca="1">IF(NOTA[[#This Row],[ID_H]]="","",IF(NOTA[[#This Row],[FAKTUR]]="",INDIRECT(ADDRESS(ROW()-1,COLUMN())),NOTA[[#This Row],[FAKTUR]]))</f>
        <v/>
      </c>
      <c r="AK774" s="56" t="str">
        <f ca="1">IF(NOTA[[#This Row],[ID]]="","",COUNTIF(NOTA[ID_H],NOTA[[#This Row],[ID_H]]))</f>
        <v/>
      </c>
      <c r="AL774" s="56" t="str">
        <f ca="1">IF(NOTA[[#This Row],[TGL.NOTA]]="",IF(NOTA[[#This Row],[SUPPLIER_H]]="","",AL773),MONTH(NOTA[[#This Row],[TGL.NOTA]]))</f>
        <v/>
      </c>
      <c r="AM774" s="56" t="str">
        <f>LOWER(SUBSTITUTE(SUBSTITUTE(SUBSTITUTE(SUBSTITUTE(SUBSTITUTE(SUBSTITUTE(SUBSTITUTE(SUBSTITUTE(SUBSTITUTE(NOTA[NAMA BARANG]," ",),".",""),"-",""),"(",""),")",""),",",""),"/",""),"""",""),"+",""))</f>
        <v/>
      </c>
      <c r="AN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56" t="str">
        <f>IF(NOTA[[#This Row],[CONCAT4]]="","",_xlfn.IFNA(MATCH(NOTA[[#This Row],[CONCAT4]],[2]!RAW[CONCAT_H],0),FALSE))</f>
        <v/>
      </c>
      <c r="AR774" s="56" t="str">
        <f>IF(NOTA[[#This Row],[CONCAT1]]="","",MATCH(NOTA[[#This Row],[CONCAT1]],[3]!db[NB NOTA_C],0))</f>
        <v/>
      </c>
      <c r="AS774" s="56" t="str">
        <f>IF(NOTA[[#This Row],[QTY/ CTN]]="","",TRUE)</f>
        <v/>
      </c>
      <c r="AT774" s="56" t="str">
        <f ca="1">IF(NOTA[[#This Row],[ID_H]]="","",IF(NOTA[[#This Row],[Column3]]=TRUE,NOTA[[#This Row],[QTY/ CTN]],INDEX([3]!db[QTY/ CTN],NOTA[[#This Row],[//DB]])))</f>
        <v/>
      </c>
      <c r="AU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4" s="56" t="str">
        <f ca="1">IF(NOTA[[#This Row],[ID_H]]="","",MATCH(NOTA[[#This Row],[NB NOTA_C_QTY]],[4]!db[NB NOTA_C_QTY+F],0))</f>
        <v/>
      </c>
      <c r="AW774" s="68" t="str">
        <f ca="1">IF(NOTA[[#This Row],[NB NOTA_C_QTY]]="","",ROW()-2)</f>
        <v/>
      </c>
    </row>
    <row r="775" spans="1:49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5" s="66" t="str">
        <f>IF(OR(NOTA[[#This Row],[QTY]]="",NOTA[[#This Row],[HARGA SATUAN]]="",),"",NOTA[[#This Row],[QTY]]*NOTA[[#This Row],[HARGA SATUAN]])</f>
        <v/>
      </c>
      <c r="AH775" s="60" t="str">
        <f ca="1">IF(NOTA[ID_H]="","",INDEX(NOTA[TANGGAL],MATCH(,INDIRECT(ADDRESS(ROW(NOTA[TANGGAL]),COLUMN(NOTA[TANGGAL]))&amp;":"&amp;ADDRESS(ROW(),COLUMN(NOTA[TANGGAL]))),-1)))</f>
        <v/>
      </c>
      <c r="AI775" s="55" t="str">
        <f ca="1">IF(NOTA[[#This Row],[NAMA BARANG]]="","",INDEX(NOTA[SUPPLIER],MATCH(,INDIRECT(ADDRESS(ROW(NOTA[ID]),COLUMN(NOTA[ID]))&amp;":"&amp;ADDRESS(ROW(),COLUMN(NOTA[ID]))),-1)))</f>
        <v/>
      </c>
      <c r="AJ775" s="55" t="str">
        <f ca="1">IF(NOTA[[#This Row],[ID_H]]="","",IF(NOTA[[#This Row],[FAKTUR]]="",INDIRECT(ADDRESS(ROW()-1,COLUMN())),NOTA[[#This Row],[FAKTUR]]))</f>
        <v/>
      </c>
      <c r="AK775" s="56" t="str">
        <f ca="1">IF(NOTA[[#This Row],[ID]]="","",COUNTIF(NOTA[ID_H],NOTA[[#This Row],[ID_H]]))</f>
        <v/>
      </c>
      <c r="AL775" s="56" t="str">
        <f ca="1">IF(NOTA[[#This Row],[TGL.NOTA]]="",IF(NOTA[[#This Row],[SUPPLIER_H]]="","",AL774),MONTH(NOTA[[#This Row],[TGL.NOTA]]))</f>
        <v/>
      </c>
      <c r="AM775" s="56" t="str">
        <f>LOWER(SUBSTITUTE(SUBSTITUTE(SUBSTITUTE(SUBSTITUTE(SUBSTITUTE(SUBSTITUTE(SUBSTITUTE(SUBSTITUTE(SUBSTITUTE(NOTA[NAMA BARANG]," ",),".",""),"-",""),"(",""),")",""),",",""),"/",""),"""",""),"+",""))</f>
        <v/>
      </c>
      <c r="AN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56" t="str">
        <f>IF(NOTA[[#This Row],[CONCAT4]]="","",_xlfn.IFNA(MATCH(NOTA[[#This Row],[CONCAT4]],[2]!RAW[CONCAT_H],0),FALSE))</f>
        <v/>
      </c>
      <c r="AR775" s="56" t="str">
        <f>IF(NOTA[[#This Row],[CONCAT1]]="","",MATCH(NOTA[[#This Row],[CONCAT1]],[3]!db[NB NOTA_C],0))</f>
        <v/>
      </c>
      <c r="AS775" s="56" t="str">
        <f>IF(NOTA[[#This Row],[QTY/ CTN]]="","",TRUE)</f>
        <v/>
      </c>
      <c r="AT775" s="56" t="str">
        <f ca="1">IF(NOTA[[#This Row],[ID_H]]="","",IF(NOTA[[#This Row],[Column3]]=TRUE,NOTA[[#This Row],[QTY/ CTN]],INDEX([3]!db[QTY/ CTN],NOTA[[#This Row],[//DB]])))</f>
        <v/>
      </c>
      <c r="AU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5" s="56" t="str">
        <f ca="1">IF(NOTA[[#This Row],[ID_H]]="","",MATCH(NOTA[[#This Row],[NB NOTA_C_QTY]],[4]!db[NB NOTA_C_QTY+F],0))</f>
        <v/>
      </c>
      <c r="AW775" s="68" t="str">
        <f ca="1">IF(NOTA[[#This Row],[NB NOTA_C_QTY]]="","",ROW()-2)</f>
        <v/>
      </c>
    </row>
    <row r="776" spans="1:49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6" s="66" t="str">
        <f>IF(OR(NOTA[[#This Row],[QTY]]="",NOTA[[#This Row],[HARGA SATUAN]]="",),"",NOTA[[#This Row],[QTY]]*NOTA[[#This Row],[HARGA SATUAN]])</f>
        <v/>
      </c>
      <c r="AH776" s="60" t="str">
        <f ca="1">IF(NOTA[ID_H]="","",INDEX(NOTA[TANGGAL],MATCH(,INDIRECT(ADDRESS(ROW(NOTA[TANGGAL]),COLUMN(NOTA[TANGGAL]))&amp;":"&amp;ADDRESS(ROW(),COLUMN(NOTA[TANGGAL]))),-1)))</f>
        <v/>
      </c>
      <c r="AI776" s="55" t="str">
        <f ca="1">IF(NOTA[[#This Row],[NAMA BARANG]]="","",INDEX(NOTA[SUPPLIER],MATCH(,INDIRECT(ADDRESS(ROW(NOTA[ID]),COLUMN(NOTA[ID]))&amp;":"&amp;ADDRESS(ROW(),COLUMN(NOTA[ID]))),-1)))</f>
        <v/>
      </c>
      <c r="AJ776" s="55" t="str">
        <f ca="1">IF(NOTA[[#This Row],[ID_H]]="","",IF(NOTA[[#This Row],[FAKTUR]]="",INDIRECT(ADDRESS(ROW()-1,COLUMN())),NOTA[[#This Row],[FAKTUR]]))</f>
        <v/>
      </c>
      <c r="AK776" s="56" t="str">
        <f ca="1">IF(NOTA[[#This Row],[ID]]="","",COUNTIF(NOTA[ID_H],NOTA[[#This Row],[ID_H]]))</f>
        <v/>
      </c>
      <c r="AL776" s="56" t="str">
        <f ca="1">IF(NOTA[[#This Row],[TGL.NOTA]]="",IF(NOTA[[#This Row],[SUPPLIER_H]]="","",AL775),MONTH(NOTA[[#This Row],[TGL.NOTA]]))</f>
        <v/>
      </c>
      <c r="AM776" s="56" t="str">
        <f>LOWER(SUBSTITUTE(SUBSTITUTE(SUBSTITUTE(SUBSTITUTE(SUBSTITUTE(SUBSTITUTE(SUBSTITUTE(SUBSTITUTE(SUBSTITUTE(NOTA[NAMA BARANG]," ",),".",""),"-",""),"(",""),")",""),",",""),"/",""),"""",""),"+",""))</f>
        <v/>
      </c>
      <c r="AN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56" t="str">
        <f>IF(NOTA[[#This Row],[CONCAT4]]="","",_xlfn.IFNA(MATCH(NOTA[[#This Row],[CONCAT4]],[2]!RAW[CONCAT_H],0),FALSE))</f>
        <v/>
      </c>
      <c r="AR776" s="56" t="str">
        <f>IF(NOTA[[#This Row],[CONCAT1]]="","",MATCH(NOTA[[#This Row],[CONCAT1]],[3]!db[NB NOTA_C],0))</f>
        <v/>
      </c>
      <c r="AS776" s="56" t="str">
        <f>IF(NOTA[[#This Row],[QTY/ CTN]]="","",TRUE)</f>
        <v/>
      </c>
      <c r="AT776" s="56" t="str">
        <f ca="1">IF(NOTA[[#This Row],[ID_H]]="","",IF(NOTA[[#This Row],[Column3]]=TRUE,NOTA[[#This Row],[QTY/ CTN]],INDEX([3]!db[QTY/ CTN],NOTA[[#This Row],[//DB]])))</f>
        <v/>
      </c>
      <c r="AU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6" s="56" t="str">
        <f ca="1">IF(NOTA[[#This Row],[ID_H]]="","",MATCH(NOTA[[#This Row],[NB NOTA_C_QTY]],[4]!db[NB NOTA_C_QTY+F],0))</f>
        <v/>
      </c>
      <c r="AW776" s="68" t="str">
        <f ca="1">IF(NOTA[[#This Row],[NB NOTA_C_QTY]]="","",ROW()-2)</f>
        <v/>
      </c>
    </row>
    <row r="777" spans="1:49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7" s="66" t="str">
        <f>IF(OR(NOTA[[#This Row],[QTY]]="",NOTA[[#This Row],[HARGA SATUAN]]="",),"",NOTA[[#This Row],[QTY]]*NOTA[[#This Row],[HARGA SATUAN]])</f>
        <v/>
      </c>
      <c r="AH777" s="60" t="str">
        <f ca="1">IF(NOTA[ID_H]="","",INDEX(NOTA[TANGGAL],MATCH(,INDIRECT(ADDRESS(ROW(NOTA[TANGGAL]),COLUMN(NOTA[TANGGAL]))&amp;":"&amp;ADDRESS(ROW(),COLUMN(NOTA[TANGGAL]))),-1)))</f>
        <v/>
      </c>
      <c r="AI777" s="55" t="str">
        <f ca="1">IF(NOTA[[#This Row],[NAMA BARANG]]="","",INDEX(NOTA[SUPPLIER],MATCH(,INDIRECT(ADDRESS(ROW(NOTA[ID]),COLUMN(NOTA[ID]))&amp;":"&amp;ADDRESS(ROW(),COLUMN(NOTA[ID]))),-1)))</f>
        <v/>
      </c>
      <c r="AJ777" s="55" t="str">
        <f ca="1">IF(NOTA[[#This Row],[ID_H]]="","",IF(NOTA[[#This Row],[FAKTUR]]="",INDIRECT(ADDRESS(ROW()-1,COLUMN())),NOTA[[#This Row],[FAKTUR]]))</f>
        <v/>
      </c>
      <c r="AK777" s="56" t="str">
        <f ca="1">IF(NOTA[[#This Row],[ID]]="","",COUNTIF(NOTA[ID_H],NOTA[[#This Row],[ID_H]]))</f>
        <v/>
      </c>
      <c r="AL777" s="56" t="str">
        <f ca="1">IF(NOTA[[#This Row],[TGL.NOTA]]="",IF(NOTA[[#This Row],[SUPPLIER_H]]="","",AL776),MONTH(NOTA[[#This Row],[TGL.NOTA]]))</f>
        <v/>
      </c>
      <c r="AM777" s="56" t="str">
        <f>LOWER(SUBSTITUTE(SUBSTITUTE(SUBSTITUTE(SUBSTITUTE(SUBSTITUTE(SUBSTITUTE(SUBSTITUTE(SUBSTITUTE(SUBSTITUTE(NOTA[NAMA BARANG]," ",),".",""),"-",""),"(",""),")",""),",",""),"/",""),"""",""),"+",""))</f>
        <v/>
      </c>
      <c r="AN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7" s="56" t="str">
        <f>IF(NOTA[[#This Row],[CONCAT4]]="","",_xlfn.IFNA(MATCH(NOTA[[#This Row],[CONCAT4]],[2]!RAW[CONCAT_H],0),FALSE))</f>
        <v/>
      </c>
      <c r="AR777" s="56" t="str">
        <f>IF(NOTA[[#This Row],[CONCAT1]]="","",MATCH(NOTA[[#This Row],[CONCAT1]],[3]!db[NB NOTA_C],0))</f>
        <v/>
      </c>
      <c r="AS777" s="56" t="str">
        <f>IF(NOTA[[#This Row],[QTY/ CTN]]="","",TRUE)</f>
        <v/>
      </c>
      <c r="AT777" s="56" t="str">
        <f ca="1">IF(NOTA[[#This Row],[ID_H]]="","",IF(NOTA[[#This Row],[Column3]]=TRUE,NOTA[[#This Row],[QTY/ CTN]],INDEX([3]!db[QTY/ CTN],NOTA[[#This Row],[//DB]])))</f>
        <v/>
      </c>
      <c r="AU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7" s="56" t="str">
        <f ca="1">IF(NOTA[[#This Row],[ID_H]]="","",MATCH(NOTA[[#This Row],[NB NOTA_C_QTY]],[4]!db[NB NOTA_C_QTY+F],0))</f>
        <v/>
      </c>
      <c r="AW777" s="68" t="str">
        <f ca="1">IF(NOTA[[#This Row],[NB NOTA_C_QTY]]="","",ROW()-2)</f>
        <v/>
      </c>
    </row>
    <row r="778" spans="1:49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8" s="66" t="str">
        <f>IF(OR(NOTA[[#This Row],[QTY]]="",NOTA[[#This Row],[HARGA SATUAN]]="",),"",NOTA[[#This Row],[QTY]]*NOTA[[#This Row],[HARGA SATUAN]])</f>
        <v/>
      </c>
      <c r="AH778" s="60" t="str">
        <f ca="1">IF(NOTA[ID_H]="","",INDEX(NOTA[TANGGAL],MATCH(,INDIRECT(ADDRESS(ROW(NOTA[TANGGAL]),COLUMN(NOTA[TANGGAL]))&amp;":"&amp;ADDRESS(ROW(),COLUMN(NOTA[TANGGAL]))),-1)))</f>
        <v/>
      </c>
      <c r="AI778" s="55" t="str">
        <f ca="1">IF(NOTA[[#This Row],[NAMA BARANG]]="","",INDEX(NOTA[SUPPLIER],MATCH(,INDIRECT(ADDRESS(ROW(NOTA[ID]),COLUMN(NOTA[ID]))&amp;":"&amp;ADDRESS(ROW(),COLUMN(NOTA[ID]))),-1)))</f>
        <v/>
      </c>
      <c r="AJ778" s="55" t="str">
        <f ca="1">IF(NOTA[[#This Row],[ID_H]]="","",IF(NOTA[[#This Row],[FAKTUR]]="",INDIRECT(ADDRESS(ROW()-1,COLUMN())),NOTA[[#This Row],[FAKTUR]]))</f>
        <v/>
      </c>
      <c r="AK778" s="56" t="str">
        <f ca="1">IF(NOTA[[#This Row],[ID]]="","",COUNTIF(NOTA[ID_H],NOTA[[#This Row],[ID_H]]))</f>
        <v/>
      </c>
      <c r="AL778" s="56" t="str">
        <f ca="1">IF(NOTA[[#This Row],[TGL.NOTA]]="",IF(NOTA[[#This Row],[SUPPLIER_H]]="","",AL777),MONTH(NOTA[[#This Row],[TGL.NOTA]]))</f>
        <v/>
      </c>
      <c r="AM778" s="56" t="str">
        <f>LOWER(SUBSTITUTE(SUBSTITUTE(SUBSTITUTE(SUBSTITUTE(SUBSTITUTE(SUBSTITUTE(SUBSTITUTE(SUBSTITUTE(SUBSTITUTE(NOTA[NAMA BARANG]," ",),".",""),"-",""),"(",""),")",""),",",""),"/",""),"""",""),"+",""))</f>
        <v/>
      </c>
      <c r="AN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56" t="str">
        <f>IF(NOTA[[#This Row],[CONCAT4]]="","",_xlfn.IFNA(MATCH(NOTA[[#This Row],[CONCAT4]],[2]!RAW[CONCAT_H],0),FALSE))</f>
        <v/>
      </c>
      <c r="AR778" s="56" t="str">
        <f>IF(NOTA[[#This Row],[CONCAT1]]="","",MATCH(NOTA[[#This Row],[CONCAT1]],[3]!db[NB NOTA_C],0))</f>
        <v/>
      </c>
      <c r="AS778" s="56" t="str">
        <f>IF(NOTA[[#This Row],[QTY/ CTN]]="","",TRUE)</f>
        <v/>
      </c>
      <c r="AT778" s="56" t="str">
        <f ca="1">IF(NOTA[[#This Row],[ID_H]]="","",IF(NOTA[[#This Row],[Column3]]=TRUE,NOTA[[#This Row],[QTY/ CTN]],INDEX([3]!db[QTY/ CTN],NOTA[[#This Row],[//DB]])))</f>
        <v/>
      </c>
      <c r="AU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8" s="56" t="str">
        <f ca="1">IF(NOTA[[#This Row],[ID_H]]="","",MATCH(NOTA[[#This Row],[NB NOTA_C_QTY]],[4]!db[NB NOTA_C_QTY+F],0))</f>
        <v/>
      </c>
      <c r="AW778" s="68" t="str">
        <f ca="1">IF(NOTA[[#This Row],[NB NOTA_C_QTY]]="","",ROW()-2)</f>
        <v/>
      </c>
    </row>
    <row r="779" spans="1:49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79" s="66" t="str">
        <f>IF(OR(NOTA[[#This Row],[QTY]]="",NOTA[[#This Row],[HARGA SATUAN]]="",),"",NOTA[[#This Row],[QTY]]*NOTA[[#This Row],[HARGA SATUAN]])</f>
        <v/>
      </c>
      <c r="AH779" s="60" t="str">
        <f ca="1">IF(NOTA[ID_H]="","",INDEX(NOTA[TANGGAL],MATCH(,INDIRECT(ADDRESS(ROW(NOTA[TANGGAL]),COLUMN(NOTA[TANGGAL]))&amp;":"&amp;ADDRESS(ROW(),COLUMN(NOTA[TANGGAL]))),-1)))</f>
        <v/>
      </c>
      <c r="AI779" s="55" t="str">
        <f ca="1">IF(NOTA[[#This Row],[NAMA BARANG]]="","",INDEX(NOTA[SUPPLIER],MATCH(,INDIRECT(ADDRESS(ROW(NOTA[ID]),COLUMN(NOTA[ID]))&amp;":"&amp;ADDRESS(ROW(),COLUMN(NOTA[ID]))),-1)))</f>
        <v/>
      </c>
      <c r="AJ779" s="55" t="str">
        <f ca="1">IF(NOTA[[#This Row],[ID_H]]="","",IF(NOTA[[#This Row],[FAKTUR]]="",INDIRECT(ADDRESS(ROW()-1,COLUMN())),NOTA[[#This Row],[FAKTUR]]))</f>
        <v/>
      </c>
      <c r="AK779" s="56" t="str">
        <f ca="1">IF(NOTA[[#This Row],[ID]]="","",COUNTIF(NOTA[ID_H],NOTA[[#This Row],[ID_H]]))</f>
        <v/>
      </c>
      <c r="AL779" s="56" t="str">
        <f ca="1">IF(NOTA[[#This Row],[TGL.NOTA]]="",IF(NOTA[[#This Row],[SUPPLIER_H]]="","",AL778),MONTH(NOTA[[#This Row],[TGL.NOTA]]))</f>
        <v/>
      </c>
      <c r="AM779" s="56" t="str">
        <f>LOWER(SUBSTITUTE(SUBSTITUTE(SUBSTITUTE(SUBSTITUTE(SUBSTITUTE(SUBSTITUTE(SUBSTITUTE(SUBSTITUTE(SUBSTITUTE(NOTA[NAMA BARANG]," ",),".",""),"-",""),"(",""),")",""),",",""),"/",""),"""",""),"+",""))</f>
        <v/>
      </c>
      <c r="AN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56" t="str">
        <f>IF(NOTA[[#This Row],[CONCAT4]]="","",_xlfn.IFNA(MATCH(NOTA[[#This Row],[CONCAT4]],[2]!RAW[CONCAT_H],0),FALSE))</f>
        <v/>
      </c>
      <c r="AR779" s="56" t="str">
        <f>IF(NOTA[[#This Row],[CONCAT1]]="","",MATCH(NOTA[[#This Row],[CONCAT1]],[3]!db[NB NOTA_C],0))</f>
        <v/>
      </c>
      <c r="AS779" s="56" t="str">
        <f>IF(NOTA[[#This Row],[QTY/ CTN]]="","",TRUE)</f>
        <v/>
      </c>
      <c r="AT779" s="56" t="str">
        <f ca="1">IF(NOTA[[#This Row],[ID_H]]="","",IF(NOTA[[#This Row],[Column3]]=TRUE,NOTA[[#This Row],[QTY/ CTN]],INDEX([3]!db[QTY/ CTN],NOTA[[#This Row],[//DB]])))</f>
        <v/>
      </c>
      <c r="AU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9" s="56" t="str">
        <f ca="1">IF(NOTA[[#This Row],[ID_H]]="","",MATCH(NOTA[[#This Row],[NB NOTA_C_QTY]],[4]!db[NB NOTA_C_QTY+F],0))</f>
        <v/>
      </c>
      <c r="AW779" s="68" t="str">
        <f ca="1">IF(NOTA[[#This Row],[NB NOTA_C_QTY]]="","",ROW()-2)</f>
        <v/>
      </c>
    </row>
    <row r="780" spans="1:49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0" s="66" t="str">
        <f>IF(OR(NOTA[[#This Row],[QTY]]="",NOTA[[#This Row],[HARGA SATUAN]]="",),"",NOTA[[#This Row],[QTY]]*NOTA[[#This Row],[HARGA SATUAN]])</f>
        <v/>
      </c>
      <c r="AH780" s="60" t="str">
        <f ca="1">IF(NOTA[ID_H]="","",INDEX(NOTA[TANGGAL],MATCH(,INDIRECT(ADDRESS(ROW(NOTA[TANGGAL]),COLUMN(NOTA[TANGGAL]))&amp;":"&amp;ADDRESS(ROW(),COLUMN(NOTA[TANGGAL]))),-1)))</f>
        <v/>
      </c>
      <c r="AI780" s="55" t="str">
        <f ca="1">IF(NOTA[[#This Row],[NAMA BARANG]]="","",INDEX(NOTA[SUPPLIER],MATCH(,INDIRECT(ADDRESS(ROW(NOTA[ID]),COLUMN(NOTA[ID]))&amp;":"&amp;ADDRESS(ROW(),COLUMN(NOTA[ID]))),-1)))</f>
        <v/>
      </c>
      <c r="AJ780" s="55" t="str">
        <f ca="1">IF(NOTA[[#This Row],[ID_H]]="","",IF(NOTA[[#This Row],[FAKTUR]]="",INDIRECT(ADDRESS(ROW()-1,COLUMN())),NOTA[[#This Row],[FAKTUR]]))</f>
        <v/>
      </c>
      <c r="AK780" s="56" t="str">
        <f ca="1">IF(NOTA[[#This Row],[ID]]="","",COUNTIF(NOTA[ID_H],NOTA[[#This Row],[ID_H]]))</f>
        <v/>
      </c>
      <c r="AL780" s="56" t="str">
        <f ca="1">IF(NOTA[[#This Row],[TGL.NOTA]]="",IF(NOTA[[#This Row],[SUPPLIER_H]]="","",AL779),MONTH(NOTA[[#This Row],[TGL.NOTA]]))</f>
        <v/>
      </c>
      <c r="AM780" s="56" t="str">
        <f>LOWER(SUBSTITUTE(SUBSTITUTE(SUBSTITUTE(SUBSTITUTE(SUBSTITUTE(SUBSTITUTE(SUBSTITUTE(SUBSTITUTE(SUBSTITUTE(NOTA[NAMA BARANG]," ",),".",""),"-",""),"(",""),")",""),",",""),"/",""),"""",""),"+",""))</f>
        <v/>
      </c>
      <c r="AN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0" s="56" t="str">
        <f>IF(NOTA[[#This Row],[CONCAT4]]="","",_xlfn.IFNA(MATCH(NOTA[[#This Row],[CONCAT4]],[2]!RAW[CONCAT_H],0),FALSE))</f>
        <v/>
      </c>
      <c r="AR780" s="56" t="str">
        <f>IF(NOTA[[#This Row],[CONCAT1]]="","",MATCH(NOTA[[#This Row],[CONCAT1]],[3]!db[NB NOTA_C],0))</f>
        <v/>
      </c>
      <c r="AS780" s="56" t="str">
        <f>IF(NOTA[[#This Row],[QTY/ CTN]]="","",TRUE)</f>
        <v/>
      </c>
      <c r="AT780" s="56" t="str">
        <f ca="1">IF(NOTA[[#This Row],[ID_H]]="","",IF(NOTA[[#This Row],[Column3]]=TRUE,NOTA[[#This Row],[QTY/ CTN]],INDEX([3]!db[QTY/ CTN],NOTA[[#This Row],[//DB]])))</f>
        <v/>
      </c>
      <c r="AU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0" s="56" t="str">
        <f ca="1">IF(NOTA[[#This Row],[ID_H]]="","",MATCH(NOTA[[#This Row],[NB NOTA_C_QTY]],[4]!db[NB NOTA_C_QTY+F],0))</f>
        <v/>
      </c>
      <c r="AW780" s="68" t="str">
        <f ca="1">IF(NOTA[[#This Row],[NB NOTA_C_QTY]]="","",ROW()-2)</f>
        <v/>
      </c>
    </row>
    <row r="781" spans="1:49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1" s="66" t="str">
        <f>IF(OR(NOTA[[#This Row],[QTY]]="",NOTA[[#This Row],[HARGA SATUAN]]="",),"",NOTA[[#This Row],[QTY]]*NOTA[[#This Row],[HARGA SATUAN]])</f>
        <v/>
      </c>
      <c r="AH781" s="60" t="str">
        <f ca="1">IF(NOTA[ID_H]="","",INDEX(NOTA[TANGGAL],MATCH(,INDIRECT(ADDRESS(ROW(NOTA[TANGGAL]),COLUMN(NOTA[TANGGAL]))&amp;":"&amp;ADDRESS(ROW(),COLUMN(NOTA[TANGGAL]))),-1)))</f>
        <v/>
      </c>
      <c r="AI781" s="55" t="str">
        <f ca="1">IF(NOTA[[#This Row],[NAMA BARANG]]="","",INDEX(NOTA[SUPPLIER],MATCH(,INDIRECT(ADDRESS(ROW(NOTA[ID]),COLUMN(NOTA[ID]))&amp;":"&amp;ADDRESS(ROW(),COLUMN(NOTA[ID]))),-1)))</f>
        <v/>
      </c>
      <c r="AJ781" s="55" t="str">
        <f ca="1">IF(NOTA[[#This Row],[ID_H]]="","",IF(NOTA[[#This Row],[FAKTUR]]="",INDIRECT(ADDRESS(ROW()-1,COLUMN())),NOTA[[#This Row],[FAKTUR]]))</f>
        <v/>
      </c>
      <c r="AK781" s="56" t="str">
        <f ca="1">IF(NOTA[[#This Row],[ID]]="","",COUNTIF(NOTA[ID_H],NOTA[[#This Row],[ID_H]]))</f>
        <v/>
      </c>
      <c r="AL781" s="56" t="str">
        <f ca="1">IF(NOTA[[#This Row],[TGL.NOTA]]="",IF(NOTA[[#This Row],[SUPPLIER_H]]="","",AL780),MONTH(NOTA[[#This Row],[TGL.NOTA]]))</f>
        <v/>
      </c>
      <c r="AM781" s="56" t="str">
        <f>LOWER(SUBSTITUTE(SUBSTITUTE(SUBSTITUTE(SUBSTITUTE(SUBSTITUTE(SUBSTITUTE(SUBSTITUTE(SUBSTITUTE(SUBSTITUTE(NOTA[NAMA BARANG]," ",),".",""),"-",""),"(",""),")",""),",",""),"/",""),"""",""),"+",""))</f>
        <v/>
      </c>
      <c r="AN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56" t="str">
        <f>IF(NOTA[[#This Row],[CONCAT4]]="","",_xlfn.IFNA(MATCH(NOTA[[#This Row],[CONCAT4]],[2]!RAW[CONCAT_H],0),FALSE))</f>
        <v/>
      </c>
      <c r="AR781" s="56" t="str">
        <f>IF(NOTA[[#This Row],[CONCAT1]]="","",MATCH(NOTA[[#This Row],[CONCAT1]],[3]!db[NB NOTA_C],0))</f>
        <v/>
      </c>
      <c r="AS781" s="56" t="str">
        <f>IF(NOTA[[#This Row],[QTY/ CTN]]="","",TRUE)</f>
        <v/>
      </c>
      <c r="AT781" s="56" t="str">
        <f ca="1">IF(NOTA[[#This Row],[ID_H]]="","",IF(NOTA[[#This Row],[Column3]]=TRUE,NOTA[[#This Row],[QTY/ CTN]],INDEX([3]!db[QTY/ CTN],NOTA[[#This Row],[//DB]])))</f>
        <v/>
      </c>
      <c r="AU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1" s="56" t="str">
        <f ca="1">IF(NOTA[[#This Row],[ID_H]]="","",MATCH(NOTA[[#This Row],[NB NOTA_C_QTY]],[4]!db[NB NOTA_C_QTY+F],0))</f>
        <v/>
      </c>
      <c r="AW781" s="68" t="str">
        <f ca="1">IF(NOTA[[#This Row],[NB NOTA_C_QTY]]="","",ROW()-2)</f>
        <v/>
      </c>
    </row>
    <row r="782" spans="1:49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2" s="66" t="str">
        <f>IF(OR(NOTA[[#This Row],[QTY]]="",NOTA[[#This Row],[HARGA SATUAN]]="",),"",NOTA[[#This Row],[QTY]]*NOTA[[#This Row],[HARGA SATUAN]])</f>
        <v/>
      </c>
      <c r="AH782" s="60" t="str">
        <f ca="1">IF(NOTA[ID_H]="","",INDEX(NOTA[TANGGAL],MATCH(,INDIRECT(ADDRESS(ROW(NOTA[TANGGAL]),COLUMN(NOTA[TANGGAL]))&amp;":"&amp;ADDRESS(ROW(),COLUMN(NOTA[TANGGAL]))),-1)))</f>
        <v/>
      </c>
      <c r="AI782" s="55" t="str">
        <f ca="1">IF(NOTA[[#This Row],[NAMA BARANG]]="","",INDEX(NOTA[SUPPLIER],MATCH(,INDIRECT(ADDRESS(ROW(NOTA[ID]),COLUMN(NOTA[ID]))&amp;":"&amp;ADDRESS(ROW(),COLUMN(NOTA[ID]))),-1)))</f>
        <v/>
      </c>
      <c r="AJ782" s="55" t="str">
        <f ca="1">IF(NOTA[[#This Row],[ID_H]]="","",IF(NOTA[[#This Row],[FAKTUR]]="",INDIRECT(ADDRESS(ROW()-1,COLUMN())),NOTA[[#This Row],[FAKTUR]]))</f>
        <v/>
      </c>
      <c r="AK782" s="56" t="str">
        <f ca="1">IF(NOTA[[#This Row],[ID]]="","",COUNTIF(NOTA[ID_H],NOTA[[#This Row],[ID_H]]))</f>
        <v/>
      </c>
      <c r="AL782" s="56" t="str">
        <f ca="1">IF(NOTA[[#This Row],[TGL.NOTA]]="",IF(NOTA[[#This Row],[SUPPLIER_H]]="","",AL781),MONTH(NOTA[[#This Row],[TGL.NOTA]]))</f>
        <v/>
      </c>
      <c r="AM782" s="56" t="str">
        <f>LOWER(SUBSTITUTE(SUBSTITUTE(SUBSTITUTE(SUBSTITUTE(SUBSTITUTE(SUBSTITUTE(SUBSTITUTE(SUBSTITUTE(SUBSTITUTE(NOTA[NAMA BARANG]," ",),".",""),"-",""),"(",""),")",""),",",""),"/",""),"""",""),"+",""))</f>
        <v/>
      </c>
      <c r="AN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56" t="str">
        <f>IF(NOTA[[#This Row],[CONCAT4]]="","",_xlfn.IFNA(MATCH(NOTA[[#This Row],[CONCAT4]],[2]!RAW[CONCAT_H],0),FALSE))</f>
        <v/>
      </c>
      <c r="AR782" s="56" t="str">
        <f>IF(NOTA[[#This Row],[CONCAT1]]="","",MATCH(NOTA[[#This Row],[CONCAT1]],[3]!db[NB NOTA_C],0))</f>
        <v/>
      </c>
      <c r="AS782" s="56" t="str">
        <f>IF(NOTA[[#This Row],[QTY/ CTN]]="","",TRUE)</f>
        <v/>
      </c>
      <c r="AT782" s="56" t="str">
        <f ca="1">IF(NOTA[[#This Row],[ID_H]]="","",IF(NOTA[[#This Row],[Column3]]=TRUE,NOTA[[#This Row],[QTY/ CTN]],INDEX([3]!db[QTY/ CTN],NOTA[[#This Row],[//DB]])))</f>
        <v/>
      </c>
      <c r="AU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2" s="56" t="str">
        <f ca="1">IF(NOTA[[#This Row],[ID_H]]="","",MATCH(NOTA[[#This Row],[NB NOTA_C_QTY]],[4]!db[NB NOTA_C_QTY+F],0))</f>
        <v/>
      </c>
      <c r="AW782" s="68" t="str">
        <f ca="1">IF(NOTA[[#This Row],[NB NOTA_C_QTY]]="","",ROW()-2)</f>
        <v/>
      </c>
    </row>
    <row r="783" spans="1:49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3" s="66" t="str">
        <f>IF(OR(NOTA[[#This Row],[QTY]]="",NOTA[[#This Row],[HARGA SATUAN]]="",),"",NOTA[[#This Row],[QTY]]*NOTA[[#This Row],[HARGA SATUAN]])</f>
        <v/>
      </c>
      <c r="AH783" s="60" t="str">
        <f ca="1">IF(NOTA[ID_H]="","",INDEX(NOTA[TANGGAL],MATCH(,INDIRECT(ADDRESS(ROW(NOTA[TANGGAL]),COLUMN(NOTA[TANGGAL]))&amp;":"&amp;ADDRESS(ROW(),COLUMN(NOTA[TANGGAL]))),-1)))</f>
        <v/>
      </c>
      <c r="AI783" s="55" t="str">
        <f ca="1">IF(NOTA[[#This Row],[NAMA BARANG]]="","",INDEX(NOTA[SUPPLIER],MATCH(,INDIRECT(ADDRESS(ROW(NOTA[ID]),COLUMN(NOTA[ID]))&amp;":"&amp;ADDRESS(ROW(),COLUMN(NOTA[ID]))),-1)))</f>
        <v/>
      </c>
      <c r="AJ783" s="55" t="str">
        <f ca="1">IF(NOTA[[#This Row],[ID_H]]="","",IF(NOTA[[#This Row],[FAKTUR]]="",INDIRECT(ADDRESS(ROW()-1,COLUMN())),NOTA[[#This Row],[FAKTUR]]))</f>
        <v/>
      </c>
      <c r="AK783" s="56" t="str">
        <f ca="1">IF(NOTA[[#This Row],[ID]]="","",COUNTIF(NOTA[ID_H],NOTA[[#This Row],[ID_H]]))</f>
        <v/>
      </c>
      <c r="AL783" s="56" t="str">
        <f ca="1">IF(NOTA[[#This Row],[TGL.NOTA]]="",IF(NOTA[[#This Row],[SUPPLIER_H]]="","",AL782),MONTH(NOTA[[#This Row],[TGL.NOTA]]))</f>
        <v/>
      </c>
      <c r="AM783" s="56" t="str">
        <f>LOWER(SUBSTITUTE(SUBSTITUTE(SUBSTITUTE(SUBSTITUTE(SUBSTITUTE(SUBSTITUTE(SUBSTITUTE(SUBSTITUTE(SUBSTITUTE(NOTA[NAMA BARANG]," ",),".",""),"-",""),"(",""),")",""),",",""),"/",""),"""",""),"+",""))</f>
        <v/>
      </c>
      <c r="AN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56" t="str">
        <f>IF(NOTA[[#This Row],[CONCAT4]]="","",_xlfn.IFNA(MATCH(NOTA[[#This Row],[CONCAT4]],[2]!RAW[CONCAT_H],0),FALSE))</f>
        <v/>
      </c>
      <c r="AR783" s="56" t="str">
        <f>IF(NOTA[[#This Row],[CONCAT1]]="","",MATCH(NOTA[[#This Row],[CONCAT1]],[3]!db[NB NOTA_C],0))</f>
        <v/>
      </c>
      <c r="AS783" s="56" t="str">
        <f>IF(NOTA[[#This Row],[QTY/ CTN]]="","",TRUE)</f>
        <v/>
      </c>
      <c r="AT783" s="56" t="str">
        <f ca="1">IF(NOTA[[#This Row],[ID_H]]="","",IF(NOTA[[#This Row],[Column3]]=TRUE,NOTA[[#This Row],[QTY/ CTN]],INDEX([3]!db[QTY/ CTN],NOTA[[#This Row],[//DB]])))</f>
        <v/>
      </c>
      <c r="AU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3" s="56" t="str">
        <f ca="1">IF(NOTA[[#This Row],[ID_H]]="","",MATCH(NOTA[[#This Row],[NB NOTA_C_QTY]],[4]!db[NB NOTA_C_QTY+F],0))</f>
        <v/>
      </c>
      <c r="AW783" s="68" t="str">
        <f ca="1">IF(NOTA[[#This Row],[NB NOTA_C_QTY]]="","",ROW()-2)</f>
        <v/>
      </c>
    </row>
    <row r="784" spans="1:49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4" s="66" t="str">
        <f>IF(OR(NOTA[[#This Row],[QTY]]="",NOTA[[#This Row],[HARGA SATUAN]]="",),"",NOTA[[#This Row],[QTY]]*NOTA[[#This Row],[HARGA SATUAN]])</f>
        <v/>
      </c>
      <c r="AH784" s="60" t="str">
        <f ca="1">IF(NOTA[ID_H]="","",INDEX(NOTA[TANGGAL],MATCH(,INDIRECT(ADDRESS(ROW(NOTA[TANGGAL]),COLUMN(NOTA[TANGGAL]))&amp;":"&amp;ADDRESS(ROW(),COLUMN(NOTA[TANGGAL]))),-1)))</f>
        <v/>
      </c>
      <c r="AI784" s="55" t="str">
        <f ca="1">IF(NOTA[[#This Row],[NAMA BARANG]]="","",INDEX(NOTA[SUPPLIER],MATCH(,INDIRECT(ADDRESS(ROW(NOTA[ID]),COLUMN(NOTA[ID]))&amp;":"&amp;ADDRESS(ROW(),COLUMN(NOTA[ID]))),-1)))</f>
        <v/>
      </c>
      <c r="AJ784" s="55" t="str">
        <f ca="1">IF(NOTA[[#This Row],[ID_H]]="","",IF(NOTA[[#This Row],[FAKTUR]]="",INDIRECT(ADDRESS(ROW()-1,COLUMN())),NOTA[[#This Row],[FAKTUR]]))</f>
        <v/>
      </c>
      <c r="AK784" s="56" t="str">
        <f ca="1">IF(NOTA[[#This Row],[ID]]="","",COUNTIF(NOTA[ID_H],NOTA[[#This Row],[ID_H]]))</f>
        <v/>
      </c>
      <c r="AL784" s="56" t="str">
        <f ca="1">IF(NOTA[[#This Row],[TGL.NOTA]]="",IF(NOTA[[#This Row],[SUPPLIER_H]]="","",AL783),MONTH(NOTA[[#This Row],[TGL.NOTA]]))</f>
        <v/>
      </c>
      <c r="AM784" s="56" t="str">
        <f>LOWER(SUBSTITUTE(SUBSTITUTE(SUBSTITUTE(SUBSTITUTE(SUBSTITUTE(SUBSTITUTE(SUBSTITUTE(SUBSTITUTE(SUBSTITUTE(NOTA[NAMA BARANG]," ",),".",""),"-",""),"(",""),")",""),",",""),"/",""),"""",""),"+",""))</f>
        <v/>
      </c>
      <c r="AN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56" t="str">
        <f>IF(NOTA[[#This Row],[CONCAT4]]="","",_xlfn.IFNA(MATCH(NOTA[[#This Row],[CONCAT4]],[2]!RAW[CONCAT_H],0),FALSE))</f>
        <v/>
      </c>
      <c r="AR784" s="56" t="str">
        <f>IF(NOTA[[#This Row],[CONCAT1]]="","",MATCH(NOTA[[#This Row],[CONCAT1]],[3]!db[NB NOTA_C],0))</f>
        <v/>
      </c>
      <c r="AS784" s="56" t="str">
        <f>IF(NOTA[[#This Row],[QTY/ CTN]]="","",TRUE)</f>
        <v/>
      </c>
      <c r="AT784" s="56" t="str">
        <f ca="1">IF(NOTA[[#This Row],[ID_H]]="","",IF(NOTA[[#This Row],[Column3]]=TRUE,NOTA[[#This Row],[QTY/ CTN]],INDEX([3]!db[QTY/ CTN],NOTA[[#This Row],[//DB]])))</f>
        <v/>
      </c>
      <c r="AU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4" s="56" t="str">
        <f ca="1">IF(NOTA[[#This Row],[ID_H]]="","",MATCH(NOTA[[#This Row],[NB NOTA_C_QTY]],[4]!db[NB NOTA_C_QTY+F],0))</f>
        <v/>
      </c>
      <c r="AW784" s="68" t="str">
        <f ca="1">IF(NOTA[[#This Row],[NB NOTA_C_QTY]]="","",ROW()-2)</f>
        <v/>
      </c>
    </row>
    <row r="785" spans="1:49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5" s="66" t="str">
        <f>IF(OR(NOTA[[#This Row],[QTY]]="",NOTA[[#This Row],[HARGA SATUAN]]="",),"",NOTA[[#This Row],[QTY]]*NOTA[[#This Row],[HARGA SATUAN]])</f>
        <v/>
      </c>
      <c r="AH785" s="60" t="str">
        <f ca="1">IF(NOTA[ID_H]="","",INDEX(NOTA[TANGGAL],MATCH(,INDIRECT(ADDRESS(ROW(NOTA[TANGGAL]),COLUMN(NOTA[TANGGAL]))&amp;":"&amp;ADDRESS(ROW(),COLUMN(NOTA[TANGGAL]))),-1)))</f>
        <v/>
      </c>
      <c r="AI785" s="55" t="str">
        <f ca="1">IF(NOTA[[#This Row],[NAMA BARANG]]="","",INDEX(NOTA[SUPPLIER],MATCH(,INDIRECT(ADDRESS(ROW(NOTA[ID]),COLUMN(NOTA[ID]))&amp;":"&amp;ADDRESS(ROW(),COLUMN(NOTA[ID]))),-1)))</f>
        <v/>
      </c>
      <c r="AJ785" s="55" t="str">
        <f ca="1">IF(NOTA[[#This Row],[ID_H]]="","",IF(NOTA[[#This Row],[FAKTUR]]="",INDIRECT(ADDRESS(ROW()-1,COLUMN())),NOTA[[#This Row],[FAKTUR]]))</f>
        <v/>
      </c>
      <c r="AK785" s="56" t="str">
        <f ca="1">IF(NOTA[[#This Row],[ID]]="","",COUNTIF(NOTA[ID_H],NOTA[[#This Row],[ID_H]]))</f>
        <v/>
      </c>
      <c r="AL785" s="56" t="str">
        <f ca="1">IF(NOTA[[#This Row],[TGL.NOTA]]="",IF(NOTA[[#This Row],[SUPPLIER_H]]="","",AL784),MONTH(NOTA[[#This Row],[TGL.NOTA]]))</f>
        <v/>
      </c>
      <c r="AM785" s="56" t="str">
        <f>LOWER(SUBSTITUTE(SUBSTITUTE(SUBSTITUTE(SUBSTITUTE(SUBSTITUTE(SUBSTITUTE(SUBSTITUTE(SUBSTITUTE(SUBSTITUTE(NOTA[NAMA BARANG]," ",),".",""),"-",""),"(",""),")",""),",",""),"/",""),"""",""),"+",""))</f>
        <v/>
      </c>
      <c r="AN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56" t="str">
        <f>IF(NOTA[[#This Row],[CONCAT4]]="","",_xlfn.IFNA(MATCH(NOTA[[#This Row],[CONCAT4]],[2]!RAW[CONCAT_H],0),FALSE))</f>
        <v/>
      </c>
      <c r="AR785" s="56" t="str">
        <f>IF(NOTA[[#This Row],[CONCAT1]]="","",MATCH(NOTA[[#This Row],[CONCAT1]],[3]!db[NB NOTA_C],0))</f>
        <v/>
      </c>
      <c r="AS785" s="56" t="str">
        <f>IF(NOTA[[#This Row],[QTY/ CTN]]="","",TRUE)</f>
        <v/>
      </c>
      <c r="AT785" s="56" t="str">
        <f ca="1">IF(NOTA[[#This Row],[ID_H]]="","",IF(NOTA[[#This Row],[Column3]]=TRUE,NOTA[[#This Row],[QTY/ CTN]],INDEX([3]!db[QTY/ CTN],NOTA[[#This Row],[//DB]])))</f>
        <v/>
      </c>
      <c r="AU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5" s="56" t="str">
        <f ca="1">IF(NOTA[[#This Row],[ID_H]]="","",MATCH(NOTA[[#This Row],[NB NOTA_C_QTY]],[4]!db[NB NOTA_C_QTY+F],0))</f>
        <v/>
      </c>
      <c r="AW785" s="68" t="str">
        <f ca="1">IF(NOTA[[#This Row],[NB NOTA_C_QTY]]="","",ROW()-2)</f>
        <v/>
      </c>
    </row>
    <row r="786" spans="1:49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6" s="66" t="str">
        <f>IF(OR(NOTA[[#This Row],[QTY]]="",NOTA[[#This Row],[HARGA SATUAN]]="",),"",NOTA[[#This Row],[QTY]]*NOTA[[#This Row],[HARGA SATUAN]])</f>
        <v/>
      </c>
      <c r="AH786" s="60" t="str">
        <f ca="1">IF(NOTA[ID_H]="","",INDEX(NOTA[TANGGAL],MATCH(,INDIRECT(ADDRESS(ROW(NOTA[TANGGAL]),COLUMN(NOTA[TANGGAL]))&amp;":"&amp;ADDRESS(ROW(),COLUMN(NOTA[TANGGAL]))),-1)))</f>
        <v/>
      </c>
      <c r="AI786" s="55" t="str">
        <f ca="1">IF(NOTA[[#This Row],[NAMA BARANG]]="","",INDEX(NOTA[SUPPLIER],MATCH(,INDIRECT(ADDRESS(ROW(NOTA[ID]),COLUMN(NOTA[ID]))&amp;":"&amp;ADDRESS(ROW(),COLUMN(NOTA[ID]))),-1)))</f>
        <v/>
      </c>
      <c r="AJ786" s="55" t="str">
        <f ca="1">IF(NOTA[[#This Row],[ID_H]]="","",IF(NOTA[[#This Row],[FAKTUR]]="",INDIRECT(ADDRESS(ROW()-1,COLUMN())),NOTA[[#This Row],[FAKTUR]]))</f>
        <v/>
      </c>
      <c r="AK786" s="56" t="str">
        <f ca="1">IF(NOTA[[#This Row],[ID]]="","",COUNTIF(NOTA[ID_H],NOTA[[#This Row],[ID_H]]))</f>
        <v/>
      </c>
      <c r="AL786" s="56" t="str">
        <f ca="1">IF(NOTA[[#This Row],[TGL.NOTA]]="",IF(NOTA[[#This Row],[SUPPLIER_H]]="","",AL785),MONTH(NOTA[[#This Row],[TGL.NOTA]]))</f>
        <v/>
      </c>
      <c r="AM786" s="56" t="str">
        <f>LOWER(SUBSTITUTE(SUBSTITUTE(SUBSTITUTE(SUBSTITUTE(SUBSTITUTE(SUBSTITUTE(SUBSTITUTE(SUBSTITUTE(SUBSTITUTE(NOTA[NAMA BARANG]," ",),".",""),"-",""),"(",""),")",""),",",""),"/",""),"""",""),"+",""))</f>
        <v/>
      </c>
      <c r="AN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56" t="str">
        <f>IF(NOTA[[#This Row],[CONCAT4]]="","",_xlfn.IFNA(MATCH(NOTA[[#This Row],[CONCAT4]],[2]!RAW[CONCAT_H],0),FALSE))</f>
        <v/>
      </c>
      <c r="AR786" s="56" t="str">
        <f>IF(NOTA[[#This Row],[CONCAT1]]="","",MATCH(NOTA[[#This Row],[CONCAT1]],[3]!db[NB NOTA_C],0))</f>
        <v/>
      </c>
      <c r="AS786" s="56" t="str">
        <f>IF(NOTA[[#This Row],[QTY/ CTN]]="","",TRUE)</f>
        <v/>
      </c>
      <c r="AT786" s="56" t="str">
        <f ca="1">IF(NOTA[[#This Row],[ID_H]]="","",IF(NOTA[[#This Row],[Column3]]=TRUE,NOTA[[#This Row],[QTY/ CTN]],INDEX([3]!db[QTY/ CTN],NOTA[[#This Row],[//DB]])))</f>
        <v/>
      </c>
      <c r="AU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6" s="56" t="str">
        <f ca="1">IF(NOTA[[#This Row],[ID_H]]="","",MATCH(NOTA[[#This Row],[NB NOTA_C_QTY]],[4]!db[NB NOTA_C_QTY+F],0))</f>
        <v/>
      </c>
      <c r="AW786" s="68" t="str">
        <f ca="1">IF(NOTA[[#This Row],[NB NOTA_C_QTY]]="","",ROW()-2)</f>
        <v/>
      </c>
    </row>
    <row r="787" spans="1:49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7" s="66" t="str">
        <f>IF(OR(NOTA[[#This Row],[QTY]]="",NOTA[[#This Row],[HARGA SATUAN]]="",),"",NOTA[[#This Row],[QTY]]*NOTA[[#This Row],[HARGA SATUAN]])</f>
        <v/>
      </c>
      <c r="AH787" s="60" t="str">
        <f ca="1">IF(NOTA[ID_H]="","",INDEX(NOTA[TANGGAL],MATCH(,INDIRECT(ADDRESS(ROW(NOTA[TANGGAL]),COLUMN(NOTA[TANGGAL]))&amp;":"&amp;ADDRESS(ROW(),COLUMN(NOTA[TANGGAL]))),-1)))</f>
        <v/>
      </c>
      <c r="AI787" s="55" t="str">
        <f ca="1">IF(NOTA[[#This Row],[NAMA BARANG]]="","",INDEX(NOTA[SUPPLIER],MATCH(,INDIRECT(ADDRESS(ROW(NOTA[ID]),COLUMN(NOTA[ID]))&amp;":"&amp;ADDRESS(ROW(),COLUMN(NOTA[ID]))),-1)))</f>
        <v/>
      </c>
      <c r="AJ787" s="55" t="str">
        <f ca="1">IF(NOTA[[#This Row],[ID_H]]="","",IF(NOTA[[#This Row],[FAKTUR]]="",INDIRECT(ADDRESS(ROW()-1,COLUMN())),NOTA[[#This Row],[FAKTUR]]))</f>
        <v/>
      </c>
      <c r="AK787" s="56" t="str">
        <f ca="1">IF(NOTA[[#This Row],[ID]]="","",COUNTIF(NOTA[ID_H],NOTA[[#This Row],[ID_H]]))</f>
        <v/>
      </c>
      <c r="AL787" s="56" t="str">
        <f ca="1">IF(NOTA[[#This Row],[TGL.NOTA]]="",IF(NOTA[[#This Row],[SUPPLIER_H]]="","",AL786),MONTH(NOTA[[#This Row],[TGL.NOTA]]))</f>
        <v/>
      </c>
      <c r="AM787" s="56" t="str">
        <f>LOWER(SUBSTITUTE(SUBSTITUTE(SUBSTITUTE(SUBSTITUTE(SUBSTITUTE(SUBSTITUTE(SUBSTITUTE(SUBSTITUTE(SUBSTITUTE(NOTA[NAMA BARANG]," ",),".",""),"-",""),"(",""),")",""),",",""),"/",""),"""",""),"+",""))</f>
        <v/>
      </c>
      <c r="AN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7" s="56" t="str">
        <f>IF(NOTA[[#This Row],[CONCAT4]]="","",_xlfn.IFNA(MATCH(NOTA[[#This Row],[CONCAT4]],[2]!RAW[CONCAT_H],0),FALSE))</f>
        <v/>
      </c>
      <c r="AR787" s="56" t="str">
        <f>IF(NOTA[[#This Row],[CONCAT1]]="","",MATCH(NOTA[[#This Row],[CONCAT1]],[3]!db[NB NOTA_C],0))</f>
        <v/>
      </c>
      <c r="AS787" s="56" t="str">
        <f>IF(NOTA[[#This Row],[QTY/ CTN]]="","",TRUE)</f>
        <v/>
      </c>
      <c r="AT787" s="56" t="str">
        <f ca="1">IF(NOTA[[#This Row],[ID_H]]="","",IF(NOTA[[#This Row],[Column3]]=TRUE,NOTA[[#This Row],[QTY/ CTN]],INDEX([3]!db[QTY/ CTN],NOTA[[#This Row],[//DB]])))</f>
        <v/>
      </c>
      <c r="AU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7" s="56" t="str">
        <f ca="1">IF(NOTA[[#This Row],[ID_H]]="","",MATCH(NOTA[[#This Row],[NB NOTA_C_QTY]],[4]!db[NB NOTA_C_QTY+F],0))</f>
        <v/>
      </c>
      <c r="AW787" s="68" t="str">
        <f ca="1">IF(NOTA[[#This Row],[NB NOTA_C_QTY]]="","",ROW()-2)</f>
        <v/>
      </c>
    </row>
    <row r="788" spans="1:49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8" s="66" t="str">
        <f>IF(OR(NOTA[[#This Row],[QTY]]="",NOTA[[#This Row],[HARGA SATUAN]]="",),"",NOTA[[#This Row],[QTY]]*NOTA[[#This Row],[HARGA SATUAN]])</f>
        <v/>
      </c>
      <c r="AH788" s="60" t="str">
        <f ca="1">IF(NOTA[ID_H]="","",INDEX(NOTA[TANGGAL],MATCH(,INDIRECT(ADDRESS(ROW(NOTA[TANGGAL]),COLUMN(NOTA[TANGGAL]))&amp;":"&amp;ADDRESS(ROW(),COLUMN(NOTA[TANGGAL]))),-1)))</f>
        <v/>
      </c>
      <c r="AI788" s="55" t="str">
        <f ca="1">IF(NOTA[[#This Row],[NAMA BARANG]]="","",INDEX(NOTA[SUPPLIER],MATCH(,INDIRECT(ADDRESS(ROW(NOTA[ID]),COLUMN(NOTA[ID]))&amp;":"&amp;ADDRESS(ROW(),COLUMN(NOTA[ID]))),-1)))</f>
        <v/>
      </c>
      <c r="AJ788" s="55" t="str">
        <f ca="1">IF(NOTA[[#This Row],[ID_H]]="","",IF(NOTA[[#This Row],[FAKTUR]]="",INDIRECT(ADDRESS(ROW()-1,COLUMN())),NOTA[[#This Row],[FAKTUR]]))</f>
        <v/>
      </c>
      <c r="AK788" s="56" t="str">
        <f ca="1">IF(NOTA[[#This Row],[ID]]="","",COUNTIF(NOTA[ID_H],NOTA[[#This Row],[ID_H]]))</f>
        <v/>
      </c>
      <c r="AL788" s="56" t="str">
        <f ca="1">IF(NOTA[[#This Row],[TGL.NOTA]]="",IF(NOTA[[#This Row],[SUPPLIER_H]]="","",AL787),MONTH(NOTA[[#This Row],[TGL.NOTA]]))</f>
        <v/>
      </c>
      <c r="AM788" s="56" t="str">
        <f>LOWER(SUBSTITUTE(SUBSTITUTE(SUBSTITUTE(SUBSTITUTE(SUBSTITUTE(SUBSTITUTE(SUBSTITUTE(SUBSTITUTE(SUBSTITUTE(NOTA[NAMA BARANG]," ",),".",""),"-",""),"(",""),")",""),",",""),"/",""),"""",""),"+",""))</f>
        <v/>
      </c>
      <c r="AN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56" t="str">
        <f>IF(NOTA[[#This Row],[CONCAT4]]="","",_xlfn.IFNA(MATCH(NOTA[[#This Row],[CONCAT4]],[2]!RAW[CONCAT_H],0),FALSE))</f>
        <v/>
      </c>
      <c r="AR788" s="56" t="str">
        <f>IF(NOTA[[#This Row],[CONCAT1]]="","",MATCH(NOTA[[#This Row],[CONCAT1]],[3]!db[NB NOTA_C],0))</f>
        <v/>
      </c>
      <c r="AS788" s="56" t="str">
        <f>IF(NOTA[[#This Row],[QTY/ CTN]]="","",TRUE)</f>
        <v/>
      </c>
      <c r="AT788" s="56" t="str">
        <f ca="1">IF(NOTA[[#This Row],[ID_H]]="","",IF(NOTA[[#This Row],[Column3]]=TRUE,NOTA[[#This Row],[QTY/ CTN]],INDEX([3]!db[QTY/ CTN],NOTA[[#This Row],[//DB]])))</f>
        <v/>
      </c>
      <c r="AU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8" s="56" t="str">
        <f ca="1">IF(NOTA[[#This Row],[ID_H]]="","",MATCH(NOTA[[#This Row],[NB NOTA_C_QTY]],[4]!db[NB NOTA_C_QTY+F],0))</f>
        <v/>
      </c>
      <c r="AW788" s="68" t="str">
        <f ca="1">IF(NOTA[[#This Row],[NB NOTA_C_QTY]]="","",ROW()-2)</f>
        <v/>
      </c>
    </row>
    <row r="789" spans="1:49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89" s="66" t="str">
        <f>IF(OR(NOTA[[#This Row],[QTY]]="",NOTA[[#This Row],[HARGA SATUAN]]="",),"",NOTA[[#This Row],[QTY]]*NOTA[[#This Row],[HARGA SATUAN]])</f>
        <v/>
      </c>
      <c r="AH789" s="60" t="str">
        <f ca="1">IF(NOTA[ID_H]="","",INDEX(NOTA[TANGGAL],MATCH(,INDIRECT(ADDRESS(ROW(NOTA[TANGGAL]),COLUMN(NOTA[TANGGAL]))&amp;":"&amp;ADDRESS(ROW(),COLUMN(NOTA[TANGGAL]))),-1)))</f>
        <v/>
      </c>
      <c r="AI789" s="55" t="str">
        <f ca="1">IF(NOTA[[#This Row],[NAMA BARANG]]="","",INDEX(NOTA[SUPPLIER],MATCH(,INDIRECT(ADDRESS(ROW(NOTA[ID]),COLUMN(NOTA[ID]))&amp;":"&amp;ADDRESS(ROW(),COLUMN(NOTA[ID]))),-1)))</f>
        <v/>
      </c>
      <c r="AJ789" s="55" t="str">
        <f ca="1">IF(NOTA[[#This Row],[ID_H]]="","",IF(NOTA[[#This Row],[FAKTUR]]="",INDIRECT(ADDRESS(ROW()-1,COLUMN())),NOTA[[#This Row],[FAKTUR]]))</f>
        <v/>
      </c>
      <c r="AK789" s="56" t="str">
        <f ca="1">IF(NOTA[[#This Row],[ID]]="","",COUNTIF(NOTA[ID_H],NOTA[[#This Row],[ID_H]]))</f>
        <v/>
      </c>
      <c r="AL789" s="56" t="str">
        <f ca="1">IF(NOTA[[#This Row],[TGL.NOTA]]="",IF(NOTA[[#This Row],[SUPPLIER_H]]="","",AL788),MONTH(NOTA[[#This Row],[TGL.NOTA]]))</f>
        <v/>
      </c>
      <c r="AM789" s="56" t="str">
        <f>LOWER(SUBSTITUTE(SUBSTITUTE(SUBSTITUTE(SUBSTITUTE(SUBSTITUTE(SUBSTITUTE(SUBSTITUTE(SUBSTITUTE(SUBSTITUTE(NOTA[NAMA BARANG]," ",),".",""),"-",""),"(",""),")",""),",",""),"/",""),"""",""),"+",""))</f>
        <v/>
      </c>
      <c r="AN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56" t="str">
        <f>IF(NOTA[[#This Row],[CONCAT4]]="","",_xlfn.IFNA(MATCH(NOTA[[#This Row],[CONCAT4]],[2]!RAW[CONCAT_H],0),FALSE))</f>
        <v/>
      </c>
      <c r="AR789" s="56" t="str">
        <f>IF(NOTA[[#This Row],[CONCAT1]]="","",MATCH(NOTA[[#This Row],[CONCAT1]],[3]!db[NB NOTA_C],0))</f>
        <v/>
      </c>
      <c r="AS789" s="56" t="str">
        <f>IF(NOTA[[#This Row],[QTY/ CTN]]="","",TRUE)</f>
        <v/>
      </c>
      <c r="AT789" s="56" t="str">
        <f ca="1">IF(NOTA[[#This Row],[ID_H]]="","",IF(NOTA[[#This Row],[Column3]]=TRUE,NOTA[[#This Row],[QTY/ CTN]],INDEX([3]!db[QTY/ CTN],NOTA[[#This Row],[//DB]])))</f>
        <v/>
      </c>
      <c r="AU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9" s="56" t="str">
        <f ca="1">IF(NOTA[[#This Row],[ID_H]]="","",MATCH(NOTA[[#This Row],[NB NOTA_C_QTY]],[4]!db[NB NOTA_C_QTY+F],0))</f>
        <v/>
      </c>
      <c r="AW789" s="68" t="str">
        <f ca="1">IF(NOTA[[#This Row],[NB NOTA_C_QTY]]="","",ROW()-2)</f>
        <v/>
      </c>
    </row>
    <row r="790" spans="1:49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0" s="66" t="str">
        <f>IF(OR(NOTA[[#This Row],[QTY]]="",NOTA[[#This Row],[HARGA SATUAN]]="",),"",NOTA[[#This Row],[QTY]]*NOTA[[#This Row],[HARGA SATUAN]])</f>
        <v/>
      </c>
      <c r="AH790" s="60" t="str">
        <f ca="1">IF(NOTA[ID_H]="","",INDEX(NOTA[TANGGAL],MATCH(,INDIRECT(ADDRESS(ROW(NOTA[TANGGAL]),COLUMN(NOTA[TANGGAL]))&amp;":"&amp;ADDRESS(ROW(),COLUMN(NOTA[TANGGAL]))),-1)))</f>
        <v/>
      </c>
      <c r="AI790" s="55" t="str">
        <f ca="1">IF(NOTA[[#This Row],[NAMA BARANG]]="","",INDEX(NOTA[SUPPLIER],MATCH(,INDIRECT(ADDRESS(ROW(NOTA[ID]),COLUMN(NOTA[ID]))&amp;":"&amp;ADDRESS(ROW(),COLUMN(NOTA[ID]))),-1)))</f>
        <v/>
      </c>
      <c r="AJ790" s="55" t="str">
        <f ca="1">IF(NOTA[[#This Row],[ID_H]]="","",IF(NOTA[[#This Row],[FAKTUR]]="",INDIRECT(ADDRESS(ROW()-1,COLUMN())),NOTA[[#This Row],[FAKTUR]]))</f>
        <v/>
      </c>
      <c r="AK790" s="56" t="str">
        <f ca="1">IF(NOTA[[#This Row],[ID]]="","",COUNTIF(NOTA[ID_H],NOTA[[#This Row],[ID_H]]))</f>
        <v/>
      </c>
      <c r="AL790" s="56" t="str">
        <f ca="1">IF(NOTA[[#This Row],[TGL.NOTA]]="",IF(NOTA[[#This Row],[SUPPLIER_H]]="","",AL789),MONTH(NOTA[[#This Row],[TGL.NOTA]]))</f>
        <v/>
      </c>
      <c r="AM790" s="56" t="str">
        <f>LOWER(SUBSTITUTE(SUBSTITUTE(SUBSTITUTE(SUBSTITUTE(SUBSTITUTE(SUBSTITUTE(SUBSTITUTE(SUBSTITUTE(SUBSTITUTE(NOTA[NAMA BARANG]," ",),".",""),"-",""),"(",""),")",""),",",""),"/",""),"""",""),"+",""))</f>
        <v/>
      </c>
      <c r="AN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0" s="56" t="str">
        <f>IF(NOTA[[#This Row],[CONCAT4]]="","",_xlfn.IFNA(MATCH(NOTA[[#This Row],[CONCAT4]],[2]!RAW[CONCAT_H],0),FALSE))</f>
        <v/>
      </c>
      <c r="AR790" s="56" t="str">
        <f>IF(NOTA[[#This Row],[CONCAT1]]="","",MATCH(NOTA[[#This Row],[CONCAT1]],[3]!db[NB NOTA_C],0))</f>
        <v/>
      </c>
      <c r="AS790" s="56" t="str">
        <f>IF(NOTA[[#This Row],[QTY/ CTN]]="","",TRUE)</f>
        <v/>
      </c>
      <c r="AT790" s="56" t="str">
        <f ca="1">IF(NOTA[[#This Row],[ID_H]]="","",IF(NOTA[[#This Row],[Column3]]=TRUE,NOTA[[#This Row],[QTY/ CTN]],INDEX([3]!db[QTY/ CTN],NOTA[[#This Row],[//DB]])))</f>
        <v/>
      </c>
      <c r="AU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0" s="56" t="str">
        <f ca="1">IF(NOTA[[#This Row],[ID_H]]="","",MATCH(NOTA[[#This Row],[NB NOTA_C_QTY]],[4]!db[NB NOTA_C_QTY+F],0))</f>
        <v/>
      </c>
      <c r="AW790" s="68" t="str">
        <f ca="1">IF(NOTA[[#This Row],[NB NOTA_C_QTY]]="","",ROW()-2)</f>
        <v/>
      </c>
    </row>
    <row r="791" spans="1:49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1" s="66" t="str">
        <f>IF(OR(NOTA[[#This Row],[QTY]]="",NOTA[[#This Row],[HARGA SATUAN]]="",),"",NOTA[[#This Row],[QTY]]*NOTA[[#This Row],[HARGA SATUAN]])</f>
        <v/>
      </c>
      <c r="AH791" s="60" t="str">
        <f ca="1">IF(NOTA[ID_H]="","",INDEX(NOTA[TANGGAL],MATCH(,INDIRECT(ADDRESS(ROW(NOTA[TANGGAL]),COLUMN(NOTA[TANGGAL]))&amp;":"&amp;ADDRESS(ROW(),COLUMN(NOTA[TANGGAL]))),-1)))</f>
        <v/>
      </c>
      <c r="AI791" s="55" t="str">
        <f ca="1">IF(NOTA[[#This Row],[NAMA BARANG]]="","",INDEX(NOTA[SUPPLIER],MATCH(,INDIRECT(ADDRESS(ROW(NOTA[ID]),COLUMN(NOTA[ID]))&amp;":"&amp;ADDRESS(ROW(),COLUMN(NOTA[ID]))),-1)))</f>
        <v/>
      </c>
      <c r="AJ791" s="55" t="str">
        <f ca="1">IF(NOTA[[#This Row],[ID_H]]="","",IF(NOTA[[#This Row],[FAKTUR]]="",INDIRECT(ADDRESS(ROW()-1,COLUMN())),NOTA[[#This Row],[FAKTUR]]))</f>
        <v/>
      </c>
      <c r="AK791" s="56" t="str">
        <f ca="1">IF(NOTA[[#This Row],[ID]]="","",COUNTIF(NOTA[ID_H],NOTA[[#This Row],[ID_H]]))</f>
        <v/>
      </c>
      <c r="AL791" s="56" t="str">
        <f ca="1">IF(NOTA[[#This Row],[TGL.NOTA]]="",IF(NOTA[[#This Row],[SUPPLIER_H]]="","",AL790),MONTH(NOTA[[#This Row],[TGL.NOTA]]))</f>
        <v/>
      </c>
      <c r="AM791" s="56" t="str">
        <f>LOWER(SUBSTITUTE(SUBSTITUTE(SUBSTITUTE(SUBSTITUTE(SUBSTITUTE(SUBSTITUTE(SUBSTITUTE(SUBSTITUTE(SUBSTITUTE(NOTA[NAMA BARANG]," ",),".",""),"-",""),"(",""),")",""),",",""),"/",""),"""",""),"+",""))</f>
        <v/>
      </c>
      <c r="AN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56" t="str">
        <f>IF(NOTA[[#This Row],[CONCAT4]]="","",_xlfn.IFNA(MATCH(NOTA[[#This Row],[CONCAT4]],[2]!RAW[CONCAT_H],0),FALSE))</f>
        <v/>
      </c>
      <c r="AR791" s="56" t="str">
        <f>IF(NOTA[[#This Row],[CONCAT1]]="","",MATCH(NOTA[[#This Row],[CONCAT1]],[3]!db[NB NOTA_C],0))</f>
        <v/>
      </c>
      <c r="AS791" s="56" t="str">
        <f>IF(NOTA[[#This Row],[QTY/ CTN]]="","",TRUE)</f>
        <v/>
      </c>
      <c r="AT791" s="56" t="str">
        <f ca="1">IF(NOTA[[#This Row],[ID_H]]="","",IF(NOTA[[#This Row],[Column3]]=TRUE,NOTA[[#This Row],[QTY/ CTN]],INDEX([3]!db[QTY/ CTN],NOTA[[#This Row],[//DB]])))</f>
        <v/>
      </c>
      <c r="AU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1" s="56" t="str">
        <f ca="1">IF(NOTA[[#This Row],[ID_H]]="","",MATCH(NOTA[[#This Row],[NB NOTA_C_QTY]],[4]!db[NB NOTA_C_QTY+F],0))</f>
        <v/>
      </c>
      <c r="AW791" s="68" t="str">
        <f ca="1">IF(NOTA[[#This Row],[NB NOTA_C_QTY]]="","",ROW()-2)</f>
        <v/>
      </c>
    </row>
    <row r="792" spans="1:49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2" s="66" t="str">
        <f>IF(OR(NOTA[[#This Row],[QTY]]="",NOTA[[#This Row],[HARGA SATUAN]]="",),"",NOTA[[#This Row],[QTY]]*NOTA[[#This Row],[HARGA SATUAN]])</f>
        <v/>
      </c>
      <c r="AH792" s="60" t="str">
        <f ca="1">IF(NOTA[ID_H]="","",INDEX(NOTA[TANGGAL],MATCH(,INDIRECT(ADDRESS(ROW(NOTA[TANGGAL]),COLUMN(NOTA[TANGGAL]))&amp;":"&amp;ADDRESS(ROW(),COLUMN(NOTA[TANGGAL]))),-1)))</f>
        <v/>
      </c>
      <c r="AI792" s="55" t="str">
        <f ca="1">IF(NOTA[[#This Row],[NAMA BARANG]]="","",INDEX(NOTA[SUPPLIER],MATCH(,INDIRECT(ADDRESS(ROW(NOTA[ID]),COLUMN(NOTA[ID]))&amp;":"&amp;ADDRESS(ROW(),COLUMN(NOTA[ID]))),-1)))</f>
        <v/>
      </c>
      <c r="AJ792" s="55" t="str">
        <f ca="1">IF(NOTA[[#This Row],[ID_H]]="","",IF(NOTA[[#This Row],[FAKTUR]]="",INDIRECT(ADDRESS(ROW()-1,COLUMN())),NOTA[[#This Row],[FAKTUR]]))</f>
        <v/>
      </c>
      <c r="AK792" s="56" t="str">
        <f ca="1">IF(NOTA[[#This Row],[ID]]="","",COUNTIF(NOTA[ID_H],NOTA[[#This Row],[ID_H]]))</f>
        <v/>
      </c>
      <c r="AL792" s="56" t="str">
        <f ca="1">IF(NOTA[[#This Row],[TGL.NOTA]]="",IF(NOTA[[#This Row],[SUPPLIER_H]]="","",AL791),MONTH(NOTA[[#This Row],[TGL.NOTA]]))</f>
        <v/>
      </c>
      <c r="AM792" s="56" t="str">
        <f>LOWER(SUBSTITUTE(SUBSTITUTE(SUBSTITUTE(SUBSTITUTE(SUBSTITUTE(SUBSTITUTE(SUBSTITUTE(SUBSTITUTE(SUBSTITUTE(NOTA[NAMA BARANG]," ",),".",""),"-",""),"(",""),")",""),",",""),"/",""),"""",""),"+",""))</f>
        <v/>
      </c>
      <c r="AN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2" s="56" t="str">
        <f>IF(NOTA[[#This Row],[CONCAT4]]="","",_xlfn.IFNA(MATCH(NOTA[[#This Row],[CONCAT4]],[2]!RAW[CONCAT_H],0),FALSE))</f>
        <v/>
      </c>
      <c r="AR792" s="56" t="str">
        <f>IF(NOTA[[#This Row],[CONCAT1]]="","",MATCH(NOTA[[#This Row],[CONCAT1]],[3]!db[NB NOTA_C],0))</f>
        <v/>
      </c>
      <c r="AS792" s="56" t="str">
        <f>IF(NOTA[[#This Row],[QTY/ CTN]]="","",TRUE)</f>
        <v/>
      </c>
      <c r="AT792" s="56" t="str">
        <f ca="1">IF(NOTA[[#This Row],[ID_H]]="","",IF(NOTA[[#This Row],[Column3]]=TRUE,NOTA[[#This Row],[QTY/ CTN]],INDEX([3]!db[QTY/ CTN],NOTA[[#This Row],[//DB]])))</f>
        <v/>
      </c>
      <c r="AU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2" s="56" t="str">
        <f ca="1">IF(NOTA[[#This Row],[ID_H]]="","",MATCH(NOTA[[#This Row],[NB NOTA_C_QTY]],[4]!db[NB NOTA_C_QTY+F],0))</f>
        <v/>
      </c>
      <c r="AW792" s="68" t="str">
        <f ca="1">IF(NOTA[[#This Row],[NB NOTA_C_QTY]]="","",ROW()-2)</f>
        <v/>
      </c>
    </row>
    <row r="793" spans="1:49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3" s="66" t="str">
        <f>IF(OR(NOTA[[#This Row],[QTY]]="",NOTA[[#This Row],[HARGA SATUAN]]="",),"",NOTA[[#This Row],[QTY]]*NOTA[[#This Row],[HARGA SATUAN]])</f>
        <v/>
      </c>
      <c r="AH793" s="60" t="str">
        <f ca="1">IF(NOTA[ID_H]="","",INDEX(NOTA[TANGGAL],MATCH(,INDIRECT(ADDRESS(ROW(NOTA[TANGGAL]),COLUMN(NOTA[TANGGAL]))&amp;":"&amp;ADDRESS(ROW(),COLUMN(NOTA[TANGGAL]))),-1)))</f>
        <v/>
      </c>
      <c r="AI793" s="55" t="str">
        <f ca="1">IF(NOTA[[#This Row],[NAMA BARANG]]="","",INDEX(NOTA[SUPPLIER],MATCH(,INDIRECT(ADDRESS(ROW(NOTA[ID]),COLUMN(NOTA[ID]))&amp;":"&amp;ADDRESS(ROW(),COLUMN(NOTA[ID]))),-1)))</f>
        <v/>
      </c>
      <c r="AJ793" s="55" t="str">
        <f ca="1">IF(NOTA[[#This Row],[ID_H]]="","",IF(NOTA[[#This Row],[FAKTUR]]="",INDIRECT(ADDRESS(ROW()-1,COLUMN())),NOTA[[#This Row],[FAKTUR]]))</f>
        <v/>
      </c>
      <c r="AK793" s="56" t="str">
        <f ca="1">IF(NOTA[[#This Row],[ID]]="","",COUNTIF(NOTA[ID_H],NOTA[[#This Row],[ID_H]]))</f>
        <v/>
      </c>
      <c r="AL793" s="56" t="str">
        <f ca="1">IF(NOTA[[#This Row],[TGL.NOTA]]="",IF(NOTA[[#This Row],[SUPPLIER_H]]="","",AL792),MONTH(NOTA[[#This Row],[TGL.NOTA]]))</f>
        <v/>
      </c>
      <c r="AM793" s="56" t="str">
        <f>LOWER(SUBSTITUTE(SUBSTITUTE(SUBSTITUTE(SUBSTITUTE(SUBSTITUTE(SUBSTITUTE(SUBSTITUTE(SUBSTITUTE(SUBSTITUTE(NOTA[NAMA BARANG]," ",),".",""),"-",""),"(",""),")",""),",",""),"/",""),"""",""),"+",""))</f>
        <v/>
      </c>
      <c r="AN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56" t="str">
        <f>IF(NOTA[[#This Row],[CONCAT4]]="","",_xlfn.IFNA(MATCH(NOTA[[#This Row],[CONCAT4]],[2]!RAW[CONCAT_H],0),FALSE))</f>
        <v/>
      </c>
      <c r="AR793" s="56" t="str">
        <f>IF(NOTA[[#This Row],[CONCAT1]]="","",MATCH(NOTA[[#This Row],[CONCAT1]],[3]!db[NB NOTA_C],0))</f>
        <v/>
      </c>
      <c r="AS793" s="56" t="str">
        <f>IF(NOTA[[#This Row],[QTY/ CTN]]="","",TRUE)</f>
        <v/>
      </c>
      <c r="AT793" s="56" t="str">
        <f ca="1">IF(NOTA[[#This Row],[ID_H]]="","",IF(NOTA[[#This Row],[Column3]]=TRUE,NOTA[[#This Row],[QTY/ CTN]],INDEX([3]!db[QTY/ CTN],NOTA[[#This Row],[//DB]])))</f>
        <v/>
      </c>
      <c r="AU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3" s="56" t="str">
        <f ca="1">IF(NOTA[[#This Row],[ID_H]]="","",MATCH(NOTA[[#This Row],[NB NOTA_C_QTY]],[4]!db[NB NOTA_C_QTY+F],0))</f>
        <v/>
      </c>
      <c r="AW793" s="68" t="str">
        <f ca="1">IF(NOTA[[#This Row],[NB NOTA_C_QTY]]="","",ROW()-2)</f>
        <v/>
      </c>
    </row>
    <row r="794" spans="1:49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4" s="66" t="str">
        <f>IF(OR(NOTA[[#This Row],[QTY]]="",NOTA[[#This Row],[HARGA SATUAN]]="",),"",NOTA[[#This Row],[QTY]]*NOTA[[#This Row],[HARGA SATUAN]])</f>
        <v/>
      </c>
      <c r="AH794" s="60" t="str">
        <f ca="1">IF(NOTA[ID_H]="","",INDEX(NOTA[TANGGAL],MATCH(,INDIRECT(ADDRESS(ROW(NOTA[TANGGAL]),COLUMN(NOTA[TANGGAL]))&amp;":"&amp;ADDRESS(ROW(),COLUMN(NOTA[TANGGAL]))),-1)))</f>
        <v/>
      </c>
      <c r="AI794" s="55" t="str">
        <f ca="1">IF(NOTA[[#This Row],[NAMA BARANG]]="","",INDEX(NOTA[SUPPLIER],MATCH(,INDIRECT(ADDRESS(ROW(NOTA[ID]),COLUMN(NOTA[ID]))&amp;":"&amp;ADDRESS(ROW(),COLUMN(NOTA[ID]))),-1)))</f>
        <v/>
      </c>
      <c r="AJ794" s="55" t="str">
        <f ca="1">IF(NOTA[[#This Row],[ID_H]]="","",IF(NOTA[[#This Row],[FAKTUR]]="",INDIRECT(ADDRESS(ROW()-1,COLUMN())),NOTA[[#This Row],[FAKTUR]]))</f>
        <v/>
      </c>
      <c r="AK794" s="56" t="str">
        <f ca="1">IF(NOTA[[#This Row],[ID]]="","",COUNTIF(NOTA[ID_H],NOTA[[#This Row],[ID_H]]))</f>
        <v/>
      </c>
      <c r="AL794" s="56" t="str">
        <f ca="1">IF(NOTA[[#This Row],[TGL.NOTA]]="",IF(NOTA[[#This Row],[SUPPLIER_H]]="","",AL793),MONTH(NOTA[[#This Row],[TGL.NOTA]]))</f>
        <v/>
      </c>
      <c r="AM794" s="56" t="str">
        <f>LOWER(SUBSTITUTE(SUBSTITUTE(SUBSTITUTE(SUBSTITUTE(SUBSTITUTE(SUBSTITUTE(SUBSTITUTE(SUBSTITUTE(SUBSTITUTE(NOTA[NAMA BARANG]," ",),".",""),"-",""),"(",""),")",""),",",""),"/",""),"""",""),"+",""))</f>
        <v/>
      </c>
      <c r="AN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56" t="str">
        <f>IF(NOTA[[#This Row],[CONCAT4]]="","",_xlfn.IFNA(MATCH(NOTA[[#This Row],[CONCAT4]],[2]!RAW[CONCAT_H],0),FALSE))</f>
        <v/>
      </c>
      <c r="AR794" s="56" t="str">
        <f>IF(NOTA[[#This Row],[CONCAT1]]="","",MATCH(NOTA[[#This Row],[CONCAT1]],[3]!db[NB NOTA_C],0))</f>
        <v/>
      </c>
      <c r="AS794" s="56" t="str">
        <f>IF(NOTA[[#This Row],[QTY/ CTN]]="","",TRUE)</f>
        <v/>
      </c>
      <c r="AT794" s="56" t="str">
        <f ca="1">IF(NOTA[[#This Row],[ID_H]]="","",IF(NOTA[[#This Row],[Column3]]=TRUE,NOTA[[#This Row],[QTY/ CTN]],INDEX([3]!db[QTY/ CTN],NOTA[[#This Row],[//DB]])))</f>
        <v/>
      </c>
      <c r="AU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4" s="56" t="str">
        <f ca="1">IF(NOTA[[#This Row],[ID_H]]="","",MATCH(NOTA[[#This Row],[NB NOTA_C_QTY]],[4]!db[NB NOTA_C_QTY+F],0))</f>
        <v/>
      </c>
      <c r="AW794" s="68" t="str">
        <f ca="1">IF(NOTA[[#This Row],[NB NOTA_C_QTY]]="","",ROW()-2)</f>
        <v/>
      </c>
    </row>
    <row r="795" spans="1:49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5" s="66" t="str">
        <f>IF(OR(NOTA[[#This Row],[QTY]]="",NOTA[[#This Row],[HARGA SATUAN]]="",),"",NOTA[[#This Row],[QTY]]*NOTA[[#This Row],[HARGA SATUAN]])</f>
        <v/>
      </c>
      <c r="AH795" s="60" t="str">
        <f ca="1">IF(NOTA[ID_H]="","",INDEX(NOTA[TANGGAL],MATCH(,INDIRECT(ADDRESS(ROW(NOTA[TANGGAL]),COLUMN(NOTA[TANGGAL]))&amp;":"&amp;ADDRESS(ROW(),COLUMN(NOTA[TANGGAL]))),-1)))</f>
        <v/>
      </c>
      <c r="AI795" s="55" t="str">
        <f ca="1">IF(NOTA[[#This Row],[NAMA BARANG]]="","",INDEX(NOTA[SUPPLIER],MATCH(,INDIRECT(ADDRESS(ROW(NOTA[ID]),COLUMN(NOTA[ID]))&amp;":"&amp;ADDRESS(ROW(),COLUMN(NOTA[ID]))),-1)))</f>
        <v/>
      </c>
      <c r="AJ795" s="55" t="str">
        <f ca="1">IF(NOTA[[#This Row],[ID_H]]="","",IF(NOTA[[#This Row],[FAKTUR]]="",INDIRECT(ADDRESS(ROW()-1,COLUMN())),NOTA[[#This Row],[FAKTUR]]))</f>
        <v/>
      </c>
      <c r="AK795" s="56" t="str">
        <f ca="1">IF(NOTA[[#This Row],[ID]]="","",COUNTIF(NOTA[ID_H],NOTA[[#This Row],[ID_H]]))</f>
        <v/>
      </c>
      <c r="AL795" s="56" t="str">
        <f ca="1">IF(NOTA[[#This Row],[TGL.NOTA]]="",IF(NOTA[[#This Row],[SUPPLIER_H]]="","",AL794),MONTH(NOTA[[#This Row],[TGL.NOTA]]))</f>
        <v/>
      </c>
      <c r="AM795" s="56" t="str">
        <f>LOWER(SUBSTITUTE(SUBSTITUTE(SUBSTITUTE(SUBSTITUTE(SUBSTITUTE(SUBSTITUTE(SUBSTITUTE(SUBSTITUTE(SUBSTITUTE(NOTA[NAMA BARANG]," ",),".",""),"-",""),"(",""),")",""),",",""),"/",""),"""",""),"+",""))</f>
        <v/>
      </c>
      <c r="AN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5" s="56" t="str">
        <f>IF(NOTA[[#This Row],[CONCAT4]]="","",_xlfn.IFNA(MATCH(NOTA[[#This Row],[CONCAT4]],[2]!RAW[CONCAT_H],0),FALSE))</f>
        <v/>
      </c>
      <c r="AR795" s="56" t="str">
        <f>IF(NOTA[[#This Row],[CONCAT1]]="","",MATCH(NOTA[[#This Row],[CONCAT1]],[3]!db[NB NOTA_C],0))</f>
        <v/>
      </c>
      <c r="AS795" s="56" t="str">
        <f>IF(NOTA[[#This Row],[QTY/ CTN]]="","",TRUE)</f>
        <v/>
      </c>
      <c r="AT795" s="56" t="str">
        <f ca="1">IF(NOTA[[#This Row],[ID_H]]="","",IF(NOTA[[#This Row],[Column3]]=TRUE,NOTA[[#This Row],[QTY/ CTN]],INDEX([3]!db[QTY/ CTN],NOTA[[#This Row],[//DB]])))</f>
        <v/>
      </c>
      <c r="AU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5" s="56" t="str">
        <f ca="1">IF(NOTA[[#This Row],[ID_H]]="","",MATCH(NOTA[[#This Row],[NB NOTA_C_QTY]],[4]!db[NB NOTA_C_QTY+F],0))</f>
        <v/>
      </c>
      <c r="AW795" s="68" t="str">
        <f ca="1">IF(NOTA[[#This Row],[NB NOTA_C_QTY]]="","",ROW()-2)</f>
        <v/>
      </c>
    </row>
    <row r="796" spans="1:49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6" s="66" t="str">
        <f>IF(OR(NOTA[[#This Row],[QTY]]="",NOTA[[#This Row],[HARGA SATUAN]]="",),"",NOTA[[#This Row],[QTY]]*NOTA[[#This Row],[HARGA SATUAN]])</f>
        <v/>
      </c>
      <c r="AH796" s="60" t="str">
        <f ca="1">IF(NOTA[ID_H]="","",INDEX(NOTA[TANGGAL],MATCH(,INDIRECT(ADDRESS(ROW(NOTA[TANGGAL]),COLUMN(NOTA[TANGGAL]))&amp;":"&amp;ADDRESS(ROW(),COLUMN(NOTA[TANGGAL]))),-1)))</f>
        <v/>
      </c>
      <c r="AI796" s="55" t="str">
        <f ca="1">IF(NOTA[[#This Row],[NAMA BARANG]]="","",INDEX(NOTA[SUPPLIER],MATCH(,INDIRECT(ADDRESS(ROW(NOTA[ID]),COLUMN(NOTA[ID]))&amp;":"&amp;ADDRESS(ROW(),COLUMN(NOTA[ID]))),-1)))</f>
        <v/>
      </c>
      <c r="AJ796" s="55" t="str">
        <f ca="1">IF(NOTA[[#This Row],[ID_H]]="","",IF(NOTA[[#This Row],[FAKTUR]]="",INDIRECT(ADDRESS(ROW()-1,COLUMN())),NOTA[[#This Row],[FAKTUR]]))</f>
        <v/>
      </c>
      <c r="AK796" s="56" t="str">
        <f ca="1">IF(NOTA[[#This Row],[ID]]="","",COUNTIF(NOTA[ID_H],NOTA[[#This Row],[ID_H]]))</f>
        <v/>
      </c>
      <c r="AL796" s="56" t="str">
        <f ca="1">IF(NOTA[[#This Row],[TGL.NOTA]]="",IF(NOTA[[#This Row],[SUPPLIER_H]]="","",AL795),MONTH(NOTA[[#This Row],[TGL.NOTA]]))</f>
        <v/>
      </c>
      <c r="AM796" s="56" t="str">
        <f>LOWER(SUBSTITUTE(SUBSTITUTE(SUBSTITUTE(SUBSTITUTE(SUBSTITUTE(SUBSTITUTE(SUBSTITUTE(SUBSTITUTE(SUBSTITUTE(NOTA[NAMA BARANG]," ",),".",""),"-",""),"(",""),")",""),",",""),"/",""),"""",""),"+",""))</f>
        <v/>
      </c>
      <c r="AN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56" t="str">
        <f>IF(NOTA[[#This Row],[CONCAT4]]="","",_xlfn.IFNA(MATCH(NOTA[[#This Row],[CONCAT4]],[2]!RAW[CONCAT_H],0),FALSE))</f>
        <v/>
      </c>
      <c r="AR796" s="56" t="str">
        <f>IF(NOTA[[#This Row],[CONCAT1]]="","",MATCH(NOTA[[#This Row],[CONCAT1]],[3]!db[NB NOTA_C],0))</f>
        <v/>
      </c>
      <c r="AS796" s="56" t="str">
        <f>IF(NOTA[[#This Row],[QTY/ CTN]]="","",TRUE)</f>
        <v/>
      </c>
      <c r="AT796" s="56" t="str">
        <f ca="1">IF(NOTA[[#This Row],[ID_H]]="","",IF(NOTA[[#This Row],[Column3]]=TRUE,NOTA[[#This Row],[QTY/ CTN]],INDEX([3]!db[QTY/ CTN],NOTA[[#This Row],[//DB]])))</f>
        <v/>
      </c>
      <c r="AU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6" s="56" t="str">
        <f ca="1">IF(NOTA[[#This Row],[ID_H]]="","",MATCH(NOTA[[#This Row],[NB NOTA_C_QTY]],[4]!db[NB NOTA_C_QTY+F],0))</f>
        <v/>
      </c>
      <c r="AW796" s="68" t="str">
        <f ca="1">IF(NOTA[[#This Row],[NB NOTA_C_QTY]]="","",ROW()-2)</f>
        <v/>
      </c>
    </row>
    <row r="797" spans="1:49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7" s="66" t="str">
        <f>IF(OR(NOTA[[#This Row],[QTY]]="",NOTA[[#This Row],[HARGA SATUAN]]="",),"",NOTA[[#This Row],[QTY]]*NOTA[[#This Row],[HARGA SATUAN]])</f>
        <v/>
      </c>
      <c r="AH797" s="60" t="str">
        <f ca="1">IF(NOTA[ID_H]="","",INDEX(NOTA[TANGGAL],MATCH(,INDIRECT(ADDRESS(ROW(NOTA[TANGGAL]),COLUMN(NOTA[TANGGAL]))&amp;":"&amp;ADDRESS(ROW(),COLUMN(NOTA[TANGGAL]))),-1)))</f>
        <v/>
      </c>
      <c r="AI797" s="55" t="str">
        <f ca="1">IF(NOTA[[#This Row],[NAMA BARANG]]="","",INDEX(NOTA[SUPPLIER],MATCH(,INDIRECT(ADDRESS(ROW(NOTA[ID]),COLUMN(NOTA[ID]))&amp;":"&amp;ADDRESS(ROW(),COLUMN(NOTA[ID]))),-1)))</f>
        <v/>
      </c>
      <c r="AJ797" s="55" t="str">
        <f ca="1">IF(NOTA[[#This Row],[ID_H]]="","",IF(NOTA[[#This Row],[FAKTUR]]="",INDIRECT(ADDRESS(ROW()-1,COLUMN())),NOTA[[#This Row],[FAKTUR]]))</f>
        <v/>
      </c>
      <c r="AK797" s="56" t="str">
        <f ca="1">IF(NOTA[[#This Row],[ID]]="","",COUNTIF(NOTA[ID_H],NOTA[[#This Row],[ID_H]]))</f>
        <v/>
      </c>
      <c r="AL797" s="56" t="str">
        <f ca="1">IF(NOTA[[#This Row],[TGL.NOTA]]="",IF(NOTA[[#This Row],[SUPPLIER_H]]="","",AL796),MONTH(NOTA[[#This Row],[TGL.NOTA]]))</f>
        <v/>
      </c>
      <c r="AM797" s="56" t="str">
        <f>LOWER(SUBSTITUTE(SUBSTITUTE(SUBSTITUTE(SUBSTITUTE(SUBSTITUTE(SUBSTITUTE(SUBSTITUTE(SUBSTITUTE(SUBSTITUTE(NOTA[NAMA BARANG]," ",),".",""),"-",""),"(",""),")",""),",",""),"/",""),"""",""),"+",""))</f>
        <v/>
      </c>
      <c r="AN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56" t="str">
        <f>IF(NOTA[[#This Row],[CONCAT4]]="","",_xlfn.IFNA(MATCH(NOTA[[#This Row],[CONCAT4]],[2]!RAW[CONCAT_H],0),FALSE))</f>
        <v/>
      </c>
      <c r="AR797" s="56" t="str">
        <f>IF(NOTA[[#This Row],[CONCAT1]]="","",MATCH(NOTA[[#This Row],[CONCAT1]],[3]!db[NB NOTA_C],0))</f>
        <v/>
      </c>
      <c r="AS797" s="56" t="str">
        <f>IF(NOTA[[#This Row],[QTY/ CTN]]="","",TRUE)</f>
        <v/>
      </c>
      <c r="AT797" s="56" t="str">
        <f ca="1">IF(NOTA[[#This Row],[ID_H]]="","",IF(NOTA[[#This Row],[Column3]]=TRUE,NOTA[[#This Row],[QTY/ CTN]],INDEX([3]!db[QTY/ CTN],NOTA[[#This Row],[//DB]])))</f>
        <v/>
      </c>
      <c r="AU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7" s="56" t="str">
        <f ca="1">IF(NOTA[[#This Row],[ID_H]]="","",MATCH(NOTA[[#This Row],[NB NOTA_C_QTY]],[4]!db[NB NOTA_C_QTY+F],0))</f>
        <v/>
      </c>
      <c r="AW797" s="68" t="str">
        <f ca="1">IF(NOTA[[#This Row],[NB NOTA_C_QTY]]="","",ROW()-2)</f>
        <v/>
      </c>
    </row>
    <row r="798" spans="1:49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8" s="66" t="str">
        <f>IF(OR(NOTA[[#This Row],[QTY]]="",NOTA[[#This Row],[HARGA SATUAN]]="",),"",NOTA[[#This Row],[QTY]]*NOTA[[#This Row],[HARGA SATUAN]])</f>
        <v/>
      </c>
      <c r="AH798" s="60" t="str">
        <f ca="1">IF(NOTA[ID_H]="","",INDEX(NOTA[TANGGAL],MATCH(,INDIRECT(ADDRESS(ROW(NOTA[TANGGAL]),COLUMN(NOTA[TANGGAL]))&amp;":"&amp;ADDRESS(ROW(),COLUMN(NOTA[TANGGAL]))),-1)))</f>
        <v/>
      </c>
      <c r="AI798" s="55" t="str">
        <f ca="1">IF(NOTA[[#This Row],[NAMA BARANG]]="","",INDEX(NOTA[SUPPLIER],MATCH(,INDIRECT(ADDRESS(ROW(NOTA[ID]),COLUMN(NOTA[ID]))&amp;":"&amp;ADDRESS(ROW(),COLUMN(NOTA[ID]))),-1)))</f>
        <v/>
      </c>
      <c r="AJ798" s="55" t="str">
        <f ca="1">IF(NOTA[[#This Row],[ID_H]]="","",IF(NOTA[[#This Row],[FAKTUR]]="",INDIRECT(ADDRESS(ROW()-1,COLUMN())),NOTA[[#This Row],[FAKTUR]]))</f>
        <v/>
      </c>
      <c r="AK798" s="56" t="str">
        <f ca="1">IF(NOTA[[#This Row],[ID]]="","",COUNTIF(NOTA[ID_H],NOTA[[#This Row],[ID_H]]))</f>
        <v/>
      </c>
      <c r="AL798" s="56" t="str">
        <f ca="1">IF(NOTA[[#This Row],[TGL.NOTA]]="",IF(NOTA[[#This Row],[SUPPLIER_H]]="","",AL797),MONTH(NOTA[[#This Row],[TGL.NOTA]]))</f>
        <v/>
      </c>
      <c r="AM798" s="56" t="str">
        <f>LOWER(SUBSTITUTE(SUBSTITUTE(SUBSTITUTE(SUBSTITUTE(SUBSTITUTE(SUBSTITUTE(SUBSTITUTE(SUBSTITUTE(SUBSTITUTE(NOTA[NAMA BARANG]," ",),".",""),"-",""),"(",""),")",""),",",""),"/",""),"""",""),"+",""))</f>
        <v/>
      </c>
      <c r="AN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56" t="str">
        <f>IF(NOTA[[#This Row],[CONCAT4]]="","",_xlfn.IFNA(MATCH(NOTA[[#This Row],[CONCAT4]],[2]!RAW[CONCAT_H],0),FALSE))</f>
        <v/>
      </c>
      <c r="AR798" s="56" t="str">
        <f>IF(NOTA[[#This Row],[CONCAT1]]="","",MATCH(NOTA[[#This Row],[CONCAT1]],[3]!db[NB NOTA_C],0))</f>
        <v/>
      </c>
      <c r="AS798" s="56" t="str">
        <f>IF(NOTA[[#This Row],[QTY/ CTN]]="","",TRUE)</f>
        <v/>
      </c>
      <c r="AT798" s="56" t="str">
        <f ca="1">IF(NOTA[[#This Row],[ID_H]]="","",IF(NOTA[[#This Row],[Column3]]=TRUE,NOTA[[#This Row],[QTY/ CTN]],INDEX([3]!db[QTY/ CTN],NOTA[[#This Row],[//DB]])))</f>
        <v/>
      </c>
      <c r="AU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8" s="56" t="str">
        <f ca="1">IF(NOTA[[#This Row],[ID_H]]="","",MATCH(NOTA[[#This Row],[NB NOTA_C_QTY]],[4]!db[NB NOTA_C_QTY+F],0))</f>
        <v/>
      </c>
      <c r="AW798" s="68" t="str">
        <f ca="1">IF(NOTA[[#This Row],[NB NOTA_C_QTY]]="","",ROW()-2)</f>
        <v/>
      </c>
    </row>
    <row r="799" spans="1:49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799" s="66" t="str">
        <f>IF(OR(NOTA[[#This Row],[QTY]]="",NOTA[[#This Row],[HARGA SATUAN]]="",),"",NOTA[[#This Row],[QTY]]*NOTA[[#This Row],[HARGA SATUAN]])</f>
        <v/>
      </c>
      <c r="AH799" s="60" t="str">
        <f ca="1">IF(NOTA[ID_H]="","",INDEX(NOTA[TANGGAL],MATCH(,INDIRECT(ADDRESS(ROW(NOTA[TANGGAL]),COLUMN(NOTA[TANGGAL]))&amp;":"&amp;ADDRESS(ROW(),COLUMN(NOTA[TANGGAL]))),-1)))</f>
        <v/>
      </c>
      <c r="AI799" s="55" t="str">
        <f ca="1">IF(NOTA[[#This Row],[NAMA BARANG]]="","",INDEX(NOTA[SUPPLIER],MATCH(,INDIRECT(ADDRESS(ROW(NOTA[ID]),COLUMN(NOTA[ID]))&amp;":"&amp;ADDRESS(ROW(),COLUMN(NOTA[ID]))),-1)))</f>
        <v/>
      </c>
      <c r="AJ799" s="55" t="str">
        <f ca="1">IF(NOTA[[#This Row],[ID_H]]="","",IF(NOTA[[#This Row],[FAKTUR]]="",INDIRECT(ADDRESS(ROW()-1,COLUMN())),NOTA[[#This Row],[FAKTUR]]))</f>
        <v/>
      </c>
      <c r="AK799" s="56" t="str">
        <f ca="1">IF(NOTA[[#This Row],[ID]]="","",COUNTIF(NOTA[ID_H],NOTA[[#This Row],[ID_H]]))</f>
        <v/>
      </c>
      <c r="AL799" s="56" t="str">
        <f ca="1">IF(NOTA[[#This Row],[TGL.NOTA]]="",IF(NOTA[[#This Row],[SUPPLIER_H]]="","",AL798),MONTH(NOTA[[#This Row],[TGL.NOTA]]))</f>
        <v/>
      </c>
      <c r="AM799" s="56" t="str">
        <f>LOWER(SUBSTITUTE(SUBSTITUTE(SUBSTITUTE(SUBSTITUTE(SUBSTITUTE(SUBSTITUTE(SUBSTITUTE(SUBSTITUTE(SUBSTITUTE(NOTA[NAMA BARANG]," ",),".",""),"-",""),"(",""),")",""),",",""),"/",""),"""",""),"+",""))</f>
        <v/>
      </c>
      <c r="AN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56" t="str">
        <f>IF(NOTA[[#This Row],[CONCAT4]]="","",_xlfn.IFNA(MATCH(NOTA[[#This Row],[CONCAT4]],[2]!RAW[CONCAT_H],0),FALSE))</f>
        <v/>
      </c>
      <c r="AR799" s="56" t="str">
        <f>IF(NOTA[[#This Row],[CONCAT1]]="","",MATCH(NOTA[[#This Row],[CONCAT1]],[3]!db[NB NOTA_C],0))</f>
        <v/>
      </c>
      <c r="AS799" s="56" t="str">
        <f>IF(NOTA[[#This Row],[QTY/ CTN]]="","",TRUE)</f>
        <v/>
      </c>
      <c r="AT799" s="56" t="str">
        <f ca="1">IF(NOTA[[#This Row],[ID_H]]="","",IF(NOTA[[#This Row],[Column3]]=TRUE,NOTA[[#This Row],[QTY/ CTN]],INDEX([3]!db[QTY/ CTN],NOTA[[#This Row],[//DB]])))</f>
        <v/>
      </c>
      <c r="AU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9" s="56" t="str">
        <f ca="1">IF(NOTA[[#This Row],[ID_H]]="","",MATCH(NOTA[[#This Row],[NB NOTA_C_QTY]],[4]!db[NB NOTA_C_QTY+F],0))</f>
        <v/>
      </c>
      <c r="AW799" s="68" t="str">
        <f ca="1">IF(NOTA[[#This Row],[NB NOTA_C_QTY]]="","",ROW()-2)</f>
        <v/>
      </c>
    </row>
    <row r="800" spans="1:49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0" s="66" t="str">
        <f>IF(OR(NOTA[[#This Row],[QTY]]="",NOTA[[#This Row],[HARGA SATUAN]]="",),"",NOTA[[#This Row],[QTY]]*NOTA[[#This Row],[HARGA SATUAN]])</f>
        <v/>
      </c>
      <c r="AH800" s="60" t="str">
        <f ca="1">IF(NOTA[ID_H]="","",INDEX(NOTA[TANGGAL],MATCH(,INDIRECT(ADDRESS(ROW(NOTA[TANGGAL]),COLUMN(NOTA[TANGGAL]))&amp;":"&amp;ADDRESS(ROW(),COLUMN(NOTA[TANGGAL]))),-1)))</f>
        <v/>
      </c>
      <c r="AI800" s="55" t="str">
        <f ca="1">IF(NOTA[[#This Row],[NAMA BARANG]]="","",INDEX(NOTA[SUPPLIER],MATCH(,INDIRECT(ADDRESS(ROW(NOTA[ID]),COLUMN(NOTA[ID]))&amp;":"&amp;ADDRESS(ROW(),COLUMN(NOTA[ID]))),-1)))</f>
        <v/>
      </c>
      <c r="AJ800" s="55" t="str">
        <f ca="1">IF(NOTA[[#This Row],[ID_H]]="","",IF(NOTA[[#This Row],[FAKTUR]]="",INDIRECT(ADDRESS(ROW()-1,COLUMN())),NOTA[[#This Row],[FAKTUR]]))</f>
        <v/>
      </c>
      <c r="AK800" s="56" t="str">
        <f ca="1">IF(NOTA[[#This Row],[ID]]="","",COUNTIF(NOTA[ID_H],NOTA[[#This Row],[ID_H]]))</f>
        <v/>
      </c>
      <c r="AL800" s="56" t="str">
        <f ca="1">IF(NOTA[[#This Row],[TGL.NOTA]]="",IF(NOTA[[#This Row],[SUPPLIER_H]]="","",AL799),MONTH(NOTA[[#This Row],[TGL.NOTA]]))</f>
        <v/>
      </c>
      <c r="AM800" s="56" t="str">
        <f>LOWER(SUBSTITUTE(SUBSTITUTE(SUBSTITUTE(SUBSTITUTE(SUBSTITUTE(SUBSTITUTE(SUBSTITUTE(SUBSTITUTE(SUBSTITUTE(NOTA[NAMA BARANG]," ",),".",""),"-",""),"(",""),")",""),",",""),"/",""),"""",""),"+",""))</f>
        <v/>
      </c>
      <c r="AN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56" t="str">
        <f>IF(NOTA[[#This Row],[CONCAT4]]="","",_xlfn.IFNA(MATCH(NOTA[[#This Row],[CONCAT4]],[2]!RAW[CONCAT_H],0),FALSE))</f>
        <v/>
      </c>
      <c r="AR800" s="56" t="str">
        <f>IF(NOTA[[#This Row],[CONCAT1]]="","",MATCH(NOTA[[#This Row],[CONCAT1]],[3]!db[NB NOTA_C],0))</f>
        <v/>
      </c>
      <c r="AS800" s="56" t="str">
        <f>IF(NOTA[[#This Row],[QTY/ CTN]]="","",TRUE)</f>
        <v/>
      </c>
      <c r="AT800" s="56" t="str">
        <f ca="1">IF(NOTA[[#This Row],[ID_H]]="","",IF(NOTA[[#This Row],[Column3]]=TRUE,NOTA[[#This Row],[QTY/ CTN]],INDEX([3]!db[QTY/ CTN],NOTA[[#This Row],[//DB]])))</f>
        <v/>
      </c>
      <c r="AU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0" s="56" t="str">
        <f ca="1">IF(NOTA[[#This Row],[ID_H]]="","",MATCH(NOTA[[#This Row],[NB NOTA_C_QTY]],[4]!db[NB NOTA_C_QTY+F],0))</f>
        <v/>
      </c>
      <c r="AW800" s="68" t="str">
        <f ca="1">IF(NOTA[[#This Row],[NB NOTA_C_QTY]]="","",ROW()-2)</f>
        <v/>
      </c>
    </row>
    <row r="801" spans="1:49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1" s="66" t="str">
        <f>IF(OR(NOTA[[#This Row],[QTY]]="",NOTA[[#This Row],[HARGA SATUAN]]="",),"",NOTA[[#This Row],[QTY]]*NOTA[[#This Row],[HARGA SATUAN]])</f>
        <v/>
      </c>
      <c r="AH801" s="60" t="str">
        <f ca="1">IF(NOTA[ID_H]="","",INDEX(NOTA[TANGGAL],MATCH(,INDIRECT(ADDRESS(ROW(NOTA[TANGGAL]),COLUMN(NOTA[TANGGAL]))&amp;":"&amp;ADDRESS(ROW(),COLUMN(NOTA[TANGGAL]))),-1)))</f>
        <v/>
      </c>
      <c r="AI801" s="55" t="str">
        <f ca="1">IF(NOTA[[#This Row],[NAMA BARANG]]="","",INDEX(NOTA[SUPPLIER],MATCH(,INDIRECT(ADDRESS(ROW(NOTA[ID]),COLUMN(NOTA[ID]))&amp;":"&amp;ADDRESS(ROW(),COLUMN(NOTA[ID]))),-1)))</f>
        <v/>
      </c>
      <c r="AJ801" s="55" t="str">
        <f ca="1">IF(NOTA[[#This Row],[ID_H]]="","",IF(NOTA[[#This Row],[FAKTUR]]="",INDIRECT(ADDRESS(ROW()-1,COLUMN())),NOTA[[#This Row],[FAKTUR]]))</f>
        <v/>
      </c>
      <c r="AK801" s="56" t="str">
        <f ca="1">IF(NOTA[[#This Row],[ID]]="","",COUNTIF(NOTA[ID_H],NOTA[[#This Row],[ID_H]]))</f>
        <v/>
      </c>
      <c r="AL801" s="56" t="str">
        <f ca="1">IF(NOTA[[#This Row],[TGL.NOTA]]="",IF(NOTA[[#This Row],[SUPPLIER_H]]="","",AL800),MONTH(NOTA[[#This Row],[TGL.NOTA]]))</f>
        <v/>
      </c>
      <c r="AM801" s="56" t="str">
        <f>LOWER(SUBSTITUTE(SUBSTITUTE(SUBSTITUTE(SUBSTITUTE(SUBSTITUTE(SUBSTITUTE(SUBSTITUTE(SUBSTITUTE(SUBSTITUTE(NOTA[NAMA BARANG]," ",),".",""),"-",""),"(",""),")",""),",",""),"/",""),"""",""),"+",""))</f>
        <v/>
      </c>
      <c r="AN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56" t="str">
        <f>IF(NOTA[[#This Row],[CONCAT4]]="","",_xlfn.IFNA(MATCH(NOTA[[#This Row],[CONCAT4]],[2]!RAW[CONCAT_H],0),FALSE))</f>
        <v/>
      </c>
      <c r="AR801" s="56" t="str">
        <f>IF(NOTA[[#This Row],[CONCAT1]]="","",MATCH(NOTA[[#This Row],[CONCAT1]],[3]!db[NB NOTA_C],0))</f>
        <v/>
      </c>
      <c r="AS801" s="56" t="str">
        <f>IF(NOTA[[#This Row],[QTY/ CTN]]="","",TRUE)</f>
        <v/>
      </c>
      <c r="AT801" s="56" t="str">
        <f ca="1">IF(NOTA[[#This Row],[ID_H]]="","",IF(NOTA[[#This Row],[Column3]]=TRUE,NOTA[[#This Row],[QTY/ CTN]],INDEX([3]!db[QTY/ CTN],NOTA[[#This Row],[//DB]])))</f>
        <v/>
      </c>
      <c r="AU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1" s="56" t="str">
        <f ca="1">IF(NOTA[[#This Row],[ID_H]]="","",MATCH(NOTA[[#This Row],[NB NOTA_C_QTY]],[4]!db[NB NOTA_C_QTY+F],0))</f>
        <v/>
      </c>
      <c r="AW801" s="68" t="str">
        <f ca="1">IF(NOTA[[#This Row],[NB NOTA_C_QTY]]="","",ROW()-2)</f>
        <v/>
      </c>
    </row>
    <row r="802" spans="1:49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2" s="66" t="str">
        <f>IF(OR(NOTA[[#This Row],[QTY]]="",NOTA[[#This Row],[HARGA SATUAN]]="",),"",NOTA[[#This Row],[QTY]]*NOTA[[#This Row],[HARGA SATUAN]])</f>
        <v/>
      </c>
      <c r="AH802" s="60" t="str">
        <f ca="1">IF(NOTA[ID_H]="","",INDEX(NOTA[TANGGAL],MATCH(,INDIRECT(ADDRESS(ROW(NOTA[TANGGAL]),COLUMN(NOTA[TANGGAL]))&amp;":"&amp;ADDRESS(ROW(),COLUMN(NOTA[TANGGAL]))),-1)))</f>
        <v/>
      </c>
      <c r="AI802" s="55" t="str">
        <f ca="1">IF(NOTA[[#This Row],[NAMA BARANG]]="","",INDEX(NOTA[SUPPLIER],MATCH(,INDIRECT(ADDRESS(ROW(NOTA[ID]),COLUMN(NOTA[ID]))&amp;":"&amp;ADDRESS(ROW(),COLUMN(NOTA[ID]))),-1)))</f>
        <v/>
      </c>
      <c r="AJ802" s="55" t="str">
        <f ca="1">IF(NOTA[[#This Row],[ID_H]]="","",IF(NOTA[[#This Row],[FAKTUR]]="",INDIRECT(ADDRESS(ROW()-1,COLUMN())),NOTA[[#This Row],[FAKTUR]]))</f>
        <v/>
      </c>
      <c r="AK802" s="56" t="str">
        <f ca="1">IF(NOTA[[#This Row],[ID]]="","",COUNTIF(NOTA[ID_H],NOTA[[#This Row],[ID_H]]))</f>
        <v/>
      </c>
      <c r="AL802" s="56" t="str">
        <f ca="1">IF(NOTA[[#This Row],[TGL.NOTA]]="",IF(NOTA[[#This Row],[SUPPLIER_H]]="","",AL801),MONTH(NOTA[[#This Row],[TGL.NOTA]]))</f>
        <v/>
      </c>
      <c r="AM802" s="56" t="str">
        <f>LOWER(SUBSTITUTE(SUBSTITUTE(SUBSTITUTE(SUBSTITUTE(SUBSTITUTE(SUBSTITUTE(SUBSTITUTE(SUBSTITUTE(SUBSTITUTE(NOTA[NAMA BARANG]," ",),".",""),"-",""),"(",""),")",""),",",""),"/",""),"""",""),"+",""))</f>
        <v/>
      </c>
      <c r="AN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56" t="str">
        <f>IF(NOTA[[#This Row],[CONCAT4]]="","",_xlfn.IFNA(MATCH(NOTA[[#This Row],[CONCAT4]],[2]!RAW[CONCAT_H],0),FALSE))</f>
        <v/>
      </c>
      <c r="AR802" s="56" t="str">
        <f>IF(NOTA[[#This Row],[CONCAT1]]="","",MATCH(NOTA[[#This Row],[CONCAT1]],[3]!db[NB NOTA_C],0))</f>
        <v/>
      </c>
      <c r="AS802" s="56" t="str">
        <f>IF(NOTA[[#This Row],[QTY/ CTN]]="","",TRUE)</f>
        <v/>
      </c>
      <c r="AT802" s="56" t="str">
        <f ca="1">IF(NOTA[[#This Row],[ID_H]]="","",IF(NOTA[[#This Row],[Column3]]=TRUE,NOTA[[#This Row],[QTY/ CTN]],INDEX([3]!db[QTY/ CTN],NOTA[[#This Row],[//DB]])))</f>
        <v/>
      </c>
      <c r="AU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2" s="56" t="str">
        <f ca="1">IF(NOTA[[#This Row],[ID_H]]="","",MATCH(NOTA[[#This Row],[NB NOTA_C_QTY]],[4]!db[NB NOTA_C_QTY+F],0))</f>
        <v/>
      </c>
      <c r="AW802" s="68" t="str">
        <f ca="1">IF(NOTA[[#This Row],[NB NOTA_C_QTY]]="","",ROW()-2)</f>
        <v/>
      </c>
    </row>
    <row r="803" spans="1:49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3" s="66" t="str">
        <f>IF(OR(NOTA[[#This Row],[QTY]]="",NOTA[[#This Row],[HARGA SATUAN]]="",),"",NOTA[[#This Row],[QTY]]*NOTA[[#This Row],[HARGA SATUAN]])</f>
        <v/>
      </c>
      <c r="AH803" s="60" t="str">
        <f ca="1">IF(NOTA[ID_H]="","",INDEX(NOTA[TANGGAL],MATCH(,INDIRECT(ADDRESS(ROW(NOTA[TANGGAL]),COLUMN(NOTA[TANGGAL]))&amp;":"&amp;ADDRESS(ROW(),COLUMN(NOTA[TANGGAL]))),-1)))</f>
        <v/>
      </c>
      <c r="AI803" s="55" t="str">
        <f ca="1">IF(NOTA[[#This Row],[NAMA BARANG]]="","",INDEX(NOTA[SUPPLIER],MATCH(,INDIRECT(ADDRESS(ROW(NOTA[ID]),COLUMN(NOTA[ID]))&amp;":"&amp;ADDRESS(ROW(),COLUMN(NOTA[ID]))),-1)))</f>
        <v/>
      </c>
      <c r="AJ803" s="55" t="str">
        <f ca="1">IF(NOTA[[#This Row],[ID_H]]="","",IF(NOTA[[#This Row],[FAKTUR]]="",INDIRECT(ADDRESS(ROW()-1,COLUMN())),NOTA[[#This Row],[FAKTUR]]))</f>
        <v/>
      </c>
      <c r="AK803" s="56" t="str">
        <f ca="1">IF(NOTA[[#This Row],[ID]]="","",COUNTIF(NOTA[ID_H],NOTA[[#This Row],[ID_H]]))</f>
        <v/>
      </c>
      <c r="AL803" s="56" t="str">
        <f ca="1">IF(NOTA[[#This Row],[TGL.NOTA]]="",IF(NOTA[[#This Row],[SUPPLIER_H]]="","",AL802),MONTH(NOTA[[#This Row],[TGL.NOTA]]))</f>
        <v/>
      </c>
      <c r="AM803" s="56" t="str">
        <f>LOWER(SUBSTITUTE(SUBSTITUTE(SUBSTITUTE(SUBSTITUTE(SUBSTITUTE(SUBSTITUTE(SUBSTITUTE(SUBSTITUTE(SUBSTITUTE(NOTA[NAMA BARANG]," ",),".",""),"-",""),"(",""),")",""),",",""),"/",""),"""",""),"+",""))</f>
        <v/>
      </c>
      <c r="AN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56" t="str">
        <f>IF(NOTA[[#This Row],[CONCAT4]]="","",_xlfn.IFNA(MATCH(NOTA[[#This Row],[CONCAT4]],[2]!RAW[CONCAT_H],0),FALSE))</f>
        <v/>
      </c>
      <c r="AR803" s="56" t="str">
        <f>IF(NOTA[[#This Row],[CONCAT1]]="","",MATCH(NOTA[[#This Row],[CONCAT1]],[3]!db[NB NOTA_C],0))</f>
        <v/>
      </c>
      <c r="AS803" s="56" t="str">
        <f>IF(NOTA[[#This Row],[QTY/ CTN]]="","",TRUE)</f>
        <v/>
      </c>
      <c r="AT803" s="56" t="str">
        <f ca="1">IF(NOTA[[#This Row],[ID_H]]="","",IF(NOTA[[#This Row],[Column3]]=TRUE,NOTA[[#This Row],[QTY/ CTN]],INDEX([3]!db[QTY/ CTN],NOTA[[#This Row],[//DB]])))</f>
        <v/>
      </c>
      <c r="AU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3" s="56" t="str">
        <f ca="1">IF(NOTA[[#This Row],[ID_H]]="","",MATCH(NOTA[[#This Row],[NB NOTA_C_QTY]],[4]!db[NB NOTA_C_QTY+F],0))</f>
        <v/>
      </c>
      <c r="AW803" s="68" t="str">
        <f ca="1">IF(NOTA[[#This Row],[NB NOTA_C_QTY]]="","",ROW()-2)</f>
        <v/>
      </c>
    </row>
    <row r="804" spans="1:49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4" s="66" t="str">
        <f>IF(OR(NOTA[[#This Row],[QTY]]="",NOTA[[#This Row],[HARGA SATUAN]]="",),"",NOTA[[#This Row],[QTY]]*NOTA[[#This Row],[HARGA SATUAN]])</f>
        <v/>
      </c>
      <c r="AH804" s="60" t="str">
        <f ca="1">IF(NOTA[ID_H]="","",INDEX(NOTA[TANGGAL],MATCH(,INDIRECT(ADDRESS(ROW(NOTA[TANGGAL]),COLUMN(NOTA[TANGGAL]))&amp;":"&amp;ADDRESS(ROW(),COLUMN(NOTA[TANGGAL]))),-1)))</f>
        <v/>
      </c>
      <c r="AI804" s="55" t="str">
        <f ca="1">IF(NOTA[[#This Row],[NAMA BARANG]]="","",INDEX(NOTA[SUPPLIER],MATCH(,INDIRECT(ADDRESS(ROW(NOTA[ID]),COLUMN(NOTA[ID]))&amp;":"&amp;ADDRESS(ROW(),COLUMN(NOTA[ID]))),-1)))</f>
        <v/>
      </c>
      <c r="AJ804" s="55" t="str">
        <f ca="1">IF(NOTA[[#This Row],[ID_H]]="","",IF(NOTA[[#This Row],[FAKTUR]]="",INDIRECT(ADDRESS(ROW()-1,COLUMN())),NOTA[[#This Row],[FAKTUR]]))</f>
        <v/>
      </c>
      <c r="AK804" s="56" t="str">
        <f ca="1">IF(NOTA[[#This Row],[ID]]="","",COUNTIF(NOTA[ID_H],NOTA[[#This Row],[ID_H]]))</f>
        <v/>
      </c>
      <c r="AL804" s="56" t="str">
        <f ca="1">IF(NOTA[[#This Row],[TGL.NOTA]]="",IF(NOTA[[#This Row],[SUPPLIER_H]]="","",AL803),MONTH(NOTA[[#This Row],[TGL.NOTA]]))</f>
        <v/>
      </c>
      <c r="AM804" s="56" t="str">
        <f>LOWER(SUBSTITUTE(SUBSTITUTE(SUBSTITUTE(SUBSTITUTE(SUBSTITUTE(SUBSTITUTE(SUBSTITUTE(SUBSTITUTE(SUBSTITUTE(NOTA[NAMA BARANG]," ",),".",""),"-",""),"(",""),")",""),",",""),"/",""),"""",""),"+",""))</f>
        <v/>
      </c>
      <c r="AN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56" t="str">
        <f>IF(NOTA[[#This Row],[CONCAT4]]="","",_xlfn.IFNA(MATCH(NOTA[[#This Row],[CONCAT4]],[2]!RAW[CONCAT_H],0),FALSE))</f>
        <v/>
      </c>
      <c r="AR804" s="56" t="str">
        <f>IF(NOTA[[#This Row],[CONCAT1]]="","",MATCH(NOTA[[#This Row],[CONCAT1]],[3]!db[NB NOTA_C],0))</f>
        <v/>
      </c>
      <c r="AS804" s="56" t="str">
        <f>IF(NOTA[[#This Row],[QTY/ CTN]]="","",TRUE)</f>
        <v/>
      </c>
      <c r="AT804" s="56" t="str">
        <f ca="1">IF(NOTA[[#This Row],[ID_H]]="","",IF(NOTA[[#This Row],[Column3]]=TRUE,NOTA[[#This Row],[QTY/ CTN]],INDEX([3]!db[QTY/ CTN],NOTA[[#This Row],[//DB]])))</f>
        <v/>
      </c>
      <c r="AU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4" s="56" t="str">
        <f ca="1">IF(NOTA[[#This Row],[ID_H]]="","",MATCH(NOTA[[#This Row],[NB NOTA_C_QTY]],[4]!db[NB NOTA_C_QTY+F],0))</f>
        <v/>
      </c>
      <c r="AW804" s="68" t="str">
        <f ca="1">IF(NOTA[[#This Row],[NB NOTA_C_QTY]]="","",ROW()-2)</f>
        <v/>
      </c>
    </row>
    <row r="805" spans="1:49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5" s="66" t="str">
        <f>IF(OR(NOTA[[#This Row],[QTY]]="",NOTA[[#This Row],[HARGA SATUAN]]="",),"",NOTA[[#This Row],[QTY]]*NOTA[[#This Row],[HARGA SATUAN]])</f>
        <v/>
      </c>
      <c r="AH805" s="60" t="str">
        <f ca="1">IF(NOTA[ID_H]="","",INDEX(NOTA[TANGGAL],MATCH(,INDIRECT(ADDRESS(ROW(NOTA[TANGGAL]),COLUMN(NOTA[TANGGAL]))&amp;":"&amp;ADDRESS(ROW(),COLUMN(NOTA[TANGGAL]))),-1)))</f>
        <v/>
      </c>
      <c r="AI805" s="55" t="str">
        <f ca="1">IF(NOTA[[#This Row],[NAMA BARANG]]="","",INDEX(NOTA[SUPPLIER],MATCH(,INDIRECT(ADDRESS(ROW(NOTA[ID]),COLUMN(NOTA[ID]))&amp;":"&amp;ADDRESS(ROW(),COLUMN(NOTA[ID]))),-1)))</f>
        <v/>
      </c>
      <c r="AJ805" s="55" t="str">
        <f ca="1">IF(NOTA[[#This Row],[ID_H]]="","",IF(NOTA[[#This Row],[FAKTUR]]="",INDIRECT(ADDRESS(ROW()-1,COLUMN())),NOTA[[#This Row],[FAKTUR]]))</f>
        <v/>
      </c>
      <c r="AK805" s="56" t="str">
        <f ca="1">IF(NOTA[[#This Row],[ID]]="","",COUNTIF(NOTA[ID_H],NOTA[[#This Row],[ID_H]]))</f>
        <v/>
      </c>
      <c r="AL805" s="56" t="str">
        <f ca="1">IF(NOTA[[#This Row],[TGL.NOTA]]="",IF(NOTA[[#This Row],[SUPPLIER_H]]="","",AL804),MONTH(NOTA[[#This Row],[TGL.NOTA]]))</f>
        <v/>
      </c>
      <c r="AM805" s="56" t="str">
        <f>LOWER(SUBSTITUTE(SUBSTITUTE(SUBSTITUTE(SUBSTITUTE(SUBSTITUTE(SUBSTITUTE(SUBSTITUTE(SUBSTITUTE(SUBSTITUTE(NOTA[NAMA BARANG]," ",),".",""),"-",""),"(",""),")",""),",",""),"/",""),"""",""),"+",""))</f>
        <v/>
      </c>
      <c r="AN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56" t="str">
        <f>IF(NOTA[[#This Row],[CONCAT4]]="","",_xlfn.IFNA(MATCH(NOTA[[#This Row],[CONCAT4]],[2]!RAW[CONCAT_H],0),FALSE))</f>
        <v/>
      </c>
      <c r="AR805" s="56" t="str">
        <f>IF(NOTA[[#This Row],[CONCAT1]]="","",MATCH(NOTA[[#This Row],[CONCAT1]],[3]!db[NB NOTA_C],0))</f>
        <v/>
      </c>
      <c r="AS805" s="56" t="str">
        <f>IF(NOTA[[#This Row],[QTY/ CTN]]="","",TRUE)</f>
        <v/>
      </c>
      <c r="AT805" s="56" t="str">
        <f ca="1">IF(NOTA[[#This Row],[ID_H]]="","",IF(NOTA[[#This Row],[Column3]]=TRUE,NOTA[[#This Row],[QTY/ CTN]],INDEX([3]!db[QTY/ CTN],NOTA[[#This Row],[//DB]])))</f>
        <v/>
      </c>
      <c r="AU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5" s="56" t="str">
        <f ca="1">IF(NOTA[[#This Row],[ID_H]]="","",MATCH(NOTA[[#This Row],[NB NOTA_C_QTY]],[4]!db[NB NOTA_C_QTY+F],0))</f>
        <v/>
      </c>
      <c r="AW805" s="68" t="str">
        <f ca="1">IF(NOTA[[#This Row],[NB NOTA_C_QTY]]="","",ROW()-2)</f>
        <v/>
      </c>
    </row>
    <row r="806" spans="1:49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6" s="66" t="str">
        <f>IF(OR(NOTA[[#This Row],[QTY]]="",NOTA[[#This Row],[HARGA SATUAN]]="",),"",NOTA[[#This Row],[QTY]]*NOTA[[#This Row],[HARGA SATUAN]])</f>
        <v/>
      </c>
      <c r="AH806" s="60" t="str">
        <f ca="1">IF(NOTA[ID_H]="","",INDEX(NOTA[TANGGAL],MATCH(,INDIRECT(ADDRESS(ROW(NOTA[TANGGAL]),COLUMN(NOTA[TANGGAL]))&amp;":"&amp;ADDRESS(ROW(),COLUMN(NOTA[TANGGAL]))),-1)))</f>
        <v/>
      </c>
      <c r="AI806" s="55" t="str">
        <f ca="1">IF(NOTA[[#This Row],[NAMA BARANG]]="","",INDEX(NOTA[SUPPLIER],MATCH(,INDIRECT(ADDRESS(ROW(NOTA[ID]),COLUMN(NOTA[ID]))&amp;":"&amp;ADDRESS(ROW(),COLUMN(NOTA[ID]))),-1)))</f>
        <v/>
      </c>
      <c r="AJ806" s="55" t="str">
        <f ca="1">IF(NOTA[[#This Row],[ID_H]]="","",IF(NOTA[[#This Row],[FAKTUR]]="",INDIRECT(ADDRESS(ROW()-1,COLUMN())),NOTA[[#This Row],[FAKTUR]]))</f>
        <v/>
      </c>
      <c r="AK806" s="56" t="str">
        <f ca="1">IF(NOTA[[#This Row],[ID]]="","",COUNTIF(NOTA[ID_H],NOTA[[#This Row],[ID_H]]))</f>
        <v/>
      </c>
      <c r="AL806" s="56" t="str">
        <f ca="1">IF(NOTA[[#This Row],[TGL.NOTA]]="",IF(NOTA[[#This Row],[SUPPLIER_H]]="","",AL805),MONTH(NOTA[[#This Row],[TGL.NOTA]]))</f>
        <v/>
      </c>
      <c r="AM806" s="56" t="str">
        <f>LOWER(SUBSTITUTE(SUBSTITUTE(SUBSTITUTE(SUBSTITUTE(SUBSTITUTE(SUBSTITUTE(SUBSTITUTE(SUBSTITUTE(SUBSTITUTE(NOTA[NAMA BARANG]," ",),".",""),"-",""),"(",""),")",""),",",""),"/",""),"""",""),"+",""))</f>
        <v/>
      </c>
      <c r="AN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56" t="str">
        <f>IF(NOTA[[#This Row],[CONCAT4]]="","",_xlfn.IFNA(MATCH(NOTA[[#This Row],[CONCAT4]],[2]!RAW[CONCAT_H],0),FALSE))</f>
        <v/>
      </c>
      <c r="AR806" s="56" t="str">
        <f>IF(NOTA[[#This Row],[CONCAT1]]="","",MATCH(NOTA[[#This Row],[CONCAT1]],[3]!db[NB NOTA_C],0))</f>
        <v/>
      </c>
      <c r="AS806" s="56" t="str">
        <f>IF(NOTA[[#This Row],[QTY/ CTN]]="","",TRUE)</f>
        <v/>
      </c>
      <c r="AT806" s="56" t="str">
        <f ca="1">IF(NOTA[[#This Row],[ID_H]]="","",IF(NOTA[[#This Row],[Column3]]=TRUE,NOTA[[#This Row],[QTY/ CTN]],INDEX([3]!db[QTY/ CTN],NOTA[[#This Row],[//DB]])))</f>
        <v/>
      </c>
      <c r="AU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6" s="56" t="str">
        <f ca="1">IF(NOTA[[#This Row],[ID_H]]="","",MATCH(NOTA[[#This Row],[NB NOTA_C_QTY]],[4]!db[NB NOTA_C_QTY+F],0))</f>
        <v/>
      </c>
      <c r="AW806" s="68" t="str">
        <f ca="1">IF(NOTA[[#This Row],[NB NOTA_C_QTY]]="","",ROW()-2)</f>
        <v/>
      </c>
    </row>
    <row r="807" spans="1:49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7" s="66" t="str">
        <f>IF(OR(NOTA[[#This Row],[QTY]]="",NOTA[[#This Row],[HARGA SATUAN]]="",),"",NOTA[[#This Row],[QTY]]*NOTA[[#This Row],[HARGA SATUAN]])</f>
        <v/>
      </c>
      <c r="AH807" s="60" t="str">
        <f ca="1">IF(NOTA[ID_H]="","",INDEX(NOTA[TANGGAL],MATCH(,INDIRECT(ADDRESS(ROW(NOTA[TANGGAL]),COLUMN(NOTA[TANGGAL]))&amp;":"&amp;ADDRESS(ROW(),COLUMN(NOTA[TANGGAL]))),-1)))</f>
        <v/>
      </c>
      <c r="AI807" s="55" t="str">
        <f ca="1">IF(NOTA[[#This Row],[NAMA BARANG]]="","",INDEX(NOTA[SUPPLIER],MATCH(,INDIRECT(ADDRESS(ROW(NOTA[ID]),COLUMN(NOTA[ID]))&amp;":"&amp;ADDRESS(ROW(),COLUMN(NOTA[ID]))),-1)))</f>
        <v/>
      </c>
      <c r="AJ807" s="55" t="str">
        <f ca="1">IF(NOTA[[#This Row],[ID_H]]="","",IF(NOTA[[#This Row],[FAKTUR]]="",INDIRECT(ADDRESS(ROW()-1,COLUMN())),NOTA[[#This Row],[FAKTUR]]))</f>
        <v/>
      </c>
      <c r="AK807" s="56" t="str">
        <f ca="1">IF(NOTA[[#This Row],[ID]]="","",COUNTIF(NOTA[ID_H],NOTA[[#This Row],[ID_H]]))</f>
        <v/>
      </c>
      <c r="AL807" s="56" t="str">
        <f ca="1">IF(NOTA[[#This Row],[TGL.NOTA]]="",IF(NOTA[[#This Row],[SUPPLIER_H]]="","",AL806),MONTH(NOTA[[#This Row],[TGL.NOTA]]))</f>
        <v/>
      </c>
      <c r="AM807" s="56" t="str">
        <f>LOWER(SUBSTITUTE(SUBSTITUTE(SUBSTITUTE(SUBSTITUTE(SUBSTITUTE(SUBSTITUTE(SUBSTITUTE(SUBSTITUTE(SUBSTITUTE(NOTA[NAMA BARANG]," ",),".",""),"-",""),"(",""),")",""),",",""),"/",""),"""",""),"+",""))</f>
        <v/>
      </c>
      <c r="AN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56" t="str">
        <f>IF(NOTA[[#This Row],[CONCAT4]]="","",_xlfn.IFNA(MATCH(NOTA[[#This Row],[CONCAT4]],[2]!RAW[CONCAT_H],0),FALSE))</f>
        <v/>
      </c>
      <c r="AR807" s="56" t="str">
        <f>IF(NOTA[[#This Row],[CONCAT1]]="","",MATCH(NOTA[[#This Row],[CONCAT1]],[3]!db[NB NOTA_C],0))</f>
        <v/>
      </c>
      <c r="AS807" s="56" t="str">
        <f>IF(NOTA[[#This Row],[QTY/ CTN]]="","",TRUE)</f>
        <v/>
      </c>
      <c r="AT807" s="56" t="str">
        <f ca="1">IF(NOTA[[#This Row],[ID_H]]="","",IF(NOTA[[#This Row],[Column3]]=TRUE,NOTA[[#This Row],[QTY/ CTN]],INDEX([3]!db[QTY/ CTN],NOTA[[#This Row],[//DB]])))</f>
        <v/>
      </c>
      <c r="AU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7" s="56" t="str">
        <f ca="1">IF(NOTA[[#This Row],[ID_H]]="","",MATCH(NOTA[[#This Row],[NB NOTA_C_QTY]],[4]!db[NB NOTA_C_QTY+F],0))</f>
        <v/>
      </c>
      <c r="AW807" s="68" t="str">
        <f ca="1">IF(NOTA[[#This Row],[NB NOTA_C_QTY]]="","",ROW()-2)</f>
        <v/>
      </c>
    </row>
    <row r="808" spans="1:49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8" s="66" t="str">
        <f>IF(OR(NOTA[[#This Row],[QTY]]="",NOTA[[#This Row],[HARGA SATUAN]]="",),"",NOTA[[#This Row],[QTY]]*NOTA[[#This Row],[HARGA SATUAN]])</f>
        <v/>
      </c>
      <c r="AH808" s="60" t="str">
        <f ca="1">IF(NOTA[ID_H]="","",INDEX(NOTA[TANGGAL],MATCH(,INDIRECT(ADDRESS(ROW(NOTA[TANGGAL]),COLUMN(NOTA[TANGGAL]))&amp;":"&amp;ADDRESS(ROW(),COLUMN(NOTA[TANGGAL]))),-1)))</f>
        <v/>
      </c>
      <c r="AI808" s="55" t="str">
        <f ca="1">IF(NOTA[[#This Row],[NAMA BARANG]]="","",INDEX(NOTA[SUPPLIER],MATCH(,INDIRECT(ADDRESS(ROW(NOTA[ID]),COLUMN(NOTA[ID]))&amp;":"&amp;ADDRESS(ROW(),COLUMN(NOTA[ID]))),-1)))</f>
        <v/>
      </c>
      <c r="AJ808" s="55" t="str">
        <f ca="1">IF(NOTA[[#This Row],[ID_H]]="","",IF(NOTA[[#This Row],[FAKTUR]]="",INDIRECT(ADDRESS(ROW()-1,COLUMN())),NOTA[[#This Row],[FAKTUR]]))</f>
        <v/>
      </c>
      <c r="AK808" s="56" t="str">
        <f ca="1">IF(NOTA[[#This Row],[ID]]="","",COUNTIF(NOTA[ID_H],NOTA[[#This Row],[ID_H]]))</f>
        <v/>
      </c>
      <c r="AL808" s="56" t="str">
        <f ca="1">IF(NOTA[[#This Row],[TGL.NOTA]]="",IF(NOTA[[#This Row],[SUPPLIER_H]]="","",AL807),MONTH(NOTA[[#This Row],[TGL.NOTA]]))</f>
        <v/>
      </c>
      <c r="AM808" s="56" t="str">
        <f>LOWER(SUBSTITUTE(SUBSTITUTE(SUBSTITUTE(SUBSTITUTE(SUBSTITUTE(SUBSTITUTE(SUBSTITUTE(SUBSTITUTE(SUBSTITUTE(NOTA[NAMA BARANG]," ",),".",""),"-",""),"(",""),")",""),",",""),"/",""),"""",""),"+",""))</f>
        <v/>
      </c>
      <c r="AN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56" t="str">
        <f>IF(NOTA[[#This Row],[CONCAT4]]="","",_xlfn.IFNA(MATCH(NOTA[[#This Row],[CONCAT4]],[2]!RAW[CONCAT_H],0),FALSE))</f>
        <v/>
      </c>
      <c r="AR808" s="56" t="str">
        <f>IF(NOTA[[#This Row],[CONCAT1]]="","",MATCH(NOTA[[#This Row],[CONCAT1]],[3]!db[NB NOTA_C],0))</f>
        <v/>
      </c>
      <c r="AS808" s="56" t="str">
        <f>IF(NOTA[[#This Row],[QTY/ CTN]]="","",TRUE)</f>
        <v/>
      </c>
      <c r="AT808" s="56" t="str">
        <f ca="1">IF(NOTA[[#This Row],[ID_H]]="","",IF(NOTA[[#This Row],[Column3]]=TRUE,NOTA[[#This Row],[QTY/ CTN]],INDEX([3]!db[QTY/ CTN],NOTA[[#This Row],[//DB]])))</f>
        <v/>
      </c>
      <c r="AU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8" s="56" t="str">
        <f ca="1">IF(NOTA[[#This Row],[ID_H]]="","",MATCH(NOTA[[#This Row],[NB NOTA_C_QTY]],[4]!db[NB NOTA_C_QTY+F],0))</f>
        <v/>
      </c>
      <c r="AW808" s="68" t="str">
        <f ca="1">IF(NOTA[[#This Row],[NB NOTA_C_QTY]]="","",ROW()-2)</f>
        <v/>
      </c>
    </row>
    <row r="809" spans="1:49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09" s="66" t="str">
        <f>IF(OR(NOTA[[#This Row],[QTY]]="",NOTA[[#This Row],[HARGA SATUAN]]="",),"",NOTA[[#This Row],[QTY]]*NOTA[[#This Row],[HARGA SATUAN]])</f>
        <v/>
      </c>
      <c r="AH809" s="60" t="str">
        <f ca="1">IF(NOTA[ID_H]="","",INDEX(NOTA[TANGGAL],MATCH(,INDIRECT(ADDRESS(ROW(NOTA[TANGGAL]),COLUMN(NOTA[TANGGAL]))&amp;":"&amp;ADDRESS(ROW(),COLUMN(NOTA[TANGGAL]))),-1)))</f>
        <v/>
      </c>
      <c r="AI809" s="55" t="str">
        <f ca="1">IF(NOTA[[#This Row],[NAMA BARANG]]="","",INDEX(NOTA[SUPPLIER],MATCH(,INDIRECT(ADDRESS(ROW(NOTA[ID]),COLUMN(NOTA[ID]))&amp;":"&amp;ADDRESS(ROW(),COLUMN(NOTA[ID]))),-1)))</f>
        <v/>
      </c>
      <c r="AJ809" s="55" t="str">
        <f ca="1">IF(NOTA[[#This Row],[ID_H]]="","",IF(NOTA[[#This Row],[FAKTUR]]="",INDIRECT(ADDRESS(ROW()-1,COLUMN())),NOTA[[#This Row],[FAKTUR]]))</f>
        <v/>
      </c>
      <c r="AK809" s="56" t="str">
        <f ca="1">IF(NOTA[[#This Row],[ID]]="","",COUNTIF(NOTA[ID_H],NOTA[[#This Row],[ID_H]]))</f>
        <v/>
      </c>
      <c r="AL809" s="56" t="str">
        <f ca="1">IF(NOTA[[#This Row],[TGL.NOTA]]="",IF(NOTA[[#This Row],[SUPPLIER_H]]="","",AL808),MONTH(NOTA[[#This Row],[TGL.NOTA]]))</f>
        <v/>
      </c>
      <c r="AM809" s="56" t="str">
        <f>LOWER(SUBSTITUTE(SUBSTITUTE(SUBSTITUTE(SUBSTITUTE(SUBSTITUTE(SUBSTITUTE(SUBSTITUTE(SUBSTITUTE(SUBSTITUTE(NOTA[NAMA BARANG]," ",),".",""),"-",""),"(",""),")",""),",",""),"/",""),"""",""),"+",""))</f>
        <v/>
      </c>
      <c r="AN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56" t="str">
        <f>IF(NOTA[[#This Row],[CONCAT4]]="","",_xlfn.IFNA(MATCH(NOTA[[#This Row],[CONCAT4]],[2]!RAW[CONCAT_H],0),FALSE))</f>
        <v/>
      </c>
      <c r="AR809" s="56" t="str">
        <f>IF(NOTA[[#This Row],[CONCAT1]]="","",MATCH(NOTA[[#This Row],[CONCAT1]],[3]!db[NB NOTA_C],0))</f>
        <v/>
      </c>
      <c r="AS809" s="56" t="str">
        <f>IF(NOTA[[#This Row],[QTY/ CTN]]="","",TRUE)</f>
        <v/>
      </c>
      <c r="AT809" s="56" t="str">
        <f ca="1">IF(NOTA[[#This Row],[ID_H]]="","",IF(NOTA[[#This Row],[Column3]]=TRUE,NOTA[[#This Row],[QTY/ CTN]],INDEX([3]!db[QTY/ CTN],NOTA[[#This Row],[//DB]])))</f>
        <v/>
      </c>
      <c r="AU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9" s="56" t="str">
        <f ca="1">IF(NOTA[[#This Row],[ID_H]]="","",MATCH(NOTA[[#This Row],[NB NOTA_C_QTY]],[4]!db[NB NOTA_C_QTY+F],0))</f>
        <v/>
      </c>
      <c r="AW809" s="68" t="str">
        <f ca="1">IF(NOTA[[#This Row],[NB NOTA_C_QTY]]="","",ROW()-2)</f>
        <v/>
      </c>
    </row>
    <row r="810" spans="1:49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0" s="66" t="str">
        <f>IF(OR(NOTA[[#This Row],[QTY]]="",NOTA[[#This Row],[HARGA SATUAN]]="",),"",NOTA[[#This Row],[QTY]]*NOTA[[#This Row],[HARGA SATUAN]])</f>
        <v/>
      </c>
      <c r="AH810" s="60" t="str">
        <f ca="1">IF(NOTA[ID_H]="","",INDEX(NOTA[TANGGAL],MATCH(,INDIRECT(ADDRESS(ROW(NOTA[TANGGAL]),COLUMN(NOTA[TANGGAL]))&amp;":"&amp;ADDRESS(ROW(),COLUMN(NOTA[TANGGAL]))),-1)))</f>
        <v/>
      </c>
      <c r="AI810" s="55" t="str">
        <f ca="1">IF(NOTA[[#This Row],[NAMA BARANG]]="","",INDEX(NOTA[SUPPLIER],MATCH(,INDIRECT(ADDRESS(ROW(NOTA[ID]),COLUMN(NOTA[ID]))&amp;":"&amp;ADDRESS(ROW(),COLUMN(NOTA[ID]))),-1)))</f>
        <v/>
      </c>
      <c r="AJ810" s="55" t="str">
        <f ca="1">IF(NOTA[[#This Row],[ID_H]]="","",IF(NOTA[[#This Row],[FAKTUR]]="",INDIRECT(ADDRESS(ROW()-1,COLUMN())),NOTA[[#This Row],[FAKTUR]]))</f>
        <v/>
      </c>
      <c r="AK810" s="56" t="str">
        <f ca="1">IF(NOTA[[#This Row],[ID]]="","",COUNTIF(NOTA[ID_H],NOTA[[#This Row],[ID_H]]))</f>
        <v/>
      </c>
      <c r="AL810" s="56" t="str">
        <f ca="1">IF(NOTA[[#This Row],[TGL.NOTA]]="",IF(NOTA[[#This Row],[SUPPLIER_H]]="","",AL809),MONTH(NOTA[[#This Row],[TGL.NOTA]]))</f>
        <v/>
      </c>
      <c r="AM810" s="56" t="str">
        <f>LOWER(SUBSTITUTE(SUBSTITUTE(SUBSTITUTE(SUBSTITUTE(SUBSTITUTE(SUBSTITUTE(SUBSTITUTE(SUBSTITUTE(SUBSTITUTE(NOTA[NAMA BARANG]," ",),".",""),"-",""),"(",""),")",""),",",""),"/",""),"""",""),"+",""))</f>
        <v/>
      </c>
      <c r="AN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56" t="str">
        <f>IF(NOTA[[#This Row],[CONCAT4]]="","",_xlfn.IFNA(MATCH(NOTA[[#This Row],[CONCAT4]],[2]!RAW[CONCAT_H],0),FALSE))</f>
        <v/>
      </c>
      <c r="AR810" s="56" t="str">
        <f>IF(NOTA[[#This Row],[CONCAT1]]="","",MATCH(NOTA[[#This Row],[CONCAT1]],[3]!db[NB NOTA_C],0))</f>
        <v/>
      </c>
      <c r="AS810" s="56" t="str">
        <f>IF(NOTA[[#This Row],[QTY/ CTN]]="","",TRUE)</f>
        <v/>
      </c>
      <c r="AT810" s="56" t="str">
        <f ca="1">IF(NOTA[[#This Row],[ID_H]]="","",IF(NOTA[[#This Row],[Column3]]=TRUE,NOTA[[#This Row],[QTY/ CTN]],INDEX([3]!db[QTY/ CTN],NOTA[[#This Row],[//DB]])))</f>
        <v/>
      </c>
      <c r="AU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0" s="56" t="str">
        <f ca="1">IF(NOTA[[#This Row],[ID_H]]="","",MATCH(NOTA[[#This Row],[NB NOTA_C_QTY]],[4]!db[NB NOTA_C_QTY+F],0))</f>
        <v/>
      </c>
      <c r="AW810" s="68" t="str">
        <f ca="1">IF(NOTA[[#This Row],[NB NOTA_C_QTY]]="","",ROW()-2)</f>
        <v/>
      </c>
    </row>
    <row r="811" spans="1:49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1" s="66" t="str">
        <f>IF(OR(NOTA[[#This Row],[QTY]]="",NOTA[[#This Row],[HARGA SATUAN]]="",),"",NOTA[[#This Row],[QTY]]*NOTA[[#This Row],[HARGA SATUAN]])</f>
        <v/>
      </c>
      <c r="AH811" s="60" t="str">
        <f ca="1">IF(NOTA[ID_H]="","",INDEX(NOTA[TANGGAL],MATCH(,INDIRECT(ADDRESS(ROW(NOTA[TANGGAL]),COLUMN(NOTA[TANGGAL]))&amp;":"&amp;ADDRESS(ROW(),COLUMN(NOTA[TANGGAL]))),-1)))</f>
        <v/>
      </c>
      <c r="AI811" s="55" t="str">
        <f ca="1">IF(NOTA[[#This Row],[NAMA BARANG]]="","",INDEX(NOTA[SUPPLIER],MATCH(,INDIRECT(ADDRESS(ROW(NOTA[ID]),COLUMN(NOTA[ID]))&amp;":"&amp;ADDRESS(ROW(),COLUMN(NOTA[ID]))),-1)))</f>
        <v/>
      </c>
      <c r="AJ811" s="55" t="str">
        <f ca="1">IF(NOTA[[#This Row],[ID_H]]="","",IF(NOTA[[#This Row],[FAKTUR]]="",INDIRECT(ADDRESS(ROW()-1,COLUMN())),NOTA[[#This Row],[FAKTUR]]))</f>
        <v/>
      </c>
      <c r="AK811" s="56" t="str">
        <f ca="1">IF(NOTA[[#This Row],[ID]]="","",COUNTIF(NOTA[ID_H],NOTA[[#This Row],[ID_H]]))</f>
        <v/>
      </c>
      <c r="AL811" s="56" t="str">
        <f ca="1">IF(NOTA[[#This Row],[TGL.NOTA]]="",IF(NOTA[[#This Row],[SUPPLIER_H]]="","",AL810),MONTH(NOTA[[#This Row],[TGL.NOTA]]))</f>
        <v/>
      </c>
      <c r="AM811" s="56" t="str">
        <f>LOWER(SUBSTITUTE(SUBSTITUTE(SUBSTITUTE(SUBSTITUTE(SUBSTITUTE(SUBSTITUTE(SUBSTITUTE(SUBSTITUTE(SUBSTITUTE(NOTA[NAMA BARANG]," ",),".",""),"-",""),"(",""),")",""),",",""),"/",""),"""",""),"+",""))</f>
        <v/>
      </c>
      <c r="AN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56" t="str">
        <f>IF(NOTA[[#This Row],[CONCAT4]]="","",_xlfn.IFNA(MATCH(NOTA[[#This Row],[CONCAT4]],[2]!RAW[CONCAT_H],0),FALSE))</f>
        <v/>
      </c>
      <c r="AR811" s="56" t="str">
        <f>IF(NOTA[[#This Row],[CONCAT1]]="","",MATCH(NOTA[[#This Row],[CONCAT1]],[3]!db[NB NOTA_C],0))</f>
        <v/>
      </c>
      <c r="AS811" s="56" t="str">
        <f>IF(NOTA[[#This Row],[QTY/ CTN]]="","",TRUE)</f>
        <v/>
      </c>
      <c r="AT811" s="56" t="str">
        <f ca="1">IF(NOTA[[#This Row],[ID_H]]="","",IF(NOTA[[#This Row],[Column3]]=TRUE,NOTA[[#This Row],[QTY/ CTN]],INDEX([3]!db[QTY/ CTN],NOTA[[#This Row],[//DB]])))</f>
        <v/>
      </c>
      <c r="AU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1" s="56" t="str">
        <f ca="1">IF(NOTA[[#This Row],[ID_H]]="","",MATCH(NOTA[[#This Row],[NB NOTA_C_QTY]],[4]!db[NB NOTA_C_QTY+F],0))</f>
        <v/>
      </c>
      <c r="AW811" s="68" t="str">
        <f ca="1">IF(NOTA[[#This Row],[NB NOTA_C_QTY]]="","",ROW()-2)</f>
        <v/>
      </c>
    </row>
    <row r="812" spans="1:49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2" s="66" t="str">
        <f>IF(OR(NOTA[[#This Row],[QTY]]="",NOTA[[#This Row],[HARGA SATUAN]]="",),"",NOTA[[#This Row],[QTY]]*NOTA[[#This Row],[HARGA SATUAN]])</f>
        <v/>
      </c>
      <c r="AH812" s="60" t="str">
        <f ca="1">IF(NOTA[ID_H]="","",INDEX(NOTA[TANGGAL],MATCH(,INDIRECT(ADDRESS(ROW(NOTA[TANGGAL]),COLUMN(NOTA[TANGGAL]))&amp;":"&amp;ADDRESS(ROW(),COLUMN(NOTA[TANGGAL]))),-1)))</f>
        <v/>
      </c>
      <c r="AI812" s="55" t="str">
        <f ca="1">IF(NOTA[[#This Row],[NAMA BARANG]]="","",INDEX(NOTA[SUPPLIER],MATCH(,INDIRECT(ADDRESS(ROW(NOTA[ID]),COLUMN(NOTA[ID]))&amp;":"&amp;ADDRESS(ROW(),COLUMN(NOTA[ID]))),-1)))</f>
        <v/>
      </c>
      <c r="AJ812" s="55" t="str">
        <f ca="1">IF(NOTA[[#This Row],[ID_H]]="","",IF(NOTA[[#This Row],[FAKTUR]]="",INDIRECT(ADDRESS(ROW()-1,COLUMN())),NOTA[[#This Row],[FAKTUR]]))</f>
        <v/>
      </c>
      <c r="AK812" s="56" t="str">
        <f ca="1">IF(NOTA[[#This Row],[ID]]="","",COUNTIF(NOTA[ID_H],NOTA[[#This Row],[ID_H]]))</f>
        <v/>
      </c>
      <c r="AL812" s="56" t="str">
        <f ca="1">IF(NOTA[[#This Row],[TGL.NOTA]]="",IF(NOTA[[#This Row],[SUPPLIER_H]]="","",AL811),MONTH(NOTA[[#This Row],[TGL.NOTA]]))</f>
        <v/>
      </c>
      <c r="AM812" s="56" t="str">
        <f>LOWER(SUBSTITUTE(SUBSTITUTE(SUBSTITUTE(SUBSTITUTE(SUBSTITUTE(SUBSTITUTE(SUBSTITUTE(SUBSTITUTE(SUBSTITUTE(NOTA[NAMA BARANG]," ",),".",""),"-",""),"(",""),")",""),",",""),"/",""),"""",""),"+",""))</f>
        <v/>
      </c>
      <c r="AN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2" s="56" t="str">
        <f>IF(NOTA[[#This Row],[CONCAT4]]="","",_xlfn.IFNA(MATCH(NOTA[[#This Row],[CONCAT4]],[2]!RAW[CONCAT_H],0),FALSE))</f>
        <v/>
      </c>
      <c r="AR812" s="56" t="str">
        <f>IF(NOTA[[#This Row],[CONCAT1]]="","",MATCH(NOTA[[#This Row],[CONCAT1]],[3]!db[NB NOTA_C],0))</f>
        <v/>
      </c>
      <c r="AS812" s="56" t="str">
        <f>IF(NOTA[[#This Row],[QTY/ CTN]]="","",TRUE)</f>
        <v/>
      </c>
      <c r="AT812" s="56" t="str">
        <f ca="1">IF(NOTA[[#This Row],[ID_H]]="","",IF(NOTA[[#This Row],[Column3]]=TRUE,NOTA[[#This Row],[QTY/ CTN]],INDEX([3]!db[QTY/ CTN],NOTA[[#This Row],[//DB]])))</f>
        <v/>
      </c>
      <c r="AU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2" s="56" t="str">
        <f ca="1">IF(NOTA[[#This Row],[ID_H]]="","",MATCH(NOTA[[#This Row],[NB NOTA_C_QTY]],[4]!db[NB NOTA_C_QTY+F],0))</f>
        <v/>
      </c>
      <c r="AW812" s="68" t="str">
        <f ca="1">IF(NOTA[[#This Row],[NB NOTA_C_QTY]]="","",ROW()-2)</f>
        <v/>
      </c>
    </row>
    <row r="813" spans="1:49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3" s="66" t="str">
        <f>IF(OR(NOTA[[#This Row],[QTY]]="",NOTA[[#This Row],[HARGA SATUAN]]="",),"",NOTA[[#This Row],[QTY]]*NOTA[[#This Row],[HARGA SATUAN]])</f>
        <v/>
      </c>
      <c r="AH813" s="60" t="str">
        <f ca="1">IF(NOTA[ID_H]="","",INDEX(NOTA[TANGGAL],MATCH(,INDIRECT(ADDRESS(ROW(NOTA[TANGGAL]),COLUMN(NOTA[TANGGAL]))&amp;":"&amp;ADDRESS(ROW(),COLUMN(NOTA[TANGGAL]))),-1)))</f>
        <v/>
      </c>
      <c r="AI813" s="55" t="str">
        <f ca="1">IF(NOTA[[#This Row],[NAMA BARANG]]="","",INDEX(NOTA[SUPPLIER],MATCH(,INDIRECT(ADDRESS(ROW(NOTA[ID]),COLUMN(NOTA[ID]))&amp;":"&amp;ADDRESS(ROW(),COLUMN(NOTA[ID]))),-1)))</f>
        <v/>
      </c>
      <c r="AJ813" s="55" t="str">
        <f ca="1">IF(NOTA[[#This Row],[ID_H]]="","",IF(NOTA[[#This Row],[FAKTUR]]="",INDIRECT(ADDRESS(ROW()-1,COLUMN())),NOTA[[#This Row],[FAKTUR]]))</f>
        <v/>
      </c>
      <c r="AK813" s="56" t="str">
        <f ca="1">IF(NOTA[[#This Row],[ID]]="","",COUNTIF(NOTA[ID_H],NOTA[[#This Row],[ID_H]]))</f>
        <v/>
      </c>
      <c r="AL813" s="56" t="str">
        <f ca="1">IF(NOTA[[#This Row],[TGL.NOTA]]="",IF(NOTA[[#This Row],[SUPPLIER_H]]="","",AL812),MONTH(NOTA[[#This Row],[TGL.NOTA]]))</f>
        <v/>
      </c>
      <c r="AM813" s="56" t="str">
        <f>LOWER(SUBSTITUTE(SUBSTITUTE(SUBSTITUTE(SUBSTITUTE(SUBSTITUTE(SUBSTITUTE(SUBSTITUTE(SUBSTITUTE(SUBSTITUTE(NOTA[NAMA BARANG]," ",),".",""),"-",""),"(",""),")",""),",",""),"/",""),"""",""),"+",""))</f>
        <v/>
      </c>
      <c r="AN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56" t="str">
        <f>IF(NOTA[[#This Row],[CONCAT4]]="","",_xlfn.IFNA(MATCH(NOTA[[#This Row],[CONCAT4]],[2]!RAW[CONCAT_H],0),FALSE))</f>
        <v/>
      </c>
      <c r="AR813" s="56" t="str">
        <f>IF(NOTA[[#This Row],[CONCAT1]]="","",MATCH(NOTA[[#This Row],[CONCAT1]],[3]!db[NB NOTA_C],0))</f>
        <v/>
      </c>
      <c r="AS813" s="56" t="str">
        <f>IF(NOTA[[#This Row],[QTY/ CTN]]="","",TRUE)</f>
        <v/>
      </c>
      <c r="AT813" s="56" t="str">
        <f ca="1">IF(NOTA[[#This Row],[ID_H]]="","",IF(NOTA[[#This Row],[Column3]]=TRUE,NOTA[[#This Row],[QTY/ CTN]],INDEX([3]!db[QTY/ CTN],NOTA[[#This Row],[//DB]])))</f>
        <v/>
      </c>
      <c r="AU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3" s="56" t="str">
        <f ca="1">IF(NOTA[[#This Row],[ID_H]]="","",MATCH(NOTA[[#This Row],[NB NOTA_C_QTY]],[4]!db[NB NOTA_C_QTY+F],0))</f>
        <v/>
      </c>
      <c r="AW813" s="68" t="str">
        <f ca="1">IF(NOTA[[#This Row],[NB NOTA_C_QTY]]="","",ROW()-2)</f>
        <v/>
      </c>
    </row>
    <row r="814" spans="1:49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4" s="66" t="str">
        <f>IF(OR(NOTA[[#This Row],[QTY]]="",NOTA[[#This Row],[HARGA SATUAN]]="",),"",NOTA[[#This Row],[QTY]]*NOTA[[#This Row],[HARGA SATUAN]])</f>
        <v/>
      </c>
      <c r="AH814" s="60" t="str">
        <f ca="1">IF(NOTA[ID_H]="","",INDEX(NOTA[TANGGAL],MATCH(,INDIRECT(ADDRESS(ROW(NOTA[TANGGAL]),COLUMN(NOTA[TANGGAL]))&amp;":"&amp;ADDRESS(ROW(),COLUMN(NOTA[TANGGAL]))),-1)))</f>
        <v/>
      </c>
      <c r="AI814" s="55" t="str">
        <f ca="1">IF(NOTA[[#This Row],[NAMA BARANG]]="","",INDEX(NOTA[SUPPLIER],MATCH(,INDIRECT(ADDRESS(ROW(NOTA[ID]),COLUMN(NOTA[ID]))&amp;":"&amp;ADDRESS(ROW(),COLUMN(NOTA[ID]))),-1)))</f>
        <v/>
      </c>
      <c r="AJ814" s="55" t="str">
        <f ca="1">IF(NOTA[[#This Row],[ID_H]]="","",IF(NOTA[[#This Row],[FAKTUR]]="",INDIRECT(ADDRESS(ROW()-1,COLUMN())),NOTA[[#This Row],[FAKTUR]]))</f>
        <v/>
      </c>
      <c r="AK814" s="56" t="str">
        <f ca="1">IF(NOTA[[#This Row],[ID]]="","",COUNTIF(NOTA[ID_H],NOTA[[#This Row],[ID_H]]))</f>
        <v/>
      </c>
      <c r="AL814" s="56" t="str">
        <f ca="1">IF(NOTA[[#This Row],[TGL.NOTA]]="",IF(NOTA[[#This Row],[SUPPLIER_H]]="","",AL813),MONTH(NOTA[[#This Row],[TGL.NOTA]]))</f>
        <v/>
      </c>
      <c r="AM814" s="56" t="str">
        <f>LOWER(SUBSTITUTE(SUBSTITUTE(SUBSTITUTE(SUBSTITUTE(SUBSTITUTE(SUBSTITUTE(SUBSTITUTE(SUBSTITUTE(SUBSTITUTE(NOTA[NAMA BARANG]," ",),".",""),"-",""),"(",""),")",""),",",""),"/",""),"""",""),"+",""))</f>
        <v/>
      </c>
      <c r="AN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56" t="str">
        <f>IF(NOTA[[#This Row],[CONCAT4]]="","",_xlfn.IFNA(MATCH(NOTA[[#This Row],[CONCAT4]],[2]!RAW[CONCAT_H],0),FALSE))</f>
        <v/>
      </c>
      <c r="AR814" s="56" t="str">
        <f>IF(NOTA[[#This Row],[CONCAT1]]="","",MATCH(NOTA[[#This Row],[CONCAT1]],[3]!db[NB NOTA_C],0))</f>
        <v/>
      </c>
      <c r="AS814" s="56" t="str">
        <f>IF(NOTA[[#This Row],[QTY/ CTN]]="","",TRUE)</f>
        <v/>
      </c>
      <c r="AT814" s="56" t="str">
        <f ca="1">IF(NOTA[[#This Row],[ID_H]]="","",IF(NOTA[[#This Row],[Column3]]=TRUE,NOTA[[#This Row],[QTY/ CTN]],INDEX([3]!db[QTY/ CTN],NOTA[[#This Row],[//DB]])))</f>
        <v/>
      </c>
      <c r="AU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4" s="56" t="str">
        <f ca="1">IF(NOTA[[#This Row],[ID_H]]="","",MATCH(NOTA[[#This Row],[NB NOTA_C_QTY]],[4]!db[NB NOTA_C_QTY+F],0))</f>
        <v/>
      </c>
      <c r="AW814" s="68" t="str">
        <f ca="1">IF(NOTA[[#This Row],[NB NOTA_C_QTY]]="","",ROW()-2)</f>
        <v/>
      </c>
    </row>
    <row r="815" spans="1:49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5" s="66" t="str">
        <f>IF(OR(NOTA[[#This Row],[QTY]]="",NOTA[[#This Row],[HARGA SATUAN]]="",),"",NOTA[[#This Row],[QTY]]*NOTA[[#This Row],[HARGA SATUAN]])</f>
        <v/>
      </c>
      <c r="AH815" s="60" t="str">
        <f ca="1">IF(NOTA[ID_H]="","",INDEX(NOTA[TANGGAL],MATCH(,INDIRECT(ADDRESS(ROW(NOTA[TANGGAL]),COLUMN(NOTA[TANGGAL]))&amp;":"&amp;ADDRESS(ROW(),COLUMN(NOTA[TANGGAL]))),-1)))</f>
        <v/>
      </c>
      <c r="AI815" s="55" t="str">
        <f ca="1">IF(NOTA[[#This Row],[NAMA BARANG]]="","",INDEX(NOTA[SUPPLIER],MATCH(,INDIRECT(ADDRESS(ROW(NOTA[ID]),COLUMN(NOTA[ID]))&amp;":"&amp;ADDRESS(ROW(),COLUMN(NOTA[ID]))),-1)))</f>
        <v/>
      </c>
      <c r="AJ815" s="55" t="str">
        <f ca="1">IF(NOTA[[#This Row],[ID_H]]="","",IF(NOTA[[#This Row],[FAKTUR]]="",INDIRECT(ADDRESS(ROW()-1,COLUMN())),NOTA[[#This Row],[FAKTUR]]))</f>
        <v/>
      </c>
      <c r="AK815" s="56" t="str">
        <f ca="1">IF(NOTA[[#This Row],[ID]]="","",COUNTIF(NOTA[ID_H],NOTA[[#This Row],[ID_H]]))</f>
        <v/>
      </c>
      <c r="AL815" s="56" t="str">
        <f ca="1">IF(NOTA[[#This Row],[TGL.NOTA]]="",IF(NOTA[[#This Row],[SUPPLIER_H]]="","",AL814),MONTH(NOTA[[#This Row],[TGL.NOTA]]))</f>
        <v/>
      </c>
      <c r="AM815" s="56" t="str">
        <f>LOWER(SUBSTITUTE(SUBSTITUTE(SUBSTITUTE(SUBSTITUTE(SUBSTITUTE(SUBSTITUTE(SUBSTITUTE(SUBSTITUTE(SUBSTITUTE(NOTA[NAMA BARANG]," ",),".",""),"-",""),"(",""),")",""),",",""),"/",""),"""",""),"+",""))</f>
        <v/>
      </c>
      <c r="AN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56" t="str">
        <f>IF(NOTA[[#This Row],[CONCAT4]]="","",_xlfn.IFNA(MATCH(NOTA[[#This Row],[CONCAT4]],[2]!RAW[CONCAT_H],0),FALSE))</f>
        <v/>
      </c>
      <c r="AR815" s="56" t="str">
        <f>IF(NOTA[[#This Row],[CONCAT1]]="","",MATCH(NOTA[[#This Row],[CONCAT1]],[3]!db[NB NOTA_C],0))</f>
        <v/>
      </c>
      <c r="AS815" s="56" t="str">
        <f>IF(NOTA[[#This Row],[QTY/ CTN]]="","",TRUE)</f>
        <v/>
      </c>
      <c r="AT815" s="56" t="str">
        <f ca="1">IF(NOTA[[#This Row],[ID_H]]="","",IF(NOTA[[#This Row],[Column3]]=TRUE,NOTA[[#This Row],[QTY/ CTN]],INDEX([3]!db[QTY/ CTN],NOTA[[#This Row],[//DB]])))</f>
        <v/>
      </c>
      <c r="AU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5" s="56" t="str">
        <f ca="1">IF(NOTA[[#This Row],[ID_H]]="","",MATCH(NOTA[[#This Row],[NB NOTA_C_QTY]],[4]!db[NB NOTA_C_QTY+F],0))</f>
        <v/>
      </c>
      <c r="AW815" s="68" t="str">
        <f ca="1">IF(NOTA[[#This Row],[NB NOTA_C_QTY]]="","",ROW()-2)</f>
        <v/>
      </c>
    </row>
    <row r="816" spans="1:49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6" s="66" t="str">
        <f>IF(OR(NOTA[[#This Row],[QTY]]="",NOTA[[#This Row],[HARGA SATUAN]]="",),"",NOTA[[#This Row],[QTY]]*NOTA[[#This Row],[HARGA SATUAN]])</f>
        <v/>
      </c>
      <c r="AH816" s="60" t="str">
        <f ca="1">IF(NOTA[ID_H]="","",INDEX(NOTA[TANGGAL],MATCH(,INDIRECT(ADDRESS(ROW(NOTA[TANGGAL]),COLUMN(NOTA[TANGGAL]))&amp;":"&amp;ADDRESS(ROW(),COLUMN(NOTA[TANGGAL]))),-1)))</f>
        <v/>
      </c>
      <c r="AI816" s="55" t="str">
        <f ca="1">IF(NOTA[[#This Row],[NAMA BARANG]]="","",INDEX(NOTA[SUPPLIER],MATCH(,INDIRECT(ADDRESS(ROW(NOTA[ID]),COLUMN(NOTA[ID]))&amp;":"&amp;ADDRESS(ROW(),COLUMN(NOTA[ID]))),-1)))</f>
        <v/>
      </c>
      <c r="AJ816" s="55" t="str">
        <f ca="1">IF(NOTA[[#This Row],[ID_H]]="","",IF(NOTA[[#This Row],[FAKTUR]]="",INDIRECT(ADDRESS(ROW()-1,COLUMN())),NOTA[[#This Row],[FAKTUR]]))</f>
        <v/>
      </c>
      <c r="AK816" s="56" t="str">
        <f ca="1">IF(NOTA[[#This Row],[ID]]="","",COUNTIF(NOTA[ID_H],NOTA[[#This Row],[ID_H]]))</f>
        <v/>
      </c>
      <c r="AL816" s="56" t="str">
        <f ca="1">IF(NOTA[[#This Row],[TGL.NOTA]]="",IF(NOTA[[#This Row],[SUPPLIER_H]]="","",AL815),MONTH(NOTA[[#This Row],[TGL.NOTA]]))</f>
        <v/>
      </c>
      <c r="AM816" s="56" t="str">
        <f>LOWER(SUBSTITUTE(SUBSTITUTE(SUBSTITUTE(SUBSTITUTE(SUBSTITUTE(SUBSTITUTE(SUBSTITUTE(SUBSTITUTE(SUBSTITUTE(NOTA[NAMA BARANG]," ",),".",""),"-",""),"(",""),")",""),",",""),"/",""),"""",""),"+",""))</f>
        <v/>
      </c>
      <c r="AN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56" t="str">
        <f>IF(NOTA[[#This Row],[CONCAT4]]="","",_xlfn.IFNA(MATCH(NOTA[[#This Row],[CONCAT4]],[2]!RAW[CONCAT_H],0),FALSE))</f>
        <v/>
      </c>
      <c r="AR816" s="56" t="str">
        <f>IF(NOTA[[#This Row],[CONCAT1]]="","",MATCH(NOTA[[#This Row],[CONCAT1]],[3]!db[NB NOTA_C],0))</f>
        <v/>
      </c>
      <c r="AS816" s="56" t="str">
        <f>IF(NOTA[[#This Row],[QTY/ CTN]]="","",TRUE)</f>
        <v/>
      </c>
      <c r="AT816" s="56" t="str">
        <f ca="1">IF(NOTA[[#This Row],[ID_H]]="","",IF(NOTA[[#This Row],[Column3]]=TRUE,NOTA[[#This Row],[QTY/ CTN]],INDEX([3]!db[QTY/ CTN],NOTA[[#This Row],[//DB]])))</f>
        <v/>
      </c>
      <c r="AU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6" s="56" t="str">
        <f ca="1">IF(NOTA[[#This Row],[ID_H]]="","",MATCH(NOTA[[#This Row],[NB NOTA_C_QTY]],[4]!db[NB NOTA_C_QTY+F],0))</f>
        <v/>
      </c>
      <c r="AW816" s="68" t="str">
        <f ca="1">IF(NOTA[[#This Row],[NB NOTA_C_QTY]]="","",ROW()-2)</f>
        <v/>
      </c>
    </row>
    <row r="817" spans="1:49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7" s="66" t="str">
        <f>IF(OR(NOTA[[#This Row],[QTY]]="",NOTA[[#This Row],[HARGA SATUAN]]="",),"",NOTA[[#This Row],[QTY]]*NOTA[[#This Row],[HARGA SATUAN]])</f>
        <v/>
      </c>
      <c r="AH817" s="60" t="str">
        <f ca="1">IF(NOTA[ID_H]="","",INDEX(NOTA[TANGGAL],MATCH(,INDIRECT(ADDRESS(ROW(NOTA[TANGGAL]),COLUMN(NOTA[TANGGAL]))&amp;":"&amp;ADDRESS(ROW(),COLUMN(NOTA[TANGGAL]))),-1)))</f>
        <v/>
      </c>
      <c r="AI817" s="55" t="str">
        <f ca="1">IF(NOTA[[#This Row],[NAMA BARANG]]="","",INDEX(NOTA[SUPPLIER],MATCH(,INDIRECT(ADDRESS(ROW(NOTA[ID]),COLUMN(NOTA[ID]))&amp;":"&amp;ADDRESS(ROW(),COLUMN(NOTA[ID]))),-1)))</f>
        <v/>
      </c>
      <c r="AJ817" s="55" t="str">
        <f ca="1">IF(NOTA[[#This Row],[ID_H]]="","",IF(NOTA[[#This Row],[FAKTUR]]="",INDIRECT(ADDRESS(ROW()-1,COLUMN())),NOTA[[#This Row],[FAKTUR]]))</f>
        <v/>
      </c>
      <c r="AK817" s="56" t="str">
        <f ca="1">IF(NOTA[[#This Row],[ID]]="","",COUNTIF(NOTA[ID_H],NOTA[[#This Row],[ID_H]]))</f>
        <v/>
      </c>
      <c r="AL817" s="56" t="str">
        <f ca="1">IF(NOTA[[#This Row],[TGL.NOTA]]="",IF(NOTA[[#This Row],[SUPPLIER_H]]="","",AL816),MONTH(NOTA[[#This Row],[TGL.NOTA]]))</f>
        <v/>
      </c>
      <c r="AM817" s="56" t="str">
        <f>LOWER(SUBSTITUTE(SUBSTITUTE(SUBSTITUTE(SUBSTITUTE(SUBSTITUTE(SUBSTITUTE(SUBSTITUTE(SUBSTITUTE(SUBSTITUTE(NOTA[NAMA BARANG]," ",),".",""),"-",""),"(",""),")",""),",",""),"/",""),"""",""),"+",""))</f>
        <v/>
      </c>
      <c r="AN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56" t="str">
        <f>IF(NOTA[[#This Row],[CONCAT4]]="","",_xlfn.IFNA(MATCH(NOTA[[#This Row],[CONCAT4]],[2]!RAW[CONCAT_H],0),FALSE))</f>
        <v/>
      </c>
      <c r="AR817" s="56" t="str">
        <f>IF(NOTA[[#This Row],[CONCAT1]]="","",MATCH(NOTA[[#This Row],[CONCAT1]],[3]!db[NB NOTA_C],0))</f>
        <v/>
      </c>
      <c r="AS817" s="56" t="str">
        <f>IF(NOTA[[#This Row],[QTY/ CTN]]="","",TRUE)</f>
        <v/>
      </c>
      <c r="AT817" s="56" t="str">
        <f ca="1">IF(NOTA[[#This Row],[ID_H]]="","",IF(NOTA[[#This Row],[Column3]]=TRUE,NOTA[[#This Row],[QTY/ CTN]],INDEX([3]!db[QTY/ CTN],NOTA[[#This Row],[//DB]])))</f>
        <v/>
      </c>
      <c r="AU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7" s="56" t="str">
        <f ca="1">IF(NOTA[[#This Row],[ID_H]]="","",MATCH(NOTA[[#This Row],[NB NOTA_C_QTY]],[4]!db[NB NOTA_C_QTY+F],0))</f>
        <v/>
      </c>
      <c r="AW817" s="68" t="str">
        <f ca="1">IF(NOTA[[#This Row],[NB NOTA_C_QTY]]="","",ROW()-2)</f>
        <v/>
      </c>
    </row>
    <row r="818" spans="1:49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8" s="66" t="str">
        <f>IF(OR(NOTA[[#This Row],[QTY]]="",NOTA[[#This Row],[HARGA SATUAN]]="",),"",NOTA[[#This Row],[QTY]]*NOTA[[#This Row],[HARGA SATUAN]])</f>
        <v/>
      </c>
      <c r="AH818" s="60" t="str">
        <f ca="1">IF(NOTA[ID_H]="","",INDEX(NOTA[TANGGAL],MATCH(,INDIRECT(ADDRESS(ROW(NOTA[TANGGAL]),COLUMN(NOTA[TANGGAL]))&amp;":"&amp;ADDRESS(ROW(),COLUMN(NOTA[TANGGAL]))),-1)))</f>
        <v/>
      </c>
      <c r="AI818" s="55" t="str">
        <f ca="1">IF(NOTA[[#This Row],[NAMA BARANG]]="","",INDEX(NOTA[SUPPLIER],MATCH(,INDIRECT(ADDRESS(ROW(NOTA[ID]),COLUMN(NOTA[ID]))&amp;":"&amp;ADDRESS(ROW(),COLUMN(NOTA[ID]))),-1)))</f>
        <v/>
      </c>
      <c r="AJ818" s="55" t="str">
        <f ca="1">IF(NOTA[[#This Row],[ID_H]]="","",IF(NOTA[[#This Row],[FAKTUR]]="",INDIRECT(ADDRESS(ROW()-1,COLUMN())),NOTA[[#This Row],[FAKTUR]]))</f>
        <v/>
      </c>
      <c r="AK818" s="56" t="str">
        <f ca="1">IF(NOTA[[#This Row],[ID]]="","",COUNTIF(NOTA[ID_H],NOTA[[#This Row],[ID_H]]))</f>
        <v/>
      </c>
      <c r="AL818" s="56" t="str">
        <f ca="1">IF(NOTA[[#This Row],[TGL.NOTA]]="",IF(NOTA[[#This Row],[SUPPLIER_H]]="","",AL817),MONTH(NOTA[[#This Row],[TGL.NOTA]]))</f>
        <v/>
      </c>
      <c r="AM818" s="56" t="str">
        <f>LOWER(SUBSTITUTE(SUBSTITUTE(SUBSTITUTE(SUBSTITUTE(SUBSTITUTE(SUBSTITUTE(SUBSTITUTE(SUBSTITUTE(SUBSTITUTE(NOTA[NAMA BARANG]," ",),".",""),"-",""),"(",""),")",""),",",""),"/",""),"""",""),"+",""))</f>
        <v/>
      </c>
      <c r="AN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56" t="str">
        <f>IF(NOTA[[#This Row],[CONCAT4]]="","",_xlfn.IFNA(MATCH(NOTA[[#This Row],[CONCAT4]],[2]!RAW[CONCAT_H],0),FALSE))</f>
        <v/>
      </c>
      <c r="AR818" s="56" t="str">
        <f>IF(NOTA[[#This Row],[CONCAT1]]="","",MATCH(NOTA[[#This Row],[CONCAT1]],[3]!db[NB NOTA_C],0))</f>
        <v/>
      </c>
      <c r="AS818" s="56" t="str">
        <f>IF(NOTA[[#This Row],[QTY/ CTN]]="","",TRUE)</f>
        <v/>
      </c>
      <c r="AT818" s="56" t="str">
        <f ca="1">IF(NOTA[[#This Row],[ID_H]]="","",IF(NOTA[[#This Row],[Column3]]=TRUE,NOTA[[#This Row],[QTY/ CTN]],INDEX([3]!db[QTY/ CTN],NOTA[[#This Row],[//DB]])))</f>
        <v/>
      </c>
      <c r="AU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8" s="56" t="str">
        <f ca="1">IF(NOTA[[#This Row],[ID_H]]="","",MATCH(NOTA[[#This Row],[NB NOTA_C_QTY]],[4]!db[NB NOTA_C_QTY+F],0))</f>
        <v/>
      </c>
      <c r="AW818" s="68" t="str">
        <f ca="1">IF(NOTA[[#This Row],[NB NOTA_C_QTY]]="","",ROW()-2)</f>
        <v/>
      </c>
    </row>
    <row r="819" spans="1:49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19" s="66" t="str">
        <f>IF(OR(NOTA[[#This Row],[QTY]]="",NOTA[[#This Row],[HARGA SATUAN]]="",),"",NOTA[[#This Row],[QTY]]*NOTA[[#This Row],[HARGA SATUAN]])</f>
        <v/>
      </c>
      <c r="AH819" s="60" t="str">
        <f ca="1">IF(NOTA[ID_H]="","",INDEX(NOTA[TANGGAL],MATCH(,INDIRECT(ADDRESS(ROW(NOTA[TANGGAL]),COLUMN(NOTA[TANGGAL]))&amp;":"&amp;ADDRESS(ROW(),COLUMN(NOTA[TANGGAL]))),-1)))</f>
        <v/>
      </c>
      <c r="AI819" s="55" t="str">
        <f ca="1">IF(NOTA[[#This Row],[NAMA BARANG]]="","",INDEX(NOTA[SUPPLIER],MATCH(,INDIRECT(ADDRESS(ROW(NOTA[ID]),COLUMN(NOTA[ID]))&amp;":"&amp;ADDRESS(ROW(),COLUMN(NOTA[ID]))),-1)))</f>
        <v/>
      </c>
      <c r="AJ819" s="55" t="str">
        <f ca="1">IF(NOTA[[#This Row],[ID_H]]="","",IF(NOTA[[#This Row],[FAKTUR]]="",INDIRECT(ADDRESS(ROW()-1,COLUMN())),NOTA[[#This Row],[FAKTUR]]))</f>
        <v/>
      </c>
      <c r="AK819" s="56" t="str">
        <f ca="1">IF(NOTA[[#This Row],[ID]]="","",COUNTIF(NOTA[ID_H],NOTA[[#This Row],[ID_H]]))</f>
        <v/>
      </c>
      <c r="AL819" s="56" t="str">
        <f ca="1">IF(NOTA[[#This Row],[TGL.NOTA]]="",IF(NOTA[[#This Row],[SUPPLIER_H]]="","",AL818),MONTH(NOTA[[#This Row],[TGL.NOTA]]))</f>
        <v/>
      </c>
      <c r="AM819" s="56" t="str">
        <f>LOWER(SUBSTITUTE(SUBSTITUTE(SUBSTITUTE(SUBSTITUTE(SUBSTITUTE(SUBSTITUTE(SUBSTITUTE(SUBSTITUTE(SUBSTITUTE(NOTA[NAMA BARANG]," ",),".",""),"-",""),"(",""),")",""),",",""),"/",""),"""",""),"+",""))</f>
        <v/>
      </c>
      <c r="AN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56" t="str">
        <f>IF(NOTA[[#This Row],[CONCAT4]]="","",_xlfn.IFNA(MATCH(NOTA[[#This Row],[CONCAT4]],[2]!RAW[CONCAT_H],0),FALSE))</f>
        <v/>
      </c>
      <c r="AR819" s="56" t="str">
        <f>IF(NOTA[[#This Row],[CONCAT1]]="","",MATCH(NOTA[[#This Row],[CONCAT1]],[3]!db[NB NOTA_C],0))</f>
        <v/>
      </c>
      <c r="AS819" s="56" t="str">
        <f>IF(NOTA[[#This Row],[QTY/ CTN]]="","",TRUE)</f>
        <v/>
      </c>
      <c r="AT819" s="56" t="str">
        <f ca="1">IF(NOTA[[#This Row],[ID_H]]="","",IF(NOTA[[#This Row],[Column3]]=TRUE,NOTA[[#This Row],[QTY/ CTN]],INDEX([3]!db[QTY/ CTN],NOTA[[#This Row],[//DB]])))</f>
        <v/>
      </c>
      <c r="AU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9" s="56" t="str">
        <f ca="1">IF(NOTA[[#This Row],[ID_H]]="","",MATCH(NOTA[[#This Row],[NB NOTA_C_QTY]],[4]!db[NB NOTA_C_QTY+F],0))</f>
        <v/>
      </c>
      <c r="AW819" s="68" t="str">
        <f ca="1">IF(NOTA[[#This Row],[NB NOTA_C_QTY]]="","",ROW()-2)</f>
        <v/>
      </c>
    </row>
    <row r="820" spans="1:49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0" s="66" t="str">
        <f>IF(OR(NOTA[[#This Row],[QTY]]="",NOTA[[#This Row],[HARGA SATUAN]]="",),"",NOTA[[#This Row],[QTY]]*NOTA[[#This Row],[HARGA SATUAN]])</f>
        <v/>
      </c>
      <c r="AH820" s="60" t="str">
        <f ca="1">IF(NOTA[ID_H]="","",INDEX(NOTA[TANGGAL],MATCH(,INDIRECT(ADDRESS(ROW(NOTA[TANGGAL]),COLUMN(NOTA[TANGGAL]))&amp;":"&amp;ADDRESS(ROW(),COLUMN(NOTA[TANGGAL]))),-1)))</f>
        <v/>
      </c>
      <c r="AI820" s="55" t="str">
        <f ca="1">IF(NOTA[[#This Row],[NAMA BARANG]]="","",INDEX(NOTA[SUPPLIER],MATCH(,INDIRECT(ADDRESS(ROW(NOTA[ID]),COLUMN(NOTA[ID]))&amp;":"&amp;ADDRESS(ROW(),COLUMN(NOTA[ID]))),-1)))</f>
        <v/>
      </c>
      <c r="AJ820" s="55" t="str">
        <f ca="1">IF(NOTA[[#This Row],[ID_H]]="","",IF(NOTA[[#This Row],[FAKTUR]]="",INDIRECT(ADDRESS(ROW()-1,COLUMN())),NOTA[[#This Row],[FAKTUR]]))</f>
        <v/>
      </c>
      <c r="AK820" s="56" t="str">
        <f ca="1">IF(NOTA[[#This Row],[ID]]="","",COUNTIF(NOTA[ID_H],NOTA[[#This Row],[ID_H]]))</f>
        <v/>
      </c>
      <c r="AL820" s="56" t="str">
        <f ca="1">IF(NOTA[[#This Row],[TGL.NOTA]]="",IF(NOTA[[#This Row],[SUPPLIER_H]]="","",AL819),MONTH(NOTA[[#This Row],[TGL.NOTA]]))</f>
        <v/>
      </c>
      <c r="AM820" s="56" t="str">
        <f>LOWER(SUBSTITUTE(SUBSTITUTE(SUBSTITUTE(SUBSTITUTE(SUBSTITUTE(SUBSTITUTE(SUBSTITUTE(SUBSTITUTE(SUBSTITUTE(NOTA[NAMA BARANG]," ",),".",""),"-",""),"(",""),")",""),",",""),"/",""),"""",""),"+",""))</f>
        <v/>
      </c>
      <c r="AN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56" t="str">
        <f>IF(NOTA[[#This Row],[CONCAT4]]="","",_xlfn.IFNA(MATCH(NOTA[[#This Row],[CONCAT4]],[2]!RAW[CONCAT_H],0),FALSE))</f>
        <v/>
      </c>
      <c r="AR820" s="56" t="str">
        <f>IF(NOTA[[#This Row],[CONCAT1]]="","",MATCH(NOTA[[#This Row],[CONCAT1]],[3]!db[NB NOTA_C],0))</f>
        <v/>
      </c>
      <c r="AS820" s="56" t="str">
        <f>IF(NOTA[[#This Row],[QTY/ CTN]]="","",TRUE)</f>
        <v/>
      </c>
      <c r="AT820" s="56" t="str">
        <f ca="1">IF(NOTA[[#This Row],[ID_H]]="","",IF(NOTA[[#This Row],[Column3]]=TRUE,NOTA[[#This Row],[QTY/ CTN]],INDEX([3]!db[QTY/ CTN],NOTA[[#This Row],[//DB]])))</f>
        <v/>
      </c>
      <c r="AU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0" s="56" t="str">
        <f ca="1">IF(NOTA[[#This Row],[ID_H]]="","",MATCH(NOTA[[#This Row],[NB NOTA_C_QTY]],[4]!db[NB NOTA_C_QTY+F],0))</f>
        <v/>
      </c>
      <c r="AW820" s="68" t="str">
        <f ca="1">IF(NOTA[[#This Row],[NB NOTA_C_QTY]]="","",ROW()-2)</f>
        <v/>
      </c>
    </row>
    <row r="821" spans="1:49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1" s="66" t="str">
        <f>IF(OR(NOTA[[#This Row],[QTY]]="",NOTA[[#This Row],[HARGA SATUAN]]="",),"",NOTA[[#This Row],[QTY]]*NOTA[[#This Row],[HARGA SATUAN]])</f>
        <v/>
      </c>
      <c r="AH821" s="60" t="str">
        <f ca="1">IF(NOTA[ID_H]="","",INDEX(NOTA[TANGGAL],MATCH(,INDIRECT(ADDRESS(ROW(NOTA[TANGGAL]),COLUMN(NOTA[TANGGAL]))&amp;":"&amp;ADDRESS(ROW(),COLUMN(NOTA[TANGGAL]))),-1)))</f>
        <v/>
      </c>
      <c r="AI821" s="55" t="str">
        <f ca="1">IF(NOTA[[#This Row],[NAMA BARANG]]="","",INDEX(NOTA[SUPPLIER],MATCH(,INDIRECT(ADDRESS(ROW(NOTA[ID]),COLUMN(NOTA[ID]))&amp;":"&amp;ADDRESS(ROW(),COLUMN(NOTA[ID]))),-1)))</f>
        <v/>
      </c>
      <c r="AJ821" s="55" t="str">
        <f ca="1">IF(NOTA[[#This Row],[ID_H]]="","",IF(NOTA[[#This Row],[FAKTUR]]="",INDIRECT(ADDRESS(ROW()-1,COLUMN())),NOTA[[#This Row],[FAKTUR]]))</f>
        <v/>
      </c>
      <c r="AK821" s="56" t="str">
        <f ca="1">IF(NOTA[[#This Row],[ID]]="","",COUNTIF(NOTA[ID_H],NOTA[[#This Row],[ID_H]]))</f>
        <v/>
      </c>
      <c r="AL821" s="56" t="str">
        <f ca="1">IF(NOTA[[#This Row],[TGL.NOTA]]="",IF(NOTA[[#This Row],[SUPPLIER_H]]="","",AL820),MONTH(NOTA[[#This Row],[TGL.NOTA]]))</f>
        <v/>
      </c>
      <c r="AM821" s="56" t="str">
        <f>LOWER(SUBSTITUTE(SUBSTITUTE(SUBSTITUTE(SUBSTITUTE(SUBSTITUTE(SUBSTITUTE(SUBSTITUTE(SUBSTITUTE(SUBSTITUTE(NOTA[NAMA BARANG]," ",),".",""),"-",""),"(",""),")",""),",",""),"/",""),"""",""),"+",""))</f>
        <v/>
      </c>
      <c r="AN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56" t="str">
        <f>IF(NOTA[[#This Row],[CONCAT4]]="","",_xlfn.IFNA(MATCH(NOTA[[#This Row],[CONCAT4]],[2]!RAW[CONCAT_H],0),FALSE))</f>
        <v/>
      </c>
      <c r="AR821" s="56" t="str">
        <f>IF(NOTA[[#This Row],[CONCAT1]]="","",MATCH(NOTA[[#This Row],[CONCAT1]],[3]!db[NB NOTA_C],0))</f>
        <v/>
      </c>
      <c r="AS821" s="56" t="str">
        <f>IF(NOTA[[#This Row],[QTY/ CTN]]="","",TRUE)</f>
        <v/>
      </c>
      <c r="AT821" s="56" t="str">
        <f ca="1">IF(NOTA[[#This Row],[ID_H]]="","",IF(NOTA[[#This Row],[Column3]]=TRUE,NOTA[[#This Row],[QTY/ CTN]],INDEX([3]!db[QTY/ CTN],NOTA[[#This Row],[//DB]])))</f>
        <v/>
      </c>
      <c r="AU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1" s="56" t="str">
        <f ca="1">IF(NOTA[[#This Row],[ID_H]]="","",MATCH(NOTA[[#This Row],[NB NOTA_C_QTY]],[4]!db[NB NOTA_C_QTY+F],0))</f>
        <v/>
      </c>
      <c r="AW821" s="68" t="str">
        <f ca="1">IF(NOTA[[#This Row],[NB NOTA_C_QTY]]="","",ROW()-2)</f>
        <v/>
      </c>
    </row>
    <row r="822" spans="1:49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2" s="66" t="str">
        <f>IF(OR(NOTA[[#This Row],[QTY]]="",NOTA[[#This Row],[HARGA SATUAN]]="",),"",NOTA[[#This Row],[QTY]]*NOTA[[#This Row],[HARGA SATUAN]])</f>
        <v/>
      </c>
      <c r="AH822" s="60" t="str">
        <f ca="1">IF(NOTA[ID_H]="","",INDEX(NOTA[TANGGAL],MATCH(,INDIRECT(ADDRESS(ROW(NOTA[TANGGAL]),COLUMN(NOTA[TANGGAL]))&amp;":"&amp;ADDRESS(ROW(),COLUMN(NOTA[TANGGAL]))),-1)))</f>
        <v/>
      </c>
      <c r="AI822" s="55" t="str">
        <f ca="1">IF(NOTA[[#This Row],[NAMA BARANG]]="","",INDEX(NOTA[SUPPLIER],MATCH(,INDIRECT(ADDRESS(ROW(NOTA[ID]),COLUMN(NOTA[ID]))&amp;":"&amp;ADDRESS(ROW(),COLUMN(NOTA[ID]))),-1)))</f>
        <v/>
      </c>
      <c r="AJ822" s="55" t="str">
        <f ca="1">IF(NOTA[[#This Row],[ID_H]]="","",IF(NOTA[[#This Row],[FAKTUR]]="",INDIRECT(ADDRESS(ROW()-1,COLUMN())),NOTA[[#This Row],[FAKTUR]]))</f>
        <v/>
      </c>
      <c r="AK822" s="56" t="str">
        <f ca="1">IF(NOTA[[#This Row],[ID]]="","",COUNTIF(NOTA[ID_H],NOTA[[#This Row],[ID_H]]))</f>
        <v/>
      </c>
      <c r="AL822" s="56" t="str">
        <f ca="1">IF(NOTA[[#This Row],[TGL.NOTA]]="",IF(NOTA[[#This Row],[SUPPLIER_H]]="","",AL821),MONTH(NOTA[[#This Row],[TGL.NOTA]]))</f>
        <v/>
      </c>
      <c r="AM822" s="56" t="str">
        <f>LOWER(SUBSTITUTE(SUBSTITUTE(SUBSTITUTE(SUBSTITUTE(SUBSTITUTE(SUBSTITUTE(SUBSTITUTE(SUBSTITUTE(SUBSTITUTE(NOTA[NAMA BARANG]," ",),".",""),"-",""),"(",""),")",""),",",""),"/",""),"""",""),"+",""))</f>
        <v/>
      </c>
      <c r="AN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56" t="str">
        <f>IF(NOTA[[#This Row],[CONCAT4]]="","",_xlfn.IFNA(MATCH(NOTA[[#This Row],[CONCAT4]],[2]!RAW[CONCAT_H],0),FALSE))</f>
        <v/>
      </c>
      <c r="AR822" s="56" t="str">
        <f>IF(NOTA[[#This Row],[CONCAT1]]="","",MATCH(NOTA[[#This Row],[CONCAT1]],[3]!db[NB NOTA_C],0))</f>
        <v/>
      </c>
      <c r="AS822" s="56" t="str">
        <f>IF(NOTA[[#This Row],[QTY/ CTN]]="","",TRUE)</f>
        <v/>
      </c>
      <c r="AT822" s="56" t="str">
        <f ca="1">IF(NOTA[[#This Row],[ID_H]]="","",IF(NOTA[[#This Row],[Column3]]=TRUE,NOTA[[#This Row],[QTY/ CTN]],INDEX([3]!db[QTY/ CTN],NOTA[[#This Row],[//DB]])))</f>
        <v/>
      </c>
      <c r="AU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2" s="56" t="str">
        <f ca="1">IF(NOTA[[#This Row],[ID_H]]="","",MATCH(NOTA[[#This Row],[NB NOTA_C_QTY]],[4]!db[NB NOTA_C_QTY+F],0))</f>
        <v/>
      </c>
      <c r="AW822" s="68" t="str">
        <f ca="1">IF(NOTA[[#This Row],[NB NOTA_C_QTY]]="","",ROW()-2)</f>
        <v/>
      </c>
    </row>
    <row r="823" spans="1:49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3" s="66" t="str">
        <f>IF(OR(NOTA[[#This Row],[QTY]]="",NOTA[[#This Row],[HARGA SATUAN]]="",),"",NOTA[[#This Row],[QTY]]*NOTA[[#This Row],[HARGA SATUAN]])</f>
        <v/>
      </c>
      <c r="AH823" s="60" t="str">
        <f ca="1">IF(NOTA[ID_H]="","",INDEX(NOTA[TANGGAL],MATCH(,INDIRECT(ADDRESS(ROW(NOTA[TANGGAL]),COLUMN(NOTA[TANGGAL]))&amp;":"&amp;ADDRESS(ROW(),COLUMN(NOTA[TANGGAL]))),-1)))</f>
        <v/>
      </c>
      <c r="AI823" s="55" t="str">
        <f ca="1">IF(NOTA[[#This Row],[NAMA BARANG]]="","",INDEX(NOTA[SUPPLIER],MATCH(,INDIRECT(ADDRESS(ROW(NOTA[ID]),COLUMN(NOTA[ID]))&amp;":"&amp;ADDRESS(ROW(),COLUMN(NOTA[ID]))),-1)))</f>
        <v/>
      </c>
      <c r="AJ823" s="55" t="str">
        <f ca="1">IF(NOTA[[#This Row],[ID_H]]="","",IF(NOTA[[#This Row],[FAKTUR]]="",INDIRECT(ADDRESS(ROW()-1,COLUMN())),NOTA[[#This Row],[FAKTUR]]))</f>
        <v/>
      </c>
      <c r="AK823" s="56" t="str">
        <f ca="1">IF(NOTA[[#This Row],[ID]]="","",COUNTIF(NOTA[ID_H],NOTA[[#This Row],[ID_H]]))</f>
        <v/>
      </c>
      <c r="AL823" s="56" t="str">
        <f ca="1">IF(NOTA[[#This Row],[TGL.NOTA]]="",IF(NOTA[[#This Row],[SUPPLIER_H]]="","",AL822),MONTH(NOTA[[#This Row],[TGL.NOTA]]))</f>
        <v/>
      </c>
      <c r="AM823" s="56" t="str">
        <f>LOWER(SUBSTITUTE(SUBSTITUTE(SUBSTITUTE(SUBSTITUTE(SUBSTITUTE(SUBSTITUTE(SUBSTITUTE(SUBSTITUTE(SUBSTITUTE(NOTA[NAMA BARANG]," ",),".",""),"-",""),"(",""),")",""),",",""),"/",""),"""",""),"+",""))</f>
        <v/>
      </c>
      <c r="AN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56" t="str">
        <f>IF(NOTA[[#This Row],[CONCAT4]]="","",_xlfn.IFNA(MATCH(NOTA[[#This Row],[CONCAT4]],[2]!RAW[CONCAT_H],0),FALSE))</f>
        <v/>
      </c>
      <c r="AR823" s="56" t="str">
        <f>IF(NOTA[[#This Row],[CONCAT1]]="","",MATCH(NOTA[[#This Row],[CONCAT1]],[3]!db[NB NOTA_C],0))</f>
        <v/>
      </c>
      <c r="AS823" s="56" t="str">
        <f>IF(NOTA[[#This Row],[QTY/ CTN]]="","",TRUE)</f>
        <v/>
      </c>
      <c r="AT823" s="56" t="str">
        <f ca="1">IF(NOTA[[#This Row],[ID_H]]="","",IF(NOTA[[#This Row],[Column3]]=TRUE,NOTA[[#This Row],[QTY/ CTN]],INDEX([3]!db[QTY/ CTN],NOTA[[#This Row],[//DB]])))</f>
        <v/>
      </c>
      <c r="AU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3" s="56" t="str">
        <f ca="1">IF(NOTA[[#This Row],[ID_H]]="","",MATCH(NOTA[[#This Row],[NB NOTA_C_QTY]],[4]!db[NB NOTA_C_QTY+F],0))</f>
        <v/>
      </c>
      <c r="AW823" s="68" t="str">
        <f ca="1">IF(NOTA[[#This Row],[NB NOTA_C_QTY]]="","",ROW()-2)</f>
        <v/>
      </c>
    </row>
    <row r="824" spans="1:49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4" s="66" t="str">
        <f>IF(OR(NOTA[[#This Row],[QTY]]="",NOTA[[#This Row],[HARGA SATUAN]]="",),"",NOTA[[#This Row],[QTY]]*NOTA[[#This Row],[HARGA SATUAN]])</f>
        <v/>
      </c>
      <c r="AH824" s="60" t="str">
        <f ca="1">IF(NOTA[ID_H]="","",INDEX(NOTA[TANGGAL],MATCH(,INDIRECT(ADDRESS(ROW(NOTA[TANGGAL]),COLUMN(NOTA[TANGGAL]))&amp;":"&amp;ADDRESS(ROW(),COLUMN(NOTA[TANGGAL]))),-1)))</f>
        <v/>
      </c>
      <c r="AI824" s="55" t="str">
        <f ca="1">IF(NOTA[[#This Row],[NAMA BARANG]]="","",INDEX(NOTA[SUPPLIER],MATCH(,INDIRECT(ADDRESS(ROW(NOTA[ID]),COLUMN(NOTA[ID]))&amp;":"&amp;ADDRESS(ROW(),COLUMN(NOTA[ID]))),-1)))</f>
        <v/>
      </c>
      <c r="AJ824" s="55" t="str">
        <f ca="1">IF(NOTA[[#This Row],[ID_H]]="","",IF(NOTA[[#This Row],[FAKTUR]]="",INDIRECT(ADDRESS(ROW()-1,COLUMN())),NOTA[[#This Row],[FAKTUR]]))</f>
        <v/>
      </c>
      <c r="AK824" s="56" t="str">
        <f ca="1">IF(NOTA[[#This Row],[ID]]="","",COUNTIF(NOTA[ID_H],NOTA[[#This Row],[ID_H]]))</f>
        <v/>
      </c>
      <c r="AL824" s="56" t="str">
        <f ca="1">IF(NOTA[[#This Row],[TGL.NOTA]]="",IF(NOTA[[#This Row],[SUPPLIER_H]]="","",AL823),MONTH(NOTA[[#This Row],[TGL.NOTA]]))</f>
        <v/>
      </c>
      <c r="AM824" s="56" t="str">
        <f>LOWER(SUBSTITUTE(SUBSTITUTE(SUBSTITUTE(SUBSTITUTE(SUBSTITUTE(SUBSTITUTE(SUBSTITUTE(SUBSTITUTE(SUBSTITUTE(NOTA[NAMA BARANG]," ",),".",""),"-",""),"(",""),")",""),",",""),"/",""),"""",""),"+",""))</f>
        <v/>
      </c>
      <c r="AN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4" s="56" t="str">
        <f>IF(NOTA[[#This Row],[CONCAT4]]="","",_xlfn.IFNA(MATCH(NOTA[[#This Row],[CONCAT4]],[2]!RAW[CONCAT_H],0),FALSE))</f>
        <v/>
      </c>
      <c r="AR824" s="56" t="str">
        <f>IF(NOTA[[#This Row],[CONCAT1]]="","",MATCH(NOTA[[#This Row],[CONCAT1]],[3]!db[NB NOTA_C],0))</f>
        <v/>
      </c>
      <c r="AS824" s="56" t="str">
        <f>IF(NOTA[[#This Row],[QTY/ CTN]]="","",TRUE)</f>
        <v/>
      </c>
      <c r="AT824" s="56" t="str">
        <f ca="1">IF(NOTA[[#This Row],[ID_H]]="","",IF(NOTA[[#This Row],[Column3]]=TRUE,NOTA[[#This Row],[QTY/ CTN]],INDEX([3]!db[QTY/ CTN],NOTA[[#This Row],[//DB]])))</f>
        <v/>
      </c>
      <c r="AU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4" s="56" t="str">
        <f ca="1">IF(NOTA[[#This Row],[ID_H]]="","",MATCH(NOTA[[#This Row],[NB NOTA_C_QTY]],[4]!db[NB NOTA_C_QTY+F],0))</f>
        <v/>
      </c>
      <c r="AW824" s="68" t="str">
        <f ca="1">IF(NOTA[[#This Row],[NB NOTA_C_QTY]]="","",ROW()-2)</f>
        <v/>
      </c>
    </row>
    <row r="825" spans="1:49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5" s="66" t="str">
        <f>IF(OR(NOTA[[#This Row],[QTY]]="",NOTA[[#This Row],[HARGA SATUAN]]="",),"",NOTA[[#This Row],[QTY]]*NOTA[[#This Row],[HARGA SATUAN]])</f>
        <v/>
      </c>
      <c r="AH825" s="60" t="str">
        <f ca="1">IF(NOTA[ID_H]="","",INDEX(NOTA[TANGGAL],MATCH(,INDIRECT(ADDRESS(ROW(NOTA[TANGGAL]),COLUMN(NOTA[TANGGAL]))&amp;":"&amp;ADDRESS(ROW(),COLUMN(NOTA[TANGGAL]))),-1)))</f>
        <v/>
      </c>
      <c r="AI825" s="55" t="str">
        <f ca="1">IF(NOTA[[#This Row],[NAMA BARANG]]="","",INDEX(NOTA[SUPPLIER],MATCH(,INDIRECT(ADDRESS(ROW(NOTA[ID]),COLUMN(NOTA[ID]))&amp;":"&amp;ADDRESS(ROW(),COLUMN(NOTA[ID]))),-1)))</f>
        <v/>
      </c>
      <c r="AJ825" s="55" t="str">
        <f ca="1">IF(NOTA[[#This Row],[ID_H]]="","",IF(NOTA[[#This Row],[FAKTUR]]="",INDIRECT(ADDRESS(ROW()-1,COLUMN())),NOTA[[#This Row],[FAKTUR]]))</f>
        <v/>
      </c>
      <c r="AK825" s="56" t="str">
        <f ca="1">IF(NOTA[[#This Row],[ID]]="","",COUNTIF(NOTA[ID_H],NOTA[[#This Row],[ID_H]]))</f>
        <v/>
      </c>
      <c r="AL825" s="56" t="str">
        <f ca="1">IF(NOTA[[#This Row],[TGL.NOTA]]="",IF(NOTA[[#This Row],[SUPPLIER_H]]="","",AL824),MONTH(NOTA[[#This Row],[TGL.NOTA]]))</f>
        <v/>
      </c>
      <c r="AM825" s="56" t="str">
        <f>LOWER(SUBSTITUTE(SUBSTITUTE(SUBSTITUTE(SUBSTITUTE(SUBSTITUTE(SUBSTITUTE(SUBSTITUTE(SUBSTITUTE(SUBSTITUTE(NOTA[NAMA BARANG]," ",),".",""),"-",""),"(",""),")",""),",",""),"/",""),"""",""),"+",""))</f>
        <v/>
      </c>
      <c r="AN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56" t="str">
        <f>IF(NOTA[[#This Row],[CONCAT4]]="","",_xlfn.IFNA(MATCH(NOTA[[#This Row],[CONCAT4]],[2]!RAW[CONCAT_H],0),FALSE))</f>
        <v/>
      </c>
      <c r="AR825" s="56" t="str">
        <f>IF(NOTA[[#This Row],[CONCAT1]]="","",MATCH(NOTA[[#This Row],[CONCAT1]],[3]!db[NB NOTA_C],0))</f>
        <v/>
      </c>
      <c r="AS825" s="56" t="str">
        <f>IF(NOTA[[#This Row],[QTY/ CTN]]="","",TRUE)</f>
        <v/>
      </c>
      <c r="AT825" s="56" t="str">
        <f ca="1">IF(NOTA[[#This Row],[ID_H]]="","",IF(NOTA[[#This Row],[Column3]]=TRUE,NOTA[[#This Row],[QTY/ CTN]],INDEX([3]!db[QTY/ CTN],NOTA[[#This Row],[//DB]])))</f>
        <v/>
      </c>
      <c r="AU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5" s="56" t="str">
        <f ca="1">IF(NOTA[[#This Row],[ID_H]]="","",MATCH(NOTA[[#This Row],[NB NOTA_C_QTY]],[4]!db[NB NOTA_C_QTY+F],0))</f>
        <v/>
      </c>
      <c r="AW825" s="68" t="str">
        <f ca="1">IF(NOTA[[#This Row],[NB NOTA_C_QTY]]="","",ROW()-2)</f>
        <v/>
      </c>
    </row>
    <row r="826" spans="1:49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6" s="66" t="str">
        <f>IF(OR(NOTA[[#This Row],[QTY]]="",NOTA[[#This Row],[HARGA SATUAN]]="",),"",NOTA[[#This Row],[QTY]]*NOTA[[#This Row],[HARGA SATUAN]])</f>
        <v/>
      </c>
      <c r="AH826" s="60" t="str">
        <f ca="1">IF(NOTA[ID_H]="","",INDEX(NOTA[TANGGAL],MATCH(,INDIRECT(ADDRESS(ROW(NOTA[TANGGAL]),COLUMN(NOTA[TANGGAL]))&amp;":"&amp;ADDRESS(ROW(),COLUMN(NOTA[TANGGAL]))),-1)))</f>
        <v/>
      </c>
      <c r="AI826" s="55" t="str">
        <f ca="1">IF(NOTA[[#This Row],[NAMA BARANG]]="","",INDEX(NOTA[SUPPLIER],MATCH(,INDIRECT(ADDRESS(ROW(NOTA[ID]),COLUMN(NOTA[ID]))&amp;":"&amp;ADDRESS(ROW(),COLUMN(NOTA[ID]))),-1)))</f>
        <v/>
      </c>
      <c r="AJ826" s="55" t="str">
        <f ca="1">IF(NOTA[[#This Row],[ID_H]]="","",IF(NOTA[[#This Row],[FAKTUR]]="",INDIRECT(ADDRESS(ROW()-1,COLUMN())),NOTA[[#This Row],[FAKTUR]]))</f>
        <v/>
      </c>
      <c r="AK826" s="56" t="str">
        <f ca="1">IF(NOTA[[#This Row],[ID]]="","",COUNTIF(NOTA[ID_H],NOTA[[#This Row],[ID_H]]))</f>
        <v/>
      </c>
      <c r="AL826" s="56" t="str">
        <f ca="1">IF(NOTA[[#This Row],[TGL.NOTA]]="",IF(NOTA[[#This Row],[SUPPLIER_H]]="","",AL825),MONTH(NOTA[[#This Row],[TGL.NOTA]]))</f>
        <v/>
      </c>
      <c r="AM826" s="56" t="str">
        <f>LOWER(SUBSTITUTE(SUBSTITUTE(SUBSTITUTE(SUBSTITUTE(SUBSTITUTE(SUBSTITUTE(SUBSTITUTE(SUBSTITUTE(SUBSTITUTE(NOTA[NAMA BARANG]," ",),".",""),"-",""),"(",""),")",""),",",""),"/",""),"""",""),"+",""))</f>
        <v/>
      </c>
      <c r="AN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56" t="str">
        <f>IF(NOTA[[#This Row],[CONCAT4]]="","",_xlfn.IFNA(MATCH(NOTA[[#This Row],[CONCAT4]],[2]!RAW[CONCAT_H],0),FALSE))</f>
        <v/>
      </c>
      <c r="AR826" s="56" t="str">
        <f>IF(NOTA[[#This Row],[CONCAT1]]="","",MATCH(NOTA[[#This Row],[CONCAT1]],[3]!db[NB NOTA_C],0))</f>
        <v/>
      </c>
      <c r="AS826" s="56" t="str">
        <f>IF(NOTA[[#This Row],[QTY/ CTN]]="","",TRUE)</f>
        <v/>
      </c>
      <c r="AT826" s="56" t="str">
        <f ca="1">IF(NOTA[[#This Row],[ID_H]]="","",IF(NOTA[[#This Row],[Column3]]=TRUE,NOTA[[#This Row],[QTY/ CTN]],INDEX([3]!db[QTY/ CTN],NOTA[[#This Row],[//DB]])))</f>
        <v/>
      </c>
      <c r="AU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6" s="56" t="str">
        <f ca="1">IF(NOTA[[#This Row],[ID_H]]="","",MATCH(NOTA[[#This Row],[NB NOTA_C_QTY]],[4]!db[NB NOTA_C_QTY+F],0))</f>
        <v/>
      </c>
      <c r="AW826" s="68" t="str">
        <f ca="1">IF(NOTA[[#This Row],[NB NOTA_C_QTY]]="","",ROW()-2)</f>
        <v/>
      </c>
    </row>
    <row r="827" spans="1:49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7" s="66" t="str">
        <f>IF(OR(NOTA[[#This Row],[QTY]]="",NOTA[[#This Row],[HARGA SATUAN]]="",),"",NOTA[[#This Row],[QTY]]*NOTA[[#This Row],[HARGA SATUAN]])</f>
        <v/>
      </c>
      <c r="AH827" s="60" t="str">
        <f ca="1">IF(NOTA[ID_H]="","",INDEX(NOTA[TANGGAL],MATCH(,INDIRECT(ADDRESS(ROW(NOTA[TANGGAL]),COLUMN(NOTA[TANGGAL]))&amp;":"&amp;ADDRESS(ROW(),COLUMN(NOTA[TANGGAL]))),-1)))</f>
        <v/>
      </c>
      <c r="AI827" s="55" t="str">
        <f ca="1">IF(NOTA[[#This Row],[NAMA BARANG]]="","",INDEX(NOTA[SUPPLIER],MATCH(,INDIRECT(ADDRESS(ROW(NOTA[ID]),COLUMN(NOTA[ID]))&amp;":"&amp;ADDRESS(ROW(),COLUMN(NOTA[ID]))),-1)))</f>
        <v/>
      </c>
      <c r="AJ827" s="55" t="str">
        <f ca="1">IF(NOTA[[#This Row],[ID_H]]="","",IF(NOTA[[#This Row],[FAKTUR]]="",INDIRECT(ADDRESS(ROW()-1,COLUMN())),NOTA[[#This Row],[FAKTUR]]))</f>
        <v/>
      </c>
      <c r="AK827" s="56" t="str">
        <f ca="1">IF(NOTA[[#This Row],[ID]]="","",COUNTIF(NOTA[ID_H],NOTA[[#This Row],[ID_H]]))</f>
        <v/>
      </c>
      <c r="AL827" s="56" t="str">
        <f ca="1">IF(NOTA[[#This Row],[TGL.NOTA]]="",IF(NOTA[[#This Row],[SUPPLIER_H]]="","",AL826),MONTH(NOTA[[#This Row],[TGL.NOTA]]))</f>
        <v/>
      </c>
      <c r="AM827" s="56" t="str">
        <f>LOWER(SUBSTITUTE(SUBSTITUTE(SUBSTITUTE(SUBSTITUTE(SUBSTITUTE(SUBSTITUTE(SUBSTITUTE(SUBSTITUTE(SUBSTITUTE(NOTA[NAMA BARANG]," ",),".",""),"-",""),"(",""),")",""),",",""),"/",""),"""",""),"+",""))</f>
        <v/>
      </c>
      <c r="AN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56" t="str">
        <f>IF(NOTA[[#This Row],[CONCAT4]]="","",_xlfn.IFNA(MATCH(NOTA[[#This Row],[CONCAT4]],[2]!RAW[CONCAT_H],0),FALSE))</f>
        <v/>
      </c>
      <c r="AR827" s="56" t="str">
        <f>IF(NOTA[[#This Row],[CONCAT1]]="","",MATCH(NOTA[[#This Row],[CONCAT1]],[3]!db[NB NOTA_C],0))</f>
        <v/>
      </c>
      <c r="AS827" s="56" t="str">
        <f>IF(NOTA[[#This Row],[QTY/ CTN]]="","",TRUE)</f>
        <v/>
      </c>
      <c r="AT827" s="56" t="str">
        <f ca="1">IF(NOTA[[#This Row],[ID_H]]="","",IF(NOTA[[#This Row],[Column3]]=TRUE,NOTA[[#This Row],[QTY/ CTN]],INDEX([3]!db[QTY/ CTN],NOTA[[#This Row],[//DB]])))</f>
        <v/>
      </c>
      <c r="AU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7" s="56" t="str">
        <f ca="1">IF(NOTA[[#This Row],[ID_H]]="","",MATCH(NOTA[[#This Row],[NB NOTA_C_QTY]],[4]!db[NB NOTA_C_QTY+F],0))</f>
        <v/>
      </c>
      <c r="AW827" s="68" t="str">
        <f ca="1">IF(NOTA[[#This Row],[NB NOTA_C_QTY]]="","",ROW()-2)</f>
        <v/>
      </c>
    </row>
    <row r="828" spans="1:49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8" s="66" t="str">
        <f>IF(OR(NOTA[[#This Row],[QTY]]="",NOTA[[#This Row],[HARGA SATUAN]]="",),"",NOTA[[#This Row],[QTY]]*NOTA[[#This Row],[HARGA SATUAN]])</f>
        <v/>
      </c>
      <c r="AH828" s="60" t="str">
        <f ca="1">IF(NOTA[ID_H]="","",INDEX(NOTA[TANGGAL],MATCH(,INDIRECT(ADDRESS(ROW(NOTA[TANGGAL]),COLUMN(NOTA[TANGGAL]))&amp;":"&amp;ADDRESS(ROW(),COLUMN(NOTA[TANGGAL]))),-1)))</f>
        <v/>
      </c>
      <c r="AI828" s="55" t="str">
        <f ca="1">IF(NOTA[[#This Row],[NAMA BARANG]]="","",INDEX(NOTA[SUPPLIER],MATCH(,INDIRECT(ADDRESS(ROW(NOTA[ID]),COLUMN(NOTA[ID]))&amp;":"&amp;ADDRESS(ROW(),COLUMN(NOTA[ID]))),-1)))</f>
        <v/>
      </c>
      <c r="AJ828" s="55" t="str">
        <f ca="1">IF(NOTA[[#This Row],[ID_H]]="","",IF(NOTA[[#This Row],[FAKTUR]]="",INDIRECT(ADDRESS(ROW()-1,COLUMN())),NOTA[[#This Row],[FAKTUR]]))</f>
        <v/>
      </c>
      <c r="AK828" s="56" t="str">
        <f ca="1">IF(NOTA[[#This Row],[ID]]="","",COUNTIF(NOTA[ID_H],NOTA[[#This Row],[ID_H]]))</f>
        <v/>
      </c>
      <c r="AL828" s="56" t="str">
        <f ca="1">IF(NOTA[[#This Row],[TGL.NOTA]]="",IF(NOTA[[#This Row],[SUPPLIER_H]]="","",AL827),MONTH(NOTA[[#This Row],[TGL.NOTA]]))</f>
        <v/>
      </c>
      <c r="AM828" s="56" t="str">
        <f>LOWER(SUBSTITUTE(SUBSTITUTE(SUBSTITUTE(SUBSTITUTE(SUBSTITUTE(SUBSTITUTE(SUBSTITUTE(SUBSTITUTE(SUBSTITUTE(NOTA[NAMA BARANG]," ",),".",""),"-",""),"(",""),")",""),",",""),"/",""),"""",""),"+",""))</f>
        <v/>
      </c>
      <c r="AN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56" t="str">
        <f>IF(NOTA[[#This Row],[CONCAT4]]="","",_xlfn.IFNA(MATCH(NOTA[[#This Row],[CONCAT4]],[2]!RAW[CONCAT_H],0),FALSE))</f>
        <v/>
      </c>
      <c r="AR828" s="56" t="str">
        <f>IF(NOTA[[#This Row],[CONCAT1]]="","",MATCH(NOTA[[#This Row],[CONCAT1]],[3]!db[NB NOTA_C],0))</f>
        <v/>
      </c>
      <c r="AS828" s="56" t="str">
        <f>IF(NOTA[[#This Row],[QTY/ CTN]]="","",TRUE)</f>
        <v/>
      </c>
      <c r="AT828" s="56" t="str">
        <f ca="1">IF(NOTA[[#This Row],[ID_H]]="","",IF(NOTA[[#This Row],[Column3]]=TRUE,NOTA[[#This Row],[QTY/ CTN]],INDEX([3]!db[QTY/ CTN],NOTA[[#This Row],[//DB]])))</f>
        <v/>
      </c>
      <c r="AU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8" s="56" t="str">
        <f ca="1">IF(NOTA[[#This Row],[ID_H]]="","",MATCH(NOTA[[#This Row],[NB NOTA_C_QTY]],[4]!db[NB NOTA_C_QTY+F],0))</f>
        <v/>
      </c>
      <c r="AW828" s="68" t="str">
        <f ca="1">IF(NOTA[[#This Row],[NB NOTA_C_QTY]]="","",ROW()-2)</f>
        <v/>
      </c>
    </row>
    <row r="829" spans="1:49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29" s="66" t="str">
        <f>IF(OR(NOTA[[#This Row],[QTY]]="",NOTA[[#This Row],[HARGA SATUAN]]="",),"",NOTA[[#This Row],[QTY]]*NOTA[[#This Row],[HARGA SATUAN]])</f>
        <v/>
      </c>
      <c r="AH829" s="60" t="str">
        <f ca="1">IF(NOTA[ID_H]="","",INDEX(NOTA[TANGGAL],MATCH(,INDIRECT(ADDRESS(ROW(NOTA[TANGGAL]),COLUMN(NOTA[TANGGAL]))&amp;":"&amp;ADDRESS(ROW(),COLUMN(NOTA[TANGGAL]))),-1)))</f>
        <v/>
      </c>
      <c r="AI829" s="55" t="str">
        <f ca="1">IF(NOTA[[#This Row],[NAMA BARANG]]="","",INDEX(NOTA[SUPPLIER],MATCH(,INDIRECT(ADDRESS(ROW(NOTA[ID]),COLUMN(NOTA[ID]))&amp;":"&amp;ADDRESS(ROW(),COLUMN(NOTA[ID]))),-1)))</f>
        <v/>
      </c>
      <c r="AJ829" s="55" t="str">
        <f ca="1">IF(NOTA[[#This Row],[ID_H]]="","",IF(NOTA[[#This Row],[FAKTUR]]="",INDIRECT(ADDRESS(ROW()-1,COLUMN())),NOTA[[#This Row],[FAKTUR]]))</f>
        <v/>
      </c>
      <c r="AK829" s="56" t="str">
        <f ca="1">IF(NOTA[[#This Row],[ID]]="","",COUNTIF(NOTA[ID_H],NOTA[[#This Row],[ID_H]]))</f>
        <v/>
      </c>
      <c r="AL829" s="56" t="str">
        <f ca="1">IF(NOTA[[#This Row],[TGL.NOTA]]="",IF(NOTA[[#This Row],[SUPPLIER_H]]="","",AL828),MONTH(NOTA[[#This Row],[TGL.NOTA]]))</f>
        <v/>
      </c>
      <c r="AM829" s="56" t="str">
        <f>LOWER(SUBSTITUTE(SUBSTITUTE(SUBSTITUTE(SUBSTITUTE(SUBSTITUTE(SUBSTITUTE(SUBSTITUTE(SUBSTITUTE(SUBSTITUTE(NOTA[NAMA BARANG]," ",),".",""),"-",""),"(",""),")",""),",",""),"/",""),"""",""),"+",""))</f>
        <v/>
      </c>
      <c r="AN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56" t="str">
        <f>IF(NOTA[[#This Row],[CONCAT4]]="","",_xlfn.IFNA(MATCH(NOTA[[#This Row],[CONCAT4]],[2]!RAW[CONCAT_H],0),FALSE))</f>
        <v/>
      </c>
      <c r="AR829" s="56" t="str">
        <f>IF(NOTA[[#This Row],[CONCAT1]]="","",MATCH(NOTA[[#This Row],[CONCAT1]],[3]!db[NB NOTA_C],0))</f>
        <v/>
      </c>
      <c r="AS829" s="56" t="str">
        <f>IF(NOTA[[#This Row],[QTY/ CTN]]="","",TRUE)</f>
        <v/>
      </c>
      <c r="AT829" s="56" t="str">
        <f ca="1">IF(NOTA[[#This Row],[ID_H]]="","",IF(NOTA[[#This Row],[Column3]]=TRUE,NOTA[[#This Row],[QTY/ CTN]],INDEX([3]!db[QTY/ CTN],NOTA[[#This Row],[//DB]])))</f>
        <v/>
      </c>
      <c r="AU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9" s="56" t="str">
        <f ca="1">IF(NOTA[[#This Row],[ID_H]]="","",MATCH(NOTA[[#This Row],[NB NOTA_C_QTY]],[4]!db[NB NOTA_C_QTY+F],0))</f>
        <v/>
      </c>
      <c r="AW829" s="68" t="str">
        <f ca="1">IF(NOTA[[#This Row],[NB NOTA_C_QTY]]="","",ROW()-2)</f>
        <v/>
      </c>
    </row>
    <row r="830" spans="1:49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0" s="66" t="str">
        <f>IF(OR(NOTA[[#This Row],[QTY]]="",NOTA[[#This Row],[HARGA SATUAN]]="",),"",NOTA[[#This Row],[QTY]]*NOTA[[#This Row],[HARGA SATUAN]])</f>
        <v/>
      </c>
      <c r="AH830" s="60" t="str">
        <f ca="1">IF(NOTA[ID_H]="","",INDEX(NOTA[TANGGAL],MATCH(,INDIRECT(ADDRESS(ROW(NOTA[TANGGAL]),COLUMN(NOTA[TANGGAL]))&amp;":"&amp;ADDRESS(ROW(),COLUMN(NOTA[TANGGAL]))),-1)))</f>
        <v/>
      </c>
      <c r="AI830" s="55" t="str">
        <f ca="1">IF(NOTA[[#This Row],[NAMA BARANG]]="","",INDEX(NOTA[SUPPLIER],MATCH(,INDIRECT(ADDRESS(ROW(NOTA[ID]),COLUMN(NOTA[ID]))&amp;":"&amp;ADDRESS(ROW(),COLUMN(NOTA[ID]))),-1)))</f>
        <v/>
      </c>
      <c r="AJ830" s="55" t="str">
        <f ca="1">IF(NOTA[[#This Row],[ID_H]]="","",IF(NOTA[[#This Row],[FAKTUR]]="",INDIRECT(ADDRESS(ROW()-1,COLUMN())),NOTA[[#This Row],[FAKTUR]]))</f>
        <v/>
      </c>
      <c r="AK830" s="56" t="str">
        <f ca="1">IF(NOTA[[#This Row],[ID]]="","",COUNTIF(NOTA[ID_H],NOTA[[#This Row],[ID_H]]))</f>
        <v/>
      </c>
      <c r="AL830" s="56" t="str">
        <f ca="1">IF(NOTA[[#This Row],[TGL.NOTA]]="",IF(NOTA[[#This Row],[SUPPLIER_H]]="","",AL829),MONTH(NOTA[[#This Row],[TGL.NOTA]]))</f>
        <v/>
      </c>
      <c r="AM830" s="56" t="str">
        <f>LOWER(SUBSTITUTE(SUBSTITUTE(SUBSTITUTE(SUBSTITUTE(SUBSTITUTE(SUBSTITUTE(SUBSTITUTE(SUBSTITUTE(SUBSTITUTE(NOTA[NAMA BARANG]," ",),".",""),"-",""),"(",""),")",""),",",""),"/",""),"""",""),"+",""))</f>
        <v/>
      </c>
      <c r="AN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56" t="str">
        <f>IF(NOTA[[#This Row],[CONCAT4]]="","",_xlfn.IFNA(MATCH(NOTA[[#This Row],[CONCAT4]],[2]!RAW[CONCAT_H],0),FALSE))</f>
        <v/>
      </c>
      <c r="AR830" s="56" t="str">
        <f>IF(NOTA[[#This Row],[CONCAT1]]="","",MATCH(NOTA[[#This Row],[CONCAT1]],[3]!db[NB NOTA_C],0))</f>
        <v/>
      </c>
      <c r="AS830" s="56" t="str">
        <f>IF(NOTA[[#This Row],[QTY/ CTN]]="","",TRUE)</f>
        <v/>
      </c>
      <c r="AT830" s="56" t="str">
        <f ca="1">IF(NOTA[[#This Row],[ID_H]]="","",IF(NOTA[[#This Row],[Column3]]=TRUE,NOTA[[#This Row],[QTY/ CTN]],INDEX([3]!db[QTY/ CTN],NOTA[[#This Row],[//DB]])))</f>
        <v/>
      </c>
      <c r="AU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0" s="56" t="str">
        <f ca="1">IF(NOTA[[#This Row],[ID_H]]="","",MATCH(NOTA[[#This Row],[NB NOTA_C_QTY]],[4]!db[NB NOTA_C_QTY+F],0))</f>
        <v/>
      </c>
      <c r="AW830" s="68" t="str">
        <f ca="1">IF(NOTA[[#This Row],[NB NOTA_C_QTY]]="","",ROW()-2)</f>
        <v/>
      </c>
    </row>
    <row r="831" spans="1:49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1" s="66" t="str">
        <f>IF(OR(NOTA[[#This Row],[QTY]]="",NOTA[[#This Row],[HARGA SATUAN]]="",),"",NOTA[[#This Row],[QTY]]*NOTA[[#This Row],[HARGA SATUAN]])</f>
        <v/>
      </c>
      <c r="AH831" s="60" t="str">
        <f ca="1">IF(NOTA[ID_H]="","",INDEX(NOTA[TANGGAL],MATCH(,INDIRECT(ADDRESS(ROW(NOTA[TANGGAL]),COLUMN(NOTA[TANGGAL]))&amp;":"&amp;ADDRESS(ROW(),COLUMN(NOTA[TANGGAL]))),-1)))</f>
        <v/>
      </c>
      <c r="AI831" s="55" t="str">
        <f ca="1">IF(NOTA[[#This Row],[NAMA BARANG]]="","",INDEX(NOTA[SUPPLIER],MATCH(,INDIRECT(ADDRESS(ROW(NOTA[ID]),COLUMN(NOTA[ID]))&amp;":"&amp;ADDRESS(ROW(),COLUMN(NOTA[ID]))),-1)))</f>
        <v/>
      </c>
      <c r="AJ831" s="55" t="str">
        <f ca="1">IF(NOTA[[#This Row],[ID_H]]="","",IF(NOTA[[#This Row],[FAKTUR]]="",INDIRECT(ADDRESS(ROW()-1,COLUMN())),NOTA[[#This Row],[FAKTUR]]))</f>
        <v/>
      </c>
      <c r="AK831" s="56" t="str">
        <f ca="1">IF(NOTA[[#This Row],[ID]]="","",COUNTIF(NOTA[ID_H],NOTA[[#This Row],[ID_H]]))</f>
        <v/>
      </c>
      <c r="AL831" s="56" t="str">
        <f ca="1">IF(NOTA[[#This Row],[TGL.NOTA]]="",IF(NOTA[[#This Row],[SUPPLIER_H]]="","",AL830),MONTH(NOTA[[#This Row],[TGL.NOTA]]))</f>
        <v/>
      </c>
      <c r="AM831" s="56" t="str">
        <f>LOWER(SUBSTITUTE(SUBSTITUTE(SUBSTITUTE(SUBSTITUTE(SUBSTITUTE(SUBSTITUTE(SUBSTITUTE(SUBSTITUTE(SUBSTITUTE(NOTA[NAMA BARANG]," ",),".",""),"-",""),"(",""),")",""),",",""),"/",""),"""",""),"+",""))</f>
        <v/>
      </c>
      <c r="AN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56" t="str">
        <f>IF(NOTA[[#This Row],[CONCAT4]]="","",_xlfn.IFNA(MATCH(NOTA[[#This Row],[CONCAT4]],[2]!RAW[CONCAT_H],0),FALSE))</f>
        <v/>
      </c>
      <c r="AR831" s="56" t="str">
        <f>IF(NOTA[[#This Row],[CONCAT1]]="","",MATCH(NOTA[[#This Row],[CONCAT1]],[3]!db[NB NOTA_C],0))</f>
        <v/>
      </c>
      <c r="AS831" s="56" t="str">
        <f>IF(NOTA[[#This Row],[QTY/ CTN]]="","",TRUE)</f>
        <v/>
      </c>
      <c r="AT831" s="56" t="str">
        <f ca="1">IF(NOTA[[#This Row],[ID_H]]="","",IF(NOTA[[#This Row],[Column3]]=TRUE,NOTA[[#This Row],[QTY/ CTN]],INDEX([3]!db[QTY/ CTN],NOTA[[#This Row],[//DB]])))</f>
        <v/>
      </c>
      <c r="AU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1" s="56" t="str">
        <f ca="1">IF(NOTA[[#This Row],[ID_H]]="","",MATCH(NOTA[[#This Row],[NB NOTA_C_QTY]],[4]!db[NB NOTA_C_QTY+F],0))</f>
        <v/>
      </c>
      <c r="AW831" s="68" t="str">
        <f ca="1">IF(NOTA[[#This Row],[NB NOTA_C_QTY]]="","",ROW()-2)</f>
        <v/>
      </c>
    </row>
    <row r="832" spans="1:49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2" s="66" t="str">
        <f>IF(OR(NOTA[[#This Row],[QTY]]="",NOTA[[#This Row],[HARGA SATUAN]]="",),"",NOTA[[#This Row],[QTY]]*NOTA[[#This Row],[HARGA SATUAN]])</f>
        <v/>
      </c>
      <c r="AH832" s="60" t="str">
        <f ca="1">IF(NOTA[ID_H]="","",INDEX(NOTA[TANGGAL],MATCH(,INDIRECT(ADDRESS(ROW(NOTA[TANGGAL]),COLUMN(NOTA[TANGGAL]))&amp;":"&amp;ADDRESS(ROW(),COLUMN(NOTA[TANGGAL]))),-1)))</f>
        <v/>
      </c>
      <c r="AI832" s="55" t="str">
        <f ca="1">IF(NOTA[[#This Row],[NAMA BARANG]]="","",INDEX(NOTA[SUPPLIER],MATCH(,INDIRECT(ADDRESS(ROW(NOTA[ID]),COLUMN(NOTA[ID]))&amp;":"&amp;ADDRESS(ROW(),COLUMN(NOTA[ID]))),-1)))</f>
        <v/>
      </c>
      <c r="AJ832" s="55" t="str">
        <f ca="1">IF(NOTA[[#This Row],[ID_H]]="","",IF(NOTA[[#This Row],[FAKTUR]]="",INDIRECT(ADDRESS(ROW()-1,COLUMN())),NOTA[[#This Row],[FAKTUR]]))</f>
        <v/>
      </c>
      <c r="AK832" s="56" t="str">
        <f ca="1">IF(NOTA[[#This Row],[ID]]="","",COUNTIF(NOTA[ID_H],NOTA[[#This Row],[ID_H]]))</f>
        <v/>
      </c>
      <c r="AL832" s="56" t="str">
        <f ca="1">IF(NOTA[[#This Row],[TGL.NOTA]]="",IF(NOTA[[#This Row],[SUPPLIER_H]]="","",AL831),MONTH(NOTA[[#This Row],[TGL.NOTA]]))</f>
        <v/>
      </c>
      <c r="AM832" s="56" t="str">
        <f>LOWER(SUBSTITUTE(SUBSTITUTE(SUBSTITUTE(SUBSTITUTE(SUBSTITUTE(SUBSTITUTE(SUBSTITUTE(SUBSTITUTE(SUBSTITUTE(NOTA[NAMA BARANG]," ",),".",""),"-",""),"(",""),")",""),",",""),"/",""),"""",""),"+",""))</f>
        <v/>
      </c>
      <c r="AN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56" t="str">
        <f>IF(NOTA[[#This Row],[CONCAT4]]="","",_xlfn.IFNA(MATCH(NOTA[[#This Row],[CONCAT4]],[2]!RAW[CONCAT_H],0),FALSE))</f>
        <v/>
      </c>
      <c r="AR832" s="56" t="str">
        <f>IF(NOTA[[#This Row],[CONCAT1]]="","",MATCH(NOTA[[#This Row],[CONCAT1]],[3]!db[NB NOTA_C],0))</f>
        <v/>
      </c>
      <c r="AS832" s="56" t="str">
        <f>IF(NOTA[[#This Row],[QTY/ CTN]]="","",TRUE)</f>
        <v/>
      </c>
      <c r="AT832" s="56" t="str">
        <f ca="1">IF(NOTA[[#This Row],[ID_H]]="","",IF(NOTA[[#This Row],[Column3]]=TRUE,NOTA[[#This Row],[QTY/ CTN]],INDEX([3]!db[QTY/ CTN],NOTA[[#This Row],[//DB]])))</f>
        <v/>
      </c>
      <c r="AU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2" s="56" t="str">
        <f ca="1">IF(NOTA[[#This Row],[ID_H]]="","",MATCH(NOTA[[#This Row],[NB NOTA_C_QTY]],[4]!db[NB NOTA_C_QTY+F],0))</f>
        <v/>
      </c>
      <c r="AW832" s="68" t="str">
        <f ca="1">IF(NOTA[[#This Row],[NB NOTA_C_QTY]]="","",ROW()-2)</f>
        <v/>
      </c>
    </row>
    <row r="833" spans="1:49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3" s="66" t="str">
        <f>IF(OR(NOTA[[#This Row],[QTY]]="",NOTA[[#This Row],[HARGA SATUAN]]="",),"",NOTA[[#This Row],[QTY]]*NOTA[[#This Row],[HARGA SATUAN]])</f>
        <v/>
      </c>
      <c r="AH833" s="60" t="str">
        <f ca="1">IF(NOTA[ID_H]="","",INDEX(NOTA[TANGGAL],MATCH(,INDIRECT(ADDRESS(ROW(NOTA[TANGGAL]),COLUMN(NOTA[TANGGAL]))&amp;":"&amp;ADDRESS(ROW(),COLUMN(NOTA[TANGGAL]))),-1)))</f>
        <v/>
      </c>
      <c r="AI833" s="55" t="str">
        <f ca="1">IF(NOTA[[#This Row],[NAMA BARANG]]="","",INDEX(NOTA[SUPPLIER],MATCH(,INDIRECT(ADDRESS(ROW(NOTA[ID]),COLUMN(NOTA[ID]))&amp;":"&amp;ADDRESS(ROW(),COLUMN(NOTA[ID]))),-1)))</f>
        <v/>
      </c>
      <c r="AJ833" s="55" t="str">
        <f ca="1">IF(NOTA[[#This Row],[ID_H]]="","",IF(NOTA[[#This Row],[FAKTUR]]="",INDIRECT(ADDRESS(ROW()-1,COLUMN())),NOTA[[#This Row],[FAKTUR]]))</f>
        <v/>
      </c>
      <c r="AK833" s="56" t="str">
        <f ca="1">IF(NOTA[[#This Row],[ID]]="","",COUNTIF(NOTA[ID_H],NOTA[[#This Row],[ID_H]]))</f>
        <v/>
      </c>
      <c r="AL833" s="56" t="str">
        <f ca="1">IF(NOTA[[#This Row],[TGL.NOTA]]="",IF(NOTA[[#This Row],[SUPPLIER_H]]="","",AL832),MONTH(NOTA[[#This Row],[TGL.NOTA]]))</f>
        <v/>
      </c>
      <c r="AM833" s="56" t="str">
        <f>LOWER(SUBSTITUTE(SUBSTITUTE(SUBSTITUTE(SUBSTITUTE(SUBSTITUTE(SUBSTITUTE(SUBSTITUTE(SUBSTITUTE(SUBSTITUTE(NOTA[NAMA BARANG]," ",),".",""),"-",""),"(",""),")",""),",",""),"/",""),"""",""),"+",""))</f>
        <v/>
      </c>
      <c r="AN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56" t="str">
        <f>IF(NOTA[[#This Row],[CONCAT4]]="","",_xlfn.IFNA(MATCH(NOTA[[#This Row],[CONCAT4]],[2]!RAW[CONCAT_H],0),FALSE))</f>
        <v/>
      </c>
      <c r="AR833" s="56" t="str">
        <f>IF(NOTA[[#This Row],[CONCAT1]]="","",MATCH(NOTA[[#This Row],[CONCAT1]],[3]!db[NB NOTA_C],0))</f>
        <v/>
      </c>
      <c r="AS833" s="56" t="str">
        <f>IF(NOTA[[#This Row],[QTY/ CTN]]="","",TRUE)</f>
        <v/>
      </c>
      <c r="AT833" s="56" t="str">
        <f ca="1">IF(NOTA[[#This Row],[ID_H]]="","",IF(NOTA[[#This Row],[Column3]]=TRUE,NOTA[[#This Row],[QTY/ CTN]],INDEX([3]!db[QTY/ CTN],NOTA[[#This Row],[//DB]])))</f>
        <v/>
      </c>
      <c r="AU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3" s="56" t="str">
        <f ca="1">IF(NOTA[[#This Row],[ID_H]]="","",MATCH(NOTA[[#This Row],[NB NOTA_C_QTY]],[4]!db[NB NOTA_C_QTY+F],0))</f>
        <v/>
      </c>
      <c r="AW833" s="68" t="str">
        <f ca="1">IF(NOTA[[#This Row],[NB NOTA_C_QTY]]="","",ROW()-2)</f>
        <v/>
      </c>
    </row>
    <row r="834" spans="1:49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4" s="66" t="str">
        <f>IF(OR(NOTA[[#This Row],[QTY]]="",NOTA[[#This Row],[HARGA SATUAN]]="",),"",NOTA[[#This Row],[QTY]]*NOTA[[#This Row],[HARGA SATUAN]])</f>
        <v/>
      </c>
      <c r="AH834" s="60" t="str">
        <f ca="1">IF(NOTA[ID_H]="","",INDEX(NOTA[TANGGAL],MATCH(,INDIRECT(ADDRESS(ROW(NOTA[TANGGAL]),COLUMN(NOTA[TANGGAL]))&amp;":"&amp;ADDRESS(ROW(),COLUMN(NOTA[TANGGAL]))),-1)))</f>
        <v/>
      </c>
      <c r="AI834" s="55" t="str">
        <f ca="1">IF(NOTA[[#This Row],[NAMA BARANG]]="","",INDEX(NOTA[SUPPLIER],MATCH(,INDIRECT(ADDRESS(ROW(NOTA[ID]),COLUMN(NOTA[ID]))&amp;":"&amp;ADDRESS(ROW(),COLUMN(NOTA[ID]))),-1)))</f>
        <v/>
      </c>
      <c r="AJ834" s="55" t="str">
        <f ca="1">IF(NOTA[[#This Row],[ID_H]]="","",IF(NOTA[[#This Row],[FAKTUR]]="",INDIRECT(ADDRESS(ROW()-1,COLUMN())),NOTA[[#This Row],[FAKTUR]]))</f>
        <v/>
      </c>
      <c r="AK834" s="56" t="str">
        <f ca="1">IF(NOTA[[#This Row],[ID]]="","",COUNTIF(NOTA[ID_H],NOTA[[#This Row],[ID_H]]))</f>
        <v/>
      </c>
      <c r="AL834" s="56" t="str">
        <f ca="1">IF(NOTA[[#This Row],[TGL.NOTA]]="",IF(NOTA[[#This Row],[SUPPLIER_H]]="","",AL833),MONTH(NOTA[[#This Row],[TGL.NOTA]]))</f>
        <v/>
      </c>
      <c r="AM834" s="56" t="str">
        <f>LOWER(SUBSTITUTE(SUBSTITUTE(SUBSTITUTE(SUBSTITUTE(SUBSTITUTE(SUBSTITUTE(SUBSTITUTE(SUBSTITUTE(SUBSTITUTE(NOTA[NAMA BARANG]," ",),".",""),"-",""),"(",""),")",""),",",""),"/",""),"""",""),"+",""))</f>
        <v/>
      </c>
      <c r="AN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56" t="str">
        <f>IF(NOTA[[#This Row],[CONCAT4]]="","",_xlfn.IFNA(MATCH(NOTA[[#This Row],[CONCAT4]],[2]!RAW[CONCAT_H],0),FALSE))</f>
        <v/>
      </c>
      <c r="AR834" s="56" t="str">
        <f>IF(NOTA[[#This Row],[CONCAT1]]="","",MATCH(NOTA[[#This Row],[CONCAT1]],[3]!db[NB NOTA_C],0))</f>
        <v/>
      </c>
      <c r="AS834" s="56" t="str">
        <f>IF(NOTA[[#This Row],[QTY/ CTN]]="","",TRUE)</f>
        <v/>
      </c>
      <c r="AT834" s="56" t="str">
        <f ca="1">IF(NOTA[[#This Row],[ID_H]]="","",IF(NOTA[[#This Row],[Column3]]=TRUE,NOTA[[#This Row],[QTY/ CTN]],INDEX([3]!db[QTY/ CTN],NOTA[[#This Row],[//DB]])))</f>
        <v/>
      </c>
      <c r="AU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4" s="56" t="str">
        <f ca="1">IF(NOTA[[#This Row],[ID_H]]="","",MATCH(NOTA[[#This Row],[NB NOTA_C_QTY]],[4]!db[NB NOTA_C_QTY+F],0))</f>
        <v/>
      </c>
      <c r="AW834" s="68" t="str">
        <f ca="1">IF(NOTA[[#This Row],[NB NOTA_C_QTY]]="","",ROW()-2)</f>
        <v/>
      </c>
    </row>
    <row r="835" spans="1:49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5" s="66" t="str">
        <f>IF(OR(NOTA[[#This Row],[QTY]]="",NOTA[[#This Row],[HARGA SATUAN]]="",),"",NOTA[[#This Row],[QTY]]*NOTA[[#This Row],[HARGA SATUAN]])</f>
        <v/>
      </c>
      <c r="AH835" s="60" t="str">
        <f ca="1">IF(NOTA[ID_H]="","",INDEX(NOTA[TANGGAL],MATCH(,INDIRECT(ADDRESS(ROW(NOTA[TANGGAL]),COLUMN(NOTA[TANGGAL]))&amp;":"&amp;ADDRESS(ROW(),COLUMN(NOTA[TANGGAL]))),-1)))</f>
        <v/>
      </c>
      <c r="AI835" s="55" t="str">
        <f ca="1">IF(NOTA[[#This Row],[NAMA BARANG]]="","",INDEX(NOTA[SUPPLIER],MATCH(,INDIRECT(ADDRESS(ROW(NOTA[ID]),COLUMN(NOTA[ID]))&amp;":"&amp;ADDRESS(ROW(),COLUMN(NOTA[ID]))),-1)))</f>
        <v/>
      </c>
      <c r="AJ835" s="55" t="str">
        <f ca="1">IF(NOTA[[#This Row],[ID_H]]="","",IF(NOTA[[#This Row],[FAKTUR]]="",INDIRECT(ADDRESS(ROW()-1,COLUMN())),NOTA[[#This Row],[FAKTUR]]))</f>
        <v/>
      </c>
      <c r="AK835" s="56" t="str">
        <f ca="1">IF(NOTA[[#This Row],[ID]]="","",COUNTIF(NOTA[ID_H],NOTA[[#This Row],[ID_H]]))</f>
        <v/>
      </c>
      <c r="AL835" s="56" t="str">
        <f ca="1">IF(NOTA[[#This Row],[TGL.NOTA]]="",IF(NOTA[[#This Row],[SUPPLIER_H]]="","",AL834),MONTH(NOTA[[#This Row],[TGL.NOTA]]))</f>
        <v/>
      </c>
      <c r="AM835" s="56" t="str">
        <f>LOWER(SUBSTITUTE(SUBSTITUTE(SUBSTITUTE(SUBSTITUTE(SUBSTITUTE(SUBSTITUTE(SUBSTITUTE(SUBSTITUTE(SUBSTITUTE(NOTA[NAMA BARANG]," ",),".",""),"-",""),"(",""),")",""),",",""),"/",""),"""",""),"+",""))</f>
        <v/>
      </c>
      <c r="AN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5" s="56" t="str">
        <f>IF(NOTA[[#This Row],[CONCAT4]]="","",_xlfn.IFNA(MATCH(NOTA[[#This Row],[CONCAT4]],[2]!RAW[CONCAT_H],0),FALSE))</f>
        <v/>
      </c>
      <c r="AR835" s="56" t="str">
        <f>IF(NOTA[[#This Row],[CONCAT1]]="","",MATCH(NOTA[[#This Row],[CONCAT1]],[3]!db[NB NOTA_C],0))</f>
        <v/>
      </c>
      <c r="AS835" s="56" t="str">
        <f>IF(NOTA[[#This Row],[QTY/ CTN]]="","",TRUE)</f>
        <v/>
      </c>
      <c r="AT835" s="56" t="str">
        <f ca="1">IF(NOTA[[#This Row],[ID_H]]="","",IF(NOTA[[#This Row],[Column3]]=TRUE,NOTA[[#This Row],[QTY/ CTN]],INDEX([3]!db[QTY/ CTN],NOTA[[#This Row],[//DB]])))</f>
        <v/>
      </c>
      <c r="AU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5" s="56" t="str">
        <f ca="1">IF(NOTA[[#This Row],[ID_H]]="","",MATCH(NOTA[[#This Row],[NB NOTA_C_QTY]],[4]!db[NB NOTA_C_QTY+F],0))</f>
        <v/>
      </c>
      <c r="AW835" s="68" t="str">
        <f ca="1">IF(NOTA[[#This Row],[NB NOTA_C_QTY]]="","",ROW()-2)</f>
        <v/>
      </c>
    </row>
    <row r="836" spans="1:49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6" s="66" t="str">
        <f>IF(OR(NOTA[[#This Row],[QTY]]="",NOTA[[#This Row],[HARGA SATUAN]]="",),"",NOTA[[#This Row],[QTY]]*NOTA[[#This Row],[HARGA SATUAN]])</f>
        <v/>
      </c>
      <c r="AH836" s="60" t="str">
        <f ca="1">IF(NOTA[ID_H]="","",INDEX(NOTA[TANGGAL],MATCH(,INDIRECT(ADDRESS(ROW(NOTA[TANGGAL]),COLUMN(NOTA[TANGGAL]))&amp;":"&amp;ADDRESS(ROW(),COLUMN(NOTA[TANGGAL]))),-1)))</f>
        <v/>
      </c>
      <c r="AI836" s="55" t="str">
        <f ca="1">IF(NOTA[[#This Row],[NAMA BARANG]]="","",INDEX(NOTA[SUPPLIER],MATCH(,INDIRECT(ADDRESS(ROW(NOTA[ID]),COLUMN(NOTA[ID]))&amp;":"&amp;ADDRESS(ROW(),COLUMN(NOTA[ID]))),-1)))</f>
        <v/>
      </c>
      <c r="AJ836" s="55" t="str">
        <f ca="1">IF(NOTA[[#This Row],[ID_H]]="","",IF(NOTA[[#This Row],[FAKTUR]]="",INDIRECT(ADDRESS(ROW()-1,COLUMN())),NOTA[[#This Row],[FAKTUR]]))</f>
        <v/>
      </c>
      <c r="AK836" s="56" t="str">
        <f ca="1">IF(NOTA[[#This Row],[ID]]="","",COUNTIF(NOTA[ID_H],NOTA[[#This Row],[ID_H]]))</f>
        <v/>
      </c>
      <c r="AL836" s="56" t="str">
        <f ca="1">IF(NOTA[[#This Row],[TGL.NOTA]]="",IF(NOTA[[#This Row],[SUPPLIER_H]]="","",AL835),MONTH(NOTA[[#This Row],[TGL.NOTA]]))</f>
        <v/>
      </c>
      <c r="AM836" s="56" t="str">
        <f>LOWER(SUBSTITUTE(SUBSTITUTE(SUBSTITUTE(SUBSTITUTE(SUBSTITUTE(SUBSTITUTE(SUBSTITUTE(SUBSTITUTE(SUBSTITUTE(NOTA[NAMA BARANG]," ",),".",""),"-",""),"(",""),")",""),",",""),"/",""),"""",""),"+",""))</f>
        <v/>
      </c>
      <c r="AN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56" t="str">
        <f>IF(NOTA[[#This Row],[CONCAT4]]="","",_xlfn.IFNA(MATCH(NOTA[[#This Row],[CONCAT4]],[2]!RAW[CONCAT_H],0),FALSE))</f>
        <v/>
      </c>
      <c r="AR836" s="56" t="str">
        <f>IF(NOTA[[#This Row],[CONCAT1]]="","",MATCH(NOTA[[#This Row],[CONCAT1]],[3]!db[NB NOTA_C],0))</f>
        <v/>
      </c>
      <c r="AS836" s="56" t="str">
        <f>IF(NOTA[[#This Row],[QTY/ CTN]]="","",TRUE)</f>
        <v/>
      </c>
      <c r="AT836" s="56" t="str">
        <f ca="1">IF(NOTA[[#This Row],[ID_H]]="","",IF(NOTA[[#This Row],[Column3]]=TRUE,NOTA[[#This Row],[QTY/ CTN]],INDEX([3]!db[QTY/ CTN],NOTA[[#This Row],[//DB]])))</f>
        <v/>
      </c>
      <c r="AU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6" s="56" t="str">
        <f ca="1">IF(NOTA[[#This Row],[ID_H]]="","",MATCH(NOTA[[#This Row],[NB NOTA_C_QTY]],[4]!db[NB NOTA_C_QTY+F],0))</f>
        <v/>
      </c>
      <c r="AW836" s="68" t="str">
        <f ca="1">IF(NOTA[[#This Row],[NB NOTA_C_QTY]]="","",ROW()-2)</f>
        <v/>
      </c>
    </row>
    <row r="837" spans="1:49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7" s="66" t="str">
        <f>IF(OR(NOTA[[#This Row],[QTY]]="",NOTA[[#This Row],[HARGA SATUAN]]="",),"",NOTA[[#This Row],[QTY]]*NOTA[[#This Row],[HARGA SATUAN]])</f>
        <v/>
      </c>
      <c r="AH837" s="60" t="str">
        <f ca="1">IF(NOTA[ID_H]="","",INDEX(NOTA[TANGGAL],MATCH(,INDIRECT(ADDRESS(ROW(NOTA[TANGGAL]),COLUMN(NOTA[TANGGAL]))&amp;":"&amp;ADDRESS(ROW(),COLUMN(NOTA[TANGGAL]))),-1)))</f>
        <v/>
      </c>
      <c r="AI837" s="55" t="str">
        <f ca="1">IF(NOTA[[#This Row],[NAMA BARANG]]="","",INDEX(NOTA[SUPPLIER],MATCH(,INDIRECT(ADDRESS(ROW(NOTA[ID]),COLUMN(NOTA[ID]))&amp;":"&amp;ADDRESS(ROW(),COLUMN(NOTA[ID]))),-1)))</f>
        <v/>
      </c>
      <c r="AJ837" s="55" t="str">
        <f ca="1">IF(NOTA[[#This Row],[ID_H]]="","",IF(NOTA[[#This Row],[FAKTUR]]="",INDIRECT(ADDRESS(ROW()-1,COLUMN())),NOTA[[#This Row],[FAKTUR]]))</f>
        <v/>
      </c>
      <c r="AK837" s="56" t="str">
        <f ca="1">IF(NOTA[[#This Row],[ID]]="","",COUNTIF(NOTA[ID_H],NOTA[[#This Row],[ID_H]]))</f>
        <v/>
      </c>
      <c r="AL837" s="56" t="str">
        <f ca="1">IF(NOTA[[#This Row],[TGL.NOTA]]="",IF(NOTA[[#This Row],[SUPPLIER_H]]="","",AL836),MONTH(NOTA[[#This Row],[TGL.NOTA]]))</f>
        <v/>
      </c>
      <c r="AM837" s="56" t="str">
        <f>LOWER(SUBSTITUTE(SUBSTITUTE(SUBSTITUTE(SUBSTITUTE(SUBSTITUTE(SUBSTITUTE(SUBSTITUTE(SUBSTITUTE(SUBSTITUTE(NOTA[NAMA BARANG]," ",),".",""),"-",""),"(",""),")",""),",",""),"/",""),"""",""),"+",""))</f>
        <v/>
      </c>
      <c r="AN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56" t="str">
        <f>IF(NOTA[[#This Row],[CONCAT4]]="","",_xlfn.IFNA(MATCH(NOTA[[#This Row],[CONCAT4]],[2]!RAW[CONCAT_H],0),FALSE))</f>
        <v/>
      </c>
      <c r="AR837" s="56" t="str">
        <f>IF(NOTA[[#This Row],[CONCAT1]]="","",MATCH(NOTA[[#This Row],[CONCAT1]],[3]!db[NB NOTA_C],0))</f>
        <v/>
      </c>
      <c r="AS837" s="56" t="str">
        <f>IF(NOTA[[#This Row],[QTY/ CTN]]="","",TRUE)</f>
        <v/>
      </c>
      <c r="AT837" s="56" t="str">
        <f ca="1">IF(NOTA[[#This Row],[ID_H]]="","",IF(NOTA[[#This Row],[Column3]]=TRUE,NOTA[[#This Row],[QTY/ CTN]],INDEX([3]!db[QTY/ CTN],NOTA[[#This Row],[//DB]])))</f>
        <v/>
      </c>
      <c r="AU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7" s="56" t="str">
        <f ca="1">IF(NOTA[[#This Row],[ID_H]]="","",MATCH(NOTA[[#This Row],[NB NOTA_C_QTY]],[4]!db[NB NOTA_C_QTY+F],0))</f>
        <v/>
      </c>
      <c r="AW837" s="68" t="str">
        <f ca="1">IF(NOTA[[#This Row],[NB NOTA_C_QTY]]="","",ROW()-2)</f>
        <v/>
      </c>
    </row>
    <row r="838" spans="1:49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8" s="66" t="str">
        <f>IF(OR(NOTA[[#This Row],[QTY]]="",NOTA[[#This Row],[HARGA SATUAN]]="",),"",NOTA[[#This Row],[QTY]]*NOTA[[#This Row],[HARGA SATUAN]])</f>
        <v/>
      </c>
      <c r="AH838" s="60" t="str">
        <f ca="1">IF(NOTA[ID_H]="","",INDEX(NOTA[TANGGAL],MATCH(,INDIRECT(ADDRESS(ROW(NOTA[TANGGAL]),COLUMN(NOTA[TANGGAL]))&amp;":"&amp;ADDRESS(ROW(),COLUMN(NOTA[TANGGAL]))),-1)))</f>
        <v/>
      </c>
      <c r="AI838" s="55" t="str">
        <f ca="1">IF(NOTA[[#This Row],[NAMA BARANG]]="","",INDEX(NOTA[SUPPLIER],MATCH(,INDIRECT(ADDRESS(ROW(NOTA[ID]),COLUMN(NOTA[ID]))&amp;":"&amp;ADDRESS(ROW(),COLUMN(NOTA[ID]))),-1)))</f>
        <v/>
      </c>
      <c r="AJ838" s="55" t="str">
        <f ca="1">IF(NOTA[[#This Row],[ID_H]]="","",IF(NOTA[[#This Row],[FAKTUR]]="",INDIRECT(ADDRESS(ROW()-1,COLUMN())),NOTA[[#This Row],[FAKTUR]]))</f>
        <v/>
      </c>
      <c r="AK838" s="56" t="str">
        <f ca="1">IF(NOTA[[#This Row],[ID]]="","",COUNTIF(NOTA[ID_H],NOTA[[#This Row],[ID_H]]))</f>
        <v/>
      </c>
      <c r="AL838" s="56" t="str">
        <f ca="1">IF(NOTA[[#This Row],[TGL.NOTA]]="",IF(NOTA[[#This Row],[SUPPLIER_H]]="","",AL837),MONTH(NOTA[[#This Row],[TGL.NOTA]]))</f>
        <v/>
      </c>
      <c r="AM838" s="56" t="str">
        <f>LOWER(SUBSTITUTE(SUBSTITUTE(SUBSTITUTE(SUBSTITUTE(SUBSTITUTE(SUBSTITUTE(SUBSTITUTE(SUBSTITUTE(SUBSTITUTE(NOTA[NAMA BARANG]," ",),".",""),"-",""),"(",""),")",""),",",""),"/",""),"""",""),"+",""))</f>
        <v/>
      </c>
      <c r="AN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56" t="str">
        <f>IF(NOTA[[#This Row],[CONCAT4]]="","",_xlfn.IFNA(MATCH(NOTA[[#This Row],[CONCAT4]],[2]!RAW[CONCAT_H],0),FALSE))</f>
        <v/>
      </c>
      <c r="AR838" s="56" t="str">
        <f>IF(NOTA[[#This Row],[CONCAT1]]="","",MATCH(NOTA[[#This Row],[CONCAT1]],[3]!db[NB NOTA_C],0))</f>
        <v/>
      </c>
      <c r="AS838" s="56" t="str">
        <f>IF(NOTA[[#This Row],[QTY/ CTN]]="","",TRUE)</f>
        <v/>
      </c>
      <c r="AT838" s="56" t="str">
        <f ca="1">IF(NOTA[[#This Row],[ID_H]]="","",IF(NOTA[[#This Row],[Column3]]=TRUE,NOTA[[#This Row],[QTY/ CTN]],INDEX([3]!db[QTY/ CTN],NOTA[[#This Row],[//DB]])))</f>
        <v/>
      </c>
      <c r="AU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8" s="56" t="str">
        <f ca="1">IF(NOTA[[#This Row],[ID_H]]="","",MATCH(NOTA[[#This Row],[NB NOTA_C_QTY]],[4]!db[NB NOTA_C_QTY+F],0))</f>
        <v/>
      </c>
      <c r="AW838" s="68" t="str">
        <f ca="1">IF(NOTA[[#This Row],[NB NOTA_C_QTY]]="","",ROW()-2)</f>
        <v/>
      </c>
    </row>
    <row r="839" spans="1:49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39" s="66" t="str">
        <f>IF(OR(NOTA[[#This Row],[QTY]]="",NOTA[[#This Row],[HARGA SATUAN]]="",),"",NOTA[[#This Row],[QTY]]*NOTA[[#This Row],[HARGA SATUAN]])</f>
        <v/>
      </c>
      <c r="AH839" s="60" t="str">
        <f ca="1">IF(NOTA[ID_H]="","",INDEX(NOTA[TANGGAL],MATCH(,INDIRECT(ADDRESS(ROW(NOTA[TANGGAL]),COLUMN(NOTA[TANGGAL]))&amp;":"&amp;ADDRESS(ROW(),COLUMN(NOTA[TANGGAL]))),-1)))</f>
        <v/>
      </c>
      <c r="AI839" s="55" t="str">
        <f ca="1">IF(NOTA[[#This Row],[NAMA BARANG]]="","",INDEX(NOTA[SUPPLIER],MATCH(,INDIRECT(ADDRESS(ROW(NOTA[ID]),COLUMN(NOTA[ID]))&amp;":"&amp;ADDRESS(ROW(),COLUMN(NOTA[ID]))),-1)))</f>
        <v/>
      </c>
      <c r="AJ839" s="55" t="str">
        <f ca="1">IF(NOTA[[#This Row],[ID_H]]="","",IF(NOTA[[#This Row],[FAKTUR]]="",INDIRECT(ADDRESS(ROW()-1,COLUMN())),NOTA[[#This Row],[FAKTUR]]))</f>
        <v/>
      </c>
      <c r="AK839" s="56" t="str">
        <f ca="1">IF(NOTA[[#This Row],[ID]]="","",COUNTIF(NOTA[ID_H],NOTA[[#This Row],[ID_H]]))</f>
        <v/>
      </c>
      <c r="AL839" s="56" t="str">
        <f ca="1">IF(NOTA[[#This Row],[TGL.NOTA]]="",IF(NOTA[[#This Row],[SUPPLIER_H]]="","",AL838),MONTH(NOTA[[#This Row],[TGL.NOTA]]))</f>
        <v/>
      </c>
      <c r="AM839" s="56" t="str">
        <f>LOWER(SUBSTITUTE(SUBSTITUTE(SUBSTITUTE(SUBSTITUTE(SUBSTITUTE(SUBSTITUTE(SUBSTITUTE(SUBSTITUTE(SUBSTITUTE(NOTA[NAMA BARANG]," ",),".",""),"-",""),"(",""),")",""),",",""),"/",""),"""",""),"+",""))</f>
        <v/>
      </c>
      <c r="AN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56" t="str">
        <f>IF(NOTA[[#This Row],[CONCAT4]]="","",_xlfn.IFNA(MATCH(NOTA[[#This Row],[CONCAT4]],[2]!RAW[CONCAT_H],0),FALSE))</f>
        <v/>
      </c>
      <c r="AR839" s="56" t="str">
        <f>IF(NOTA[[#This Row],[CONCAT1]]="","",MATCH(NOTA[[#This Row],[CONCAT1]],[3]!db[NB NOTA_C],0))</f>
        <v/>
      </c>
      <c r="AS839" s="56" t="str">
        <f>IF(NOTA[[#This Row],[QTY/ CTN]]="","",TRUE)</f>
        <v/>
      </c>
      <c r="AT839" s="56" t="str">
        <f ca="1">IF(NOTA[[#This Row],[ID_H]]="","",IF(NOTA[[#This Row],[Column3]]=TRUE,NOTA[[#This Row],[QTY/ CTN]],INDEX([3]!db[QTY/ CTN],NOTA[[#This Row],[//DB]])))</f>
        <v/>
      </c>
      <c r="AU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9" s="56" t="str">
        <f ca="1">IF(NOTA[[#This Row],[ID_H]]="","",MATCH(NOTA[[#This Row],[NB NOTA_C_QTY]],[4]!db[NB NOTA_C_QTY+F],0))</f>
        <v/>
      </c>
      <c r="AW839" s="68" t="str">
        <f ca="1">IF(NOTA[[#This Row],[NB NOTA_C_QTY]]="","",ROW()-2)</f>
        <v/>
      </c>
    </row>
    <row r="840" spans="1:49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0" s="66" t="str">
        <f>IF(OR(NOTA[[#This Row],[QTY]]="",NOTA[[#This Row],[HARGA SATUAN]]="",),"",NOTA[[#This Row],[QTY]]*NOTA[[#This Row],[HARGA SATUAN]])</f>
        <v/>
      </c>
      <c r="AH840" s="60" t="str">
        <f ca="1">IF(NOTA[ID_H]="","",INDEX(NOTA[TANGGAL],MATCH(,INDIRECT(ADDRESS(ROW(NOTA[TANGGAL]),COLUMN(NOTA[TANGGAL]))&amp;":"&amp;ADDRESS(ROW(),COLUMN(NOTA[TANGGAL]))),-1)))</f>
        <v/>
      </c>
      <c r="AI840" s="55" t="str">
        <f ca="1">IF(NOTA[[#This Row],[NAMA BARANG]]="","",INDEX(NOTA[SUPPLIER],MATCH(,INDIRECT(ADDRESS(ROW(NOTA[ID]),COLUMN(NOTA[ID]))&amp;":"&amp;ADDRESS(ROW(),COLUMN(NOTA[ID]))),-1)))</f>
        <v/>
      </c>
      <c r="AJ840" s="55" t="str">
        <f ca="1">IF(NOTA[[#This Row],[ID_H]]="","",IF(NOTA[[#This Row],[FAKTUR]]="",INDIRECT(ADDRESS(ROW()-1,COLUMN())),NOTA[[#This Row],[FAKTUR]]))</f>
        <v/>
      </c>
      <c r="AK840" s="56" t="str">
        <f ca="1">IF(NOTA[[#This Row],[ID]]="","",COUNTIF(NOTA[ID_H],NOTA[[#This Row],[ID_H]]))</f>
        <v/>
      </c>
      <c r="AL840" s="56" t="str">
        <f ca="1">IF(NOTA[[#This Row],[TGL.NOTA]]="",IF(NOTA[[#This Row],[SUPPLIER_H]]="","",AL839),MONTH(NOTA[[#This Row],[TGL.NOTA]]))</f>
        <v/>
      </c>
      <c r="AM840" s="56" t="str">
        <f>LOWER(SUBSTITUTE(SUBSTITUTE(SUBSTITUTE(SUBSTITUTE(SUBSTITUTE(SUBSTITUTE(SUBSTITUTE(SUBSTITUTE(SUBSTITUTE(NOTA[NAMA BARANG]," ",),".",""),"-",""),"(",""),")",""),",",""),"/",""),"""",""),"+",""))</f>
        <v/>
      </c>
      <c r="AN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56" t="str">
        <f>IF(NOTA[[#This Row],[CONCAT4]]="","",_xlfn.IFNA(MATCH(NOTA[[#This Row],[CONCAT4]],[2]!RAW[CONCAT_H],0),FALSE))</f>
        <v/>
      </c>
      <c r="AR840" s="56" t="str">
        <f>IF(NOTA[[#This Row],[CONCAT1]]="","",MATCH(NOTA[[#This Row],[CONCAT1]],[3]!db[NB NOTA_C],0))</f>
        <v/>
      </c>
      <c r="AS840" s="56" t="str">
        <f>IF(NOTA[[#This Row],[QTY/ CTN]]="","",TRUE)</f>
        <v/>
      </c>
      <c r="AT840" s="56" t="str">
        <f ca="1">IF(NOTA[[#This Row],[ID_H]]="","",IF(NOTA[[#This Row],[Column3]]=TRUE,NOTA[[#This Row],[QTY/ CTN]],INDEX([3]!db[QTY/ CTN],NOTA[[#This Row],[//DB]])))</f>
        <v/>
      </c>
      <c r="AU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0" s="56" t="str">
        <f ca="1">IF(NOTA[[#This Row],[ID_H]]="","",MATCH(NOTA[[#This Row],[NB NOTA_C_QTY]],[4]!db[NB NOTA_C_QTY+F],0))</f>
        <v/>
      </c>
      <c r="AW840" s="68" t="str">
        <f ca="1">IF(NOTA[[#This Row],[NB NOTA_C_QTY]]="","",ROW()-2)</f>
        <v/>
      </c>
    </row>
    <row r="841" spans="1:49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1" s="66" t="str">
        <f>IF(OR(NOTA[[#This Row],[QTY]]="",NOTA[[#This Row],[HARGA SATUAN]]="",),"",NOTA[[#This Row],[QTY]]*NOTA[[#This Row],[HARGA SATUAN]])</f>
        <v/>
      </c>
      <c r="AH841" s="60" t="str">
        <f ca="1">IF(NOTA[ID_H]="","",INDEX(NOTA[TANGGAL],MATCH(,INDIRECT(ADDRESS(ROW(NOTA[TANGGAL]),COLUMN(NOTA[TANGGAL]))&amp;":"&amp;ADDRESS(ROW(),COLUMN(NOTA[TANGGAL]))),-1)))</f>
        <v/>
      </c>
      <c r="AI841" s="55" t="str">
        <f ca="1">IF(NOTA[[#This Row],[NAMA BARANG]]="","",INDEX(NOTA[SUPPLIER],MATCH(,INDIRECT(ADDRESS(ROW(NOTA[ID]),COLUMN(NOTA[ID]))&amp;":"&amp;ADDRESS(ROW(),COLUMN(NOTA[ID]))),-1)))</f>
        <v/>
      </c>
      <c r="AJ841" s="55" t="str">
        <f ca="1">IF(NOTA[[#This Row],[ID_H]]="","",IF(NOTA[[#This Row],[FAKTUR]]="",INDIRECT(ADDRESS(ROW()-1,COLUMN())),NOTA[[#This Row],[FAKTUR]]))</f>
        <v/>
      </c>
      <c r="AK841" s="56" t="str">
        <f ca="1">IF(NOTA[[#This Row],[ID]]="","",COUNTIF(NOTA[ID_H],NOTA[[#This Row],[ID_H]]))</f>
        <v/>
      </c>
      <c r="AL841" s="56" t="str">
        <f ca="1">IF(NOTA[[#This Row],[TGL.NOTA]]="",IF(NOTA[[#This Row],[SUPPLIER_H]]="","",AL840),MONTH(NOTA[[#This Row],[TGL.NOTA]]))</f>
        <v/>
      </c>
      <c r="AM841" s="56" t="str">
        <f>LOWER(SUBSTITUTE(SUBSTITUTE(SUBSTITUTE(SUBSTITUTE(SUBSTITUTE(SUBSTITUTE(SUBSTITUTE(SUBSTITUTE(SUBSTITUTE(NOTA[NAMA BARANG]," ",),".",""),"-",""),"(",""),")",""),",",""),"/",""),"""",""),"+",""))</f>
        <v/>
      </c>
      <c r="AN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56" t="str">
        <f>IF(NOTA[[#This Row],[CONCAT4]]="","",_xlfn.IFNA(MATCH(NOTA[[#This Row],[CONCAT4]],[2]!RAW[CONCAT_H],0),FALSE))</f>
        <v/>
      </c>
      <c r="AR841" s="56" t="str">
        <f>IF(NOTA[[#This Row],[CONCAT1]]="","",MATCH(NOTA[[#This Row],[CONCAT1]],[3]!db[NB NOTA_C],0))</f>
        <v/>
      </c>
      <c r="AS841" s="56" t="str">
        <f>IF(NOTA[[#This Row],[QTY/ CTN]]="","",TRUE)</f>
        <v/>
      </c>
      <c r="AT841" s="56" t="str">
        <f ca="1">IF(NOTA[[#This Row],[ID_H]]="","",IF(NOTA[[#This Row],[Column3]]=TRUE,NOTA[[#This Row],[QTY/ CTN]],INDEX([3]!db[QTY/ CTN],NOTA[[#This Row],[//DB]])))</f>
        <v/>
      </c>
      <c r="AU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1" s="56" t="str">
        <f ca="1">IF(NOTA[[#This Row],[ID_H]]="","",MATCH(NOTA[[#This Row],[NB NOTA_C_QTY]],[4]!db[NB NOTA_C_QTY+F],0))</f>
        <v/>
      </c>
      <c r="AW841" s="68" t="str">
        <f ca="1">IF(NOTA[[#This Row],[NB NOTA_C_QTY]]="","",ROW()-2)</f>
        <v/>
      </c>
    </row>
    <row r="842" spans="1:49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2" s="66" t="str">
        <f>IF(OR(NOTA[[#This Row],[QTY]]="",NOTA[[#This Row],[HARGA SATUAN]]="",),"",NOTA[[#This Row],[QTY]]*NOTA[[#This Row],[HARGA SATUAN]])</f>
        <v/>
      </c>
      <c r="AH842" s="60" t="str">
        <f ca="1">IF(NOTA[ID_H]="","",INDEX(NOTA[TANGGAL],MATCH(,INDIRECT(ADDRESS(ROW(NOTA[TANGGAL]),COLUMN(NOTA[TANGGAL]))&amp;":"&amp;ADDRESS(ROW(),COLUMN(NOTA[TANGGAL]))),-1)))</f>
        <v/>
      </c>
      <c r="AI842" s="55" t="str">
        <f ca="1">IF(NOTA[[#This Row],[NAMA BARANG]]="","",INDEX(NOTA[SUPPLIER],MATCH(,INDIRECT(ADDRESS(ROW(NOTA[ID]),COLUMN(NOTA[ID]))&amp;":"&amp;ADDRESS(ROW(),COLUMN(NOTA[ID]))),-1)))</f>
        <v/>
      </c>
      <c r="AJ842" s="55" t="str">
        <f ca="1">IF(NOTA[[#This Row],[ID_H]]="","",IF(NOTA[[#This Row],[FAKTUR]]="",INDIRECT(ADDRESS(ROW()-1,COLUMN())),NOTA[[#This Row],[FAKTUR]]))</f>
        <v/>
      </c>
      <c r="AK842" s="56" t="str">
        <f ca="1">IF(NOTA[[#This Row],[ID]]="","",COUNTIF(NOTA[ID_H],NOTA[[#This Row],[ID_H]]))</f>
        <v/>
      </c>
      <c r="AL842" s="56" t="str">
        <f ca="1">IF(NOTA[[#This Row],[TGL.NOTA]]="",IF(NOTA[[#This Row],[SUPPLIER_H]]="","",AL841),MONTH(NOTA[[#This Row],[TGL.NOTA]]))</f>
        <v/>
      </c>
      <c r="AM842" s="56" t="str">
        <f>LOWER(SUBSTITUTE(SUBSTITUTE(SUBSTITUTE(SUBSTITUTE(SUBSTITUTE(SUBSTITUTE(SUBSTITUTE(SUBSTITUTE(SUBSTITUTE(NOTA[NAMA BARANG]," ",),".",""),"-",""),"(",""),")",""),",",""),"/",""),"""",""),"+",""))</f>
        <v/>
      </c>
      <c r="AN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56" t="str">
        <f>IF(NOTA[[#This Row],[CONCAT4]]="","",_xlfn.IFNA(MATCH(NOTA[[#This Row],[CONCAT4]],[2]!RAW[CONCAT_H],0),FALSE))</f>
        <v/>
      </c>
      <c r="AR842" s="56" t="str">
        <f>IF(NOTA[[#This Row],[CONCAT1]]="","",MATCH(NOTA[[#This Row],[CONCAT1]],[3]!db[NB NOTA_C],0))</f>
        <v/>
      </c>
      <c r="AS842" s="56" t="str">
        <f>IF(NOTA[[#This Row],[QTY/ CTN]]="","",TRUE)</f>
        <v/>
      </c>
      <c r="AT842" s="56" t="str">
        <f ca="1">IF(NOTA[[#This Row],[ID_H]]="","",IF(NOTA[[#This Row],[Column3]]=TRUE,NOTA[[#This Row],[QTY/ CTN]],INDEX([3]!db[QTY/ CTN],NOTA[[#This Row],[//DB]])))</f>
        <v/>
      </c>
      <c r="AU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2" s="56" t="str">
        <f ca="1">IF(NOTA[[#This Row],[ID_H]]="","",MATCH(NOTA[[#This Row],[NB NOTA_C_QTY]],[4]!db[NB NOTA_C_QTY+F],0))</f>
        <v/>
      </c>
      <c r="AW842" s="68" t="str">
        <f ca="1">IF(NOTA[[#This Row],[NB NOTA_C_QTY]]="","",ROW()-2)</f>
        <v/>
      </c>
    </row>
    <row r="843" spans="1:49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3" s="66" t="str">
        <f>IF(OR(NOTA[[#This Row],[QTY]]="",NOTA[[#This Row],[HARGA SATUAN]]="",),"",NOTA[[#This Row],[QTY]]*NOTA[[#This Row],[HARGA SATUAN]])</f>
        <v/>
      </c>
      <c r="AH843" s="60" t="str">
        <f ca="1">IF(NOTA[ID_H]="","",INDEX(NOTA[TANGGAL],MATCH(,INDIRECT(ADDRESS(ROW(NOTA[TANGGAL]),COLUMN(NOTA[TANGGAL]))&amp;":"&amp;ADDRESS(ROW(),COLUMN(NOTA[TANGGAL]))),-1)))</f>
        <v/>
      </c>
      <c r="AI843" s="55" t="str">
        <f ca="1">IF(NOTA[[#This Row],[NAMA BARANG]]="","",INDEX(NOTA[SUPPLIER],MATCH(,INDIRECT(ADDRESS(ROW(NOTA[ID]),COLUMN(NOTA[ID]))&amp;":"&amp;ADDRESS(ROW(),COLUMN(NOTA[ID]))),-1)))</f>
        <v/>
      </c>
      <c r="AJ843" s="55" t="str">
        <f ca="1">IF(NOTA[[#This Row],[ID_H]]="","",IF(NOTA[[#This Row],[FAKTUR]]="",INDIRECT(ADDRESS(ROW()-1,COLUMN())),NOTA[[#This Row],[FAKTUR]]))</f>
        <v/>
      </c>
      <c r="AK843" s="56" t="str">
        <f ca="1">IF(NOTA[[#This Row],[ID]]="","",COUNTIF(NOTA[ID_H],NOTA[[#This Row],[ID_H]]))</f>
        <v/>
      </c>
      <c r="AL843" s="56" t="str">
        <f ca="1">IF(NOTA[[#This Row],[TGL.NOTA]]="",IF(NOTA[[#This Row],[SUPPLIER_H]]="","",AL842),MONTH(NOTA[[#This Row],[TGL.NOTA]]))</f>
        <v/>
      </c>
      <c r="AM843" s="56" t="str">
        <f>LOWER(SUBSTITUTE(SUBSTITUTE(SUBSTITUTE(SUBSTITUTE(SUBSTITUTE(SUBSTITUTE(SUBSTITUTE(SUBSTITUTE(SUBSTITUTE(NOTA[NAMA BARANG]," ",),".",""),"-",""),"(",""),")",""),",",""),"/",""),"""",""),"+",""))</f>
        <v/>
      </c>
      <c r="AN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3" s="56" t="str">
        <f>IF(NOTA[[#This Row],[CONCAT4]]="","",_xlfn.IFNA(MATCH(NOTA[[#This Row],[CONCAT4]],[2]!RAW[CONCAT_H],0),FALSE))</f>
        <v/>
      </c>
      <c r="AR843" s="56" t="str">
        <f>IF(NOTA[[#This Row],[CONCAT1]]="","",MATCH(NOTA[[#This Row],[CONCAT1]],[3]!db[NB NOTA_C],0))</f>
        <v/>
      </c>
      <c r="AS843" s="56" t="str">
        <f>IF(NOTA[[#This Row],[QTY/ CTN]]="","",TRUE)</f>
        <v/>
      </c>
      <c r="AT843" s="56" t="str">
        <f ca="1">IF(NOTA[[#This Row],[ID_H]]="","",IF(NOTA[[#This Row],[Column3]]=TRUE,NOTA[[#This Row],[QTY/ CTN]],INDEX([3]!db[QTY/ CTN],NOTA[[#This Row],[//DB]])))</f>
        <v/>
      </c>
      <c r="AU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3" s="56" t="str">
        <f ca="1">IF(NOTA[[#This Row],[ID_H]]="","",MATCH(NOTA[[#This Row],[NB NOTA_C_QTY]],[4]!db[NB NOTA_C_QTY+F],0))</f>
        <v/>
      </c>
      <c r="AW843" s="68" t="str">
        <f ca="1">IF(NOTA[[#This Row],[NB NOTA_C_QTY]]="","",ROW()-2)</f>
        <v/>
      </c>
    </row>
    <row r="844" spans="1:49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4" s="66" t="str">
        <f>IF(OR(NOTA[[#This Row],[QTY]]="",NOTA[[#This Row],[HARGA SATUAN]]="",),"",NOTA[[#This Row],[QTY]]*NOTA[[#This Row],[HARGA SATUAN]])</f>
        <v/>
      </c>
      <c r="AH844" s="60" t="str">
        <f ca="1">IF(NOTA[ID_H]="","",INDEX(NOTA[TANGGAL],MATCH(,INDIRECT(ADDRESS(ROW(NOTA[TANGGAL]),COLUMN(NOTA[TANGGAL]))&amp;":"&amp;ADDRESS(ROW(),COLUMN(NOTA[TANGGAL]))),-1)))</f>
        <v/>
      </c>
      <c r="AI844" s="55" t="str">
        <f ca="1">IF(NOTA[[#This Row],[NAMA BARANG]]="","",INDEX(NOTA[SUPPLIER],MATCH(,INDIRECT(ADDRESS(ROW(NOTA[ID]),COLUMN(NOTA[ID]))&amp;":"&amp;ADDRESS(ROW(),COLUMN(NOTA[ID]))),-1)))</f>
        <v/>
      </c>
      <c r="AJ844" s="55" t="str">
        <f ca="1">IF(NOTA[[#This Row],[ID_H]]="","",IF(NOTA[[#This Row],[FAKTUR]]="",INDIRECT(ADDRESS(ROW()-1,COLUMN())),NOTA[[#This Row],[FAKTUR]]))</f>
        <v/>
      </c>
      <c r="AK844" s="56" t="str">
        <f ca="1">IF(NOTA[[#This Row],[ID]]="","",COUNTIF(NOTA[ID_H],NOTA[[#This Row],[ID_H]]))</f>
        <v/>
      </c>
      <c r="AL844" s="56" t="str">
        <f ca="1">IF(NOTA[[#This Row],[TGL.NOTA]]="",IF(NOTA[[#This Row],[SUPPLIER_H]]="","",AL843),MONTH(NOTA[[#This Row],[TGL.NOTA]]))</f>
        <v/>
      </c>
      <c r="AM844" s="56" t="str">
        <f>LOWER(SUBSTITUTE(SUBSTITUTE(SUBSTITUTE(SUBSTITUTE(SUBSTITUTE(SUBSTITUTE(SUBSTITUTE(SUBSTITUTE(SUBSTITUTE(NOTA[NAMA BARANG]," ",),".",""),"-",""),"(",""),")",""),",",""),"/",""),"""",""),"+",""))</f>
        <v/>
      </c>
      <c r="AN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56" t="str">
        <f>IF(NOTA[[#This Row],[CONCAT4]]="","",_xlfn.IFNA(MATCH(NOTA[[#This Row],[CONCAT4]],[2]!RAW[CONCAT_H],0),FALSE))</f>
        <v/>
      </c>
      <c r="AR844" s="56" t="str">
        <f>IF(NOTA[[#This Row],[CONCAT1]]="","",MATCH(NOTA[[#This Row],[CONCAT1]],[3]!db[NB NOTA_C],0))</f>
        <v/>
      </c>
      <c r="AS844" s="56" t="str">
        <f>IF(NOTA[[#This Row],[QTY/ CTN]]="","",TRUE)</f>
        <v/>
      </c>
      <c r="AT844" s="56" t="str">
        <f ca="1">IF(NOTA[[#This Row],[ID_H]]="","",IF(NOTA[[#This Row],[Column3]]=TRUE,NOTA[[#This Row],[QTY/ CTN]],INDEX([3]!db[QTY/ CTN],NOTA[[#This Row],[//DB]])))</f>
        <v/>
      </c>
      <c r="AU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4" s="56" t="str">
        <f ca="1">IF(NOTA[[#This Row],[ID_H]]="","",MATCH(NOTA[[#This Row],[NB NOTA_C_QTY]],[4]!db[NB NOTA_C_QTY+F],0))</f>
        <v/>
      </c>
      <c r="AW844" s="68" t="str">
        <f ca="1">IF(NOTA[[#This Row],[NB NOTA_C_QTY]]="","",ROW()-2)</f>
        <v/>
      </c>
    </row>
    <row r="845" spans="1:49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5" s="66" t="str">
        <f>IF(OR(NOTA[[#This Row],[QTY]]="",NOTA[[#This Row],[HARGA SATUAN]]="",),"",NOTA[[#This Row],[QTY]]*NOTA[[#This Row],[HARGA SATUAN]])</f>
        <v/>
      </c>
      <c r="AH845" s="60" t="str">
        <f ca="1">IF(NOTA[ID_H]="","",INDEX(NOTA[TANGGAL],MATCH(,INDIRECT(ADDRESS(ROW(NOTA[TANGGAL]),COLUMN(NOTA[TANGGAL]))&amp;":"&amp;ADDRESS(ROW(),COLUMN(NOTA[TANGGAL]))),-1)))</f>
        <v/>
      </c>
      <c r="AI845" s="55" t="str">
        <f ca="1">IF(NOTA[[#This Row],[NAMA BARANG]]="","",INDEX(NOTA[SUPPLIER],MATCH(,INDIRECT(ADDRESS(ROW(NOTA[ID]),COLUMN(NOTA[ID]))&amp;":"&amp;ADDRESS(ROW(),COLUMN(NOTA[ID]))),-1)))</f>
        <v/>
      </c>
      <c r="AJ845" s="55" t="str">
        <f ca="1">IF(NOTA[[#This Row],[ID_H]]="","",IF(NOTA[[#This Row],[FAKTUR]]="",INDIRECT(ADDRESS(ROW()-1,COLUMN())),NOTA[[#This Row],[FAKTUR]]))</f>
        <v/>
      </c>
      <c r="AK845" s="56" t="str">
        <f ca="1">IF(NOTA[[#This Row],[ID]]="","",COUNTIF(NOTA[ID_H],NOTA[[#This Row],[ID_H]]))</f>
        <v/>
      </c>
      <c r="AL845" s="56" t="str">
        <f ca="1">IF(NOTA[[#This Row],[TGL.NOTA]]="",IF(NOTA[[#This Row],[SUPPLIER_H]]="","",AL844),MONTH(NOTA[[#This Row],[TGL.NOTA]]))</f>
        <v/>
      </c>
      <c r="AM845" s="56" t="str">
        <f>LOWER(SUBSTITUTE(SUBSTITUTE(SUBSTITUTE(SUBSTITUTE(SUBSTITUTE(SUBSTITUTE(SUBSTITUTE(SUBSTITUTE(SUBSTITUTE(NOTA[NAMA BARANG]," ",),".",""),"-",""),"(",""),")",""),",",""),"/",""),"""",""),"+",""))</f>
        <v/>
      </c>
      <c r="AN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56" t="str">
        <f>IF(NOTA[[#This Row],[CONCAT4]]="","",_xlfn.IFNA(MATCH(NOTA[[#This Row],[CONCAT4]],[2]!RAW[CONCAT_H],0),FALSE))</f>
        <v/>
      </c>
      <c r="AR845" s="56" t="str">
        <f>IF(NOTA[[#This Row],[CONCAT1]]="","",MATCH(NOTA[[#This Row],[CONCAT1]],[3]!db[NB NOTA_C],0))</f>
        <v/>
      </c>
      <c r="AS845" s="56" t="str">
        <f>IF(NOTA[[#This Row],[QTY/ CTN]]="","",TRUE)</f>
        <v/>
      </c>
      <c r="AT845" s="56" t="str">
        <f ca="1">IF(NOTA[[#This Row],[ID_H]]="","",IF(NOTA[[#This Row],[Column3]]=TRUE,NOTA[[#This Row],[QTY/ CTN]],INDEX([3]!db[QTY/ CTN],NOTA[[#This Row],[//DB]])))</f>
        <v/>
      </c>
      <c r="AU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5" s="56" t="str">
        <f ca="1">IF(NOTA[[#This Row],[ID_H]]="","",MATCH(NOTA[[#This Row],[NB NOTA_C_QTY]],[4]!db[NB NOTA_C_QTY+F],0))</f>
        <v/>
      </c>
      <c r="AW845" s="68" t="str">
        <f ca="1">IF(NOTA[[#This Row],[NB NOTA_C_QTY]]="","",ROW()-2)</f>
        <v/>
      </c>
    </row>
    <row r="846" spans="1:49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6" s="66" t="str">
        <f>IF(OR(NOTA[[#This Row],[QTY]]="",NOTA[[#This Row],[HARGA SATUAN]]="",),"",NOTA[[#This Row],[QTY]]*NOTA[[#This Row],[HARGA SATUAN]])</f>
        <v/>
      </c>
      <c r="AH846" s="60" t="str">
        <f ca="1">IF(NOTA[ID_H]="","",INDEX(NOTA[TANGGAL],MATCH(,INDIRECT(ADDRESS(ROW(NOTA[TANGGAL]),COLUMN(NOTA[TANGGAL]))&amp;":"&amp;ADDRESS(ROW(),COLUMN(NOTA[TANGGAL]))),-1)))</f>
        <v/>
      </c>
      <c r="AI846" s="55" t="str">
        <f ca="1">IF(NOTA[[#This Row],[NAMA BARANG]]="","",INDEX(NOTA[SUPPLIER],MATCH(,INDIRECT(ADDRESS(ROW(NOTA[ID]),COLUMN(NOTA[ID]))&amp;":"&amp;ADDRESS(ROW(),COLUMN(NOTA[ID]))),-1)))</f>
        <v/>
      </c>
      <c r="AJ846" s="55" t="str">
        <f ca="1">IF(NOTA[[#This Row],[ID_H]]="","",IF(NOTA[[#This Row],[FAKTUR]]="",INDIRECT(ADDRESS(ROW()-1,COLUMN())),NOTA[[#This Row],[FAKTUR]]))</f>
        <v/>
      </c>
      <c r="AK846" s="56" t="str">
        <f ca="1">IF(NOTA[[#This Row],[ID]]="","",COUNTIF(NOTA[ID_H],NOTA[[#This Row],[ID_H]]))</f>
        <v/>
      </c>
      <c r="AL846" s="56" t="str">
        <f ca="1">IF(NOTA[[#This Row],[TGL.NOTA]]="",IF(NOTA[[#This Row],[SUPPLIER_H]]="","",AL845),MONTH(NOTA[[#This Row],[TGL.NOTA]]))</f>
        <v/>
      </c>
      <c r="AM846" s="56" t="str">
        <f>LOWER(SUBSTITUTE(SUBSTITUTE(SUBSTITUTE(SUBSTITUTE(SUBSTITUTE(SUBSTITUTE(SUBSTITUTE(SUBSTITUTE(SUBSTITUTE(NOTA[NAMA BARANG]," ",),".",""),"-",""),"(",""),")",""),",",""),"/",""),"""",""),"+",""))</f>
        <v/>
      </c>
      <c r="AN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56" t="str">
        <f>IF(NOTA[[#This Row],[CONCAT4]]="","",_xlfn.IFNA(MATCH(NOTA[[#This Row],[CONCAT4]],[2]!RAW[CONCAT_H],0),FALSE))</f>
        <v/>
      </c>
      <c r="AR846" s="56" t="str">
        <f>IF(NOTA[[#This Row],[CONCAT1]]="","",MATCH(NOTA[[#This Row],[CONCAT1]],[3]!db[NB NOTA_C],0))</f>
        <v/>
      </c>
      <c r="AS846" s="56" t="str">
        <f>IF(NOTA[[#This Row],[QTY/ CTN]]="","",TRUE)</f>
        <v/>
      </c>
      <c r="AT846" s="56" t="str">
        <f ca="1">IF(NOTA[[#This Row],[ID_H]]="","",IF(NOTA[[#This Row],[Column3]]=TRUE,NOTA[[#This Row],[QTY/ CTN]],INDEX([3]!db[QTY/ CTN],NOTA[[#This Row],[//DB]])))</f>
        <v/>
      </c>
      <c r="AU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6" s="56" t="str">
        <f ca="1">IF(NOTA[[#This Row],[ID_H]]="","",MATCH(NOTA[[#This Row],[NB NOTA_C_QTY]],[4]!db[NB NOTA_C_QTY+F],0))</f>
        <v/>
      </c>
      <c r="AW846" s="68" t="str">
        <f ca="1">IF(NOTA[[#This Row],[NB NOTA_C_QTY]]="","",ROW()-2)</f>
        <v/>
      </c>
    </row>
    <row r="847" spans="1:49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7" s="66" t="str">
        <f>IF(OR(NOTA[[#This Row],[QTY]]="",NOTA[[#This Row],[HARGA SATUAN]]="",),"",NOTA[[#This Row],[QTY]]*NOTA[[#This Row],[HARGA SATUAN]])</f>
        <v/>
      </c>
      <c r="AH847" s="60" t="str">
        <f ca="1">IF(NOTA[ID_H]="","",INDEX(NOTA[TANGGAL],MATCH(,INDIRECT(ADDRESS(ROW(NOTA[TANGGAL]),COLUMN(NOTA[TANGGAL]))&amp;":"&amp;ADDRESS(ROW(),COLUMN(NOTA[TANGGAL]))),-1)))</f>
        <v/>
      </c>
      <c r="AI847" s="55" t="str">
        <f ca="1">IF(NOTA[[#This Row],[NAMA BARANG]]="","",INDEX(NOTA[SUPPLIER],MATCH(,INDIRECT(ADDRESS(ROW(NOTA[ID]),COLUMN(NOTA[ID]))&amp;":"&amp;ADDRESS(ROW(),COLUMN(NOTA[ID]))),-1)))</f>
        <v/>
      </c>
      <c r="AJ847" s="55" t="str">
        <f ca="1">IF(NOTA[[#This Row],[ID_H]]="","",IF(NOTA[[#This Row],[FAKTUR]]="",INDIRECT(ADDRESS(ROW()-1,COLUMN())),NOTA[[#This Row],[FAKTUR]]))</f>
        <v/>
      </c>
      <c r="AK847" s="56" t="str">
        <f ca="1">IF(NOTA[[#This Row],[ID]]="","",COUNTIF(NOTA[ID_H],NOTA[[#This Row],[ID_H]]))</f>
        <v/>
      </c>
      <c r="AL847" s="56" t="str">
        <f ca="1">IF(NOTA[[#This Row],[TGL.NOTA]]="",IF(NOTA[[#This Row],[SUPPLIER_H]]="","",AL846),MONTH(NOTA[[#This Row],[TGL.NOTA]]))</f>
        <v/>
      </c>
      <c r="AM847" s="56" t="str">
        <f>LOWER(SUBSTITUTE(SUBSTITUTE(SUBSTITUTE(SUBSTITUTE(SUBSTITUTE(SUBSTITUTE(SUBSTITUTE(SUBSTITUTE(SUBSTITUTE(NOTA[NAMA BARANG]," ",),".",""),"-",""),"(",""),")",""),",",""),"/",""),"""",""),"+",""))</f>
        <v/>
      </c>
      <c r="AN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56" t="str">
        <f>IF(NOTA[[#This Row],[CONCAT4]]="","",_xlfn.IFNA(MATCH(NOTA[[#This Row],[CONCAT4]],[2]!RAW[CONCAT_H],0),FALSE))</f>
        <v/>
      </c>
      <c r="AR847" s="56" t="str">
        <f>IF(NOTA[[#This Row],[CONCAT1]]="","",MATCH(NOTA[[#This Row],[CONCAT1]],[3]!db[NB NOTA_C],0))</f>
        <v/>
      </c>
      <c r="AS847" s="56" t="str">
        <f>IF(NOTA[[#This Row],[QTY/ CTN]]="","",TRUE)</f>
        <v/>
      </c>
      <c r="AT847" s="56" t="str">
        <f ca="1">IF(NOTA[[#This Row],[ID_H]]="","",IF(NOTA[[#This Row],[Column3]]=TRUE,NOTA[[#This Row],[QTY/ CTN]],INDEX([3]!db[QTY/ CTN],NOTA[[#This Row],[//DB]])))</f>
        <v/>
      </c>
      <c r="AU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7" s="56" t="str">
        <f ca="1">IF(NOTA[[#This Row],[ID_H]]="","",MATCH(NOTA[[#This Row],[NB NOTA_C_QTY]],[4]!db[NB NOTA_C_QTY+F],0))</f>
        <v/>
      </c>
      <c r="AW847" s="68" t="str">
        <f ca="1">IF(NOTA[[#This Row],[NB NOTA_C_QTY]]="","",ROW()-2)</f>
        <v/>
      </c>
    </row>
    <row r="848" spans="1:49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8" s="66" t="str">
        <f>IF(OR(NOTA[[#This Row],[QTY]]="",NOTA[[#This Row],[HARGA SATUAN]]="",),"",NOTA[[#This Row],[QTY]]*NOTA[[#This Row],[HARGA SATUAN]])</f>
        <v/>
      </c>
      <c r="AH848" s="60" t="str">
        <f ca="1">IF(NOTA[ID_H]="","",INDEX(NOTA[TANGGAL],MATCH(,INDIRECT(ADDRESS(ROW(NOTA[TANGGAL]),COLUMN(NOTA[TANGGAL]))&amp;":"&amp;ADDRESS(ROW(),COLUMN(NOTA[TANGGAL]))),-1)))</f>
        <v/>
      </c>
      <c r="AI848" s="55" t="str">
        <f ca="1">IF(NOTA[[#This Row],[NAMA BARANG]]="","",INDEX(NOTA[SUPPLIER],MATCH(,INDIRECT(ADDRESS(ROW(NOTA[ID]),COLUMN(NOTA[ID]))&amp;":"&amp;ADDRESS(ROW(),COLUMN(NOTA[ID]))),-1)))</f>
        <v/>
      </c>
      <c r="AJ848" s="55" t="str">
        <f ca="1">IF(NOTA[[#This Row],[ID_H]]="","",IF(NOTA[[#This Row],[FAKTUR]]="",INDIRECT(ADDRESS(ROW()-1,COLUMN())),NOTA[[#This Row],[FAKTUR]]))</f>
        <v/>
      </c>
      <c r="AK848" s="56" t="str">
        <f ca="1">IF(NOTA[[#This Row],[ID]]="","",COUNTIF(NOTA[ID_H],NOTA[[#This Row],[ID_H]]))</f>
        <v/>
      </c>
      <c r="AL848" s="56" t="str">
        <f ca="1">IF(NOTA[[#This Row],[TGL.NOTA]]="",IF(NOTA[[#This Row],[SUPPLIER_H]]="","",AL847),MONTH(NOTA[[#This Row],[TGL.NOTA]]))</f>
        <v/>
      </c>
      <c r="AM848" s="56" t="str">
        <f>LOWER(SUBSTITUTE(SUBSTITUTE(SUBSTITUTE(SUBSTITUTE(SUBSTITUTE(SUBSTITUTE(SUBSTITUTE(SUBSTITUTE(SUBSTITUTE(NOTA[NAMA BARANG]," ",),".",""),"-",""),"(",""),")",""),",",""),"/",""),"""",""),"+",""))</f>
        <v/>
      </c>
      <c r="AN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8" s="56" t="str">
        <f>IF(NOTA[[#This Row],[CONCAT4]]="","",_xlfn.IFNA(MATCH(NOTA[[#This Row],[CONCAT4]],[2]!RAW[CONCAT_H],0),FALSE))</f>
        <v/>
      </c>
      <c r="AR848" s="56" t="str">
        <f>IF(NOTA[[#This Row],[CONCAT1]]="","",MATCH(NOTA[[#This Row],[CONCAT1]],[3]!db[NB NOTA_C],0))</f>
        <v/>
      </c>
      <c r="AS848" s="56" t="str">
        <f>IF(NOTA[[#This Row],[QTY/ CTN]]="","",TRUE)</f>
        <v/>
      </c>
      <c r="AT848" s="56" t="str">
        <f ca="1">IF(NOTA[[#This Row],[ID_H]]="","",IF(NOTA[[#This Row],[Column3]]=TRUE,NOTA[[#This Row],[QTY/ CTN]],INDEX([3]!db[QTY/ CTN],NOTA[[#This Row],[//DB]])))</f>
        <v/>
      </c>
      <c r="AU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8" s="56" t="str">
        <f ca="1">IF(NOTA[[#This Row],[ID_H]]="","",MATCH(NOTA[[#This Row],[NB NOTA_C_QTY]],[4]!db[NB NOTA_C_QTY+F],0))</f>
        <v/>
      </c>
      <c r="AW848" s="68" t="str">
        <f ca="1">IF(NOTA[[#This Row],[NB NOTA_C_QTY]]="","",ROW()-2)</f>
        <v/>
      </c>
    </row>
    <row r="849" spans="1:49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49" s="66" t="str">
        <f>IF(OR(NOTA[[#This Row],[QTY]]="",NOTA[[#This Row],[HARGA SATUAN]]="",),"",NOTA[[#This Row],[QTY]]*NOTA[[#This Row],[HARGA SATUAN]])</f>
        <v/>
      </c>
      <c r="AH849" s="60" t="str">
        <f ca="1">IF(NOTA[ID_H]="","",INDEX(NOTA[TANGGAL],MATCH(,INDIRECT(ADDRESS(ROW(NOTA[TANGGAL]),COLUMN(NOTA[TANGGAL]))&amp;":"&amp;ADDRESS(ROW(),COLUMN(NOTA[TANGGAL]))),-1)))</f>
        <v/>
      </c>
      <c r="AI849" s="55" t="str">
        <f ca="1">IF(NOTA[[#This Row],[NAMA BARANG]]="","",INDEX(NOTA[SUPPLIER],MATCH(,INDIRECT(ADDRESS(ROW(NOTA[ID]),COLUMN(NOTA[ID]))&amp;":"&amp;ADDRESS(ROW(),COLUMN(NOTA[ID]))),-1)))</f>
        <v/>
      </c>
      <c r="AJ849" s="55" t="str">
        <f ca="1">IF(NOTA[[#This Row],[ID_H]]="","",IF(NOTA[[#This Row],[FAKTUR]]="",INDIRECT(ADDRESS(ROW()-1,COLUMN())),NOTA[[#This Row],[FAKTUR]]))</f>
        <v/>
      </c>
      <c r="AK849" s="56" t="str">
        <f ca="1">IF(NOTA[[#This Row],[ID]]="","",COUNTIF(NOTA[ID_H],NOTA[[#This Row],[ID_H]]))</f>
        <v/>
      </c>
      <c r="AL849" s="56" t="str">
        <f ca="1">IF(NOTA[[#This Row],[TGL.NOTA]]="",IF(NOTA[[#This Row],[SUPPLIER_H]]="","",AL848),MONTH(NOTA[[#This Row],[TGL.NOTA]]))</f>
        <v/>
      </c>
      <c r="AM849" s="56" t="str">
        <f>LOWER(SUBSTITUTE(SUBSTITUTE(SUBSTITUTE(SUBSTITUTE(SUBSTITUTE(SUBSTITUTE(SUBSTITUTE(SUBSTITUTE(SUBSTITUTE(NOTA[NAMA BARANG]," ",),".",""),"-",""),"(",""),")",""),",",""),"/",""),"""",""),"+",""))</f>
        <v/>
      </c>
      <c r="AN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56" t="str">
        <f>IF(NOTA[[#This Row],[CONCAT4]]="","",_xlfn.IFNA(MATCH(NOTA[[#This Row],[CONCAT4]],[2]!RAW[CONCAT_H],0),FALSE))</f>
        <v/>
      </c>
      <c r="AR849" s="56" t="str">
        <f>IF(NOTA[[#This Row],[CONCAT1]]="","",MATCH(NOTA[[#This Row],[CONCAT1]],[3]!db[NB NOTA_C],0))</f>
        <v/>
      </c>
      <c r="AS849" s="56" t="str">
        <f>IF(NOTA[[#This Row],[QTY/ CTN]]="","",TRUE)</f>
        <v/>
      </c>
      <c r="AT849" s="56" t="str">
        <f ca="1">IF(NOTA[[#This Row],[ID_H]]="","",IF(NOTA[[#This Row],[Column3]]=TRUE,NOTA[[#This Row],[QTY/ CTN]],INDEX([3]!db[QTY/ CTN],NOTA[[#This Row],[//DB]])))</f>
        <v/>
      </c>
      <c r="AU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9" s="56" t="str">
        <f ca="1">IF(NOTA[[#This Row],[ID_H]]="","",MATCH(NOTA[[#This Row],[NB NOTA_C_QTY]],[4]!db[NB NOTA_C_QTY+F],0))</f>
        <v/>
      </c>
      <c r="AW849" s="68" t="str">
        <f ca="1">IF(NOTA[[#This Row],[NB NOTA_C_QTY]]="","",ROW()-2)</f>
        <v/>
      </c>
    </row>
    <row r="850" spans="1:49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0" s="66" t="str">
        <f>IF(OR(NOTA[[#This Row],[QTY]]="",NOTA[[#This Row],[HARGA SATUAN]]="",),"",NOTA[[#This Row],[QTY]]*NOTA[[#This Row],[HARGA SATUAN]])</f>
        <v/>
      </c>
      <c r="AH850" s="60" t="str">
        <f ca="1">IF(NOTA[ID_H]="","",INDEX(NOTA[TANGGAL],MATCH(,INDIRECT(ADDRESS(ROW(NOTA[TANGGAL]),COLUMN(NOTA[TANGGAL]))&amp;":"&amp;ADDRESS(ROW(),COLUMN(NOTA[TANGGAL]))),-1)))</f>
        <v/>
      </c>
      <c r="AI850" s="55" t="str">
        <f ca="1">IF(NOTA[[#This Row],[NAMA BARANG]]="","",INDEX(NOTA[SUPPLIER],MATCH(,INDIRECT(ADDRESS(ROW(NOTA[ID]),COLUMN(NOTA[ID]))&amp;":"&amp;ADDRESS(ROW(),COLUMN(NOTA[ID]))),-1)))</f>
        <v/>
      </c>
      <c r="AJ850" s="55" t="str">
        <f ca="1">IF(NOTA[[#This Row],[ID_H]]="","",IF(NOTA[[#This Row],[FAKTUR]]="",INDIRECT(ADDRESS(ROW()-1,COLUMN())),NOTA[[#This Row],[FAKTUR]]))</f>
        <v/>
      </c>
      <c r="AK850" s="56" t="str">
        <f ca="1">IF(NOTA[[#This Row],[ID]]="","",COUNTIF(NOTA[ID_H],NOTA[[#This Row],[ID_H]]))</f>
        <v/>
      </c>
      <c r="AL850" s="56" t="str">
        <f ca="1">IF(NOTA[[#This Row],[TGL.NOTA]]="",IF(NOTA[[#This Row],[SUPPLIER_H]]="","",AL849),MONTH(NOTA[[#This Row],[TGL.NOTA]]))</f>
        <v/>
      </c>
      <c r="AM850" s="56" t="str">
        <f>LOWER(SUBSTITUTE(SUBSTITUTE(SUBSTITUTE(SUBSTITUTE(SUBSTITUTE(SUBSTITUTE(SUBSTITUTE(SUBSTITUTE(SUBSTITUTE(NOTA[NAMA BARANG]," ",),".",""),"-",""),"(",""),")",""),",",""),"/",""),"""",""),"+",""))</f>
        <v/>
      </c>
      <c r="AN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56" t="str">
        <f>IF(NOTA[[#This Row],[CONCAT4]]="","",_xlfn.IFNA(MATCH(NOTA[[#This Row],[CONCAT4]],[2]!RAW[CONCAT_H],0),FALSE))</f>
        <v/>
      </c>
      <c r="AR850" s="56" t="str">
        <f>IF(NOTA[[#This Row],[CONCAT1]]="","",MATCH(NOTA[[#This Row],[CONCAT1]],[3]!db[NB NOTA_C],0))</f>
        <v/>
      </c>
      <c r="AS850" s="56" t="str">
        <f>IF(NOTA[[#This Row],[QTY/ CTN]]="","",TRUE)</f>
        <v/>
      </c>
      <c r="AT850" s="56" t="str">
        <f ca="1">IF(NOTA[[#This Row],[ID_H]]="","",IF(NOTA[[#This Row],[Column3]]=TRUE,NOTA[[#This Row],[QTY/ CTN]],INDEX([3]!db[QTY/ CTN],NOTA[[#This Row],[//DB]])))</f>
        <v/>
      </c>
      <c r="AU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0" s="56" t="str">
        <f ca="1">IF(NOTA[[#This Row],[ID_H]]="","",MATCH(NOTA[[#This Row],[NB NOTA_C_QTY]],[4]!db[NB NOTA_C_QTY+F],0))</f>
        <v/>
      </c>
      <c r="AW850" s="68" t="str">
        <f ca="1">IF(NOTA[[#This Row],[NB NOTA_C_QTY]]="","",ROW()-2)</f>
        <v/>
      </c>
    </row>
    <row r="851" spans="1:49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1" s="66" t="str">
        <f>IF(OR(NOTA[[#This Row],[QTY]]="",NOTA[[#This Row],[HARGA SATUAN]]="",),"",NOTA[[#This Row],[QTY]]*NOTA[[#This Row],[HARGA SATUAN]])</f>
        <v/>
      </c>
      <c r="AH851" s="60" t="str">
        <f ca="1">IF(NOTA[ID_H]="","",INDEX(NOTA[TANGGAL],MATCH(,INDIRECT(ADDRESS(ROW(NOTA[TANGGAL]),COLUMN(NOTA[TANGGAL]))&amp;":"&amp;ADDRESS(ROW(),COLUMN(NOTA[TANGGAL]))),-1)))</f>
        <v/>
      </c>
      <c r="AI851" s="55" t="str">
        <f ca="1">IF(NOTA[[#This Row],[NAMA BARANG]]="","",INDEX(NOTA[SUPPLIER],MATCH(,INDIRECT(ADDRESS(ROW(NOTA[ID]),COLUMN(NOTA[ID]))&amp;":"&amp;ADDRESS(ROW(),COLUMN(NOTA[ID]))),-1)))</f>
        <v/>
      </c>
      <c r="AJ851" s="55" t="str">
        <f ca="1">IF(NOTA[[#This Row],[ID_H]]="","",IF(NOTA[[#This Row],[FAKTUR]]="",INDIRECT(ADDRESS(ROW()-1,COLUMN())),NOTA[[#This Row],[FAKTUR]]))</f>
        <v/>
      </c>
      <c r="AK851" s="56" t="str">
        <f ca="1">IF(NOTA[[#This Row],[ID]]="","",COUNTIF(NOTA[ID_H],NOTA[[#This Row],[ID_H]]))</f>
        <v/>
      </c>
      <c r="AL851" s="56" t="str">
        <f ca="1">IF(NOTA[[#This Row],[TGL.NOTA]]="",IF(NOTA[[#This Row],[SUPPLIER_H]]="","",AL850),MONTH(NOTA[[#This Row],[TGL.NOTA]]))</f>
        <v/>
      </c>
      <c r="AM851" s="56" t="str">
        <f>LOWER(SUBSTITUTE(SUBSTITUTE(SUBSTITUTE(SUBSTITUTE(SUBSTITUTE(SUBSTITUTE(SUBSTITUTE(SUBSTITUTE(SUBSTITUTE(NOTA[NAMA BARANG]," ",),".",""),"-",""),"(",""),")",""),",",""),"/",""),"""",""),"+",""))</f>
        <v/>
      </c>
      <c r="AN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56" t="str">
        <f>IF(NOTA[[#This Row],[CONCAT4]]="","",_xlfn.IFNA(MATCH(NOTA[[#This Row],[CONCAT4]],[2]!RAW[CONCAT_H],0),FALSE))</f>
        <v/>
      </c>
      <c r="AR851" s="56" t="str">
        <f>IF(NOTA[[#This Row],[CONCAT1]]="","",MATCH(NOTA[[#This Row],[CONCAT1]],[3]!db[NB NOTA_C],0))</f>
        <v/>
      </c>
      <c r="AS851" s="56" t="str">
        <f>IF(NOTA[[#This Row],[QTY/ CTN]]="","",TRUE)</f>
        <v/>
      </c>
      <c r="AT851" s="56" t="str">
        <f ca="1">IF(NOTA[[#This Row],[ID_H]]="","",IF(NOTA[[#This Row],[Column3]]=TRUE,NOTA[[#This Row],[QTY/ CTN]],INDEX([3]!db[QTY/ CTN],NOTA[[#This Row],[//DB]])))</f>
        <v/>
      </c>
      <c r="AU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1" s="56" t="str">
        <f ca="1">IF(NOTA[[#This Row],[ID_H]]="","",MATCH(NOTA[[#This Row],[NB NOTA_C_QTY]],[4]!db[NB NOTA_C_QTY+F],0))</f>
        <v/>
      </c>
      <c r="AW851" s="68" t="str">
        <f ca="1">IF(NOTA[[#This Row],[NB NOTA_C_QTY]]="","",ROW()-2)</f>
        <v/>
      </c>
    </row>
    <row r="852" spans="1:49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2" s="66" t="str">
        <f>IF(OR(NOTA[[#This Row],[QTY]]="",NOTA[[#This Row],[HARGA SATUAN]]="",),"",NOTA[[#This Row],[QTY]]*NOTA[[#This Row],[HARGA SATUAN]])</f>
        <v/>
      </c>
      <c r="AH852" s="60" t="str">
        <f ca="1">IF(NOTA[ID_H]="","",INDEX(NOTA[TANGGAL],MATCH(,INDIRECT(ADDRESS(ROW(NOTA[TANGGAL]),COLUMN(NOTA[TANGGAL]))&amp;":"&amp;ADDRESS(ROW(),COLUMN(NOTA[TANGGAL]))),-1)))</f>
        <v/>
      </c>
      <c r="AI852" s="55" t="str">
        <f ca="1">IF(NOTA[[#This Row],[NAMA BARANG]]="","",INDEX(NOTA[SUPPLIER],MATCH(,INDIRECT(ADDRESS(ROW(NOTA[ID]),COLUMN(NOTA[ID]))&amp;":"&amp;ADDRESS(ROW(),COLUMN(NOTA[ID]))),-1)))</f>
        <v/>
      </c>
      <c r="AJ852" s="55" t="str">
        <f ca="1">IF(NOTA[[#This Row],[ID_H]]="","",IF(NOTA[[#This Row],[FAKTUR]]="",INDIRECT(ADDRESS(ROW()-1,COLUMN())),NOTA[[#This Row],[FAKTUR]]))</f>
        <v/>
      </c>
      <c r="AK852" s="56" t="str">
        <f ca="1">IF(NOTA[[#This Row],[ID]]="","",COUNTIF(NOTA[ID_H],NOTA[[#This Row],[ID_H]]))</f>
        <v/>
      </c>
      <c r="AL852" s="56" t="str">
        <f ca="1">IF(NOTA[[#This Row],[TGL.NOTA]]="",IF(NOTA[[#This Row],[SUPPLIER_H]]="","",AL851),MONTH(NOTA[[#This Row],[TGL.NOTA]]))</f>
        <v/>
      </c>
      <c r="AM852" s="56" t="str">
        <f>LOWER(SUBSTITUTE(SUBSTITUTE(SUBSTITUTE(SUBSTITUTE(SUBSTITUTE(SUBSTITUTE(SUBSTITUTE(SUBSTITUTE(SUBSTITUTE(NOTA[NAMA BARANG]," ",),".",""),"-",""),"(",""),")",""),",",""),"/",""),"""",""),"+",""))</f>
        <v/>
      </c>
      <c r="AN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56" t="str">
        <f>IF(NOTA[[#This Row],[CONCAT4]]="","",_xlfn.IFNA(MATCH(NOTA[[#This Row],[CONCAT4]],[2]!RAW[CONCAT_H],0),FALSE))</f>
        <v/>
      </c>
      <c r="AR852" s="56" t="str">
        <f>IF(NOTA[[#This Row],[CONCAT1]]="","",MATCH(NOTA[[#This Row],[CONCAT1]],[3]!db[NB NOTA_C],0))</f>
        <v/>
      </c>
      <c r="AS852" s="56" t="str">
        <f>IF(NOTA[[#This Row],[QTY/ CTN]]="","",TRUE)</f>
        <v/>
      </c>
      <c r="AT852" s="56" t="str">
        <f ca="1">IF(NOTA[[#This Row],[ID_H]]="","",IF(NOTA[[#This Row],[Column3]]=TRUE,NOTA[[#This Row],[QTY/ CTN]],INDEX([3]!db[QTY/ CTN],NOTA[[#This Row],[//DB]])))</f>
        <v/>
      </c>
      <c r="AU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2" s="56" t="str">
        <f ca="1">IF(NOTA[[#This Row],[ID_H]]="","",MATCH(NOTA[[#This Row],[NB NOTA_C_QTY]],[4]!db[NB NOTA_C_QTY+F],0))</f>
        <v/>
      </c>
      <c r="AW852" s="68" t="str">
        <f ca="1">IF(NOTA[[#This Row],[NB NOTA_C_QTY]]="","",ROW()-2)</f>
        <v/>
      </c>
    </row>
    <row r="853" spans="1:49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3" s="66" t="str">
        <f>IF(OR(NOTA[[#This Row],[QTY]]="",NOTA[[#This Row],[HARGA SATUAN]]="",),"",NOTA[[#This Row],[QTY]]*NOTA[[#This Row],[HARGA SATUAN]])</f>
        <v/>
      </c>
      <c r="AH853" s="60" t="str">
        <f ca="1">IF(NOTA[ID_H]="","",INDEX(NOTA[TANGGAL],MATCH(,INDIRECT(ADDRESS(ROW(NOTA[TANGGAL]),COLUMN(NOTA[TANGGAL]))&amp;":"&amp;ADDRESS(ROW(),COLUMN(NOTA[TANGGAL]))),-1)))</f>
        <v/>
      </c>
      <c r="AI853" s="55" t="str">
        <f ca="1">IF(NOTA[[#This Row],[NAMA BARANG]]="","",INDEX(NOTA[SUPPLIER],MATCH(,INDIRECT(ADDRESS(ROW(NOTA[ID]),COLUMN(NOTA[ID]))&amp;":"&amp;ADDRESS(ROW(),COLUMN(NOTA[ID]))),-1)))</f>
        <v/>
      </c>
      <c r="AJ853" s="55" t="str">
        <f ca="1">IF(NOTA[[#This Row],[ID_H]]="","",IF(NOTA[[#This Row],[FAKTUR]]="",INDIRECT(ADDRESS(ROW()-1,COLUMN())),NOTA[[#This Row],[FAKTUR]]))</f>
        <v/>
      </c>
      <c r="AK853" s="56" t="str">
        <f ca="1">IF(NOTA[[#This Row],[ID]]="","",COUNTIF(NOTA[ID_H],NOTA[[#This Row],[ID_H]]))</f>
        <v/>
      </c>
      <c r="AL853" s="56" t="str">
        <f ca="1">IF(NOTA[[#This Row],[TGL.NOTA]]="",IF(NOTA[[#This Row],[SUPPLIER_H]]="","",AL852),MONTH(NOTA[[#This Row],[TGL.NOTA]]))</f>
        <v/>
      </c>
      <c r="AM853" s="56" t="str">
        <f>LOWER(SUBSTITUTE(SUBSTITUTE(SUBSTITUTE(SUBSTITUTE(SUBSTITUTE(SUBSTITUTE(SUBSTITUTE(SUBSTITUTE(SUBSTITUTE(NOTA[NAMA BARANG]," ",),".",""),"-",""),"(",""),")",""),",",""),"/",""),"""",""),"+",""))</f>
        <v/>
      </c>
      <c r="AN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56" t="str">
        <f>IF(NOTA[[#This Row],[CONCAT4]]="","",_xlfn.IFNA(MATCH(NOTA[[#This Row],[CONCAT4]],[2]!RAW[CONCAT_H],0),FALSE))</f>
        <v/>
      </c>
      <c r="AR853" s="56" t="str">
        <f>IF(NOTA[[#This Row],[CONCAT1]]="","",MATCH(NOTA[[#This Row],[CONCAT1]],[3]!db[NB NOTA_C],0))</f>
        <v/>
      </c>
      <c r="AS853" s="56" t="str">
        <f>IF(NOTA[[#This Row],[QTY/ CTN]]="","",TRUE)</f>
        <v/>
      </c>
      <c r="AT853" s="56" t="str">
        <f ca="1">IF(NOTA[[#This Row],[ID_H]]="","",IF(NOTA[[#This Row],[Column3]]=TRUE,NOTA[[#This Row],[QTY/ CTN]],INDEX([3]!db[QTY/ CTN],NOTA[[#This Row],[//DB]])))</f>
        <v/>
      </c>
      <c r="AU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3" s="56" t="str">
        <f ca="1">IF(NOTA[[#This Row],[ID_H]]="","",MATCH(NOTA[[#This Row],[NB NOTA_C_QTY]],[4]!db[NB NOTA_C_QTY+F],0))</f>
        <v/>
      </c>
      <c r="AW853" s="68" t="str">
        <f ca="1">IF(NOTA[[#This Row],[NB NOTA_C_QTY]]="","",ROW()-2)</f>
        <v/>
      </c>
    </row>
    <row r="854" spans="1:49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4" s="66" t="str">
        <f>IF(OR(NOTA[[#This Row],[QTY]]="",NOTA[[#This Row],[HARGA SATUAN]]="",),"",NOTA[[#This Row],[QTY]]*NOTA[[#This Row],[HARGA SATUAN]])</f>
        <v/>
      </c>
      <c r="AH854" s="60" t="str">
        <f ca="1">IF(NOTA[ID_H]="","",INDEX(NOTA[TANGGAL],MATCH(,INDIRECT(ADDRESS(ROW(NOTA[TANGGAL]),COLUMN(NOTA[TANGGAL]))&amp;":"&amp;ADDRESS(ROW(),COLUMN(NOTA[TANGGAL]))),-1)))</f>
        <v/>
      </c>
      <c r="AI854" s="55" t="str">
        <f ca="1">IF(NOTA[[#This Row],[NAMA BARANG]]="","",INDEX(NOTA[SUPPLIER],MATCH(,INDIRECT(ADDRESS(ROW(NOTA[ID]),COLUMN(NOTA[ID]))&amp;":"&amp;ADDRESS(ROW(),COLUMN(NOTA[ID]))),-1)))</f>
        <v/>
      </c>
      <c r="AJ854" s="55" t="str">
        <f ca="1">IF(NOTA[[#This Row],[ID_H]]="","",IF(NOTA[[#This Row],[FAKTUR]]="",INDIRECT(ADDRESS(ROW()-1,COLUMN())),NOTA[[#This Row],[FAKTUR]]))</f>
        <v/>
      </c>
      <c r="AK854" s="56" t="str">
        <f ca="1">IF(NOTA[[#This Row],[ID]]="","",COUNTIF(NOTA[ID_H],NOTA[[#This Row],[ID_H]]))</f>
        <v/>
      </c>
      <c r="AL854" s="56" t="str">
        <f ca="1">IF(NOTA[[#This Row],[TGL.NOTA]]="",IF(NOTA[[#This Row],[SUPPLIER_H]]="","",AL853),MONTH(NOTA[[#This Row],[TGL.NOTA]]))</f>
        <v/>
      </c>
      <c r="AM854" s="56" t="str">
        <f>LOWER(SUBSTITUTE(SUBSTITUTE(SUBSTITUTE(SUBSTITUTE(SUBSTITUTE(SUBSTITUTE(SUBSTITUTE(SUBSTITUTE(SUBSTITUTE(NOTA[NAMA BARANG]," ",),".",""),"-",""),"(",""),")",""),",",""),"/",""),"""",""),"+",""))</f>
        <v/>
      </c>
      <c r="AN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56" t="str">
        <f>IF(NOTA[[#This Row],[CONCAT4]]="","",_xlfn.IFNA(MATCH(NOTA[[#This Row],[CONCAT4]],[2]!RAW[CONCAT_H],0),FALSE))</f>
        <v/>
      </c>
      <c r="AR854" s="56" t="str">
        <f>IF(NOTA[[#This Row],[CONCAT1]]="","",MATCH(NOTA[[#This Row],[CONCAT1]],[3]!db[NB NOTA_C],0))</f>
        <v/>
      </c>
      <c r="AS854" s="56" t="str">
        <f>IF(NOTA[[#This Row],[QTY/ CTN]]="","",TRUE)</f>
        <v/>
      </c>
      <c r="AT854" s="56" t="str">
        <f ca="1">IF(NOTA[[#This Row],[ID_H]]="","",IF(NOTA[[#This Row],[Column3]]=TRUE,NOTA[[#This Row],[QTY/ CTN]],INDEX([3]!db[QTY/ CTN],NOTA[[#This Row],[//DB]])))</f>
        <v/>
      </c>
      <c r="AU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4" s="56" t="str">
        <f ca="1">IF(NOTA[[#This Row],[ID_H]]="","",MATCH(NOTA[[#This Row],[NB NOTA_C_QTY]],[4]!db[NB NOTA_C_QTY+F],0))</f>
        <v/>
      </c>
      <c r="AW854" s="68" t="str">
        <f ca="1">IF(NOTA[[#This Row],[NB NOTA_C_QTY]]="","",ROW()-2)</f>
        <v/>
      </c>
    </row>
    <row r="855" spans="1:49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5" s="66" t="str">
        <f>IF(OR(NOTA[[#This Row],[QTY]]="",NOTA[[#This Row],[HARGA SATUAN]]="",),"",NOTA[[#This Row],[QTY]]*NOTA[[#This Row],[HARGA SATUAN]])</f>
        <v/>
      </c>
      <c r="AH855" s="60" t="str">
        <f ca="1">IF(NOTA[ID_H]="","",INDEX(NOTA[TANGGAL],MATCH(,INDIRECT(ADDRESS(ROW(NOTA[TANGGAL]),COLUMN(NOTA[TANGGAL]))&amp;":"&amp;ADDRESS(ROW(),COLUMN(NOTA[TANGGAL]))),-1)))</f>
        <v/>
      </c>
      <c r="AI855" s="55" t="str">
        <f ca="1">IF(NOTA[[#This Row],[NAMA BARANG]]="","",INDEX(NOTA[SUPPLIER],MATCH(,INDIRECT(ADDRESS(ROW(NOTA[ID]),COLUMN(NOTA[ID]))&amp;":"&amp;ADDRESS(ROW(),COLUMN(NOTA[ID]))),-1)))</f>
        <v/>
      </c>
      <c r="AJ855" s="55" t="str">
        <f ca="1">IF(NOTA[[#This Row],[ID_H]]="","",IF(NOTA[[#This Row],[FAKTUR]]="",INDIRECT(ADDRESS(ROW()-1,COLUMN())),NOTA[[#This Row],[FAKTUR]]))</f>
        <v/>
      </c>
      <c r="AK855" s="56" t="str">
        <f ca="1">IF(NOTA[[#This Row],[ID]]="","",COUNTIF(NOTA[ID_H],NOTA[[#This Row],[ID_H]]))</f>
        <v/>
      </c>
      <c r="AL855" s="56" t="str">
        <f ca="1">IF(NOTA[[#This Row],[TGL.NOTA]]="",IF(NOTA[[#This Row],[SUPPLIER_H]]="","",AL854),MONTH(NOTA[[#This Row],[TGL.NOTA]]))</f>
        <v/>
      </c>
      <c r="AM855" s="56" t="str">
        <f>LOWER(SUBSTITUTE(SUBSTITUTE(SUBSTITUTE(SUBSTITUTE(SUBSTITUTE(SUBSTITUTE(SUBSTITUTE(SUBSTITUTE(SUBSTITUTE(NOTA[NAMA BARANG]," ",),".",""),"-",""),"(",""),")",""),",",""),"/",""),"""",""),"+",""))</f>
        <v/>
      </c>
      <c r="AN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56" t="str">
        <f>IF(NOTA[[#This Row],[CONCAT4]]="","",_xlfn.IFNA(MATCH(NOTA[[#This Row],[CONCAT4]],[2]!RAW[CONCAT_H],0),FALSE))</f>
        <v/>
      </c>
      <c r="AR855" s="56" t="str">
        <f>IF(NOTA[[#This Row],[CONCAT1]]="","",MATCH(NOTA[[#This Row],[CONCAT1]],[3]!db[NB NOTA_C],0))</f>
        <v/>
      </c>
      <c r="AS855" s="56" t="str">
        <f>IF(NOTA[[#This Row],[QTY/ CTN]]="","",TRUE)</f>
        <v/>
      </c>
      <c r="AT855" s="56" t="str">
        <f ca="1">IF(NOTA[[#This Row],[ID_H]]="","",IF(NOTA[[#This Row],[Column3]]=TRUE,NOTA[[#This Row],[QTY/ CTN]],INDEX([3]!db[QTY/ CTN],NOTA[[#This Row],[//DB]])))</f>
        <v/>
      </c>
      <c r="AU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5" s="56" t="str">
        <f ca="1">IF(NOTA[[#This Row],[ID_H]]="","",MATCH(NOTA[[#This Row],[NB NOTA_C_QTY]],[4]!db[NB NOTA_C_QTY+F],0))</f>
        <v/>
      </c>
      <c r="AW855" s="68" t="str">
        <f ca="1">IF(NOTA[[#This Row],[NB NOTA_C_QTY]]="","",ROW()-2)</f>
        <v/>
      </c>
    </row>
    <row r="856" spans="1:49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6" s="66" t="str">
        <f>IF(OR(NOTA[[#This Row],[QTY]]="",NOTA[[#This Row],[HARGA SATUAN]]="",),"",NOTA[[#This Row],[QTY]]*NOTA[[#This Row],[HARGA SATUAN]])</f>
        <v/>
      </c>
      <c r="AH856" s="60" t="str">
        <f ca="1">IF(NOTA[ID_H]="","",INDEX(NOTA[TANGGAL],MATCH(,INDIRECT(ADDRESS(ROW(NOTA[TANGGAL]),COLUMN(NOTA[TANGGAL]))&amp;":"&amp;ADDRESS(ROW(),COLUMN(NOTA[TANGGAL]))),-1)))</f>
        <v/>
      </c>
      <c r="AI856" s="55" t="str">
        <f ca="1">IF(NOTA[[#This Row],[NAMA BARANG]]="","",INDEX(NOTA[SUPPLIER],MATCH(,INDIRECT(ADDRESS(ROW(NOTA[ID]),COLUMN(NOTA[ID]))&amp;":"&amp;ADDRESS(ROW(),COLUMN(NOTA[ID]))),-1)))</f>
        <v/>
      </c>
      <c r="AJ856" s="55" t="str">
        <f ca="1">IF(NOTA[[#This Row],[ID_H]]="","",IF(NOTA[[#This Row],[FAKTUR]]="",INDIRECT(ADDRESS(ROW()-1,COLUMN())),NOTA[[#This Row],[FAKTUR]]))</f>
        <v/>
      </c>
      <c r="AK856" s="56" t="str">
        <f ca="1">IF(NOTA[[#This Row],[ID]]="","",COUNTIF(NOTA[ID_H],NOTA[[#This Row],[ID_H]]))</f>
        <v/>
      </c>
      <c r="AL856" s="56" t="str">
        <f ca="1">IF(NOTA[[#This Row],[TGL.NOTA]]="",IF(NOTA[[#This Row],[SUPPLIER_H]]="","",AL855),MONTH(NOTA[[#This Row],[TGL.NOTA]]))</f>
        <v/>
      </c>
      <c r="AM856" s="56" t="str">
        <f>LOWER(SUBSTITUTE(SUBSTITUTE(SUBSTITUTE(SUBSTITUTE(SUBSTITUTE(SUBSTITUTE(SUBSTITUTE(SUBSTITUTE(SUBSTITUTE(NOTA[NAMA BARANG]," ",),".",""),"-",""),"(",""),")",""),",",""),"/",""),"""",""),"+",""))</f>
        <v/>
      </c>
      <c r="AN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56" t="str">
        <f>IF(NOTA[[#This Row],[CONCAT4]]="","",_xlfn.IFNA(MATCH(NOTA[[#This Row],[CONCAT4]],[2]!RAW[CONCAT_H],0),FALSE))</f>
        <v/>
      </c>
      <c r="AR856" s="56" t="str">
        <f>IF(NOTA[[#This Row],[CONCAT1]]="","",MATCH(NOTA[[#This Row],[CONCAT1]],[3]!db[NB NOTA_C],0))</f>
        <v/>
      </c>
      <c r="AS856" s="56" t="str">
        <f>IF(NOTA[[#This Row],[QTY/ CTN]]="","",TRUE)</f>
        <v/>
      </c>
      <c r="AT856" s="56" t="str">
        <f ca="1">IF(NOTA[[#This Row],[ID_H]]="","",IF(NOTA[[#This Row],[Column3]]=TRUE,NOTA[[#This Row],[QTY/ CTN]],INDEX([3]!db[QTY/ CTN],NOTA[[#This Row],[//DB]])))</f>
        <v/>
      </c>
      <c r="AU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6" s="56" t="str">
        <f ca="1">IF(NOTA[[#This Row],[ID_H]]="","",MATCH(NOTA[[#This Row],[NB NOTA_C_QTY]],[4]!db[NB NOTA_C_QTY+F],0))</f>
        <v/>
      </c>
      <c r="AW856" s="68" t="str">
        <f ca="1">IF(NOTA[[#This Row],[NB NOTA_C_QTY]]="","",ROW()-2)</f>
        <v/>
      </c>
    </row>
    <row r="857" spans="1:49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7" s="66" t="str">
        <f>IF(OR(NOTA[[#This Row],[QTY]]="",NOTA[[#This Row],[HARGA SATUAN]]="",),"",NOTA[[#This Row],[QTY]]*NOTA[[#This Row],[HARGA SATUAN]])</f>
        <v/>
      </c>
      <c r="AH857" s="60" t="str">
        <f ca="1">IF(NOTA[ID_H]="","",INDEX(NOTA[TANGGAL],MATCH(,INDIRECT(ADDRESS(ROW(NOTA[TANGGAL]),COLUMN(NOTA[TANGGAL]))&amp;":"&amp;ADDRESS(ROW(),COLUMN(NOTA[TANGGAL]))),-1)))</f>
        <v/>
      </c>
      <c r="AI857" s="55" t="str">
        <f ca="1">IF(NOTA[[#This Row],[NAMA BARANG]]="","",INDEX(NOTA[SUPPLIER],MATCH(,INDIRECT(ADDRESS(ROW(NOTA[ID]),COLUMN(NOTA[ID]))&amp;":"&amp;ADDRESS(ROW(),COLUMN(NOTA[ID]))),-1)))</f>
        <v/>
      </c>
      <c r="AJ857" s="55" t="str">
        <f ca="1">IF(NOTA[[#This Row],[ID_H]]="","",IF(NOTA[[#This Row],[FAKTUR]]="",INDIRECT(ADDRESS(ROW()-1,COLUMN())),NOTA[[#This Row],[FAKTUR]]))</f>
        <v/>
      </c>
      <c r="AK857" s="56" t="str">
        <f ca="1">IF(NOTA[[#This Row],[ID]]="","",COUNTIF(NOTA[ID_H],NOTA[[#This Row],[ID_H]]))</f>
        <v/>
      </c>
      <c r="AL857" s="56" t="str">
        <f ca="1">IF(NOTA[[#This Row],[TGL.NOTA]]="",IF(NOTA[[#This Row],[SUPPLIER_H]]="","",AL856),MONTH(NOTA[[#This Row],[TGL.NOTA]]))</f>
        <v/>
      </c>
      <c r="AM857" s="56" t="str">
        <f>LOWER(SUBSTITUTE(SUBSTITUTE(SUBSTITUTE(SUBSTITUTE(SUBSTITUTE(SUBSTITUTE(SUBSTITUTE(SUBSTITUTE(SUBSTITUTE(NOTA[NAMA BARANG]," ",),".",""),"-",""),"(",""),")",""),",",""),"/",""),"""",""),"+",""))</f>
        <v/>
      </c>
      <c r="AN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56" t="str">
        <f>IF(NOTA[[#This Row],[CONCAT4]]="","",_xlfn.IFNA(MATCH(NOTA[[#This Row],[CONCAT4]],[2]!RAW[CONCAT_H],0),FALSE))</f>
        <v/>
      </c>
      <c r="AR857" s="56" t="str">
        <f>IF(NOTA[[#This Row],[CONCAT1]]="","",MATCH(NOTA[[#This Row],[CONCAT1]],[3]!db[NB NOTA_C],0))</f>
        <v/>
      </c>
      <c r="AS857" s="56" t="str">
        <f>IF(NOTA[[#This Row],[QTY/ CTN]]="","",TRUE)</f>
        <v/>
      </c>
      <c r="AT857" s="56" t="str">
        <f ca="1">IF(NOTA[[#This Row],[ID_H]]="","",IF(NOTA[[#This Row],[Column3]]=TRUE,NOTA[[#This Row],[QTY/ CTN]],INDEX([3]!db[QTY/ CTN],NOTA[[#This Row],[//DB]])))</f>
        <v/>
      </c>
      <c r="AU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7" s="56" t="str">
        <f ca="1">IF(NOTA[[#This Row],[ID_H]]="","",MATCH(NOTA[[#This Row],[NB NOTA_C_QTY]],[4]!db[NB NOTA_C_QTY+F],0))</f>
        <v/>
      </c>
      <c r="AW857" s="68" t="str">
        <f ca="1">IF(NOTA[[#This Row],[NB NOTA_C_QTY]]="","",ROW()-2)</f>
        <v/>
      </c>
    </row>
    <row r="858" spans="1:49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8" s="66" t="str">
        <f>IF(OR(NOTA[[#This Row],[QTY]]="",NOTA[[#This Row],[HARGA SATUAN]]="",),"",NOTA[[#This Row],[QTY]]*NOTA[[#This Row],[HARGA SATUAN]])</f>
        <v/>
      </c>
      <c r="AH858" s="60" t="str">
        <f ca="1">IF(NOTA[ID_H]="","",INDEX(NOTA[TANGGAL],MATCH(,INDIRECT(ADDRESS(ROW(NOTA[TANGGAL]),COLUMN(NOTA[TANGGAL]))&amp;":"&amp;ADDRESS(ROW(),COLUMN(NOTA[TANGGAL]))),-1)))</f>
        <v/>
      </c>
      <c r="AI858" s="55" t="str">
        <f ca="1">IF(NOTA[[#This Row],[NAMA BARANG]]="","",INDEX(NOTA[SUPPLIER],MATCH(,INDIRECT(ADDRESS(ROW(NOTA[ID]),COLUMN(NOTA[ID]))&amp;":"&amp;ADDRESS(ROW(),COLUMN(NOTA[ID]))),-1)))</f>
        <v/>
      </c>
      <c r="AJ858" s="55" t="str">
        <f ca="1">IF(NOTA[[#This Row],[ID_H]]="","",IF(NOTA[[#This Row],[FAKTUR]]="",INDIRECT(ADDRESS(ROW()-1,COLUMN())),NOTA[[#This Row],[FAKTUR]]))</f>
        <v/>
      </c>
      <c r="AK858" s="56" t="str">
        <f ca="1">IF(NOTA[[#This Row],[ID]]="","",COUNTIF(NOTA[ID_H],NOTA[[#This Row],[ID_H]]))</f>
        <v/>
      </c>
      <c r="AL858" s="56" t="str">
        <f ca="1">IF(NOTA[[#This Row],[TGL.NOTA]]="",IF(NOTA[[#This Row],[SUPPLIER_H]]="","",AL857),MONTH(NOTA[[#This Row],[TGL.NOTA]]))</f>
        <v/>
      </c>
      <c r="AM858" s="56" t="str">
        <f>LOWER(SUBSTITUTE(SUBSTITUTE(SUBSTITUTE(SUBSTITUTE(SUBSTITUTE(SUBSTITUTE(SUBSTITUTE(SUBSTITUTE(SUBSTITUTE(NOTA[NAMA BARANG]," ",),".",""),"-",""),"(",""),")",""),",",""),"/",""),"""",""),"+",""))</f>
        <v/>
      </c>
      <c r="AN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56" t="str">
        <f>IF(NOTA[[#This Row],[CONCAT4]]="","",_xlfn.IFNA(MATCH(NOTA[[#This Row],[CONCAT4]],[2]!RAW[CONCAT_H],0),FALSE))</f>
        <v/>
      </c>
      <c r="AR858" s="56" t="str">
        <f>IF(NOTA[[#This Row],[CONCAT1]]="","",MATCH(NOTA[[#This Row],[CONCAT1]],[3]!db[NB NOTA_C],0))</f>
        <v/>
      </c>
      <c r="AS858" s="56" t="str">
        <f>IF(NOTA[[#This Row],[QTY/ CTN]]="","",TRUE)</f>
        <v/>
      </c>
      <c r="AT858" s="56" t="str">
        <f ca="1">IF(NOTA[[#This Row],[ID_H]]="","",IF(NOTA[[#This Row],[Column3]]=TRUE,NOTA[[#This Row],[QTY/ CTN]],INDEX([3]!db[QTY/ CTN],NOTA[[#This Row],[//DB]])))</f>
        <v/>
      </c>
      <c r="AU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8" s="56" t="str">
        <f ca="1">IF(NOTA[[#This Row],[ID_H]]="","",MATCH(NOTA[[#This Row],[NB NOTA_C_QTY]],[4]!db[NB NOTA_C_QTY+F],0))</f>
        <v/>
      </c>
      <c r="AW858" s="68" t="str">
        <f ca="1">IF(NOTA[[#This Row],[NB NOTA_C_QTY]]="","",ROW()-2)</f>
        <v/>
      </c>
    </row>
    <row r="859" spans="1:49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59" s="66" t="str">
        <f>IF(OR(NOTA[[#This Row],[QTY]]="",NOTA[[#This Row],[HARGA SATUAN]]="",),"",NOTA[[#This Row],[QTY]]*NOTA[[#This Row],[HARGA SATUAN]])</f>
        <v/>
      </c>
      <c r="AH859" s="60" t="str">
        <f ca="1">IF(NOTA[ID_H]="","",INDEX(NOTA[TANGGAL],MATCH(,INDIRECT(ADDRESS(ROW(NOTA[TANGGAL]),COLUMN(NOTA[TANGGAL]))&amp;":"&amp;ADDRESS(ROW(),COLUMN(NOTA[TANGGAL]))),-1)))</f>
        <v/>
      </c>
      <c r="AI859" s="55" t="str">
        <f ca="1">IF(NOTA[[#This Row],[NAMA BARANG]]="","",INDEX(NOTA[SUPPLIER],MATCH(,INDIRECT(ADDRESS(ROW(NOTA[ID]),COLUMN(NOTA[ID]))&amp;":"&amp;ADDRESS(ROW(),COLUMN(NOTA[ID]))),-1)))</f>
        <v/>
      </c>
      <c r="AJ859" s="55" t="str">
        <f ca="1">IF(NOTA[[#This Row],[ID_H]]="","",IF(NOTA[[#This Row],[FAKTUR]]="",INDIRECT(ADDRESS(ROW()-1,COLUMN())),NOTA[[#This Row],[FAKTUR]]))</f>
        <v/>
      </c>
      <c r="AK859" s="56" t="str">
        <f ca="1">IF(NOTA[[#This Row],[ID]]="","",COUNTIF(NOTA[ID_H],NOTA[[#This Row],[ID_H]]))</f>
        <v/>
      </c>
      <c r="AL859" s="56" t="str">
        <f ca="1">IF(NOTA[[#This Row],[TGL.NOTA]]="",IF(NOTA[[#This Row],[SUPPLIER_H]]="","",AL858),MONTH(NOTA[[#This Row],[TGL.NOTA]]))</f>
        <v/>
      </c>
      <c r="AM859" s="56" t="str">
        <f>LOWER(SUBSTITUTE(SUBSTITUTE(SUBSTITUTE(SUBSTITUTE(SUBSTITUTE(SUBSTITUTE(SUBSTITUTE(SUBSTITUTE(SUBSTITUTE(NOTA[NAMA BARANG]," ",),".",""),"-",""),"(",""),")",""),",",""),"/",""),"""",""),"+",""))</f>
        <v/>
      </c>
      <c r="AN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56" t="str">
        <f>IF(NOTA[[#This Row],[CONCAT4]]="","",_xlfn.IFNA(MATCH(NOTA[[#This Row],[CONCAT4]],[2]!RAW[CONCAT_H],0),FALSE))</f>
        <v/>
      </c>
      <c r="AR859" s="56" t="str">
        <f>IF(NOTA[[#This Row],[CONCAT1]]="","",MATCH(NOTA[[#This Row],[CONCAT1]],[3]!db[NB NOTA_C],0))</f>
        <v/>
      </c>
      <c r="AS859" s="56" t="str">
        <f>IF(NOTA[[#This Row],[QTY/ CTN]]="","",TRUE)</f>
        <v/>
      </c>
      <c r="AT859" s="56" t="str">
        <f ca="1">IF(NOTA[[#This Row],[ID_H]]="","",IF(NOTA[[#This Row],[Column3]]=TRUE,NOTA[[#This Row],[QTY/ CTN]],INDEX([3]!db[QTY/ CTN],NOTA[[#This Row],[//DB]])))</f>
        <v/>
      </c>
      <c r="AU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9" s="56" t="str">
        <f ca="1">IF(NOTA[[#This Row],[ID_H]]="","",MATCH(NOTA[[#This Row],[NB NOTA_C_QTY]],[4]!db[NB NOTA_C_QTY+F],0))</f>
        <v/>
      </c>
      <c r="AW859" s="68" t="str">
        <f ca="1">IF(NOTA[[#This Row],[NB NOTA_C_QTY]]="","",ROW()-2)</f>
        <v/>
      </c>
    </row>
    <row r="860" spans="1:49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0" s="66" t="str">
        <f>IF(OR(NOTA[[#This Row],[QTY]]="",NOTA[[#This Row],[HARGA SATUAN]]="",),"",NOTA[[#This Row],[QTY]]*NOTA[[#This Row],[HARGA SATUAN]])</f>
        <v/>
      </c>
      <c r="AH860" s="60" t="str">
        <f ca="1">IF(NOTA[ID_H]="","",INDEX(NOTA[TANGGAL],MATCH(,INDIRECT(ADDRESS(ROW(NOTA[TANGGAL]),COLUMN(NOTA[TANGGAL]))&amp;":"&amp;ADDRESS(ROW(),COLUMN(NOTA[TANGGAL]))),-1)))</f>
        <v/>
      </c>
      <c r="AI860" s="55" t="str">
        <f ca="1">IF(NOTA[[#This Row],[NAMA BARANG]]="","",INDEX(NOTA[SUPPLIER],MATCH(,INDIRECT(ADDRESS(ROW(NOTA[ID]),COLUMN(NOTA[ID]))&amp;":"&amp;ADDRESS(ROW(),COLUMN(NOTA[ID]))),-1)))</f>
        <v/>
      </c>
      <c r="AJ860" s="55" t="str">
        <f ca="1">IF(NOTA[[#This Row],[ID_H]]="","",IF(NOTA[[#This Row],[FAKTUR]]="",INDIRECT(ADDRESS(ROW()-1,COLUMN())),NOTA[[#This Row],[FAKTUR]]))</f>
        <v/>
      </c>
      <c r="AK860" s="56" t="str">
        <f ca="1">IF(NOTA[[#This Row],[ID]]="","",COUNTIF(NOTA[ID_H],NOTA[[#This Row],[ID_H]]))</f>
        <v/>
      </c>
      <c r="AL860" s="56" t="str">
        <f ca="1">IF(NOTA[[#This Row],[TGL.NOTA]]="",IF(NOTA[[#This Row],[SUPPLIER_H]]="","",AL859),MONTH(NOTA[[#This Row],[TGL.NOTA]]))</f>
        <v/>
      </c>
      <c r="AM860" s="56" t="str">
        <f>LOWER(SUBSTITUTE(SUBSTITUTE(SUBSTITUTE(SUBSTITUTE(SUBSTITUTE(SUBSTITUTE(SUBSTITUTE(SUBSTITUTE(SUBSTITUTE(NOTA[NAMA BARANG]," ",),".",""),"-",""),"(",""),")",""),",",""),"/",""),"""",""),"+",""))</f>
        <v/>
      </c>
      <c r="AN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0" s="56" t="str">
        <f>IF(NOTA[[#This Row],[CONCAT4]]="","",_xlfn.IFNA(MATCH(NOTA[[#This Row],[CONCAT4]],[2]!RAW[CONCAT_H],0),FALSE))</f>
        <v/>
      </c>
      <c r="AR860" s="56" t="str">
        <f>IF(NOTA[[#This Row],[CONCAT1]]="","",MATCH(NOTA[[#This Row],[CONCAT1]],[3]!db[NB NOTA_C],0))</f>
        <v/>
      </c>
      <c r="AS860" s="56" t="str">
        <f>IF(NOTA[[#This Row],[QTY/ CTN]]="","",TRUE)</f>
        <v/>
      </c>
      <c r="AT860" s="56" t="str">
        <f ca="1">IF(NOTA[[#This Row],[ID_H]]="","",IF(NOTA[[#This Row],[Column3]]=TRUE,NOTA[[#This Row],[QTY/ CTN]],INDEX([3]!db[QTY/ CTN],NOTA[[#This Row],[//DB]])))</f>
        <v/>
      </c>
      <c r="AU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0" s="56" t="str">
        <f ca="1">IF(NOTA[[#This Row],[ID_H]]="","",MATCH(NOTA[[#This Row],[NB NOTA_C_QTY]],[4]!db[NB NOTA_C_QTY+F],0))</f>
        <v/>
      </c>
      <c r="AW860" s="68" t="str">
        <f ca="1">IF(NOTA[[#This Row],[NB NOTA_C_QTY]]="","",ROW()-2)</f>
        <v/>
      </c>
    </row>
    <row r="861" spans="1:49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1" s="66" t="str">
        <f>IF(OR(NOTA[[#This Row],[QTY]]="",NOTA[[#This Row],[HARGA SATUAN]]="",),"",NOTA[[#This Row],[QTY]]*NOTA[[#This Row],[HARGA SATUAN]])</f>
        <v/>
      </c>
      <c r="AH861" s="60" t="str">
        <f ca="1">IF(NOTA[ID_H]="","",INDEX(NOTA[TANGGAL],MATCH(,INDIRECT(ADDRESS(ROW(NOTA[TANGGAL]),COLUMN(NOTA[TANGGAL]))&amp;":"&amp;ADDRESS(ROW(),COLUMN(NOTA[TANGGAL]))),-1)))</f>
        <v/>
      </c>
      <c r="AI861" s="55" t="str">
        <f ca="1">IF(NOTA[[#This Row],[NAMA BARANG]]="","",INDEX(NOTA[SUPPLIER],MATCH(,INDIRECT(ADDRESS(ROW(NOTA[ID]),COLUMN(NOTA[ID]))&amp;":"&amp;ADDRESS(ROW(),COLUMN(NOTA[ID]))),-1)))</f>
        <v/>
      </c>
      <c r="AJ861" s="55" t="str">
        <f ca="1">IF(NOTA[[#This Row],[ID_H]]="","",IF(NOTA[[#This Row],[FAKTUR]]="",INDIRECT(ADDRESS(ROW()-1,COLUMN())),NOTA[[#This Row],[FAKTUR]]))</f>
        <v/>
      </c>
      <c r="AK861" s="56" t="str">
        <f ca="1">IF(NOTA[[#This Row],[ID]]="","",COUNTIF(NOTA[ID_H],NOTA[[#This Row],[ID_H]]))</f>
        <v/>
      </c>
      <c r="AL861" s="56" t="str">
        <f ca="1">IF(NOTA[[#This Row],[TGL.NOTA]]="",IF(NOTA[[#This Row],[SUPPLIER_H]]="","",AL860),MONTH(NOTA[[#This Row],[TGL.NOTA]]))</f>
        <v/>
      </c>
      <c r="AM861" s="56" t="str">
        <f>LOWER(SUBSTITUTE(SUBSTITUTE(SUBSTITUTE(SUBSTITUTE(SUBSTITUTE(SUBSTITUTE(SUBSTITUTE(SUBSTITUTE(SUBSTITUTE(NOTA[NAMA BARANG]," ",),".",""),"-",""),"(",""),")",""),",",""),"/",""),"""",""),"+",""))</f>
        <v/>
      </c>
      <c r="AN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56" t="str">
        <f>IF(NOTA[[#This Row],[CONCAT4]]="","",_xlfn.IFNA(MATCH(NOTA[[#This Row],[CONCAT4]],[2]!RAW[CONCAT_H],0),FALSE))</f>
        <v/>
      </c>
      <c r="AR861" s="56" t="str">
        <f>IF(NOTA[[#This Row],[CONCAT1]]="","",MATCH(NOTA[[#This Row],[CONCAT1]],[3]!db[NB NOTA_C],0))</f>
        <v/>
      </c>
      <c r="AS861" s="56" t="str">
        <f>IF(NOTA[[#This Row],[QTY/ CTN]]="","",TRUE)</f>
        <v/>
      </c>
      <c r="AT861" s="56" t="str">
        <f ca="1">IF(NOTA[[#This Row],[ID_H]]="","",IF(NOTA[[#This Row],[Column3]]=TRUE,NOTA[[#This Row],[QTY/ CTN]],INDEX([3]!db[QTY/ CTN],NOTA[[#This Row],[//DB]])))</f>
        <v/>
      </c>
      <c r="AU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1" s="56" t="str">
        <f ca="1">IF(NOTA[[#This Row],[ID_H]]="","",MATCH(NOTA[[#This Row],[NB NOTA_C_QTY]],[4]!db[NB NOTA_C_QTY+F],0))</f>
        <v/>
      </c>
      <c r="AW861" s="68" t="str">
        <f ca="1">IF(NOTA[[#This Row],[NB NOTA_C_QTY]]="","",ROW()-2)</f>
        <v/>
      </c>
    </row>
    <row r="862" spans="1:49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2" s="66" t="str">
        <f>IF(OR(NOTA[[#This Row],[QTY]]="",NOTA[[#This Row],[HARGA SATUAN]]="",),"",NOTA[[#This Row],[QTY]]*NOTA[[#This Row],[HARGA SATUAN]])</f>
        <v/>
      </c>
      <c r="AH862" s="60" t="str">
        <f ca="1">IF(NOTA[ID_H]="","",INDEX(NOTA[TANGGAL],MATCH(,INDIRECT(ADDRESS(ROW(NOTA[TANGGAL]),COLUMN(NOTA[TANGGAL]))&amp;":"&amp;ADDRESS(ROW(),COLUMN(NOTA[TANGGAL]))),-1)))</f>
        <v/>
      </c>
      <c r="AI862" s="55" t="str">
        <f ca="1">IF(NOTA[[#This Row],[NAMA BARANG]]="","",INDEX(NOTA[SUPPLIER],MATCH(,INDIRECT(ADDRESS(ROW(NOTA[ID]),COLUMN(NOTA[ID]))&amp;":"&amp;ADDRESS(ROW(),COLUMN(NOTA[ID]))),-1)))</f>
        <v/>
      </c>
      <c r="AJ862" s="55" t="str">
        <f ca="1">IF(NOTA[[#This Row],[ID_H]]="","",IF(NOTA[[#This Row],[FAKTUR]]="",INDIRECT(ADDRESS(ROW()-1,COLUMN())),NOTA[[#This Row],[FAKTUR]]))</f>
        <v/>
      </c>
      <c r="AK862" s="56" t="str">
        <f ca="1">IF(NOTA[[#This Row],[ID]]="","",COUNTIF(NOTA[ID_H],NOTA[[#This Row],[ID_H]]))</f>
        <v/>
      </c>
      <c r="AL862" s="56" t="str">
        <f ca="1">IF(NOTA[[#This Row],[TGL.NOTA]]="",IF(NOTA[[#This Row],[SUPPLIER_H]]="","",AL861),MONTH(NOTA[[#This Row],[TGL.NOTA]]))</f>
        <v/>
      </c>
      <c r="AM862" s="56" t="str">
        <f>LOWER(SUBSTITUTE(SUBSTITUTE(SUBSTITUTE(SUBSTITUTE(SUBSTITUTE(SUBSTITUTE(SUBSTITUTE(SUBSTITUTE(SUBSTITUTE(NOTA[NAMA BARANG]," ",),".",""),"-",""),"(",""),")",""),",",""),"/",""),"""",""),"+",""))</f>
        <v/>
      </c>
      <c r="AN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56" t="str">
        <f>IF(NOTA[[#This Row],[CONCAT4]]="","",_xlfn.IFNA(MATCH(NOTA[[#This Row],[CONCAT4]],[2]!RAW[CONCAT_H],0),FALSE))</f>
        <v/>
      </c>
      <c r="AR862" s="56" t="str">
        <f>IF(NOTA[[#This Row],[CONCAT1]]="","",MATCH(NOTA[[#This Row],[CONCAT1]],[3]!db[NB NOTA_C],0))</f>
        <v/>
      </c>
      <c r="AS862" s="56" t="str">
        <f>IF(NOTA[[#This Row],[QTY/ CTN]]="","",TRUE)</f>
        <v/>
      </c>
      <c r="AT862" s="56" t="str">
        <f ca="1">IF(NOTA[[#This Row],[ID_H]]="","",IF(NOTA[[#This Row],[Column3]]=TRUE,NOTA[[#This Row],[QTY/ CTN]],INDEX([3]!db[QTY/ CTN],NOTA[[#This Row],[//DB]])))</f>
        <v/>
      </c>
      <c r="AU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2" s="56" t="str">
        <f ca="1">IF(NOTA[[#This Row],[ID_H]]="","",MATCH(NOTA[[#This Row],[NB NOTA_C_QTY]],[4]!db[NB NOTA_C_QTY+F],0))</f>
        <v/>
      </c>
      <c r="AW862" s="68" t="str">
        <f ca="1">IF(NOTA[[#This Row],[NB NOTA_C_QTY]]="","",ROW()-2)</f>
        <v/>
      </c>
    </row>
    <row r="863" spans="1:49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3" s="66" t="str">
        <f>IF(OR(NOTA[[#This Row],[QTY]]="",NOTA[[#This Row],[HARGA SATUAN]]="",),"",NOTA[[#This Row],[QTY]]*NOTA[[#This Row],[HARGA SATUAN]])</f>
        <v/>
      </c>
      <c r="AH863" s="60" t="str">
        <f ca="1">IF(NOTA[ID_H]="","",INDEX(NOTA[TANGGAL],MATCH(,INDIRECT(ADDRESS(ROW(NOTA[TANGGAL]),COLUMN(NOTA[TANGGAL]))&amp;":"&amp;ADDRESS(ROW(),COLUMN(NOTA[TANGGAL]))),-1)))</f>
        <v/>
      </c>
      <c r="AI863" s="55" t="str">
        <f ca="1">IF(NOTA[[#This Row],[NAMA BARANG]]="","",INDEX(NOTA[SUPPLIER],MATCH(,INDIRECT(ADDRESS(ROW(NOTA[ID]),COLUMN(NOTA[ID]))&amp;":"&amp;ADDRESS(ROW(),COLUMN(NOTA[ID]))),-1)))</f>
        <v/>
      </c>
      <c r="AJ863" s="55" t="str">
        <f ca="1">IF(NOTA[[#This Row],[ID_H]]="","",IF(NOTA[[#This Row],[FAKTUR]]="",INDIRECT(ADDRESS(ROW()-1,COLUMN())),NOTA[[#This Row],[FAKTUR]]))</f>
        <v/>
      </c>
      <c r="AK863" s="56" t="str">
        <f ca="1">IF(NOTA[[#This Row],[ID]]="","",COUNTIF(NOTA[ID_H],NOTA[[#This Row],[ID_H]]))</f>
        <v/>
      </c>
      <c r="AL863" s="56" t="str">
        <f ca="1">IF(NOTA[[#This Row],[TGL.NOTA]]="",IF(NOTA[[#This Row],[SUPPLIER_H]]="","",AL862),MONTH(NOTA[[#This Row],[TGL.NOTA]]))</f>
        <v/>
      </c>
      <c r="AM863" s="56" t="str">
        <f>LOWER(SUBSTITUTE(SUBSTITUTE(SUBSTITUTE(SUBSTITUTE(SUBSTITUTE(SUBSTITUTE(SUBSTITUTE(SUBSTITUTE(SUBSTITUTE(NOTA[NAMA BARANG]," ",),".",""),"-",""),"(",""),")",""),",",""),"/",""),"""",""),"+",""))</f>
        <v/>
      </c>
      <c r="AN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56" t="str">
        <f>IF(NOTA[[#This Row],[CONCAT4]]="","",_xlfn.IFNA(MATCH(NOTA[[#This Row],[CONCAT4]],[2]!RAW[CONCAT_H],0),FALSE))</f>
        <v/>
      </c>
      <c r="AR863" s="56" t="str">
        <f>IF(NOTA[[#This Row],[CONCAT1]]="","",MATCH(NOTA[[#This Row],[CONCAT1]],[3]!db[NB NOTA_C],0))</f>
        <v/>
      </c>
      <c r="AS863" s="56" t="str">
        <f>IF(NOTA[[#This Row],[QTY/ CTN]]="","",TRUE)</f>
        <v/>
      </c>
      <c r="AT863" s="56" t="str">
        <f ca="1">IF(NOTA[[#This Row],[ID_H]]="","",IF(NOTA[[#This Row],[Column3]]=TRUE,NOTA[[#This Row],[QTY/ CTN]],INDEX([3]!db[QTY/ CTN],NOTA[[#This Row],[//DB]])))</f>
        <v/>
      </c>
      <c r="AU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3" s="56" t="str">
        <f ca="1">IF(NOTA[[#This Row],[ID_H]]="","",MATCH(NOTA[[#This Row],[NB NOTA_C_QTY]],[4]!db[NB NOTA_C_QTY+F],0))</f>
        <v/>
      </c>
      <c r="AW863" s="68" t="str">
        <f ca="1">IF(NOTA[[#This Row],[NB NOTA_C_QTY]]="","",ROW()-2)</f>
        <v/>
      </c>
    </row>
    <row r="864" spans="1:49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4" s="66" t="str">
        <f>IF(OR(NOTA[[#This Row],[QTY]]="",NOTA[[#This Row],[HARGA SATUAN]]="",),"",NOTA[[#This Row],[QTY]]*NOTA[[#This Row],[HARGA SATUAN]])</f>
        <v/>
      </c>
      <c r="AH864" s="60" t="str">
        <f ca="1">IF(NOTA[ID_H]="","",INDEX(NOTA[TANGGAL],MATCH(,INDIRECT(ADDRESS(ROW(NOTA[TANGGAL]),COLUMN(NOTA[TANGGAL]))&amp;":"&amp;ADDRESS(ROW(),COLUMN(NOTA[TANGGAL]))),-1)))</f>
        <v/>
      </c>
      <c r="AI864" s="55" t="str">
        <f ca="1">IF(NOTA[[#This Row],[NAMA BARANG]]="","",INDEX(NOTA[SUPPLIER],MATCH(,INDIRECT(ADDRESS(ROW(NOTA[ID]),COLUMN(NOTA[ID]))&amp;":"&amp;ADDRESS(ROW(),COLUMN(NOTA[ID]))),-1)))</f>
        <v/>
      </c>
      <c r="AJ864" s="55" t="str">
        <f ca="1">IF(NOTA[[#This Row],[ID_H]]="","",IF(NOTA[[#This Row],[FAKTUR]]="",INDIRECT(ADDRESS(ROW()-1,COLUMN())),NOTA[[#This Row],[FAKTUR]]))</f>
        <v/>
      </c>
      <c r="AK864" s="56" t="str">
        <f ca="1">IF(NOTA[[#This Row],[ID]]="","",COUNTIF(NOTA[ID_H],NOTA[[#This Row],[ID_H]]))</f>
        <v/>
      </c>
      <c r="AL864" s="56" t="str">
        <f ca="1">IF(NOTA[[#This Row],[TGL.NOTA]]="",IF(NOTA[[#This Row],[SUPPLIER_H]]="","",AL863),MONTH(NOTA[[#This Row],[TGL.NOTA]]))</f>
        <v/>
      </c>
      <c r="AM864" s="56" t="str">
        <f>LOWER(SUBSTITUTE(SUBSTITUTE(SUBSTITUTE(SUBSTITUTE(SUBSTITUTE(SUBSTITUTE(SUBSTITUTE(SUBSTITUTE(SUBSTITUTE(NOTA[NAMA BARANG]," ",),".",""),"-",""),"(",""),")",""),",",""),"/",""),"""",""),"+",""))</f>
        <v/>
      </c>
      <c r="AN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56" t="str">
        <f>IF(NOTA[[#This Row],[CONCAT4]]="","",_xlfn.IFNA(MATCH(NOTA[[#This Row],[CONCAT4]],[2]!RAW[CONCAT_H],0),FALSE))</f>
        <v/>
      </c>
      <c r="AR864" s="56" t="str">
        <f>IF(NOTA[[#This Row],[CONCAT1]]="","",MATCH(NOTA[[#This Row],[CONCAT1]],[3]!db[NB NOTA_C],0))</f>
        <v/>
      </c>
      <c r="AS864" s="56" t="str">
        <f>IF(NOTA[[#This Row],[QTY/ CTN]]="","",TRUE)</f>
        <v/>
      </c>
      <c r="AT864" s="56" t="str">
        <f ca="1">IF(NOTA[[#This Row],[ID_H]]="","",IF(NOTA[[#This Row],[Column3]]=TRUE,NOTA[[#This Row],[QTY/ CTN]],INDEX([3]!db[QTY/ CTN],NOTA[[#This Row],[//DB]])))</f>
        <v/>
      </c>
      <c r="AU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4" s="56" t="str">
        <f ca="1">IF(NOTA[[#This Row],[ID_H]]="","",MATCH(NOTA[[#This Row],[NB NOTA_C_QTY]],[4]!db[NB NOTA_C_QTY+F],0))</f>
        <v/>
      </c>
      <c r="AW864" s="68" t="str">
        <f ca="1">IF(NOTA[[#This Row],[NB NOTA_C_QTY]]="","",ROW()-2)</f>
        <v/>
      </c>
    </row>
    <row r="865" spans="1:49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5" s="66" t="str">
        <f>IF(OR(NOTA[[#This Row],[QTY]]="",NOTA[[#This Row],[HARGA SATUAN]]="",),"",NOTA[[#This Row],[QTY]]*NOTA[[#This Row],[HARGA SATUAN]])</f>
        <v/>
      </c>
      <c r="AH865" s="60" t="str">
        <f ca="1">IF(NOTA[ID_H]="","",INDEX(NOTA[TANGGAL],MATCH(,INDIRECT(ADDRESS(ROW(NOTA[TANGGAL]),COLUMN(NOTA[TANGGAL]))&amp;":"&amp;ADDRESS(ROW(),COLUMN(NOTA[TANGGAL]))),-1)))</f>
        <v/>
      </c>
      <c r="AI865" s="55" t="str">
        <f ca="1">IF(NOTA[[#This Row],[NAMA BARANG]]="","",INDEX(NOTA[SUPPLIER],MATCH(,INDIRECT(ADDRESS(ROW(NOTA[ID]),COLUMN(NOTA[ID]))&amp;":"&amp;ADDRESS(ROW(),COLUMN(NOTA[ID]))),-1)))</f>
        <v/>
      </c>
      <c r="AJ865" s="55" t="str">
        <f ca="1">IF(NOTA[[#This Row],[ID_H]]="","",IF(NOTA[[#This Row],[FAKTUR]]="",INDIRECT(ADDRESS(ROW()-1,COLUMN())),NOTA[[#This Row],[FAKTUR]]))</f>
        <v/>
      </c>
      <c r="AK865" s="56" t="str">
        <f ca="1">IF(NOTA[[#This Row],[ID]]="","",COUNTIF(NOTA[ID_H],NOTA[[#This Row],[ID_H]]))</f>
        <v/>
      </c>
      <c r="AL865" s="56" t="str">
        <f ca="1">IF(NOTA[[#This Row],[TGL.NOTA]]="",IF(NOTA[[#This Row],[SUPPLIER_H]]="","",AL864),MONTH(NOTA[[#This Row],[TGL.NOTA]]))</f>
        <v/>
      </c>
      <c r="AM865" s="56" t="str">
        <f>LOWER(SUBSTITUTE(SUBSTITUTE(SUBSTITUTE(SUBSTITUTE(SUBSTITUTE(SUBSTITUTE(SUBSTITUTE(SUBSTITUTE(SUBSTITUTE(NOTA[NAMA BARANG]," ",),".",""),"-",""),"(",""),")",""),",",""),"/",""),"""",""),"+",""))</f>
        <v/>
      </c>
      <c r="AN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56" t="str">
        <f>IF(NOTA[[#This Row],[CONCAT4]]="","",_xlfn.IFNA(MATCH(NOTA[[#This Row],[CONCAT4]],[2]!RAW[CONCAT_H],0),FALSE))</f>
        <v/>
      </c>
      <c r="AR865" s="56" t="str">
        <f>IF(NOTA[[#This Row],[CONCAT1]]="","",MATCH(NOTA[[#This Row],[CONCAT1]],[3]!db[NB NOTA_C],0))</f>
        <v/>
      </c>
      <c r="AS865" s="56" t="str">
        <f>IF(NOTA[[#This Row],[QTY/ CTN]]="","",TRUE)</f>
        <v/>
      </c>
      <c r="AT865" s="56" t="str">
        <f ca="1">IF(NOTA[[#This Row],[ID_H]]="","",IF(NOTA[[#This Row],[Column3]]=TRUE,NOTA[[#This Row],[QTY/ CTN]],INDEX([3]!db[QTY/ CTN],NOTA[[#This Row],[//DB]])))</f>
        <v/>
      </c>
      <c r="AU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5" s="56" t="str">
        <f ca="1">IF(NOTA[[#This Row],[ID_H]]="","",MATCH(NOTA[[#This Row],[NB NOTA_C_QTY]],[4]!db[NB NOTA_C_QTY+F],0))</f>
        <v/>
      </c>
      <c r="AW865" s="68" t="str">
        <f ca="1">IF(NOTA[[#This Row],[NB NOTA_C_QTY]]="","",ROW()-2)</f>
        <v/>
      </c>
    </row>
    <row r="866" spans="1:49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6" s="66" t="str">
        <f>IF(OR(NOTA[[#This Row],[QTY]]="",NOTA[[#This Row],[HARGA SATUAN]]="",),"",NOTA[[#This Row],[QTY]]*NOTA[[#This Row],[HARGA SATUAN]])</f>
        <v/>
      </c>
      <c r="AH866" s="60" t="str">
        <f ca="1">IF(NOTA[ID_H]="","",INDEX(NOTA[TANGGAL],MATCH(,INDIRECT(ADDRESS(ROW(NOTA[TANGGAL]),COLUMN(NOTA[TANGGAL]))&amp;":"&amp;ADDRESS(ROW(),COLUMN(NOTA[TANGGAL]))),-1)))</f>
        <v/>
      </c>
      <c r="AI866" s="55" t="str">
        <f ca="1">IF(NOTA[[#This Row],[NAMA BARANG]]="","",INDEX(NOTA[SUPPLIER],MATCH(,INDIRECT(ADDRESS(ROW(NOTA[ID]),COLUMN(NOTA[ID]))&amp;":"&amp;ADDRESS(ROW(),COLUMN(NOTA[ID]))),-1)))</f>
        <v/>
      </c>
      <c r="AJ866" s="55" t="str">
        <f ca="1">IF(NOTA[[#This Row],[ID_H]]="","",IF(NOTA[[#This Row],[FAKTUR]]="",INDIRECT(ADDRESS(ROW()-1,COLUMN())),NOTA[[#This Row],[FAKTUR]]))</f>
        <v/>
      </c>
      <c r="AK866" s="56" t="str">
        <f ca="1">IF(NOTA[[#This Row],[ID]]="","",COUNTIF(NOTA[ID_H],NOTA[[#This Row],[ID_H]]))</f>
        <v/>
      </c>
      <c r="AL866" s="56" t="str">
        <f ca="1">IF(NOTA[[#This Row],[TGL.NOTA]]="",IF(NOTA[[#This Row],[SUPPLIER_H]]="","",AL865),MONTH(NOTA[[#This Row],[TGL.NOTA]]))</f>
        <v/>
      </c>
      <c r="AM866" s="56" t="str">
        <f>LOWER(SUBSTITUTE(SUBSTITUTE(SUBSTITUTE(SUBSTITUTE(SUBSTITUTE(SUBSTITUTE(SUBSTITUTE(SUBSTITUTE(SUBSTITUTE(NOTA[NAMA BARANG]," ",),".",""),"-",""),"(",""),")",""),",",""),"/",""),"""",""),"+",""))</f>
        <v/>
      </c>
      <c r="AN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56" t="str">
        <f>IF(NOTA[[#This Row],[CONCAT4]]="","",_xlfn.IFNA(MATCH(NOTA[[#This Row],[CONCAT4]],[2]!RAW[CONCAT_H],0),FALSE))</f>
        <v/>
      </c>
      <c r="AR866" s="56" t="str">
        <f>IF(NOTA[[#This Row],[CONCAT1]]="","",MATCH(NOTA[[#This Row],[CONCAT1]],[3]!db[NB NOTA_C],0))</f>
        <v/>
      </c>
      <c r="AS866" s="56" t="str">
        <f>IF(NOTA[[#This Row],[QTY/ CTN]]="","",TRUE)</f>
        <v/>
      </c>
      <c r="AT866" s="56" t="str">
        <f ca="1">IF(NOTA[[#This Row],[ID_H]]="","",IF(NOTA[[#This Row],[Column3]]=TRUE,NOTA[[#This Row],[QTY/ CTN]],INDEX([3]!db[QTY/ CTN],NOTA[[#This Row],[//DB]])))</f>
        <v/>
      </c>
      <c r="AU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6" s="56" t="str">
        <f ca="1">IF(NOTA[[#This Row],[ID_H]]="","",MATCH(NOTA[[#This Row],[NB NOTA_C_QTY]],[4]!db[NB NOTA_C_QTY+F],0))</f>
        <v/>
      </c>
      <c r="AW866" s="68" t="str">
        <f ca="1">IF(NOTA[[#This Row],[NB NOTA_C_QTY]]="","",ROW()-2)</f>
        <v/>
      </c>
    </row>
    <row r="867" spans="1:49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7" s="66" t="str">
        <f>IF(OR(NOTA[[#This Row],[QTY]]="",NOTA[[#This Row],[HARGA SATUAN]]="",),"",NOTA[[#This Row],[QTY]]*NOTA[[#This Row],[HARGA SATUAN]])</f>
        <v/>
      </c>
      <c r="AH867" s="60" t="str">
        <f ca="1">IF(NOTA[ID_H]="","",INDEX(NOTA[TANGGAL],MATCH(,INDIRECT(ADDRESS(ROW(NOTA[TANGGAL]),COLUMN(NOTA[TANGGAL]))&amp;":"&amp;ADDRESS(ROW(),COLUMN(NOTA[TANGGAL]))),-1)))</f>
        <v/>
      </c>
      <c r="AI867" s="55" t="str">
        <f ca="1">IF(NOTA[[#This Row],[NAMA BARANG]]="","",INDEX(NOTA[SUPPLIER],MATCH(,INDIRECT(ADDRESS(ROW(NOTA[ID]),COLUMN(NOTA[ID]))&amp;":"&amp;ADDRESS(ROW(),COLUMN(NOTA[ID]))),-1)))</f>
        <v/>
      </c>
      <c r="AJ867" s="55" t="str">
        <f ca="1">IF(NOTA[[#This Row],[ID_H]]="","",IF(NOTA[[#This Row],[FAKTUR]]="",INDIRECT(ADDRESS(ROW()-1,COLUMN())),NOTA[[#This Row],[FAKTUR]]))</f>
        <v/>
      </c>
      <c r="AK867" s="56" t="str">
        <f ca="1">IF(NOTA[[#This Row],[ID]]="","",COUNTIF(NOTA[ID_H],NOTA[[#This Row],[ID_H]]))</f>
        <v/>
      </c>
      <c r="AL867" s="56" t="str">
        <f ca="1">IF(NOTA[[#This Row],[TGL.NOTA]]="",IF(NOTA[[#This Row],[SUPPLIER_H]]="","",AL866),MONTH(NOTA[[#This Row],[TGL.NOTA]]))</f>
        <v/>
      </c>
      <c r="AM867" s="56" t="str">
        <f>LOWER(SUBSTITUTE(SUBSTITUTE(SUBSTITUTE(SUBSTITUTE(SUBSTITUTE(SUBSTITUTE(SUBSTITUTE(SUBSTITUTE(SUBSTITUTE(NOTA[NAMA BARANG]," ",),".",""),"-",""),"(",""),")",""),",",""),"/",""),"""",""),"+",""))</f>
        <v/>
      </c>
      <c r="AN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56" t="str">
        <f>IF(NOTA[[#This Row],[CONCAT4]]="","",_xlfn.IFNA(MATCH(NOTA[[#This Row],[CONCAT4]],[2]!RAW[CONCAT_H],0),FALSE))</f>
        <v/>
      </c>
      <c r="AR867" s="56" t="str">
        <f>IF(NOTA[[#This Row],[CONCAT1]]="","",MATCH(NOTA[[#This Row],[CONCAT1]],[3]!db[NB NOTA_C],0))</f>
        <v/>
      </c>
      <c r="AS867" s="56" t="str">
        <f>IF(NOTA[[#This Row],[QTY/ CTN]]="","",TRUE)</f>
        <v/>
      </c>
      <c r="AT867" s="56" t="str">
        <f ca="1">IF(NOTA[[#This Row],[ID_H]]="","",IF(NOTA[[#This Row],[Column3]]=TRUE,NOTA[[#This Row],[QTY/ CTN]],INDEX([3]!db[QTY/ CTN],NOTA[[#This Row],[//DB]])))</f>
        <v/>
      </c>
      <c r="AU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7" s="56" t="str">
        <f ca="1">IF(NOTA[[#This Row],[ID_H]]="","",MATCH(NOTA[[#This Row],[NB NOTA_C_QTY]],[4]!db[NB NOTA_C_QTY+F],0))</f>
        <v/>
      </c>
      <c r="AW867" s="68" t="str">
        <f ca="1">IF(NOTA[[#This Row],[NB NOTA_C_QTY]]="","",ROW()-2)</f>
        <v/>
      </c>
    </row>
    <row r="868" spans="1:49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8" s="66" t="str">
        <f>IF(OR(NOTA[[#This Row],[QTY]]="",NOTA[[#This Row],[HARGA SATUAN]]="",),"",NOTA[[#This Row],[QTY]]*NOTA[[#This Row],[HARGA SATUAN]])</f>
        <v/>
      </c>
      <c r="AH868" s="60" t="str">
        <f ca="1">IF(NOTA[ID_H]="","",INDEX(NOTA[TANGGAL],MATCH(,INDIRECT(ADDRESS(ROW(NOTA[TANGGAL]),COLUMN(NOTA[TANGGAL]))&amp;":"&amp;ADDRESS(ROW(),COLUMN(NOTA[TANGGAL]))),-1)))</f>
        <v/>
      </c>
      <c r="AI868" s="55" t="str">
        <f ca="1">IF(NOTA[[#This Row],[NAMA BARANG]]="","",INDEX(NOTA[SUPPLIER],MATCH(,INDIRECT(ADDRESS(ROW(NOTA[ID]),COLUMN(NOTA[ID]))&amp;":"&amp;ADDRESS(ROW(),COLUMN(NOTA[ID]))),-1)))</f>
        <v/>
      </c>
      <c r="AJ868" s="55" t="str">
        <f ca="1">IF(NOTA[[#This Row],[ID_H]]="","",IF(NOTA[[#This Row],[FAKTUR]]="",INDIRECT(ADDRESS(ROW()-1,COLUMN())),NOTA[[#This Row],[FAKTUR]]))</f>
        <v/>
      </c>
      <c r="AK868" s="56" t="str">
        <f ca="1">IF(NOTA[[#This Row],[ID]]="","",COUNTIF(NOTA[ID_H],NOTA[[#This Row],[ID_H]]))</f>
        <v/>
      </c>
      <c r="AL868" s="56" t="str">
        <f ca="1">IF(NOTA[[#This Row],[TGL.NOTA]]="",IF(NOTA[[#This Row],[SUPPLIER_H]]="","",AL867),MONTH(NOTA[[#This Row],[TGL.NOTA]]))</f>
        <v/>
      </c>
      <c r="AM868" s="56" t="str">
        <f>LOWER(SUBSTITUTE(SUBSTITUTE(SUBSTITUTE(SUBSTITUTE(SUBSTITUTE(SUBSTITUTE(SUBSTITUTE(SUBSTITUTE(SUBSTITUTE(NOTA[NAMA BARANG]," ",),".",""),"-",""),"(",""),")",""),",",""),"/",""),"""",""),"+",""))</f>
        <v/>
      </c>
      <c r="AN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8" s="56" t="str">
        <f>IF(NOTA[[#This Row],[CONCAT4]]="","",_xlfn.IFNA(MATCH(NOTA[[#This Row],[CONCAT4]],[2]!RAW[CONCAT_H],0),FALSE))</f>
        <v/>
      </c>
      <c r="AR868" s="56" t="str">
        <f>IF(NOTA[[#This Row],[CONCAT1]]="","",MATCH(NOTA[[#This Row],[CONCAT1]],[3]!db[NB NOTA_C],0))</f>
        <v/>
      </c>
      <c r="AS868" s="56" t="str">
        <f>IF(NOTA[[#This Row],[QTY/ CTN]]="","",TRUE)</f>
        <v/>
      </c>
      <c r="AT868" s="56" t="str">
        <f ca="1">IF(NOTA[[#This Row],[ID_H]]="","",IF(NOTA[[#This Row],[Column3]]=TRUE,NOTA[[#This Row],[QTY/ CTN]],INDEX([3]!db[QTY/ CTN],NOTA[[#This Row],[//DB]])))</f>
        <v/>
      </c>
      <c r="AU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8" s="56" t="str">
        <f ca="1">IF(NOTA[[#This Row],[ID_H]]="","",MATCH(NOTA[[#This Row],[NB NOTA_C_QTY]],[4]!db[NB NOTA_C_QTY+F],0))</f>
        <v/>
      </c>
      <c r="AW868" s="68" t="str">
        <f ca="1">IF(NOTA[[#This Row],[NB NOTA_C_QTY]]="","",ROW()-2)</f>
        <v/>
      </c>
    </row>
    <row r="869" spans="1:49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69" s="66" t="str">
        <f>IF(OR(NOTA[[#This Row],[QTY]]="",NOTA[[#This Row],[HARGA SATUAN]]="",),"",NOTA[[#This Row],[QTY]]*NOTA[[#This Row],[HARGA SATUAN]])</f>
        <v/>
      </c>
      <c r="AH869" s="60" t="str">
        <f ca="1">IF(NOTA[ID_H]="","",INDEX(NOTA[TANGGAL],MATCH(,INDIRECT(ADDRESS(ROW(NOTA[TANGGAL]),COLUMN(NOTA[TANGGAL]))&amp;":"&amp;ADDRESS(ROW(),COLUMN(NOTA[TANGGAL]))),-1)))</f>
        <v/>
      </c>
      <c r="AI869" s="55" t="str">
        <f ca="1">IF(NOTA[[#This Row],[NAMA BARANG]]="","",INDEX(NOTA[SUPPLIER],MATCH(,INDIRECT(ADDRESS(ROW(NOTA[ID]),COLUMN(NOTA[ID]))&amp;":"&amp;ADDRESS(ROW(),COLUMN(NOTA[ID]))),-1)))</f>
        <v/>
      </c>
      <c r="AJ869" s="55" t="str">
        <f ca="1">IF(NOTA[[#This Row],[ID_H]]="","",IF(NOTA[[#This Row],[FAKTUR]]="",INDIRECT(ADDRESS(ROW()-1,COLUMN())),NOTA[[#This Row],[FAKTUR]]))</f>
        <v/>
      </c>
      <c r="AK869" s="56" t="str">
        <f ca="1">IF(NOTA[[#This Row],[ID]]="","",COUNTIF(NOTA[ID_H],NOTA[[#This Row],[ID_H]]))</f>
        <v/>
      </c>
      <c r="AL869" s="56" t="str">
        <f ca="1">IF(NOTA[[#This Row],[TGL.NOTA]]="",IF(NOTA[[#This Row],[SUPPLIER_H]]="","",AL868),MONTH(NOTA[[#This Row],[TGL.NOTA]]))</f>
        <v/>
      </c>
      <c r="AM869" s="56" t="str">
        <f>LOWER(SUBSTITUTE(SUBSTITUTE(SUBSTITUTE(SUBSTITUTE(SUBSTITUTE(SUBSTITUTE(SUBSTITUTE(SUBSTITUTE(SUBSTITUTE(NOTA[NAMA BARANG]," ",),".",""),"-",""),"(",""),")",""),",",""),"/",""),"""",""),"+",""))</f>
        <v/>
      </c>
      <c r="AN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56" t="str">
        <f>IF(NOTA[[#This Row],[CONCAT4]]="","",_xlfn.IFNA(MATCH(NOTA[[#This Row],[CONCAT4]],[2]!RAW[CONCAT_H],0),FALSE))</f>
        <v/>
      </c>
      <c r="AR869" s="56" t="str">
        <f>IF(NOTA[[#This Row],[CONCAT1]]="","",MATCH(NOTA[[#This Row],[CONCAT1]],[3]!db[NB NOTA_C],0))</f>
        <v/>
      </c>
      <c r="AS869" s="56" t="str">
        <f>IF(NOTA[[#This Row],[QTY/ CTN]]="","",TRUE)</f>
        <v/>
      </c>
      <c r="AT869" s="56" t="str">
        <f ca="1">IF(NOTA[[#This Row],[ID_H]]="","",IF(NOTA[[#This Row],[Column3]]=TRUE,NOTA[[#This Row],[QTY/ CTN]],INDEX([3]!db[QTY/ CTN],NOTA[[#This Row],[//DB]])))</f>
        <v/>
      </c>
      <c r="AU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9" s="56" t="str">
        <f ca="1">IF(NOTA[[#This Row],[ID_H]]="","",MATCH(NOTA[[#This Row],[NB NOTA_C_QTY]],[4]!db[NB NOTA_C_QTY+F],0))</f>
        <v/>
      </c>
      <c r="AW869" s="68" t="str">
        <f ca="1">IF(NOTA[[#This Row],[NB NOTA_C_QTY]]="","",ROW()-2)</f>
        <v/>
      </c>
    </row>
    <row r="870" spans="1:49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0" s="66" t="str">
        <f>IF(OR(NOTA[[#This Row],[QTY]]="",NOTA[[#This Row],[HARGA SATUAN]]="",),"",NOTA[[#This Row],[QTY]]*NOTA[[#This Row],[HARGA SATUAN]])</f>
        <v/>
      </c>
      <c r="AH870" s="60" t="str">
        <f ca="1">IF(NOTA[ID_H]="","",INDEX(NOTA[TANGGAL],MATCH(,INDIRECT(ADDRESS(ROW(NOTA[TANGGAL]),COLUMN(NOTA[TANGGAL]))&amp;":"&amp;ADDRESS(ROW(),COLUMN(NOTA[TANGGAL]))),-1)))</f>
        <v/>
      </c>
      <c r="AI870" s="55" t="str">
        <f ca="1">IF(NOTA[[#This Row],[NAMA BARANG]]="","",INDEX(NOTA[SUPPLIER],MATCH(,INDIRECT(ADDRESS(ROW(NOTA[ID]),COLUMN(NOTA[ID]))&amp;":"&amp;ADDRESS(ROW(),COLUMN(NOTA[ID]))),-1)))</f>
        <v/>
      </c>
      <c r="AJ870" s="55" t="str">
        <f ca="1">IF(NOTA[[#This Row],[ID_H]]="","",IF(NOTA[[#This Row],[FAKTUR]]="",INDIRECT(ADDRESS(ROW()-1,COLUMN())),NOTA[[#This Row],[FAKTUR]]))</f>
        <v/>
      </c>
      <c r="AK870" s="56" t="str">
        <f ca="1">IF(NOTA[[#This Row],[ID]]="","",COUNTIF(NOTA[ID_H],NOTA[[#This Row],[ID_H]]))</f>
        <v/>
      </c>
      <c r="AL870" s="56" t="str">
        <f ca="1">IF(NOTA[[#This Row],[TGL.NOTA]]="",IF(NOTA[[#This Row],[SUPPLIER_H]]="","",AL869),MONTH(NOTA[[#This Row],[TGL.NOTA]]))</f>
        <v/>
      </c>
      <c r="AM870" s="56" t="str">
        <f>LOWER(SUBSTITUTE(SUBSTITUTE(SUBSTITUTE(SUBSTITUTE(SUBSTITUTE(SUBSTITUTE(SUBSTITUTE(SUBSTITUTE(SUBSTITUTE(NOTA[NAMA BARANG]," ",),".",""),"-",""),"(",""),")",""),",",""),"/",""),"""",""),"+",""))</f>
        <v/>
      </c>
      <c r="AN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56" t="str">
        <f>IF(NOTA[[#This Row],[CONCAT4]]="","",_xlfn.IFNA(MATCH(NOTA[[#This Row],[CONCAT4]],[2]!RAW[CONCAT_H],0),FALSE))</f>
        <v/>
      </c>
      <c r="AR870" s="56" t="str">
        <f>IF(NOTA[[#This Row],[CONCAT1]]="","",MATCH(NOTA[[#This Row],[CONCAT1]],[3]!db[NB NOTA_C],0))</f>
        <v/>
      </c>
      <c r="AS870" s="56" t="str">
        <f>IF(NOTA[[#This Row],[QTY/ CTN]]="","",TRUE)</f>
        <v/>
      </c>
      <c r="AT870" s="56" t="str">
        <f ca="1">IF(NOTA[[#This Row],[ID_H]]="","",IF(NOTA[[#This Row],[Column3]]=TRUE,NOTA[[#This Row],[QTY/ CTN]],INDEX([3]!db[QTY/ CTN],NOTA[[#This Row],[//DB]])))</f>
        <v/>
      </c>
      <c r="AU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0" s="56" t="str">
        <f ca="1">IF(NOTA[[#This Row],[ID_H]]="","",MATCH(NOTA[[#This Row],[NB NOTA_C_QTY]],[4]!db[NB NOTA_C_QTY+F],0))</f>
        <v/>
      </c>
      <c r="AW870" s="68" t="str">
        <f ca="1">IF(NOTA[[#This Row],[NB NOTA_C_QTY]]="","",ROW()-2)</f>
        <v/>
      </c>
    </row>
    <row r="871" spans="1:49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1" s="66" t="str">
        <f>IF(OR(NOTA[[#This Row],[QTY]]="",NOTA[[#This Row],[HARGA SATUAN]]="",),"",NOTA[[#This Row],[QTY]]*NOTA[[#This Row],[HARGA SATUAN]])</f>
        <v/>
      </c>
      <c r="AH871" s="60" t="str">
        <f ca="1">IF(NOTA[ID_H]="","",INDEX(NOTA[TANGGAL],MATCH(,INDIRECT(ADDRESS(ROW(NOTA[TANGGAL]),COLUMN(NOTA[TANGGAL]))&amp;":"&amp;ADDRESS(ROW(),COLUMN(NOTA[TANGGAL]))),-1)))</f>
        <v/>
      </c>
      <c r="AI871" s="55" t="str">
        <f ca="1">IF(NOTA[[#This Row],[NAMA BARANG]]="","",INDEX(NOTA[SUPPLIER],MATCH(,INDIRECT(ADDRESS(ROW(NOTA[ID]),COLUMN(NOTA[ID]))&amp;":"&amp;ADDRESS(ROW(),COLUMN(NOTA[ID]))),-1)))</f>
        <v/>
      </c>
      <c r="AJ871" s="55" t="str">
        <f ca="1">IF(NOTA[[#This Row],[ID_H]]="","",IF(NOTA[[#This Row],[FAKTUR]]="",INDIRECT(ADDRESS(ROW()-1,COLUMN())),NOTA[[#This Row],[FAKTUR]]))</f>
        <v/>
      </c>
      <c r="AK871" s="56" t="str">
        <f ca="1">IF(NOTA[[#This Row],[ID]]="","",COUNTIF(NOTA[ID_H],NOTA[[#This Row],[ID_H]]))</f>
        <v/>
      </c>
      <c r="AL871" s="56" t="str">
        <f ca="1">IF(NOTA[[#This Row],[TGL.NOTA]]="",IF(NOTA[[#This Row],[SUPPLIER_H]]="","",AL870),MONTH(NOTA[[#This Row],[TGL.NOTA]]))</f>
        <v/>
      </c>
      <c r="AM871" s="56" t="str">
        <f>LOWER(SUBSTITUTE(SUBSTITUTE(SUBSTITUTE(SUBSTITUTE(SUBSTITUTE(SUBSTITUTE(SUBSTITUTE(SUBSTITUTE(SUBSTITUTE(NOTA[NAMA BARANG]," ",),".",""),"-",""),"(",""),")",""),",",""),"/",""),"""",""),"+",""))</f>
        <v/>
      </c>
      <c r="AN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56" t="str">
        <f>IF(NOTA[[#This Row],[CONCAT4]]="","",_xlfn.IFNA(MATCH(NOTA[[#This Row],[CONCAT4]],[2]!RAW[CONCAT_H],0),FALSE))</f>
        <v/>
      </c>
      <c r="AR871" s="56" t="str">
        <f>IF(NOTA[[#This Row],[CONCAT1]]="","",MATCH(NOTA[[#This Row],[CONCAT1]],[3]!db[NB NOTA_C],0))</f>
        <v/>
      </c>
      <c r="AS871" s="56" t="str">
        <f>IF(NOTA[[#This Row],[QTY/ CTN]]="","",TRUE)</f>
        <v/>
      </c>
      <c r="AT871" s="56" t="str">
        <f ca="1">IF(NOTA[[#This Row],[ID_H]]="","",IF(NOTA[[#This Row],[Column3]]=TRUE,NOTA[[#This Row],[QTY/ CTN]],INDEX([3]!db[QTY/ CTN],NOTA[[#This Row],[//DB]])))</f>
        <v/>
      </c>
      <c r="AU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1" s="56" t="str">
        <f ca="1">IF(NOTA[[#This Row],[ID_H]]="","",MATCH(NOTA[[#This Row],[NB NOTA_C_QTY]],[4]!db[NB NOTA_C_QTY+F],0))</f>
        <v/>
      </c>
      <c r="AW871" s="68" t="str">
        <f ca="1">IF(NOTA[[#This Row],[NB NOTA_C_QTY]]="","",ROW()-2)</f>
        <v/>
      </c>
    </row>
    <row r="872" spans="1:49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2" s="66" t="str">
        <f>IF(OR(NOTA[[#This Row],[QTY]]="",NOTA[[#This Row],[HARGA SATUAN]]="",),"",NOTA[[#This Row],[QTY]]*NOTA[[#This Row],[HARGA SATUAN]])</f>
        <v/>
      </c>
      <c r="AH872" s="60" t="str">
        <f ca="1">IF(NOTA[ID_H]="","",INDEX(NOTA[TANGGAL],MATCH(,INDIRECT(ADDRESS(ROW(NOTA[TANGGAL]),COLUMN(NOTA[TANGGAL]))&amp;":"&amp;ADDRESS(ROW(),COLUMN(NOTA[TANGGAL]))),-1)))</f>
        <v/>
      </c>
      <c r="AI872" s="55" t="str">
        <f ca="1">IF(NOTA[[#This Row],[NAMA BARANG]]="","",INDEX(NOTA[SUPPLIER],MATCH(,INDIRECT(ADDRESS(ROW(NOTA[ID]),COLUMN(NOTA[ID]))&amp;":"&amp;ADDRESS(ROW(),COLUMN(NOTA[ID]))),-1)))</f>
        <v/>
      </c>
      <c r="AJ872" s="55" t="str">
        <f ca="1">IF(NOTA[[#This Row],[ID_H]]="","",IF(NOTA[[#This Row],[FAKTUR]]="",INDIRECT(ADDRESS(ROW()-1,COLUMN())),NOTA[[#This Row],[FAKTUR]]))</f>
        <v/>
      </c>
      <c r="AK872" s="56" t="str">
        <f ca="1">IF(NOTA[[#This Row],[ID]]="","",COUNTIF(NOTA[ID_H],NOTA[[#This Row],[ID_H]]))</f>
        <v/>
      </c>
      <c r="AL872" s="56" t="str">
        <f ca="1">IF(NOTA[[#This Row],[TGL.NOTA]]="",IF(NOTA[[#This Row],[SUPPLIER_H]]="","",AL871),MONTH(NOTA[[#This Row],[TGL.NOTA]]))</f>
        <v/>
      </c>
      <c r="AM872" s="56" t="str">
        <f>LOWER(SUBSTITUTE(SUBSTITUTE(SUBSTITUTE(SUBSTITUTE(SUBSTITUTE(SUBSTITUTE(SUBSTITUTE(SUBSTITUTE(SUBSTITUTE(NOTA[NAMA BARANG]," ",),".",""),"-",""),"(",""),")",""),",",""),"/",""),"""",""),"+",""))</f>
        <v/>
      </c>
      <c r="AN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56" t="str">
        <f>IF(NOTA[[#This Row],[CONCAT4]]="","",_xlfn.IFNA(MATCH(NOTA[[#This Row],[CONCAT4]],[2]!RAW[CONCAT_H],0),FALSE))</f>
        <v/>
      </c>
      <c r="AR872" s="56" t="str">
        <f>IF(NOTA[[#This Row],[CONCAT1]]="","",MATCH(NOTA[[#This Row],[CONCAT1]],[3]!db[NB NOTA_C],0))</f>
        <v/>
      </c>
      <c r="AS872" s="56" t="str">
        <f>IF(NOTA[[#This Row],[QTY/ CTN]]="","",TRUE)</f>
        <v/>
      </c>
      <c r="AT872" s="56" t="str">
        <f ca="1">IF(NOTA[[#This Row],[ID_H]]="","",IF(NOTA[[#This Row],[Column3]]=TRUE,NOTA[[#This Row],[QTY/ CTN]],INDEX([3]!db[QTY/ CTN],NOTA[[#This Row],[//DB]])))</f>
        <v/>
      </c>
      <c r="AU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2" s="56" t="str">
        <f ca="1">IF(NOTA[[#This Row],[ID_H]]="","",MATCH(NOTA[[#This Row],[NB NOTA_C_QTY]],[4]!db[NB NOTA_C_QTY+F],0))</f>
        <v/>
      </c>
      <c r="AW872" s="68" t="str">
        <f ca="1">IF(NOTA[[#This Row],[NB NOTA_C_QTY]]="","",ROW()-2)</f>
        <v/>
      </c>
    </row>
    <row r="873" spans="1:49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3" s="66" t="str">
        <f>IF(OR(NOTA[[#This Row],[QTY]]="",NOTA[[#This Row],[HARGA SATUAN]]="",),"",NOTA[[#This Row],[QTY]]*NOTA[[#This Row],[HARGA SATUAN]])</f>
        <v/>
      </c>
      <c r="AH873" s="60" t="str">
        <f ca="1">IF(NOTA[ID_H]="","",INDEX(NOTA[TANGGAL],MATCH(,INDIRECT(ADDRESS(ROW(NOTA[TANGGAL]),COLUMN(NOTA[TANGGAL]))&amp;":"&amp;ADDRESS(ROW(),COLUMN(NOTA[TANGGAL]))),-1)))</f>
        <v/>
      </c>
      <c r="AI873" s="55" t="str">
        <f ca="1">IF(NOTA[[#This Row],[NAMA BARANG]]="","",INDEX(NOTA[SUPPLIER],MATCH(,INDIRECT(ADDRESS(ROW(NOTA[ID]),COLUMN(NOTA[ID]))&amp;":"&amp;ADDRESS(ROW(),COLUMN(NOTA[ID]))),-1)))</f>
        <v/>
      </c>
      <c r="AJ873" s="55" t="str">
        <f ca="1">IF(NOTA[[#This Row],[ID_H]]="","",IF(NOTA[[#This Row],[FAKTUR]]="",INDIRECT(ADDRESS(ROW()-1,COLUMN())),NOTA[[#This Row],[FAKTUR]]))</f>
        <v/>
      </c>
      <c r="AK873" s="56" t="str">
        <f ca="1">IF(NOTA[[#This Row],[ID]]="","",COUNTIF(NOTA[ID_H],NOTA[[#This Row],[ID_H]]))</f>
        <v/>
      </c>
      <c r="AL873" s="56" t="str">
        <f ca="1">IF(NOTA[[#This Row],[TGL.NOTA]]="",IF(NOTA[[#This Row],[SUPPLIER_H]]="","",AL872),MONTH(NOTA[[#This Row],[TGL.NOTA]]))</f>
        <v/>
      </c>
      <c r="AM873" s="56" t="str">
        <f>LOWER(SUBSTITUTE(SUBSTITUTE(SUBSTITUTE(SUBSTITUTE(SUBSTITUTE(SUBSTITUTE(SUBSTITUTE(SUBSTITUTE(SUBSTITUTE(NOTA[NAMA BARANG]," ",),".",""),"-",""),"(",""),")",""),",",""),"/",""),"""",""),"+",""))</f>
        <v/>
      </c>
      <c r="AN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56" t="str">
        <f>IF(NOTA[[#This Row],[CONCAT4]]="","",_xlfn.IFNA(MATCH(NOTA[[#This Row],[CONCAT4]],[2]!RAW[CONCAT_H],0),FALSE))</f>
        <v/>
      </c>
      <c r="AR873" s="56" t="str">
        <f>IF(NOTA[[#This Row],[CONCAT1]]="","",MATCH(NOTA[[#This Row],[CONCAT1]],[3]!db[NB NOTA_C],0))</f>
        <v/>
      </c>
      <c r="AS873" s="56" t="str">
        <f>IF(NOTA[[#This Row],[QTY/ CTN]]="","",TRUE)</f>
        <v/>
      </c>
      <c r="AT873" s="56" t="str">
        <f ca="1">IF(NOTA[[#This Row],[ID_H]]="","",IF(NOTA[[#This Row],[Column3]]=TRUE,NOTA[[#This Row],[QTY/ CTN]],INDEX([3]!db[QTY/ CTN],NOTA[[#This Row],[//DB]])))</f>
        <v/>
      </c>
      <c r="AU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3" s="56" t="str">
        <f ca="1">IF(NOTA[[#This Row],[ID_H]]="","",MATCH(NOTA[[#This Row],[NB NOTA_C_QTY]],[4]!db[NB NOTA_C_QTY+F],0))</f>
        <v/>
      </c>
      <c r="AW873" s="68" t="str">
        <f ca="1">IF(NOTA[[#This Row],[NB NOTA_C_QTY]]="","",ROW()-2)</f>
        <v/>
      </c>
    </row>
    <row r="874" spans="1:49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4" s="66" t="str">
        <f>IF(OR(NOTA[[#This Row],[QTY]]="",NOTA[[#This Row],[HARGA SATUAN]]="",),"",NOTA[[#This Row],[QTY]]*NOTA[[#This Row],[HARGA SATUAN]])</f>
        <v/>
      </c>
      <c r="AH874" s="60" t="str">
        <f ca="1">IF(NOTA[ID_H]="","",INDEX(NOTA[TANGGAL],MATCH(,INDIRECT(ADDRESS(ROW(NOTA[TANGGAL]),COLUMN(NOTA[TANGGAL]))&amp;":"&amp;ADDRESS(ROW(),COLUMN(NOTA[TANGGAL]))),-1)))</f>
        <v/>
      </c>
      <c r="AI874" s="55" t="str">
        <f ca="1">IF(NOTA[[#This Row],[NAMA BARANG]]="","",INDEX(NOTA[SUPPLIER],MATCH(,INDIRECT(ADDRESS(ROW(NOTA[ID]),COLUMN(NOTA[ID]))&amp;":"&amp;ADDRESS(ROW(),COLUMN(NOTA[ID]))),-1)))</f>
        <v/>
      </c>
      <c r="AJ874" s="55" t="str">
        <f ca="1">IF(NOTA[[#This Row],[ID_H]]="","",IF(NOTA[[#This Row],[FAKTUR]]="",INDIRECT(ADDRESS(ROW()-1,COLUMN())),NOTA[[#This Row],[FAKTUR]]))</f>
        <v/>
      </c>
      <c r="AK874" s="56" t="str">
        <f ca="1">IF(NOTA[[#This Row],[ID]]="","",COUNTIF(NOTA[ID_H],NOTA[[#This Row],[ID_H]]))</f>
        <v/>
      </c>
      <c r="AL874" s="56" t="str">
        <f ca="1">IF(NOTA[[#This Row],[TGL.NOTA]]="",IF(NOTA[[#This Row],[SUPPLIER_H]]="","",AL873),MONTH(NOTA[[#This Row],[TGL.NOTA]]))</f>
        <v/>
      </c>
      <c r="AM874" s="56" t="str">
        <f>LOWER(SUBSTITUTE(SUBSTITUTE(SUBSTITUTE(SUBSTITUTE(SUBSTITUTE(SUBSTITUTE(SUBSTITUTE(SUBSTITUTE(SUBSTITUTE(NOTA[NAMA BARANG]," ",),".",""),"-",""),"(",""),")",""),",",""),"/",""),"""",""),"+",""))</f>
        <v/>
      </c>
      <c r="AN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56" t="str">
        <f>IF(NOTA[[#This Row],[CONCAT4]]="","",_xlfn.IFNA(MATCH(NOTA[[#This Row],[CONCAT4]],[2]!RAW[CONCAT_H],0),FALSE))</f>
        <v/>
      </c>
      <c r="AR874" s="56" t="str">
        <f>IF(NOTA[[#This Row],[CONCAT1]]="","",MATCH(NOTA[[#This Row],[CONCAT1]],[3]!db[NB NOTA_C],0))</f>
        <v/>
      </c>
      <c r="AS874" s="56" t="str">
        <f>IF(NOTA[[#This Row],[QTY/ CTN]]="","",TRUE)</f>
        <v/>
      </c>
      <c r="AT874" s="56" t="str">
        <f ca="1">IF(NOTA[[#This Row],[ID_H]]="","",IF(NOTA[[#This Row],[Column3]]=TRUE,NOTA[[#This Row],[QTY/ CTN]],INDEX([3]!db[QTY/ CTN],NOTA[[#This Row],[//DB]])))</f>
        <v/>
      </c>
      <c r="AU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4" s="56" t="str">
        <f ca="1">IF(NOTA[[#This Row],[ID_H]]="","",MATCH(NOTA[[#This Row],[NB NOTA_C_QTY]],[4]!db[NB NOTA_C_QTY+F],0))</f>
        <v/>
      </c>
      <c r="AW874" s="68" t="str">
        <f ca="1">IF(NOTA[[#This Row],[NB NOTA_C_QTY]]="","",ROW()-2)</f>
        <v/>
      </c>
    </row>
    <row r="875" spans="1:49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5" s="66" t="str">
        <f>IF(OR(NOTA[[#This Row],[QTY]]="",NOTA[[#This Row],[HARGA SATUAN]]="",),"",NOTA[[#This Row],[QTY]]*NOTA[[#This Row],[HARGA SATUAN]])</f>
        <v/>
      </c>
      <c r="AH875" s="60" t="str">
        <f ca="1">IF(NOTA[ID_H]="","",INDEX(NOTA[TANGGAL],MATCH(,INDIRECT(ADDRESS(ROW(NOTA[TANGGAL]),COLUMN(NOTA[TANGGAL]))&amp;":"&amp;ADDRESS(ROW(),COLUMN(NOTA[TANGGAL]))),-1)))</f>
        <v/>
      </c>
      <c r="AI875" s="55" t="str">
        <f ca="1">IF(NOTA[[#This Row],[NAMA BARANG]]="","",INDEX(NOTA[SUPPLIER],MATCH(,INDIRECT(ADDRESS(ROW(NOTA[ID]),COLUMN(NOTA[ID]))&amp;":"&amp;ADDRESS(ROW(),COLUMN(NOTA[ID]))),-1)))</f>
        <v/>
      </c>
      <c r="AJ875" s="55" t="str">
        <f ca="1">IF(NOTA[[#This Row],[ID_H]]="","",IF(NOTA[[#This Row],[FAKTUR]]="",INDIRECT(ADDRESS(ROW()-1,COLUMN())),NOTA[[#This Row],[FAKTUR]]))</f>
        <v/>
      </c>
      <c r="AK875" s="56" t="str">
        <f ca="1">IF(NOTA[[#This Row],[ID]]="","",COUNTIF(NOTA[ID_H],NOTA[[#This Row],[ID_H]]))</f>
        <v/>
      </c>
      <c r="AL875" s="56" t="str">
        <f ca="1">IF(NOTA[[#This Row],[TGL.NOTA]]="",IF(NOTA[[#This Row],[SUPPLIER_H]]="","",AL874),MONTH(NOTA[[#This Row],[TGL.NOTA]]))</f>
        <v/>
      </c>
      <c r="AM875" s="56" t="str">
        <f>LOWER(SUBSTITUTE(SUBSTITUTE(SUBSTITUTE(SUBSTITUTE(SUBSTITUTE(SUBSTITUTE(SUBSTITUTE(SUBSTITUTE(SUBSTITUTE(NOTA[NAMA BARANG]," ",),".",""),"-",""),"(",""),")",""),",",""),"/",""),"""",""),"+",""))</f>
        <v/>
      </c>
      <c r="AN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56" t="str">
        <f>IF(NOTA[[#This Row],[CONCAT4]]="","",_xlfn.IFNA(MATCH(NOTA[[#This Row],[CONCAT4]],[2]!RAW[CONCAT_H],0),FALSE))</f>
        <v/>
      </c>
      <c r="AR875" s="56" t="str">
        <f>IF(NOTA[[#This Row],[CONCAT1]]="","",MATCH(NOTA[[#This Row],[CONCAT1]],[3]!db[NB NOTA_C],0))</f>
        <v/>
      </c>
      <c r="AS875" s="56" t="str">
        <f>IF(NOTA[[#This Row],[QTY/ CTN]]="","",TRUE)</f>
        <v/>
      </c>
      <c r="AT875" s="56" t="str">
        <f ca="1">IF(NOTA[[#This Row],[ID_H]]="","",IF(NOTA[[#This Row],[Column3]]=TRUE,NOTA[[#This Row],[QTY/ CTN]],INDEX([3]!db[QTY/ CTN],NOTA[[#This Row],[//DB]])))</f>
        <v/>
      </c>
      <c r="AU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5" s="56" t="str">
        <f ca="1">IF(NOTA[[#This Row],[ID_H]]="","",MATCH(NOTA[[#This Row],[NB NOTA_C_QTY]],[4]!db[NB NOTA_C_QTY+F],0))</f>
        <v/>
      </c>
      <c r="AW875" s="68" t="str">
        <f ca="1">IF(NOTA[[#This Row],[NB NOTA_C_QTY]]="","",ROW()-2)</f>
        <v/>
      </c>
    </row>
    <row r="876" spans="1:49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6" s="66" t="str">
        <f>IF(OR(NOTA[[#This Row],[QTY]]="",NOTA[[#This Row],[HARGA SATUAN]]="",),"",NOTA[[#This Row],[QTY]]*NOTA[[#This Row],[HARGA SATUAN]])</f>
        <v/>
      </c>
      <c r="AH876" s="60" t="str">
        <f ca="1">IF(NOTA[ID_H]="","",INDEX(NOTA[TANGGAL],MATCH(,INDIRECT(ADDRESS(ROW(NOTA[TANGGAL]),COLUMN(NOTA[TANGGAL]))&amp;":"&amp;ADDRESS(ROW(),COLUMN(NOTA[TANGGAL]))),-1)))</f>
        <v/>
      </c>
      <c r="AI876" s="55" t="str">
        <f ca="1">IF(NOTA[[#This Row],[NAMA BARANG]]="","",INDEX(NOTA[SUPPLIER],MATCH(,INDIRECT(ADDRESS(ROW(NOTA[ID]),COLUMN(NOTA[ID]))&amp;":"&amp;ADDRESS(ROW(),COLUMN(NOTA[ID]))),-1)))</f>
        <v/>
      </c>
      <c r="AJ876" s="55" t="str">
        <f ca="1">IF(NOTA[[#This Row],[ID_H]]="","",IF(NOTA[[#This Row],[FAKTUR]]="",INDIRECT(ADDRESS(ROW()-1,COLUMN())),NOTA[[#This Row],[FAKTUR]]))</f>
        <v/>
      </c>
      <c r="AK876" s="56" t="str">
        <f ca="1">IF(NOTA[[#This Row],[ID]]="","",COUNTIF(NOTA[ID_H],NOTA[[#This Row],[ID_H]]))</f>
        <v/>
      </c>
      <c r="AL876" s="56" t="str">
        <f ca="1">IF(NOTA[[#This Row],[TGL.NOTA]]="",IF(NOTA[[#This Row],[SUPPLIER_H]]="","",AL875),MONTH(NOTA[[#This Row],[TGL.NOTA]]))</f>
        <v/>
      </c>
      <c r="AM876" s="56" t="str">
        <f>LOWER(SUBSTITUTE(SUBSTITUTE(SUBSTITUTE(SUBSTITUTE(SUBSTITUTE(SUBSTITUTE(SUBSTITUTE(SUBSTITUTE(SUBSTITUTE(NOTA[NAMA BARANG]," ",),".",""),"-",""),"(",""),")",""),",",""),"/",""),"""",""),"+",""))</f>
        <v/>
      </c>
      <c r="AN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56" t="str">
        <f>IF(NOTA[[#This Row],[CONCAT4]]="","",_xlfn.IFNA(MATCH(NOTA[[#This Row],[CONCAT4]],[2]!RAW[CONCAT_H],0),FALSE))</f>
        <v/>
      </c>
      <c r="AR876" s="56" t="str">
        <f>IF(NOTA[[#This Row],[CONCAT1]]="","",MATCH(NOTA[[#This Row],[CONCAT1]],[3]!db[NB NOTA_C],0))</f>
        <v/>
      </c>
      <c r="AS876" s="56" t="str">
        <f>IF(NOTA[[#This Row],[QTY/ CTN]]="","",TRUE)</f>
        <v/>
      </c>
      <c r="AT876" s="56" t="str">
        <f ca="1">IF(NOTA[[#This Row],[ID_H]]="","",IF(NOTA[[#This Row],[Column3]]=TRUE,NOTA[[#This Row],[QTY/ CTN]],INDEX([3]!db[QTY/ CTN],NOTA[[#This Row],[//DB]])))</f>
        <v/>
      </c>
      <c r="AU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6" s="56" t="str">
        <f ca="1">IF(NOTA[[#This Row],[ID_H]]="","",MATCH(NOTA[[#This Row],[NB NOTA_C_QTY]],[4]!db[NB NOTA_C_QTY+F],0))</f>
        <v/>
      </c>
      <c r="AW876" s="68" t="str">
        <f ca="1">IF(NOTA[[#This Row],[NB NOTA_C_QTY]]="","",ROW()-2)</f>
        <v/>
      </c>
    </row>
    <row r="877" spans="1:49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7" s="66" t="str">
        <f>IF(OR(NOTA[[#This Row],[QTY]]="",NOTA[[#This Row],[HARGA SATUAN]]="",),"",NOTA[[#This Row],[QTY]]*NOTA[[#This Row],[HARGA SATUAN]])</f>
        <v/>
      </c>
      <c r="AH877" s="60" t="str">
        <f ca="1">IF(NOTA[ID_H]="","",INDEX(NOTA[TANGGAL],MATCH(,INDIRECT(ADDRESS(ROW(NOTA[TANGGAL]),COLUMN(NOTA[TANGGAL]))&amp;":"&amp;ADDRESS(ROW(),COLUMN(NOTA[TANGGAL]))),-1)))</f>
        <v/>
      </c>
      <c r="AI877" s="55" t="str">
        <f ca="1">IF(NOTA[[#This Row],[NAMA BARANG]]="","",INDEX(NOTA[SUPPLIER],MATCH(,INDIRECT(ADDRESS(ROW(NOTA[ID]),COLUMN(NOTA[ID]))&amp;":"&amp;ADDRESS(ROW(),COLUMN(NOTA[ID]))),-1)))</f>
        <v/>
      </c>
      <c r="AJ877" s="55" t="str">
        <f ca="1">IF(NOTA[[#This Row],[ID_H]]="","",IF(NOTA[[#This Row],[FAKTUR]]="",INDIRECT(ADDRESS(ROW()-1,COLUMN())),NOTA[[#This Row],[FAKTUR]]))</f>
        <v/>
      </c>
      <c r="AK877" s="56" t="str">
        <f ca="1">IF(NOTA[[#This Row],[ID]]="","",COUNTIF(NOTA[ID_H],NOTA[[#This Row],[ID_H]]))</f>
        <v/>
      </c>
      <c r="AL877" s="56" t="str">
        <f ca="1">IF(NOTA[[#This Row],[TGL.NOTA]]="",IF(NOTA[[#This Row],[SUPPLIER_H]]="","",AL876),MONTH(NOTA[[#This Row],[TGL.NOTA]]))</f>
        <v/>
      </c>
      <c r="AM877" s="56" t="str">
        <f>LOWER(SUBSTITUTE(SUBSTITUTE(SUBSTITUTE(SUBSTITUTE(SUBSTITUTE(SUBSTITUTE(SUBSTITUTE(SUBSTITUTE(SUBSTITUTE(NOTA[NAMA BARANG]," ",),".",""),"-",""),"(",""),")",""),",",""),"/",""),"""",""),"+",""))</f>
        <v/>
      </c>
      <c r="AN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56" t="str">
        <f>IF(NOTA[[#This Row],[CONCAT4]]="","",_xlfn.IFNA(MATCH(NOTA[[#This Row],[CONCAT4]],[2]!RAW[CONCAT_H],0),FALSE))</f>
        <v/>
      </c>
      <c r="AR877" s="56" t="str">
        <f>IF(NOTA[[#This Row],[CONCAT1]]="","",MATCH(NOTA[[#This Row],[CONCAT1]],[3]!db[NB NOTA_C],0))</f>
        <v/>
      </c>
      <c r="AS877" s="56" t="str">
        <f>IF(NOTA[[#This Row],[QTY/ CTN]]="","",TRUE)</f>
        <v/>
      </c>
      <c r="AT877" s="56" t="str">
        <f ca="1">IF(NOTA[[#This Row],[ID_H]]="","",IF(NOTA[[#This Row],[Column3]]=TRUE,NOTA[[#This Row],[QTY/ CTN]],INDEX([3]!db[QTY/ CTN],NOTA[[#This Row],[//DB]])))</f>
        <v/>
      </c>
      <c r="AU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7" s="56" t="str">
        <f ca="1">IF(NOTA[[#This Row],[ID_H]]="","",MATCH(NOTA[[#This Row],[NB NOTA_C_QTY]],[4]!db[NB NOTA_C_QTY+F],0))</f>
        <v/>
      </c>
      <c r="AW877" s="68" t="str">
        <f ca="1">IF(NOTA[[#This Row],[NB NOTA_C_QTY]]="","",ROW()-2)</f>
        <v/>
      </c>
    </row>
    <row r="878" spans="1:49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8" s="66" t="str">
        <f>IF(OR(NOTA[[#This Row],[QTY]]="",NOTA[[#This Row],[HARGA SATUAN]]="",),"",NOTA[[#This Row],[QTY]]*NOTA[[#This Row],[HARGA SATUAN]])</f>
        <v/>
      </c>
      <c r="AH878" s="60" t="str">
        <f ca="1">IF(NOTA[ID_H]="","",INDEX(NOTA[TANGGAL],MATCH(,INDIRECT(ADDRESS(ROW(NOTA[TANGGAL]),COLUMN(NOTA[TANGGAL]))&amp;":"&amp;ADDRESS(ROW(),COLUMN(NOTA[TANGGAL]))),-1)))</f>
        <v/>
      </c>
      <c r="AI878" s="55" t="str">
        <f ca="1">IF(NOTA[[#This Row],[NAMA BARANG]]="","",INDEX(NOTA[SUPPLIER],MATCH(,INDIRECT(ADDRESS(ROW(NOTA[ID]),COLUMN(NOTA[ID]))&amp;":"&amp;ADDRESS(ROW(),COLUMN(NOTA[ID]))),-1)))</f>
        <v/>
      </c>
      <c r="AJ878" s="55" t="str">
        <f ca="1">IF(NOTA[[#This Row],[ID_H]]="","",IF(NOTA[[#This Row],[FAKTUR]]="",INDIRECT(ADDRESS(ROW()-1,COLUMN())),NOTA[[#This Row],[FAKTUR]]))</f>
        <v/>
      </c>
      <c r="AK878" s="56" t="str">
        <f ca="1">IF(NOTA[[#This Row],[ID]]="","",COUNTIF(NOTA[ID_H],NOTA[[#This Row],[ID_H]]))</f>
        <v/>
      </c>
      <c r="AL878" s="56" t="str">
        <f ca="1">IF(NOTA[[#This Row],[TGL.NOTA]]="",IF(NOTA[[#This Row],[SUPPLIER_H]]="","",AL877),MONTH(NOTA[[#This Row],[TGL.NOTA]]))</f>
        <v/>
      </c>
      <c r="AM878" s="56" t="str">
        <f>LOWER(SUBSTITUTE(SUBSTITUTE(SUBSTITUTE(SUBSTITUTE(SUBSTITUTE(SUBSTITUTE(SUBSTITUTE(SUBSTITUTE(SUBSTITUTE(NOTA[NAMA BARANG]," ",),".",""),"-",""),"(",""),")",""),",",""),"/",""),"""",""),"+",""))</f>
        <v/>
      </c>
      <c r="AN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56" t="str">
        <f>IF(NOTA[[#This Row],[CONCAT4]]="","",_xlfn.IFNA(MATCH(NOTA[[#This Row],[CONCAT4]],[2]!RAW[CONCAT_H],0),FALSE))</f>
        <v/>
      </c>
      <c r="AR878" s="56" t="str">
        <f>IF(NOTA[[#This Row],[CONCAT1]]="","",MATCH(NOTA[[#This Row],[CONCAT1]],[3]!db[NB NOTA_C],0))</f>
        <v/>
      </c>
      <c r="AS878" s="56" t="str">
        <f>IF(NOTA[[#This Row],[QTY/ CTN]]="","",TRUE)</f>
        <v/>
      </c>
      <c r="AT878" s="56" t="str">
        <f ca="1">IF(NOTA[[#This Row],[ID_H]]="","",IF(NOTA[[#This Row],[Column3]]=TRUE,NOTA[[#This Row],[QTY/ CTN]],INDEX([3]!db[QTY/ CTN],NOTA[[#This Row],[//DB]])))</f>
        <v/>
      </c>
      <c r="AU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8" s="56" t="str">
        <f ca="1">IF(NOTA[[#This Row],[ID_H]]="","",MATCH(NOTA[[#This Row],[NB NOTA_C_QTY]],[4]!db[NB NOTA_C_QTY+F],0))</f>
        <v/>
      </c>
      <c r="AW878" s="68" t="str">
        <f ca="1">IF(NOTA[[#This Row],[NB NOTA_C_QTY]]="","",ROW()-2)</f>
        <v/>
      </c>
    </row>
    <row r="879" spans="1:49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79" s="66" t="str">
        <f>IF(OR(NOTA[[#This Row],[QTY]]="",NOTA[[#This Row],[HARGA SATUAN]]="",),"",NOTA[[#This Row],[QTY]]*NOTA[[#This Row],[HARGA SATUAN]])</f>
        <v/>
      </c>
      <c r="AH879" s="60" t="str">
        <f ca="1">IF(NOTA[ID_H]="","",INDEX(NOTA[TANGGAL],MATCH(,INDIRECT(ADDRESS(ROW(NOTA[TANGGAL]),COLUMN(NOTA[TANGGAL]))&amp;":"&amp;ADDRESS(ROW(),COLUMN(NOTA[TANGGAL]))),-1)))</f>
        <v/>
      </c>
      <c r="AI879" s="55" t="str">
        <f ca="1">IF(NOTA[[#This Row],[NAMA BARANG]]="","",INDEX(NOTA[SUPPLIER],MATCH(,INDIRECT(ADDRESS(ROW(NOTA[ID]),COLUMN(NOTA[ID]))&amp;":"&amp;ADDRESS(ROW(),COLUMN(NOTA[ID]))),-1)))</f>
        <v/>
      </c>
      <c r="AJ879" s="55" t="str">
        <f ca="1">IF(NOTA[[#This Row],[ID_H]]="","",IF(NOTA[[#This Row],[FAKTUR]]="",INDIRECT(ADDRESS(ROW()-1,COLUMN())),NOTA[[#This Row],[FAKTUR]]))</f>
        <v/>
      </c>
      <c r="AK879" s="56" t="str">
        <f ca="1">IF(NOTA[[#This Row],[ID]]="","",COUNTIF(NOTA[ID_H],NOTA[[#This Row],[ID_H]]))</f>
        <v/>
      </c>
      <c r="AL879" s="56" t="str">
        <f ca="1">IF(NOTA[[#This Row],[TGL.NOTA]]="",IF(NOTA[[#This Row],[SUPPLIER_H]]="","",AL878),MONTH(NOTA[[#This Row],[TGL.NOTA]]))</f>
        <v/>
      </c>
      <c r="AM879" s="56" t="str">
        <f>LOWER(SUBSTITUTE(SUBSTITUTE(SUBSTITUTE(SUBSTITUTE(SUBSTITUTE(SUBSTITUTE(SUBSTITUTE(SUBSTITUTE(SUBSTITUTE(NOTA[NAMA BARANG]," ",),".",""),"-",""),"(",""),")",""),",",""),"/",""),"""",""),"+",""))</f>
        <v/>
      </c>
      <c r="AN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56" t="str">
        <f>IF(NOTA[[#This Row],[CONCAT4]]="","",_xlfn.IFNA(MATCH(NOTA[[#This Row],[CONCAT4]],[2]!RAW[CONCAT_H],0),FALSE))</f>
        <v/>
      </c>
      <c r="AR879" s="56" t="str">
        <f>IF(NOTA[[#This Row],[CONCAT1]]="","",MATCH(NOTA[[#This Row],[CONCAT1]],[3]!db[NB NOTA_C],0))</f>
        <v/>
      </c>
      <c r="AS879" s="56" t="str">
        <f>IF(NOTA[[#This Row],[QTY/ CTN]]="","",TRUE)</f>
        <v/>
      </c>
      <c r="AT879" s="56" t="str">
        <f ca="1">IF(NOTA[[#This Row],[ID_H]]="","",IF(NOTA[[#This Row],[Column3]]=TRUE,NOTA[[#This Row],[QTY/ CTN]],INDEX([3]!db[QTY/ CTN],NOTA[[#This Row],[//DB]])))</f>
        <v/>
      </c>
      <c r="AU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9" s="56" t="str">
        <f ca="1">IF(NOTA[[#This Row],[ID_H]]="","",MATCH(NOTA[[#This Row],[NB NOTA_C_QTY]],[4]!db[NB NOTA_C_QTY+F],0))</f>
        <v/>
      </c>
      <c r="AW879" s="68" t="str">
        <f ca="1">IF(NOTA[[#This Row],[NB NOTA_C_QTY]]="","",ROW()-2)</f>
        <v/>
      </c>
    </row>
    <row r="880" spans="1:49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0" s="66" t="str">
        <f>IF(OR(NOTA[[#This Row],[QTY]]="",NOTA[[#This Row],[HARGA SATUAN]]="",),"",NOTA[[#This Row],[QTY]]*NOTA[[#This Row],[HARGA SATUAN]])</f>
        <v/>
      </c>
      <c r="AH880" s="60" t="str">
        <f ca="1">IF(NOTA[ID_H]="","",INDEX(NOTA[TANGGAL],MATCH(,INDIRECT(ADDRESS(ROW(NOTA[TANGGAL]),COLUMN(NOTA[TANGGAL]))&amp;":"&amp;ADDRESS(ROW(),COLUMN(NOTA[TANGGAL]))),-1)))</f>
        <v/>
      </c>
      <c r="AI880" s="55" t="str">
        <f ca="1">IF(NOTA[[#This Row],[NAMA BARANG]]="","",INDEX(NOTA[SUPPLIER],MATCH(,INDIRECT(ADDRESS(ROW(NOTA[ID]),COLUMN(NOTA[ID]))&amp;":"&amp;ADDRESS(ROW(),COLUMN(NOTA[ID]))),-1)))</f>
        <v/>
      </c>
      <c r="AJ880" s="55" t="str">
        <f ca="1">IF(NOTA[[#This Row],[ID_H]]="","",IF(NOTA[[#This Row],[FAKTUR]]="",INDIRECT(ADDRESS(ROW()-1,COLUMN())),NOTA[[#This Row],[FAKTUR]]))</f>
        <v/>
      </c>
      <c r="AK880" s="56" t="str">
        <f ca="1">IF(NOTA[[#This Row],[ID]]="","",COUNTIF(NOTA[ID_H],NOTA[[#This Row],[ID_H]]))</f>
        <v/>
      </c>
      <c r="AL880" s="56" t="str">
        <f ca="1">IF(NOTA[[#This Row],[TGL.NOTA]]="",IF(NOTA[[#This Row],[SUPPLIER_H]]="","",AL879),MONTH(NOTA[[#This Row],[TGL.NOTA]]))</f>
        <v/>
      </c>
      <c r="AM880" s="56" t="str">
        <f>LOWER(SUBSTITUTE(SUBSTITUTE(SUBSTITUTE(SUBSTITUTE(SUBSTITUTE(SUBSTITUTE(SUBSTITUTE(SUBSTITUTE(SUBSTITUTE(NOTA[NAMA BARANG]," ",),".",""),"-",""),"(",""),")",""),",",""),"/",""),"""",""),"+",""))</f>
        <v/>
      </c>
      <c r="AN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0" s="56" t="str">
        <f>IF(NOTA[[#This Row],[CONCAT4]]="","",_xlfn.IFNA(MATCH(NOTA[[#This Row],[CONCAT4]],[2]!RAW[CONCAT_H],0),FALSE))</f>
        <v/>
      </c>
      <c r="AR880" s="56" t="str">
        <f>IF(NOTA[[#This Row],[CONCAT1]]="","",MATCH(NOTA[[#This Row],[CONCAT1]],[3]!db[NB NOTA_C],0))</f>
        <v/>
      </c>
      <c r="AS880" s="56" t="str">
        <f>IF(NOTA[[#This Row],[QTY/ CTN]]="","",TRUE)</f>
        <v/>
      </c>
      <c r="AT880" s="56" t="str">
        <f ca="1">IF(NOTA[[#This Row],[ID_H]]="","",IF(NOTA[[#This Row],[Column3]]=TRUE,NOTA[[#This Row],[QTY/ CTN]],INDEX([3]!db[QTY/ CTN],NOTA[[#This Row],[//DB]])))</f>
        <v/>
      </c>
      <c r="AU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0" s="56" t="str">
        <f ca="1">IF(NOTA[[#This Row],[ID_H]]="","",MATCH(NOTA[[#This Row],[NB NOTA_C_QTY]],[4]!db[NB NOTA_C_QTY+F],0))</f>
        <v/>
      </c>
      <c r="AW880" s="68" t="str">
        <f ca="1">IF(NOTA[[#This Row],[NB NOTA_C_QTY]]="","",ROW()-2)</f>
        <v/>
      </c>
    </row>
    <row r="881" spans="1:49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1" s="66" t="str">
        <f>IF(OR(NOTA[[#This Row],[QTY]]="",NOTA[[#This Row],[HARGA SATUAN]]="",),"",NOTA[[#This Row],[QTY]]*NOTA[[#This Row],[HARGA SATUAN]])</f>
        <v/>
      </c>
      <c r="AH881" s="60" t="str">
        <f ca="1">IF(NOTA[ID_H]="","",INDEX(NOTA[TANGGAL],MATCH(,INDIRECT(ADDRESS(ROW(NOTA[TANGGAL]),COLUMN(NOTA[TANGGAL]))&amp;":"&amp;ADDRESS(ROW(),COLUMN(NOTA[TANGGAL]))),-1)))</f>
        <v/>
      </c>
      <c r="AI881" s="55" t="str">
        <f ca="1">IF(NOTA[[#This Row],[NAMA BARANG]]="","",INDEX(NOTA[SUPPLIER],MATCH(,INDIRECT(ADDRESS(ROW(NOTA[ID]),COLUMN(NOTA[ID]))&amp;":"&amp;ADDRESS(ROW(),COLUMN(NOTA[ID]))),-1)))</f>
        <v/>
      </c>
      <c r="AJ881" s="55" t="str">
        <f ca="1">IF(NOTA[[#This Row],[ID_H]]="","",IF(NOTA[[#This Row],[FAKTUR]]="",INDIRECT(ADDRESS(ROW()-1,COLUMN())),NOTA[[#This Row],[FAKTUR]]))</f>
        <v/>
      </c>
      <c r="AK881" s="56" t="str">
        <f ca="1">IF(NOTA[[#This Row],[ID]]="","",COUNTIF(NOTA[ID_H],NOTA[[#This Row],[ID_H]]))</f>
        <v/>
      </c>
      <c r="AL881" s="56" t="str">
        <f ca="1">IF(NOTA[[#This Row],[TGL.NOTA]]="",IF(NOTA[[#This Row],[SUPPLIER_H]]="","",AL880),MONTH(NOTA[[#This Row],[TGL.NOTA]]))</f>
        <v/>
      </c>
      <c r="AM881" s="56" t="str">
        <f>LOWER(SUBSTITUTE(SUBSTITUTE(SUBSTITUTE(SUBSTITUTE(SUBSTITUTE(SUBSTITUTE(SUBSTITUTE(SUBSTITUTE(SUBSTITUTE(NOTA[NAMA BARANG]," ",),".",""),"-",""),"(",""),")",""),",",""),"/",""),"""",""),"+",""))</f>
        <v/>
      </c>
      <c r="AN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56" t="str">
        <f>IF(NOTA[[#This Row],[CONCAT4]]="","",_xlfn.IFNA(MATCH(NOTA[[#This Row],[CONCAT4]],[2]!RAW[CONCAT_H],0),FALSE))</f>
        <v/>
      </c>
      <c r="AR881" s="56" t="str">
        <f>IF(NOTA[[#This Row],[CONCAT1]]="","",MATCH(NOTA[[#This Row],[CONCAT1]],[3]!db[NB NOTA_C],0))</f>
        <v/>
      </c>
      <c r="AS881" s="56" t="str">
        <f>IF(NOTA[[#This Row],[QTY/ CTN]]="","",TRUE)</f>
        <v/>
      </c>
      <c r="AT881" s="56" t="str">
        <f ca="1">IF(NOTA[[#This Row],[ID_H]]="","",IF(NOTA[[#This Row],[Column3]]=TRUE,NOTA[[#This Row],[QTY/ CTN]],INDEX([3]!db[QTY/ CTN],NOTA[[#This Row],[//DB]])))</f>
        <v/>
      </c>
      <c r="AU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1" s="56" t="str">
        <f ca="1">IF(NOTA[[#This Row],[ID_H]]="","",MATCH(NOTA[[#This Row],[NB NOTA_C_QTY]],[4]!db[NB NOTA_C_QTY+F],0))</f>
        <v/>
      </c>
      <c r="AW881" s="68" t="str">
        <f ca="1">IF(NOTA[[#This Row],[NB NOTA_C_QTY]]="","",ROW()-2)</f>
        <v/>
      </c>
    </row>
    <row r="882" spans="1:49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2" s="66" t="str">
        <f>IF(OR(NOTA[[#This Row],[QTY]]="",NOTA[[#This Row],[HARGA SATUAN]]="",),"",NOTA[[#This Row],[QTY]]*NOTA[[#This Row],[HARGA SATUAN]])</f>
        <v/>
      </c>
      <c r="AH882" s="60" t="str">
        <f ca="1">IF(NOTA[ID_H]="","",INDEX(NOTA[TANGGAL],MATCH(,INDIRECT(ADDRESS(ROW(NOTA[TANGGAL]),COLUMN(NOTA[TANGGAL]))&amp;":"&amp;ADDRESS(ROW(),COLUMN(NOTA[TANGGAL]))),-1)))</f>
        <v/>
      </c>
      <c r="AI882" s="55" t="str">
        <f ca="1">IF(NOTA[[#This Row],[NAMA BARANG]]="","",INDEX(NOTA[SUPPLIER],MATCH(,INDIRECT(ADDRESS(ROW(NOTA[ID]),COLUMN(NOTA[ID]))&amp;":"&amp;ADDRESS(ROW(),COLUMN(NOTA[ID]))),-1)))</f>
        <v/>
      </c>
      <c r="AJ882" s="55" t="str">
        <f ca="1">IF(NOTA[[#This Row],[ID_H]]="","",IF(NOTA[[#This Row],[FAKTUR]]="",INDIRECT(ADDRESS(ROW()-1,COLUMN())),NOTA[[#This Row],[FAKTUR]]))</f>
        <v/>
      </c>
      <c r="AK882" s="56" t="str">
        <f ca="1">IF(NOTA[[#This Row],[ID]]="","",COUNTIF(NOTA[ID_H],NOTA[[#This Row],[ID_H]]))</f>
        <v/>
      </c>
      <c r="AL882" s="56" t="str">
        <f ca="1">IF(NOTA[[#This Row],[TGL.NOTA]]="",IF(NOTA[[#This Row],[SUPPLIER_H]]="","",AL881),MONTH(NOTA[[#This Row],[TGL.NOTA]]))</f>
        <v/>
      </c>
      <c r="AM882" s="56" t="str">
        <f>LOWER(SUBSTITUTE(SUBSTITUTE(SUBSTITUTE(SUBSTITUTE(SUBSTITUTE(SUBSTITUTE(SUBSTITUTE(SUBSTITUTE(SUBSTITUTE(NOTA[NAMA BARANG]," ",),".",""),"-",""),"(",""),")",""),",",""),"/",""),"""",""),"+",""))</f>
        <v/>
      </c>
      <c r="AN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56" t="str">
        <f>IF(NOTA[[#This Row],[CONCAT4]]="","",_xlfn.IFNA(MATCH(NOTA[[#This Row],[CONCAT4]],[2]!RAW[CONCAT_H],0),FALSE))</f>
        <v/>
      </c>
      <c r="AR882" s="56" t="str">
        <f>IF(NOTA[[#This Row],[CONCAT1]]="","",MATCH(NOTA[[#This Row],[CONCAT1]],[3]!db[NB NOTA_C],0))</f>
        <v/>
      </c>
      <c r="AS882" s="56" t="str">
        <f>IF(NOTA[[#This Row],[QTY/ CTN]]="","",TRUE)</f>
        <v/>
      </c>
      <c r="AT882" s="56" t="str">
        <f ca="1">IF(NOTA[[#This Row],[ID_H]]="","",IF(NOTA[[#This Row],[Column3]]=TRUE,NOTA[[#This Row],[QTY/ CTN]],INDEX([3]!db[QTY/ CTN],NOTA[[#This Row],[//DB]])))</f>
        <v/>
      </c>
      <c r="AU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2" s="56" t="str">
        <f ca="1">IF(NOTA[[#This Row],[ID_H]]="","",MATCH(NOTA[[#This Row],[NB NOTA_C_QTY]],[4]!db[NB NOTA_C_QTY+F],0))</f>
        <v/>
      </c>
      <c r="AW882" s="68" t="str">
        <f ca="1">IF(NOTA[[#This Row],[NB NOTA_C_QTY]]="","",ROW()-2)</f>
        <v/>
      </c>
    </row>
    <row r="883" spans="1:49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3" s="66" t="str">
        <f>IF(OR(NOTA[[#This Row],[QTY]]="",NOTA[[#This Row],[HARGA SATUAN]]="",),"",NOTA[[#This Row],[QTY]]*NOTA[[#This Row],[HARGA SATUAN]])</f>
        <v/>
      </c>
      <c r="AH883" s="60" t="str">
        <f ca="1">IF(NOTA[ID_H]="","",INDEX(NOTA[TANGGAL],MATCH(,INDIRECT(ADDRESS(ROW(NOTA[TANGGAL]),COLUMN(NOTA[TANGGAL]))&amp;":"&amp;ADDRESS(ROW(),COLUMN(NOTA[TANGGAL]))),-1)))</f>
        <v/>
      </c>
      <c r="AI883" s="55" t="str">
        <f ca="1">IF(NOTA[[#This Row],[NAMA BARANG]]="","",INDEX(NOTA[SUPPLIER],MATCH(,INDIRECT(ADDRESS(ROW(NOTA[ID]),COLUMN(NOTA[ID]))&amp;":"&amp;ADDRESS(ROW(),COLUMN(NOTA[ID]))),-1)))</f>
        <v/>
      </c>
      <c r="AJ883" s="55" t="str">
        <f ca="1">IF(NOTA[[#This Row],[ID_H]]="","",IF(NOTA[[#This Row],[FAKTUR]]="",INDIRECT(ADDRESS(ROW()-1,COLUMN())),NOTA[[#This Row],[FAKTUR]]))</f>
        <v/>
      </c>
      <c r="AK883" s="56" t="str">
        <f ca="1">IF(NOTA[[#This Row],[ID]]="","",COUNTIF(NOTA[ID_H],NOTA[[#This Row],[ID_H]]))</f>
        <v/>
      </c>
      <c r="AL883" s="56" t="str">
        <f ca="1">IF(NOTA[[#This Row],[TGL.NOTA]]="",IF(NOTA[[#This Row],[SUPPLIER_H]]="","",AL882),MONTH(NOTA[[#This Row],[TGL.NOTA]]))</f>
        <v/>
      </c>
      <c r="AM883" s="56" t="str">
        <f>LOWER(SUBSTITUTE(SUBSTITUTE(SUBSTITUTE(SUBSTITUTE(SUBSTITUTE(SUBSTITUTE(SUBSTITUTE(SUBSTITUTE(SUBSTITUTE(NOTA[NAMA BARANG]," ",),".",""),"-",""),"(",""),")",""),",",""),"/",""),"""",""),"+",""))</f>
        <v/>
      </c>
      <c r="AN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56" t="str">
        <f>IF(NOTA[[#This Row],[CONCAT4]]="","",_xlfn.IFNA(MATCH(NOTA[[#This Row],[CONCAT4]],[2]!RAW[CONCAT_H],0),FALSE))</f>
        <v/>
      </c>
      <c r="AR883" s="56" t="str">
        <f>IF(NOTA[[#This Row],[CONCAT1]]="","",MATCH(NOTA[[#This Row],[CONCAT1]],[3]!db[NB NOTA_C],0))</f>
        <v/>
      </c>
      <c r="AS883" s="56" t="str">
        <f>IF(NOTA[[#This Row],[QTY/ CTN]]="","",TRUE)</f>
        <v/>
      </c>
      <c r="AT883" s="56" t="str">
        <f ca="1">IF(NOTA[[#This Row],[ID_H]]="","",IF(NOTA[[#This Row],[Column3]]=TRUE,NOTA[[#This Row],[QTY/ CTN]],INDEX([3]!db[QTY/ CTN],NOTA[[#This Row],[//DB]])))</f>
        <v/>
      </c>
      <c r="AU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3" s="56" t="str">
        <f ca="1">IF(NOTA[[#This Row],[ID_H]]="","",MATCH(NOTA[[#This Row],[NB NOTA_C_QTY]],[4]!db[NB NOTA_C_QTY+F],0))</f>
        <v/>
      </c>
      <c r="AW883" s="68" t="str">
        <f ca="1">IF(NOTA[[#This Row],[NB NOTA_C_QTY]]="","",ROW()-2)</f>
        <v/>
      </c>
    </row>
    <row r="884" spans="1:49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4" s="66" t="str">
        <f>IF(OR(NOTA[[#This Row],[QTY]]="",NOTA[[#This Row],[HARGA SATUAN]]="",),"",NOTA[[#This Row],[QTY]]*NOTA[[#This Row],[HARGA SATUAN]])</f>
        <v/>
      </c>
      <c r="AH884" s="60" t="str">
        <f ca="1">IF(NOTA[ID_H]="","",INDEX(NOTA[TANGGAL],MATCH(,INDIRECT(ADDRESS(ROW(NOTA[TANGGAL]),COLUMN(NOTA[TANGGAL]))&amp;":"&amp;ADDRESS(ROW(),COLUMN(NOTA[TANGGAL]))),-1)))</f>
        <v/>
      </c>
      <c r="AI884" s="55" t="str">
        <f ca="1">IF(NOTA[[#This Row],[NAMA BARANG]]="","",INDEX(NOTA[SUPPLIER],MATCH(,INDIRECT(ADDRESS(ROW(NOTA[ID]),COLUMN(NOTA[ID]))&amp;":"&amp;ADDRESS(ROW(),COLUMN(NOTA[ID]))),-1)))</f>
        <v/>
      </c>
      <c r="AJ884" s="55" t="str">
        <f ca="1">IF(NOTA[[#This Row],[ID_H]]="","",IF(NOTA[[#This Row],[FAKTUR]]="",INDIRECT(ADDRESS(ROW()-1,COLUMN())),NOTA[[#This Row],[FAKTUR]]))</f>
        <v/>
      </c>
      <c r="AK884" s="56" t="str">
        <f ca="1">IF(NOTA[[#This Row],[ID]]="","",COUNTIF(NOTA[ID_H],NOTA[[#This Row],[ID_H]]))</f>
        <v/>
      </c>
      <c r="AL884" s="56" t="str">
        <f ca="1">IF(NOTA[[#This Row],[TGL.NOTA]]="",IF(NOTA[[#This Row],[SUPPLIER_H]]="","",AL883),MONTH(NOTA[[#This Row],[TGL.NOTA]]))</f>
        <v/>
      </c>
      <c r="AM884" s="56" t="str">
        <f>LOWER(SUBSTITUTE(SUBSTITUTE(SUBSTITUTE(SUBSTITUTE(SUBSTITUTE(SUBSTITUTE(SUBSTITUTE(SUBSTITUTE(SUBSTITUTE(NOTA[NAMA BARANG]," ",),".",""),"-",""),"(",""),")",""),",",""),"/",""),"""",""),"+",""))</f>
        <v/>
      </c>
      <c r="AN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56" t="str">
        <f>IF(NOTA[[#This Row],[CONCAT4]]="","",_xlfn.IFNA(MATCH(NOTA[[#This Row],[CONCAT4]],[2]!RAW[CONCAT_H],0),FALSE))</f>
        <v/>
      </c>
      <c r="AR884" s="56" t="str">
        <f>IF(NOTA[[#This Row],[CONCAT1]]="","",MATCH(NOTA[[#This Row],[CONCAT1]],[3]!db[NB NOTA_C],0))</f>
        <v/>
      </c>
      <c r="AS884" s="56" t="str">
        <f>IF(NOTA[[#This Row],[QTY/ CTN]]="","",TRUE)</f>
        <v/>
      </c>
      <c r="AT884" s="56" t="str">
        <f ca="1">IF(NOTA[[#This Row],[ID_H]]="","",IF(NOTA[[#This Row],[Column3]]=TRUE,NOTA[[#This Row],[QTY/ CTN]],INDEX([3]!db[QTY/ CTN],NOTA[[#This Row],[//DB]])))</f>
        <v/>
      </c>
      <c r="AU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4" s="56" t="str">
        <f ca="1">IF(NOTA[[#This Row],[ID_H]]="","",MATCH(NOTA[[#This Row],[NB NOTA_C_QTY]],[4]!db[NB NOTA_C_QTY+F],0))</f>
        <v/>
      </c>
      <c r="AW884" s="68" t="str">
        <f ca="1">IF(NOTA[[#This Row],[NB NOTA_C_QTY]]="","",ROW()-2)</f>
        <v/>
      </c>
    </row>
    <row r="885" spans="1:49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5" s="66" t="str">
        <f>IF(OR(NOTA[[#This Row],[QTY]]="",NOTA[[#This Row],[HARGA SATUAN]]="",),"",NOTA[[#This Row],[QTY]]*NOTA[[#This Row],[HARGA SATUAN]])</f>
        <v/>
      </c>
      <c r="AH885" s="60" t="str">
        <f ca="1">IF(NOTA[ID_H]="","",INDEX(NOTA[TANGGAL],MATCH(,INDIRECT(ADDRESS(ROW(NOTA[TANGGAL]),COLUMN(NOTA[TANGGAL]))&amp;":"&amp;ADDRESS(ROW(),COLUMN(NOTA[TANGGAL]))),-1)))</f>
        <v/>
      </c>
      <c r="AI885" s="55" t="str">
        <f ca="1">IF(NOTA[[#This Row],[NAMA BARANG]]="","",INDEX(NOTA[SUPPLIER],MATCH(,INDIRECT(ADDRESS(ROW(NOTA[ID]),COLUMN(NOTA[ID]))&amp;":"&amp;ADDRESS(ROW(),COLUMN(NOTA[ID]))),-1)))</f>
        <v/>
      </c>
      <c r="AJ885" s="55" t="str">
        <f ca="1">IF(NOTA[[#This Row],[ID_H]]="","",IF(NOTA[[#This Row],[FAKTUR]]="",INDIRECT(ADDRESS(ROW()-1,COLUMN())),NOTA[[#This Row],[FAKTUR]]))</f>
        <v/>
      </c>
      <c r="AK885" s="56" t="str">
        <f ca="1">IF(NOTA[[#This Row],[ID]]="","",COUNTIF(NOTA[ID_H],NOTA[[#This Row],[ID_H]]))</f>
        <v/>
      </c>
      <c r="AL885" s="56" t="str">
        <f ca="1">IF(NOTA[[#This Row],[TGL.NOTA]]="",IF(NOTA[[#This Row],[SUPPLIER_H]]="","",AL884),MONTH(NOTA[[#This Row],[TGL.NOTA]]))</f>
        <v/>
      </c>
      <c r="AM885" s="56" t="str">
        <f>LOWER(SUBSTITUTE(SUBSTITUTE(SUBSTITUTE(SUBSTITUTE(SUBSTITUTE(SUBSTITUTE(SUBSTITUTE(SUBSTITUTE(SUBSTITUTE(NOTA[NAMA BARANG]," ",),".",""),"-",""),"(",""),")",""),",",""),"/",""),"""",""),"+",""))</f>
        <v/>
      </c>
      <c r="AN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56" t="str">
        <f>IF(NOTA[[#This Row],[CONCAT4]]="","",_xlfn.IFNA(MATCH(NOTA[[#This Row],[CONCAT4]],[2]!RAW[CONCAT_H],0),FALSE))</f>
        <v/>
      </c>
      <c r="AR885" s="56" t="str">
        <f>IF(NOTA[[#This Row],[CONCAT1]]="","",MATCH(NOTA[[#This Row],[CONCAT1]],[3]!db[NB NOTA_C],0))</f>
        <v/>
      </c>
      <c r="AS885" s="56" t="str">
        <f>IF(NOTA[[#This Row],[QTY/ CTN]]="","",TRUE)</f>
        <v/>
      </c>
      <c r="AT885" s="56" t="str">
        <f ca="1">IF(NOTA[[#This Row],[ID_H]]="","",IF(NOTA[[#This Row],[Column3]]=TRUE,NOTA[[#This Row],[QTY/ CTN]],INDEX([3]!db[QTY/ CTN],NOTA[[#This Row],[//DB]])))</f>
        <v/>
      </c>
      <c r="AU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5" s="56" t="str">
        <f ca="1">IF(NOTA[[#This Row],[ID_H]]="","",MATCH(NOTA[[#This Row],[NB NOTA_C_QTY]],[4]!db[NB NOTA_C_QTY+F],0))</f>
        <v/>
      </c>
      <c r="AW885" s="68" t="str">
        <f ca="1">IF(NOTA[[#This Row],[NB NOTA_C_QTY]]="","",ROW()-2)</f>
        <v/>
      </c>
    </row>
    <row r="886" spans="1:49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6" s="66" t="str">
        <f>IF(OR(NOTA[[#This Row],[QTY]]="",NOTA[[#This Row],[HARGA SATUAN]]="",),"",NOTA[[#This Row],[QTY]]*NOTA[[#This Row],[HARGA SATUAN]])</f>
        <v/>
      </c>
      <c r="AH886" s="60" t="str">
        <f ca="1">IF(NOTA[ID_H]="","",INDEX(NOTA[TANGGAL],MATCH(,INDIRECT(ADDRESS(ROW(NOTA[TANGGAL]),COLUMN(NOTA[TANGGAL]))&amp;":"&amp;ADDRESS(ROW(),COLUMN(NOTA[TANGGAL]))),-1)))</f>
        <v/>
      </c>
      <c r="AI886" s="55" t="str">
        <f ca="1">IF(NOTA[[#This Row],[NAMA BARANG]]="","",INDEX(NOTA[SUPPLIER],MATCH(,INDIRECT(ADDRESS(ROW(NOTA[ID]),COLUMN(NOTA[ID]))&amp;":"&amp;ADDRESS(ROW(),COLUMN(NOTA[ID]))),-1)))</f>
        <v/>
      </c>
      <c r="AJ886" s="55" t="str">
        <f ca="1">IF(NOTA[[#This Row],[ID_H]]="","",IF(NOTA[[#This Row],[FAKTUR]]="",INDIRECT(ADDRESS(ROW()-1,COLUMN())),NOTA[[#This Row],[FAKTUR]]))</f>
        <v/>
      </c>
      <c r="AK886" s="56" t="str">
        <f ca="1">IF(NOTA[[#This Row],[ID]]="","",COUNTIF(NOTA[ID_H],NOTA[[#This Row],[ID_H]]))</f>
        <v/>
      </c>
      <c r="AL886" s="56" t="str">
        <f ca="1">IF(NOTA[[#This Row],[TGL.NOTA]]="",IF(NOTA[[#This Row],[SUPPLIER_H]]="","",AL885),MONTH(NOTA[[#This Row],[TGL.NOTA]]))</f>
        <v/>
      </c>
      <c r="AM886" s="56" t="str">
        <f>LOWER(SUBSTITUTE(SUBSTITUTE(SUBSTITUTE(SUBSTITUTE(SUBSTITUTE(SUBSTITUTE(SUBSTITUTE(SUBSTITUTE(SUBSTITUTE(NOTA[NAMA BARANG]," ",),".",""),"-",""),"(",""),")",""),",",""),"/",""),"""",""),"+",""))</f>
        <v/>
      </c>
      <c r="AN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56" t="str">
        <f>IF(NOTA[[#This Row],[CONCAT4]]="","",_xlfn.IFNA(MATCH(NOTA[[#This Row],[CONCAT4]],[2]!RAW[CONCAT_H],0),FALSE))</f>
        <v/>
      </c>
      <c r="AR886" s="56" t="str">
        <f>IF(NOTA[[#This Row],[CONCAT1]]="","",MATCH(NOTA[[#This Row],[CONCAT1]],[3]!db[NB NOTA_C],0))</f>
        <v/>
      </c>
      <c r="AS886" s="56" t="str">
        <f>IF(NOTA[[#This Row],[QTY/ CTN]]="","",TRUE)</f>
        <v/>
      </c>
      <c r="AT886" s="56" t="str">
        <f ca="1">IF(NOTA[[#This Row],[ID_H]]="","",IF(NOTA[[#This Row],[Column3]]=TRUE,NOTA[[#This Row],[QTY/ CTN]],INDEX([3]!db[QTY/ CTN],NOTA[[#This Row],[//DB]])))</f>
        <v/>
      </c>
      <c r="AU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6" s="56" t="str">
        <f ca="1">IF(NOTA[[#This Row],[ID_H]]="","",MATCH(NOTA[[#This Row],[NB NOTA_C_QTY]],[4]!db[NB NOTA_C_QTY+F],0))</f>
        <v/>
      </c>
      <c r="AW886" s="68" t="str">
        <f ca="1">IF(NOTA[[#This Row],[NB NOTA_C_QTY]]="","",ROW()-2)</f>
        <v/>
      </c>
    </row>
    <row r="887" spans="1:49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7" s="66" t="str">
        <f>IF(OR(NOTA[[#This Row],[QTY]]="",NOTA[[#This Row],[HARGA SATUAN]]="",),"",NOTA[[#This Row],[QTY]]*NOTA[[#This Row],[HARGA SATUAN]])</f>
        <v/>
      </c>
      <c r="AH887" s="60" t="str">
        <f ca="1">IF(NOTA[ID_H]="","",INDEX(NOTA[TANGGAL],MATCH(,INDIRECT(ADDRESS(ROW(NOTA[TANGGAL]),COLUMN(NOTA[TANGGAL]))&amp;":"&amp;ADDRESS(ROW(),COLUMN(NOTA[TANGGAL]))),-1)))</f>
        <v/>
      </c>
      <c r="AI887" s="55" t="str">
        <f ca="1">IF(NOTA[[#This Row],[NAMA BARANG]]="","",INDEX(NOTA[SUPPLIER],MATCH(,INDIRECT(ADDRESS(ROW(NOTA[ID]),COLUMN(NOTA[ID]))&amp;":"&amp;ADDRESS(ROW(),COLUMN(NOTA[ID]))),-1)))</f>
        <v/>
      </c>
      <c r="AJ887" s="55" t="str">
        <f ca="1">IF(NOTA[[#This Row],[ID_H]]="","",IF(NOTA[[#This Row],[FAKTUR]]="",INDIRECT(ADDRESS(ROW()-1,COLUMN())),NOTA[[#This Row],[FAKTUR]]))</f>
        <v/>
      </c>
      <c r="AK887" s="56" t="str">
        <f ca="1">IF(NOTA[[#This Row],[ID]]="","",COUNTIF(NOTA[ID_H],NOTA[[#This Row],[ID_H]]))</f>
        <v/>
      </c>
      <c r="AL887" s="56" t="str">
        <f ca="1">IF(NOTA[[#This Row],[TGL.NOTA]]="",IF(NOTA[[#This Row],[SUPPLIER_H]]="","",AL886),MONTH(NOTA[[#This Row],[TGL.NOTA]]))</f>
        <v/>
      </c>
      <c r="AM887" s="56" t="str">
        <f>LOWER(SUBSTITUTE(SUBSTITUTE(SUBSTITUTE(SUBSTITUTE(SUBSTITUTE(SUBSTITUTE(SUBSTITUTE(SUBSTITUTE(SUBSTITUTE(NOTA[NAMA BARANG]," ",),".",""),"-",""),"(",""),")",""),",",""),"/",""),"""",""),"+",""))</f>
        <v/>
      </c>
      <c r="AN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56" t="str">
        <f>IF(NOTA[[#This Row],[CONCAT4]]="","",_xlfn.IFNA(MATCH(NOTA[[#This Row],[CONCAT4]],[2]!RAW[CONCAT_H],0),FALSE))</f>
        <v/>
      </c>
      <c r="AR887" s="56" t="str">
        <f>IF(NOTA[[#This Row],[CONCAT1]]="","",MATCH(NOTA[[#This Row],[CONCAT1]],[3]!db[NB NOTA_C],0))</f>
        <v/>
      </c>
      <c r="AS887" s="56" t="str">
        <f>IF(NOTA[[#This Row],[QTY/ CTN]]="","",TRUE)</f>
        <v/>
      </c>
      <c r="AT887" s="56" t="str">
        <f ca="1">IF(NOTA[[#This Row],[ID_H]]="","",IF(NOTA[[#This Row],[Column3]]=TRUE,NOTA[[#This Row],[QTY/ CTN]],INDEX([3]!db[QTY/ CTN],NOTA[[#This Row],[//DB]])))</f>
        <v/>
      </c>
      <c r="AU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7" s="56" t="str">
        <f ca="1">IF(NOTA[[#This Row],[ID_H]]="","",MATCH(NOTA[[#This Row],[NB NOTA_C_QTY]],[4]!db[NB NOTA_C_QTY+F],0))</f>
        <v/>
      </c>
      <c r="AW887" s="68" t="str">
        <f ca="1">IF(NOTA[[#This Row],[NB NOTA_C_QTY]]="","",ROW()-2)</f>
        <v/>
      </c>
    </row>
    <row r="888" spans="1:49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8" s="66" t="str">
        <f>IF(OR(NOTA[[#This Row],[QTY]]="",NOTA[[#This Row],[HARGA SATUAN]]="",),"",NOTA[[#This Row],[QTY]]*NOTA[[#This Row],[HARGA SATUAN]])</f>
        <v/>
      </c>
      <c r="AH888" s="60" t="str">
        <f ca="1">IF(NOTA[ID_H]="","",INDEX(NOTA[TANGGAL],MATCH(,INDIRECT(ADDRESS(ROW(NOTA[TANGGAL]),COLUMN(NOTA[TANGGAL]))&amp;":"&amp;ADDRESS(ROW(),COLUMN(NOTA[TANGGAL]))),-1)))</f>
        <v/>
      </c>
      <c r="AI888" s="55" t="str">
        <f ca="1">IF(NOTA[[#This Row],[NAMA BARANG]]="","",INDEX(NOTA[SUPPLIER],MATCH(,INDIRECT(ADDRESS(ROW(NOTA[ID]),COLUMN(NOTA[ID]))&amp;":"&amp;ADDRESS(ROW(),COLUMN(NOTA[ID]))),-1)))</f>
        <v/>
      </c>
      <c r="AJ888" s="55" t="str">
        <f ca="1">IF(NOTA[[#This Row],[ID_H]]="","",IF(NOTA[[#This Row],[FAKTUR]]="",INDIRECT(ADDRESS(ROW()-1,COLUMN())),NOTA[[#This Row],[FAKTUR]]))</f>
        <v/>
      </c>
      <c r="AK888" s="56" t="str">
        <f ca="1">IF(NOTA[[#This Row],[ID]]="","",COUNTIF(NOTA[ID_H],NOTA[[#This Row],[ID_H]]))</f>
        <v/>
      </c>
      <c r="AL888" s="56" t="str">
        <f ca="1">IF(NOTA[[#This Row],[TGL.NOTA]]="",IF(NOTA[[#This Row],[SUPPLIER_H]]="","",AL887),MONTH(NOTA[[#This Row],[TGL.NOTA]]))</f>
        <v/>
      </c>
      <c r="AM888" s="56" t="str">
        <f>LOWER(SUBSTITUTE(SUBSTITUTE(SUBSTITUTE(SUBSTITUTE(SUBSTITUTE(SUBSTITUTE(SUBSTITUTE(SUBSTITUTE(SUBSTITUTE(NOTA[NAMA BARANG]," ",),".",""),"-",""),"(",""),")",""),",",""),"/",""),"""",""),"+",""))</f>
        <v/>
      </c>
      <c r="AN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56" t="str">
        <f>IF(NOTA[[#This Row],[CONCAT4]]="","",_xlfn.IFNA(MATCH(NOTA[[#This Row],[CONCAT4]],[2]!RAW[CONCAT_H],0),FALSE))</f>
        <v/>
      </c>
      <c r="AR888" s="56" t="str">
        <f>IF(NOTA[[#This Row],[CONCAT1]]="","",MATCH(NOTA[[#This Row],[CONCAT1]],[3]!db[NB NOTA_C],0))</f>
        <v/>
      </c>
      <c r="AS888" s="56" t="str">
        <f>IF(NOTA[[#This Row],[QTY/ CTN]]="","",TRUE)</f>
        <v/>
      </c>
      <c r="AT888" s="56" t="str">
        <f ca="1">IF(NOTA[[#This Row],[ID_H]]="","",IF(NOTA[[#This Row],[Column3]]=TRUE,NOTA[[#This Row],[QTY/ CTN]],INDEX([3]!db[QTY/ CTN],NOTA[[#This Row],[//DB]])))</f>
        <v/>
      </c>
      <c r="AU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8" s="56" t="str">
        <f ca="1">IF(NOTA[[#This Row],[ID_H]]="","",MATCH(NOTA[[#This Row],[NB NOTA_C_QTY]],[4]!db[NB NOTA_C_QTY+F],0))</f>
        <v/>
      </c>
      <c r="AW888" s="68" t="str">
        <f ca="1">IF(NOTA[[#This Row],[NB NOTA_C_QTY]]="","",ROW()-2)</f>
        <v/>
      </c>
    </row>
    <row r="889" spans="1:49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89" s="66" t="str">
        <f>IF(OR(NOTA[[#This Row],[QTY]]="",NOTA[[#This Row],[HARGA SATUAN]]="",),"",NOTA[[#This Row],[QTY]]*NOTA[[#This Row],[HARGA SATUAN]])</f>
        <v/>
      </c>
      <c r="AH889" s="60" t="str">
        <f ca="1">IF(NOTA[ID_H]="","",INDEX(NOTA[TANGGAL],MATCH(,INDIRECT(ADDRESS(ROW(NOTA[TANGGAL]),COLUMN(NOTA[TANGGAL]))&amp;":"&amp;ADDRESS(ROW(),COLUMN(NOTA[TANGGAL]))),-1)))</f>
        <v/>
      </c>
      <c r="AI889" s="55" t="str">
        <f ca="1">IF(NOTA[[#This Row],[NAMA BARANG]]="","",INDEX(NOTA[SUPPLIER],MATCH(,INDIRECT(ADDRESS(ROW(NOTA[ID]),COLUMN(NOTA[ID]))&amp;":"&amp;ADDRESS(ROW(),COLUMN(NOTA[ID]))),-1)))</f>
        <v/>
      </c>
      <c r="AJ889" s="55" t="str">
        <f ca="1">IF(NOTA[[#This Row],[ID_H]]="","",IF(NOTA[[#This Row],[FAKTUR]]="",INDIRECT(ADDRESS(ROW()-1,COLUMN())),NOTA[[#This Row],[FAKTUR]]))</f>
        <v/>
      </c>
      <c r="AK889" s="56" t="str">
        <f ca="1">IF(NOTA[[#This Row],[ID]]="","",COUNTIF(NOTA[ID_H],NOTA[[#This Row],[ID_H]]))</f>
        <v/>
      </c>
      <c r="AL889" s="56" t="str">
        <f ca="1">IF(NOTA[[#This Row],[TGL.NOTA]]="",IF(NOTA[[#This Row],[SUPPLIER_H]]="","",AL888),MONTH(NOTA[[#This Row],[TGL.NOTA]]))</f>
        <v/>
      </c>
      <c r="AM889" s="56" t="str">
        <f>LOWER(SUBSTITUTE(SUBSTITUTE(SUBSTITUTE(SUBSTITUTE(SUBSTITUTE(SUBSTITUTE(SUBSTITUTE(SUBSTITUTE(SUBSTITUTE(NOTA[NAMA BARANG]," ",),".",""),"-",""),"(",""),")",""),",",""),"/",""),"""",""),"+",""))</f>
        <v/>
      </c>
      <c r="AN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56" t="str">
        <f>IF(NOTA[[#This Row],[CONCAT4]]="","",_xlfn.IFNA(MATCH(NOTA[[#This Row],[CONCAT4]],[2]!RAW[CONCAT_H],0),FALSE))</f>
        <v/>
      </c>
      <c r="AR889" s="56" t="str">
        <f>IF(NOTA[[#This Row],[CONCAT1]]="","",MATCH(NOTA[[#This Row],[CONCAT1]],[3]!db[NB NOTA_C],0))</f>
        <v/>
      </c>
      <c r="AS889" s="56" t="str">
        <f>IF(NOTA[[#This Row],[QTY/ CTN]]="","",TRUE)</f>
        <v/>
      </c>
      <c r="AT889" s="56" t="str">
        <f ca="1">IF(NOTA[[#This Row],[ID_H]]="","",IF(NOTA[[#This Row],[Column3]]=TRUE,NOTA[[#This Row],[QTY/ CTN]],INDEX([3]!db[QTY/ CTN],NOTA[[#This Row],[//DB]])))</f>
        <v/>
      </c>
      <c r="AU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9" s="56" t="str">
        <f ca="1">IF(NOTA[[#This Row],[ID_H]]="","",MATCH(NOTA[[#This Row],[NB NOTA_C_QTY]],[4]!db[NB NOTA_C_QTY+F],0))</f>
        <v/>
      </c>
      <c r="AW889" s="68" t="str">
        <f ca="1">IF(NOTA[[#This Row],[NB NOTA_C_QTY]]="","",ROW()-2)</f>
        <v/>
      </c>
    </row>
    <row r="890" spans="1:49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0" s="66" t="str">
        <f>IF(OR(NOTA[[#This Row],[QTY]]="",NOTA[[#This Row],[HARGA SATUAN]]="",),"",NOTA[[#This Row],[QTY]]*NOTA[[#This Row],[HARGA SATUAN]])</f>
        <v/>
      </c>
      <c r="AH890" s="60" t="str">
        <f ca="1">IF(NOTA[ID_H]="","",INDEX(NOTA[TANGGAL],MATCH(,INDIRECT(ADDRESS(ROW(NOTA[TANGGAL]),COLUMN(NOTA[TANGGAL]))&amp;":"&amp;ADDRESS(ROW(),COLUMN(NOTA[TANGGAL]))),-1)))</f>
        <v/>
      </c>
      <c r="AI890" s="55" t="str">
        <f ca="1">IF(NOTA[[#This Row],[NAMA BARANG]]="","",INDEX(NOTA[SUPPLIER],MATCH(,INDIRECT(ADDRESS(ROW(NOTA[ID]),COLUMN(NOTA[ID]))&amp;":"&amp;ADDRESS(ROW(),COLUMN(NOTA[ID]))),-1)))</f>
        <v/>
      </c>
      <c r="AJ890" s="55" t="str">
        <f ca="1">IF(NOTA[[#This Row],[ID_H]]="","",IF(NOTA[[#This Row],[FAKTUR]]="",INDIRECT(ADDRESS(ROW()-1,COLUMN())),NOTA[[#This Row],[FAKTUR]]))</f>
        <v/>
      </c>
      <c r="AK890" s="56" t="str">
        <f ca="1">IF(NOTA[[#This Row],[ID]]="","",COUNTIF(NOTA[ID_H],NOTA[[#This Row],[ID_H]]))</f>
        <v/>
      </c>
      <c r="AL890" s="56" t="str">
        <f ca="1">IF(NOTA[[#This Row],[TGL.NOTA]]="",IF(NOTA[[#This Row],[SUPPLIER_H]]="","",AL889),MONTH(NOTA[[#This Row],[TGL.NOTA]]))</f>
        <v/>
      </c>
      <c r="AM890" s="56" t="str">
        <f>LOWER(SUBSTITUTE(SUBSTITUTE(SUBSTITUTE(SUBSTITUTE(SUBSTITUTE(SUBSTITUTE(SUBSTITUTE(SUBSTITUTE(SUBSTITUTE(NOTA[NAMA BARANG]," ",),".",""),"-",""),"(",""),")",""),",",""),"/",""),"""",""),"+",""))</f>
        <v/>
      </c>
      <c r="AN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56" t="str">
        <f>IF(NOTA[[#This Row],[CONCAT4]]="","",_xlfn.IFNA(MATCH(NOTA[[#This Row],[CONCAT4]],[2]!RAW[CONCAT_H],0),FALSE))</f>
        <v/>
      </c>
      <c r="AR890" s="56" t="str">
        <f>IF(NOTA[[#This Row],[CONCAT1]]="","",MATCH(NOTA[[#This Row],[CONCAT1]],[3]!db[NB NOTA_C],0))</f>
        <v/>
      </c>
      <c r="AS890" s="56" t="str">
        <f>IF(NOTA[[#This Row],[QTY/ CTN]]="","",TRUE)</f>
        <v/>
      </c>
      <c r="AT890" s="56" t="str">
        <f ca="1">IF(NOTA[[#This Row],[ID_H]]="","",IF(NOTA[[#This Row],[Column3]]=TRUE,NOTA[[#This Row],[QTY/ CTN]],INDEX([3]!db[QTY/ CTN],NOTA[[#This Row],[//DB]])))</f>
        <v/>
      </c>
      <c r="AU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0" s="56" t="str">
        <f ca="1">IF(NOTA[[#This Row],[ID_H]]="","",MATCH(NOTA[[#This Row],[NB NOTA_C_QTY]],[4]!db[NB NOTA_C_QTY+F],0))</f>
        <v/>
      </c>
      <c r="AW890" s="68" t="str">
        <f ca="1">IF(NOTA[[#This Row],[NB NOTA_C_QTY]]="","",ROW()-2)</f>
        <v/>
      </c>
    </row>
    <row r="891" spans="1:49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1" s="66" t="str">
        <f>IF(OR(NOTA[[#This Row],[QTY]]="",NOTA[[#This Row],[HARGA SATUAN]]="",),"",NOTA[[#This Row],[QTY]]*NOTA[[#This Row],[HARGA SATUAN]])</f>
        <v/>
      </c>
      <c r="AH891" s="60" t="str">
        <f ca="1">IF(NOTA[ID_H]="","",INDEX(NOTA[TANGGAL],MATCH(,INDIRECT(ADDRESS(ROW(NOTA[TANGGAL]),COLUMN(NOTA[TANGGAL]))&amp;":"&amp;ADDRESS(ROW(),COLUMN(NOTA[TANGGAL]))),-1)))</f>
        <v/>
      </c>
      <c r="AI891" s="55" t="str">
        <f ca="1">IF(NOTA[[#This Row],[NAMA BARANG]]="","",INDEX(NOTA[SUPPLIER],MATCH(,INDIRECT(ADDRESS(ROW(NOTA[ID]),COLUMN(NOTA[ID]))&amp;":"&amp;ADDRESS(ROW(),COLUMN(NOTA[ID]))),-1)))</f>
        <v/>
      </c>
      <c r="AJ891" s="55" t="str">
        <f ca="1">IF(NOTA[[#This Row],[ID_H]]="","",IF(NOTA[[#This Row],[FAKTUR]]="",INDIRECT(ADDRESS(ROW()-1,COLUMN())),NOTA[[#This Row],[FAKTUR]]))</f>
        <v/>
      </c>
      <c r="AK891" s="56" t="str">
        <f ca="1">IF(NOTA[[#This Row],[ID]]="","",COUNTIF(NOTA[ID_H],NOTA[[#This Row],[ID_H]]))</f>
        <v/>
      </c>
      <c r="AL891" s="56" t="str">
        <f ca="1">IF(NOTA[[#This Row],[TGL.NOTA]]="",IF(NOTA[[#This Row],[SUPPLIER_H]]="","",AL890),MONTH(NOTA[[#This Row],[TGL.NOTA]]))</f>
        <v/>
      </c>
      <c r="AM891" s="56" t="str">
        <f>LOWER(SUBSTITUTE(SUBSTITUTE(SUBSTITUTE(SUBSTITUTE(SUBSTITUTE(SUBSTITUTE(SUBSTITUTE(SUBSTITUTE(SUBSTITUTE(NOTA[NAMA BARANG]," ",),".",""),"-",""),"(",""),")",""),",",""),"/",""),"""",""),"+",""))</f>
        <v/>
      </c>
      <c r="AN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56" t="str">
        <f>IF(NOTA[[#This Row],[CONCAT4]]="","",_xlfn.IFNA(MATCH(NOTA[[#This Row],[CONCAT4]],[2]!RAW[CONCAT_H],0),FALSE))</f>
        <v/>
      </c>
      <c r="AR891" s="56" t="str">
        <f>IF(NOTA[[#This Row],[CONCAT1]]="","",MATCH(NOTA[[#This Row],[CONCAT1]],[3]!db[NB NOTA_C],0))</f>
        <v/>
      </c>
      <c r="AS891" s="56" t="str">
        <f>IF(NOTA[[#This Row],[QTY/ CTN]]="","",TRUE)</f>
        <v/>
      </c>
      <c r="AT891" s="56" t="str">
        <f ca="1">IF(NOTA[[#This Row],[ID_H]]="","",IF(NOTA[[#This Row],[Column3]]=TRUE,NOTA[[#This Row],[QTY/ CTN]],INDEX([3]!db[QTY/ CTN],NOTA[[#This Row],[//DB]])))</f>
        <v/>
      </c>
      <c r="AU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1" s="56" t="str">
        <f ca="1">IF(NOTA[[#This Row],[ID_H]]="","",MATCH(NOTA[[#This Row],[NB NOTA_C_QTY]],[4]!db[NB NOTA_C_QTY+F],0))</f>
        <v/>
      </c>
      <c r="AW891" s="68" t="str">
        <f ca="1">IF(NOTA[[#This Row],[NB NOTA_C_QTY]]="","",ROW()-2)</f>
        <v/>
      </c>
    </row>
    <row r="892" spans="1:49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2" s="66" t="str">
        <f>IF(OR(NOTA[[#This Row],[QTY]]="",NOTA[[#This Row],[HARGA SATUAN]]="",),"",NOTA[[#This Row],[QTY]]*NOTA[[#This Row],[HARGA SATUAN]])</f>
        <v/>
      </c>
      <c r="AH892" s="60" t="str">
        <f ca="1">IF(NOTA[ID_H]="","",INDEX(NOTA[TANGGAL],MATCH(,INDIRECT(ADDRESS(ROW(NOTA[TANGGAL]),COLUMN(NOTA[TANGGAL]))&amp;":"&amp;ADDRESS(ROW(),COLUMN(NOTA[TANGGAL]))),-1)))</f>
        <v/>
      </c>
      <c r="AI892" s="55" t="str">
        <f ca="1">IF(NOTA[[#This Row],[NAMA BARANG]]="","",INDEX(NOTA[SUPPLIER],MATCH(,INDIRECT(ADDRESS(ROW(NOTA[ID]),COLUMN(NOTA[ID]))&amp;":"&amp;ADDRESS(ROW(),COLUMN(NOTA[ID]))),-1)))</f>
        <v/>
      </c>
      <c r="AJ892" s="55" t="str">
        <f ca="1">IF(NOTA[[#This Row],[ID_H]]="","",IF(NOTA[[#This Row],[FAKTUR]]="",INDIRECT(ADDRESS(ROW()-1,COLUMN())),NOTA[[#This Row],[FAKTUR]]))</f>
        <v/>
      </c>
      <c r="AK892" s="56" t="str">
        <f ca="1">IF(NOTA[[#This Row],[ID]]="","",COUNTIF(NOTA[ID_H],NOTA[[#This Row],[ID_H]]))</f>
        <v/>
      </c>
      <c r="AL892" s="56" t="str">
        <f ca="1">IF(NOTA[[#This Row],[TGL.NOTA]]="",IF(NOTA[[#This Row],[SUPPLIER_H]]="","",AL891),MONTH(NOTA[[#This Row],[TGL.NOTA]]))</f>
        <v/>
      </c>
      <c r="AM892" s="56" t="str">
        <f>LOWER(SUBSTITUTE(SUBSTITUTE(SUBSTITUTE(SUBSTITUTE(SUBSTITUTE(SUBSTITUTE(SUBSTITUTE(SUBSTITUTE(SUBSTITUTE(NOTA[NAMA BARANG]," ",),".",""),"-",""),"(",""),")",""),",",""),"/",""),"""",""),"+",""))</f>
        <v/>
      </c>
      <c r="AN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2" s="56" t="str">
        <f>IF(NOTA[[#This Row],[CONCAT4]]="","",_xlfn.IFNA(MATCH(NOTA[[#This Row],[CONCAT4]],[2]!RAW[CONCAT_H],0),FALSE))</f>
        <v/>
      </c>
      <c r="AR892" s="56" t="str">
        <f>IF(NOTA[[#This Row],[CONCAT1]]="","",MATCH(NOTA[[#This Row],[CONCAT1]],[3]!db[NB NOTA_C],0))</f>
        <v/>
      </c>
      <c r="AS892" s="56" t="str">
        <f>IF(NOTA[[#This Row],[QTY/ CTN]]="","",TRUE)</f>
        <v/>
      </c>
      <c r="AT892" s="56" t="str">
        <f ca="1">IF(NOTA[[#This Row],[ID_H]]="","",IF(NOTA[[#This Row],[Column3]]=TRUE,NOTA[[#This Row],[QTY/ CTN]],INDEX([3]!db[QTY/ CTN],NOTA[[#This Row],[//DB]])))</f>
        <v/>
      </c>
      <c r="AU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2" s="56" t="str">
        <f ca="1">IF(NOTA[[#This Row],[ID_H]]="","",MATCH(NOTA[[#This Row],[NB NOTA_C_QTY]],[4]!db[NB NOTA_C_QTY+F],0))</f>
        <v/>
      </c>
      <c r="AW892" s="68" t="str">
        <f ca="1">IF(NOTA[[#This Row],[NB NOTA_C_QTY]]="","",ROW()-2)</f>
        <v/>
      </c>
    </row>
    <row r="893" spans="1:49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3" s="66" t="str">
        <f>IF(OR(NOTA[[#This Row],[QTY]]="",NOTA[[#This Row],[HARGA SATUAN]]="",),"",NOTA[[#This Row],[QTY]]*NOTA[[#This Row],[HARGA SATUAN]])</f>
        <v/>
      </c>
      <c r="AH893" s="60" t="str">
        <f ca="1">IF(NOTA[ID_H]="","",INDEX(NOTA[TANGGAL],MATCH(,INDIRECT(ADDRESS(ROW(NOTA[TANGGAL]),COLUMN(NOTA[TANGGAL]))&amp;":"&amp;ADDRESS(ROW(),COLUMN(NOTA[TANGGAL]))),-1)))</f>
        <v/>
      </c>
      <c r="AI893" s="55" t="str">
        <f ca="1">IF(NOTA[[#This Row],[NAMA BARANG]]="","",INDEX(NOTA[SUPPLIER],MATCH(,INDIRECT(ADDRESS(ROW(NOTA[ID]),COLUMN(NOTA[ID]))&amp;":"&amp;ADDRESS(ROW(),COLUMN(NOTA[ID]))),-1)))</f>
        <v/>
      </c>
      <c r="AJ893" s="55" t="str">
        <f ca="1">IF(NOTA[[#This Row],[ID_H]]="","",IF(NOTA[[#This Row],[FAKTUR]]="",INDIRECT(ADDRESS(ROW()-1,COLUMN())),NOTA[[#This Row],[FAKTUR]]))</f>
        <v/>
      </c>
      <c r="AK893" s="56" t="str">
        <f ca="1">IF(NOTA[[#This Row],[ID]]="","",COUNTIF(NOTA[ID_H],NOTA[[#This Row],[ID_H]]))</f>
        <v/>
      </c>
      <c r="AL893" s="56" t="str">
        <f ca="1">IF(NOTA[[#This Row],[TGL.NOTA]]="",IF(NOTA[[#This Row],[SUPPLIER_H]]="","",AL892),MONTH(NOTA[[#This Row],[TGL.NOTA]]))</f>
        <v/>
      </c>
      <c r="AM893" s="56" t="str">
        <f>LOWER(SUBSTITUTE(SUBSTITUTE(SUBSTITUTE(SUBSTITUTE(SUBSTITUTE(SUBSTITUTE(SUBSTITUTE(SUBSTITUTE(SUBSTITUTE(NOTA[NAMA BARANG]," ",),".",""),"-",""),"(",""),")",""),",",""),"/",""),"""",""),"+",""))</f>
        <v/>
      </c>
      <c r="AN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56" t="str">
        <f>IF(NOTA[[#This Row],[CONCAT4]]="","",_xlfn.IFNA(MATCH(NOTA[[#This Row],[CONCAT4]],[2]!RAW[CONCAT_H],0),FALSE))</f>
        <v/>
      </c>
      <c r="AR893" s="56" t="str">
        <f>IF(NOTA[[#This Row],[CONCAT1]]="","",MATCH(NOTA[[#This Row],[CONCAT1]],[3]!db[NB NOTA_C],0))</f>
        <v/>
      </c>
      <c r="AS893" s="56" t="str">
        <f>IF(NOTA[[#This Row],[QTY/ CTN]]="","",TRUE)</f>
        <v/>
      </c>
      <c r="AT893" s="56" t="str">
        <f ca="1">IF(NOTA[[#This Row],[ID_H]]="","",IF(NOTA[[#This Row],[Column3]]=TRUE,NOTA[[#This Row],[QTY/ CTN]],INDEX([3]!db[QTY/ CTN],NOTA[[#This Row],[//DB]])))</f>
        <v/>
      </c>
      <c r="AU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3" s="56" t="str">
        <f ca="1">IF(NOTA[[#This Row],[ID_H]]="","",MATCH(NOTA[[#This Row],[NB NOTA_C_QTY]],[4]!db[NB NOTA_C_QTY+F],0))</f>
        <v/>
      </c>
      <c r="AW893" s="68" t="str">
        <f ca="1">IF(NOTA[[#This Row],[NB NOTA_C_QTY]]="","",ROW()-2)</f>
        <v/>
      </c>
    </row>
    <row r="894" spans="1:49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4" s="66" t="str">
        <f>IF(OR(NOTA[[#This Row],[QTY]]="",NOTA[[#This Row],[HARGA SATUAN]]="",),"",NOTA[[#This Row],[QTY]]*NOTA[[#This Row],[HARGA SATUAN]])</f>
        <v/>
      </c>
      <c r="AH894" s="60" t="str">
        <f ca="1">IF(NOTA[ID_H]="","",INDEX(NOTA[TANGGAL],MATCH(,INDIRECT(ADDRESS(ROW(NOTA[TANGGAL]),COLUMN(NOTA[TANGGAL]))&amp;":"&amp;ADDRESS(ROW(),COLUMN(NOTA[TANGGAL]))),-1)))</f>
        <v/>
      </c>
      <c r="AI894" s="55" t="str">
        <f ca="1">IF(NOTA[[#This Row],[NAMA BARANG]]="","",INDEX(NOTA[SUPPLIER],MATCH(,INDIRECT(ADDRESS(ROW(NOTA[ID]),COLUMN(NOTA[ID]))&amp;":"&amp;ADDRESS(ROW(),COLUMN(NOTA[ID]))),-1)))</f>
        <v/>
      </c>
      <c r="AJ894" s="55" t="str">
        <f ca="1">IF(NOTA[[#This Row],[ID_H]]="","",IF(NOTA[[#This Row],[FAKTUR]]="",INDIRECT(ADDRESS(ROW()-1,COLUMN())),NOTA[[#This Row],[FAKTUR]]))</f>
        <v/>
      </c>
      <c r="AK894" s="56" t="str">
        <f ca="1">IF(NOTA[[#This Row],[ID]]="","",COUNTIF(NOTA[ID_H],NOTA[[#This Row],[ID_H]]))</f>
        <v/>
      </c>
      <c r="AL894" s="56" t="str">
        <f ca="1">IF(NOTA[[#This Row],[TGL.NOTA]]="",IF(NOTA[[#This Row],[SUPPLIER_H]]="","",AL893),MONTH(NOTA[[#This Row],[TGL.NOTA]]))</f>
        <v/>
      </c>
      <c r="AM894" s="56" t="str">
        <f>LOWER(SUBSTITUTE(SUBSTITUTE(SUBSTITUTE(SUBSTITUTE(SUBSTITUTE(SUBSTITUTE(SUBSTITUTE(SUBSTITUTE(SUBSTITUTE(NOTA[NAMA BARANG]," ",),".",""),"-",""),"(",""),")",""),",",""),"/",""),"""",""),"+",""))</f>
        <v/>
      </c>
      <c r="AN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56" t="str">
        <f>IF(NOTA[[#This Row],[CONCAT4]]="","",_xlfn.IFNA(MATCH(NOTA[[#This Row],[CONCAT4]],[2]!RAW[CONCAT_H],0),FALSE))</f>
        <v/>
      </c>
      <c r="AR894" s="56" t="str">
        <f>IF(NOTA[[#This Row],[CONCAT1]]="","",MATCH(NOTA[[#This Row],[CONCAT1]],[3]!db[NB NOTA_C],0))</f>
        <v/>
      </c>
      <c r="AS894" s="56" t="str">
        <f>IF(NOTA[[#This Row],[QTY/ CTN]]="","",TRUE)</f>
        <v/>
      </c>
      <c r="AT894" s="56" t="str">
        <f ca="1">IF(NOTA[[#This Row],[ID_H]]="","",IF(NOTA[[#This Row],[Column3]]=TRUE,NOTA[[#This Row],[QTY/ CTN]],INDEX([3]!db[QTY/ CTN],NOTA[[#This Row],[//DB]])))</f>
        <v/>
      </c>
      <c r="AU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4" s="56" t="str">
        <f ca="1">IF(NOTA[[#This Row],[ID_H]]="","",MATCH(NOTA[[#This Row],[NB NOTA_C_QTY]],[4]!db[NB NOTA_C_QTY+F],0))</f>
        <v/>
      </c>
      <c r="AW894" s="68" t="str">
        <f ca="1">IF(NOTA[[#This Row],[NB NOTA_C_QTY]]="","",ROW()-2)</f>
        <v/>
      </c>
    </row>
    <row r="895" spans="1:49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5" s="66" t="str">
        <f>IF(OR(NOTA[[#This Row],[QTY]]="",NOTA[[#This Row],[HARGA SATUAN]]="",),"",NOTA[[#This Row],[QTY]]*NOTA[[#This Row],[HARGA SATUAN]])</f>
        <v/>
      </c>
      <c r="AH895" s="60" t="str">
        <f ca="1">IF(NOTA[ID_H]="","",INDEX(NOTA[TANGGAL],MATCH(,INDIRECT(ADDRESS(ROW(NOTA[TANGGAL]),COLUMN(NOTA[TANGGAL]))&amp;":"&amp;ADDRESS(ROW(),COLUMN(NOTA[TANGGAL]))),-1)))</f>
        <v/>
      </c>
      <c r="AI895" s="55" t="str">
        <f ca="1">IF(NOTA[[#This Row],[NAMA BARANG]]="","",INDEX(NOTA[SUPPLIER],MATCH(,INDIRECT(ADDRESS(ROW(NOTA[ID]),COLUMN(NOTA[ID]))&amp;":"&amp;ADDRESS(ROW(),COLUMN(NOTA[ID]))),-1)))</f>
        <v/>
      </c>
      <c r="AJ895" s="55" t="str">
        <f ca="1">IF(NOTA[[#This Row],[ID_H]]="","",IF(NOTA[[#This Row],[FAKTUR]]="",INDIRECT(ADDRESS(ROW()-1,COLUMN())),NOTA[[#This Row],[FAKTUR]]))</f>
        <v/>
      </c>
      <c r="AK895" s="56" t="str">
        <f ca="1">IF(NOTA[[#This Row],[ID]]="","",COUNTIF(NOTA[ID_H],NOTA[[#This Row],[ID_H]]))</f>
        <v/>
      </c>
      <c r="AL895" s="56" t="str">
        <f ca="1">IF(NOTA[[#This Row],[TGL.NOTA]]="",IF(NOTA[[#This Row],[SUPPLIER_H]]="","",AL894),MONTH(NOTA[[#This Row],[TGL.NOTA]]))</f>
        <v/>
      </c>
      <c r="AM895" s="56" t="str">
        <f>LOWER(SUBSTITUTE(SUBSTITUTE(SUBSTITUTE(SUBSTITUTE(SUBSTITUTE(SUBSTITUTE(SUBSTITUTE(SUBSTITUTE(SUBSTITUTE(NOTA[NAMA BARANG]," ",),".",""),"-",""),"(",""),")",""),",",""),"/",""),"""",""),"+",""))</f>
        <v/>
      </c>
      <c r="AN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56" t="str">
        <f>IF(NOTA[[#This Row],[CONCAT4]]="","",_xlfn.IFNA(MATCH(NOTA[[#This Row],[CONCAT4]],[2]!RAW[CONCAT_H],0),FALSE))</f>
        <v/>
      </c>
      <c r="AR895" s="56" t="str">
        <f>IF(NOTA[[#This Row],[CONCAT1]]="","",MATCH(NOTA[[#This Row],[CONCAT1]],[3]!db[NB NOTA_C],0))</f>
        <v/>
      </c>
      <c r="AS895" s="56" t="str">
        <f>IF(NOTA[[#This Row],[QTY/ CTN]]="","",TRUE)</f>
        <v/>
      </c>
      <c r="AT895" s="56" t="str">
        <f ca="1">IF(NOTA[[#This Row],[ID_H]]="","",IF(NOTA[[#This Row],[Column3]]=TRUE,NOTA[[#This Row],[QTY/ CTN]],INDEX([3]!db[QTY/ CTN],NOTA[[#This Row],[//DB]])))</f>
        <v/>
      </c>
      <c r="AU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5" s="56" t="str">
        <f ca="1">IF(NOTA[[#This Row],[ID_H]]="","",MATCH(NOTA[[#This Row],[NB NOTA_C_QTY]],[4]!db[NB NOTA_C_QTY+F],0))</f>
        <v/>
      </c>
      <c r="AW895" s="68" t="str">
        <f ca="1">IF(NOTA[[#This Row],[NB NOTA_C_QTY]]="","",ROW()-2)</f>
        <v/>
      </c>
    </row>
    <row r="896" spans="1:49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6" s="66" t="str">
        <f>IF(OR(NOTA[[#This Row],[QTY]]="",NOTA[[#This Row],[HARGA SATUAN]]="",),"",NOTA[[#This Row],[QTY]]*NOTA[[#This Row],[HARGA SATUAN]])</f>
        <v/>
      </c>
      <c r="AH896" s="60" t="str">
        <f ca="1">IF(NOTA[ID_H]="","",INDEX(NOTA[TANGGAL],MATCH(,INDIRECT(ADDRESS(ROW(NOTA[TANGGAL]),COLUMN(NOTA[TANGGAL]))&amp;":"&amp;ADDRESS(ROW(),COLUMN(NOTA[TANGGAL]))),-1)))</f>
        <v/>
      </c>
      <c r="AI896" s="55" t="str">
        <f ca="1">IF(NOTA[[#This Row],[NAMA BARANG]]="","",INDEX(NOTA[SUPPLIER],MATCH(,INDIRECT(ADDRESS(ROW(NOTA[ID]),COLUMN(NOTA[ID]))&amp;":"&amp;ADDRESS(ROW(),COLUMN(NOTA[ID]))),-1)))</f>
        <v/>
      </c>
      <c r="AJ896" s="55" t="str">
        <f ca="1">IF(NOTA[[#This Row],[ID_H]]="","",IF(NOTA[[#This Row],[FAKTUR]]="",INDIRECT(ADDRESS(ROW()-1,COLUMN())),NOTA[[#This Row],[FAKTUR]]))</f>
        <v/>
      </c>
      <c r="AK896" s="56" t="str">
        <f ca="1">IF(NOTA[[#This Row],[ID]]="","",COUNTIF(NOTA[ID_H],NOTA[[#This Row],[ID_H]]))</f>
        <v/>
      </c>
      <c r="AL896" s="56" t="str">
        <f ca="1">IF(NOTA[[#This Row],[TGL.NOTA]]="",IF(NOTA[[#This Row],[SUPPLIER_H]]="","",AL895),MONTH(NOTA[[#This Row],[TGL.NOTA]]))</f>
        <v/>
      </c>
      <c r="AM896" s="56" t="str">
        <f>LOWER(SUBSTITUTE(SUBSTITUTE(SUBSTITUTE(SUBSTITUTE(SUBSTITUTE(SUBSTITUTE(SUBSTITUTE(SUBSTITUTE(SUBSTITUTE(NOTA[NAMA BARANG]," ",),".",""),"-",""),"(",""),")",""),",",""),"/",""),"""",""),"+",""))</f>
        <v/>
      </c>
      <c r="AN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56" t="str">
        <f>IF(NOTA[[#This Row],[CONCAT4]]="","",_xlfn.IFNA(MATCH(NOTA[[#This Row],[CONCAT4]],[2]!RAW[CONCAT_H],0),FALSE))</f>
        <v/>
      </c>
      <c r="AR896" s="56" t="str">
        <f>IF(NOTA[[#This Row],[CONCAT1]]="","",MATCH(NOTA[[#This Row],[CONCAT1]],[3]!db[NB NOTA_C],0))</f>
        <v/>
      </c>
      <c r="AS896" s="56" t="str">
        <f>IF(NOTA[[#This Row],[QTY/ CTN]]="","",TRUE)</f>
        <v/>
      </c>
      <c r="AT896" s="56" t="str">
        <f ca="1">IF(NOTA[[#This Row],[ID_H]]="","",IF(NOTA[[#This Row],[Column3]]=TRUE,NOTA[[#This Row],[QTY/ CTN]],INDEX([3]!db[QTY/ CTN],NOTA[[#This Row],[//DB]])))</f>
        <v/>
      </c>
      <c r="AU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6" s="56" t="str">
        <f ca="1">IF(NOTA[[#This Row],[ID_H]]="","",MATCH(NOTA[[#This Row],[NB NOTA_C_QTY]],[4]!db[NB NOTA_C_QTY+F],0))</f>
        <v/>
      </c>
      <c r="AW896" s="68" t="str">
        <f ca="1">IF(NOTA[[#This Row],[NB NOTA_C_QTY]]="","",ROW()-2)</f>
        <v/>
      </c>
    </row>
    <row r="897" spans="1:49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7" s="66" t="str">
        <f>IF(OR(NOTA[[#This Row],[QTY]]="",NOTA[[#This Row],[HARGA SATUAN]]="",),"",NOTA[[#This Row],[QTY]]*NOTA[[#This Row],[HARGA SATUAN]])</f>
        <v/>
      </c>
      <c r="AH897" s="60" t="str">
        <f ca="1">IF(NOTA[ID_H]="","",INDEX(NOTA[TANGGAL],MATCH(,INDIRECT(ADDRESS(ROW(NOTA[TANGGAL]),COLUMN(NOTA[TANGGAL]))&amp;":"&amp;ADDRESS(ROW(),COLUMN(NOTA[TANGGAL]))),-1)))</f>
        <v/>
      </c>
      <c r="AI897" s="55" t="str">
        <f ca="1">IF(NOTA[[#This Row],[NAMA BARANG]]="","",INDEX(NOTA[SUPPLIER],MATCH(,INDIRECT(ADDRESS(ROW(NOTA[ID]),COLUMN(NOTA[ID]))&amp;":"&amp;ADDRESS(ROW(),COLUMN(NOTA[ID]))),-1)))</f>
        <v/>
      </c>
      <c r="AJ897" s="55" t="str">
        <f ca="1">IF(NOTA[[#This Row],[ID_H]]="","",IF(NOTA[[#This Row],[FAKTUR]]="",INDIRECT(ADDRESS(ROW()-1,COLUMN())),NOTA[[#This Row],[FAKTUR]]))</f>
        <v/>
      </c>
      <c r="AK897" s="56" t="str">
        <f ca="1">IF(NOTA[[#This Row],[ID]]="","",COUNTIF(NOTA[ID_H],NOTA[[#This Row],[ID_H]]))</f>
        <v/>
      </c>
      <c r="AL897" s="56" t="str">
        <f ca="1">IF(NOTA[[#This Row],[TGL.NOTA]]="",IF(NOTA[[#This Row],[SUPPLIER_H]]="","",AL896),MONTH(NOTA[[#This Row],[TGL.NOTA]]))</f>
        <v/>
      </c>
      <c r="AM897" s="56" t="str">
        <f>LOWER(SUBSTITUTE(SUBSTITUTE(SUBSTITUTE(SUBSTITUTE(SUBSTITUTE(SUBSTITUTE(SUBSTITUTE(SUBSTITUTE(SUBSTITUTE(NOTA[NAMA BARANG]," ",),".",""),"-",""),"(",""),")",""),",",""),"/",""),"""",""),"+",""))</f>
        <v/>
      </c>
      <c r="AN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56" t="str">
        <f>IF(NOTA[[#This Row],[CONCAT4]]="","",_xlfn.IFNA(MATCH(NOTA[[#This Row],[CONCAT4]],[2]!RAW[CONCAT_H],0),FALSE))</f>
        <v/>
      </c>
      <c r="AR897" s="56" t="str">
        <f>IF(NOTA[[#This Row],[CONCAT1]]="","",MATCH(NOTA[[#This Row],[CONCAT1]],[3]!db[NB NOTA_C],0))</f>
        <v/>
      </c>
      <c r="AS897" s="56" t="str">
        <f>IF(NOTA[[#This Row],[QTY/ CTN]]="","",TRUE)</f>
        <v/>
      </c>
      <c r="AT897" s="56" t="str">
        <f ca="1">IF(NOTA[[#This Row],[ID_H]]="","",IF(NOTA[[#This Row],[Column3]]=TRUE,NOTA[[#This Row],[QTY/ CTN]],INDEX([3]!db[QTY/ CTN],NOTA[[#This Row],[//DB]])))</f>
        <v/>
      </c>
      <c r="AU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7" s="56" t="str">
        <f ca="1">IF(NOTA[[#This Row],[ID_H]]="","",MATCH(NOTA[[#This Row],[NB NOTA_C_QTY]],[4]!db[NB NOTA_C_QTY+F],0))</f>
        <v/>
      </c>
      <c r="AW897" s="68" t="str">
        <f ca="1">IF(NOTA[[#This Row],[NB NOTA_C_QTY]]="","",ROW()-2)</f>
        <v/>
      </c>
    </row>
    <row r="898" spans="1:49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8" s="66" t="str">
        <f>IF(OR(NOTA[[#This Row],[QTY]]="",NOTA[[#This Row],[HARGA SATUAN]]="",),"",NOTA[[#This Row],[QTY]]*NOTA[[#This Row],[HARGA SATUAN]])</f>
        <v/>
      </c>
      <c r="AH898" s="60" t="str">
        <f ca="1">IF(NOTA[ID_H]="","",INDEX(NOTA[TANGGAL],MATCH(,INDIRECT(ADDRESS(ROW(NOTA[TANGGAL]),COLUMN(NOTA[TANGGAL]))&amp;":"&amp;ADDRESS(ROW(),COLUMN(NOTA[TANGGAL]))),-1)))</f>
        <v/>
      </c>
      <c r="AI898" s="55" t="str">
        <f ca="1">IF(NOTA[[#This Row],[NAMA BARANG]]="","",INDEX(NOTA[SUPPLIER],MATCH(,INDIRECT(ADDRESS(ROW(NOTA[ID]),COLUMN(NOTA[ID]))&amp;":"&amp;ADDRESS(ROW(),COLUMN(NOTA[ID]))),-1)))</f>
        <v/>
      </c>
      <c r="AJ898" s="55" t="str">
        <f ca="1">IF(NOTA[[#This Row],[ID_H]]="","",IF(NOTA[[#This Row],[FAKTUR]]="",INDIRECT(ADDRESS(ROW()-1,COLUMN())),NOTA[[#This Row],[FAKTUR]]))</f>
        <v/>
      </c>
      <c r="AK898" s="56" t="str">
        <f ca="1">IF(NOTA[[#This Row],[ID]]="","",COUNTIF(NOTA[ID_H],NOTA[[#This Row],[ID_H]]))</f>
        <v/>
      </c>
      <c r="AL898" s="56" t="str">
        <f ca="1">IF(NOTA[[#This Row],[TGL.NOTA]]="",IF(NOTA[[#This Row],[SUPPLIER_H]]="","",AL897),MONTH(NOTA[[#This Row],[TGL.NOTA]]))</f>
        <v/>
      </c>
      <c r="AM898" s="56" t="str">
        <f>LOWER(SUBSTITUTE(SUBSTITUTE(SUBSTITUTE(SUBSTITUTE(SUBSTITUTE(SUBSTITUTE(SUBSTITUTE(SUBSTITUTE(SUBSTITUTE(NOTA[NAMA BARANG]," ",),".",""),"-",""),"(",""),")",""),",",""),"/",""),"""",""),"+",""))</f>
        <v/>
      </c>
      <c r="AN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56" t="str">
        <f>IF(NOTA[[#This Row],[CONCAT4]]="","",_xlfn.IFNA(MATCH(NOTA[[#This Row],[CONCAT4]],[2]!RAW[CONCAT_H],0),FALSE))</f>
        <v/>
      </c>
      <c r="AR898" s="56" t="str">
        <f>IF(NOTA[[#This Row],[CONCAT1]]="","",MATCH(NOTA[[#This Row],[CONCAT1]],[3]!db[NB NOTA_C],0))</f>
        <v/>
      </c>
      <c r="AS898" s="56" t="str">
        <f>IF(NOTA[[#This Row],[QTY/ CTN]]="","",TRUE)</f>
        <v/>
      </c>
      <c r="AT898" s="56" t="str">
        <f ca="1">IF(NOTA[[#This Row],[ID_H]]="","",IF(NOTA[[#This Row],[Column3]]=TRUE,NOTA[[#This Row],[QTY/ CTN]],INDEX([3]!db[QTY/ CTN],NOTA[[#This Row],[//DB]])))</f>
        <v/>
      </c>
      <c r="AU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8" s="56" t="str">
        <f ca="1">IF(NOTA[[#This Row],[ID_H]]="","",MATCH(NOTA[[#This Row],[NB NOTA_C_QTY]],[4]!db[NB NOTA_C_QTY+F],0))</f>
        <v/>
      </c>
      <c r="AW898" s="68" t="str">
        <f ca="1">IF(NOTA[[#This Row],[NB NOTA_C_QTY]]="","",ROW()-2)</f>
        <v/>
      </c>
    </row>
    <row r="899" spans="1:49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899" s="66" t="str">
        <f>IF(OR(NOTA[[#This Row],[QTY]]="",NOTA[[#This Row],[HARGA SATUAN]]="",),"",NOTA[[#This Row],[QTY]]*NOTA[[#This Row],[HARGA SATUAN]])</f>
        <v/>
      </c>
      <c r="AH899" s="60" t="str">
        <f ca="1">IF(NOTA[ID_H]="","",INDEX(NOTA[TANGGAL],MATCH(,INDIRECT(ADDRESS(ROW(NOTA[TANGGAL]),COLUMN(NOTA[TANGGAL]))&amp;":"&amp;ADDRESS(ROW(),COLUMN(NOTA[TANGGAL]))),-1)))</f>
        <v/>
      </c>
      <c r="AI899" s="55" t="str">
        <f ca="1">IF(NOTA[[#This Row],[NAMA BARANG]]="","",INDEX(NOTA[SUPPLIER],MATCH(,INDIRECT(ADDRESS(ROW(NOTA[ID]),COLUMN(NOTA[ID]))&amp;":"&amp;ADDRESS(ROW(),COLUMN(NOTA[ID]))),-1)))</f>
        <v/>
      </c>
      <c r="AJ899" s="55" t="str">
        <f ca="1">IF(NOTA[[#This Row],[ID_H]]="","",IF(NOTA[[#This Row],[FAKTUR]]="",INDIRECT(ADDRESS(ROW()-1,COLUMN())),NOTA[[#This Row],[FAKTUR]]))</f>
        <v/>
      </c>
      <c r="AK899" s="56" t="str">
        <f ca="1">IF(NOTA[[#This Row],[ID]]="","",COUNTIF(NOTA[ID_H],NOTA[[#This Row],[ID_H]]))</f>
        <v/>
      </c>
      <c r="AL899" s="56" t="str">
        <f ca="1">IF(NOTA[[#This Row],[TGL.NOTA]]="",IF(NOTA[[#This Row],[SUPPLIER_H]]="","",AL898),MONTH(NOTA[[#This Row],[TGL.NOTA]]))</f>
        <v/>
      </c>
      <c r="AM899" s="56" t="str">
        <f>LOWER(SUBSTITUTE(SUBSTITUTE(SUBSTITUTE(SUBSTITUTE(SUBSTITUTE(SUBSTITUTE(SUBSTITUTE(SUBSTITUTE(SUBSTITUTE(NOTA[NAMA BARANG]," ",),".",""),"-",""),"(",""),")",""),",",""),"/",""),"""",""),"+",""))</f>
        <v/>
      </c>
      <c r="AN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56" t="str">
        <f>IF(NOTA[[#This Row],[CONCAT4]]="","",_xlfn.IFNA(MATCH(NOTA[[#This Row],[CONCAT4]],[2]!RAW[CONCAT_H],0),FALSE))</f>
        <v/>
      </c>
      <c r="AR899" s="56" t="str">
        <f>IF(NOTA[[#This Row],[CONCAT1]]="","",MATCH(NOTA[[#This Row],[CONCAT1]],[3]!db[NB NOTA_C],0))</f>
        <v/>
      </c>
      <c r="AS899" s="56" t="str">
        <f>IF(NOTA[[#This Row],[QTY/ CTN]]="","",TRUE)</f>
        <v/>
      </c>
      <c r="AT899" s="56" t="str">
        <f ca="1">IF(NOTA[[#This Row],[ID_H]]="","",IF(NOTA[[#This Row],[Column3]]=TRUE,NOTA[[#This Row],[QTY/ CTN]],INDEX([3]!db[QTY/ CTN],NOTA[[#This Row],[//DB]])))</f>
        <v/>
      </c>
      <c r="AU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9" s="56" t="str">
        <f ca="1">IF(NOTA[[#This Row],[ID_H]]="","",MATCH(NOTA[[#This Row],[NB NOTA_C_QTY]],[4]!db[NB NOTA_C_QTY+F],0))</f>
        <v/>
      </c>
      <c r="AW899" s="68" t="str">
        <f ca="1">IF(NOTA[[#This Row],[NB NOTA_C_QTY]]="","",ROW()-2)</f>
        <v/>
      </c>
    </row>
    <row r="900" spans="1:49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0" s="66" t="str">
        <f>IF(OR(NOTA[[#This Row],[QTY]]="",NOTA[[#This Row],[HARGA SATUAN]]="",),"",NOTA[[#This Row],[QTY]]*NOTA[[#This Row],[HARGA SATUAN]])</f>
        <v/>
      </c>
      <c r="AH900" s="60" t="str">
        <f ca="1">IF(NOTA[ID_H]="","",INDEX(NOTA[TANGGAL],MATCH(,INDIRECT(ADDRESS(ROW(NOTA[TANGGAL]),COLUMN(NOTA[TANGGAL]))&amp;":"&amp;ADDRESS(ROW(),COLUMN(NOTA[TANGGAL]))),-1)))</f>
        <v/>
      </c>
      <c r="AI900" s="55" t="str">
        <f ca="1">IF(NOTA[[#This Row],[NAMA BARANG]]="","",INDEX(NOTA[SUPPLIER],MATCH(,INDIRECT(ADDRESS(ROW(NOTA[ID]),COLUMN(NOTA[ID]))&amp;":"&amp;ADDRESS(ROW(),COLUMN(NOTA[ID]))),-1)))</f>
        <v/>
      </c>
      <c r="AJ900" s="55" t="str">
        <f ca="1">IF(NOTA[[#This Row],[ID_H]]="","",IF(NOTA[[#This Row],[FAKTUR]]="",INDIRECT(ADDRESS(ROW()-1,COLUMN())),NOTA[[#This Row],[FAKTUR]]))</f>
        <v/>
      </c>
      <c r="AK900" s="56" t="str">
        <f ca="1">IF(NOTA[[#This Row],[ID]]="","",COUNTIF(NOTA[ID_H],NOTA[[#This Row],[ID_H]]))</f>
        <v/>
      </c>
      <c r="AL900" s="56" t="str">
        <f ca="1">IF(NOTA[[#This Row],[TGL.NOTA]]="",IF(NOTA[[#This Row],[SUPPLIER_H]]="","",AL899),MONTH(NOTA[[#This Row],[TGL.NOTA]]))</f>
        <v/>
      </c>
      <c r="AM900" s="56" t="str">
        <f>LOWER(SUBSTITUTE(SUBSTITUTE(SUBSTITUTE(SUBSTITUTE(SUBSTITUTE(SUBSTITUTE(SUBSTITUTE(SUBSTITUTE(SUBSTITUTE(NOTA[NAMA BARANG]," ",),".",""),"-",""),"(",""),")",""),",",""),"/",""),"""",""),"+",""))</f>
        <v/>
      </c>
      <c r="AN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56" t="str">
        <f>IF(NOTA[[#This Row],[CONCAT4]]="","",_xlfn.IFNA(MATCH(NOTA[[#This Row],[CONCAT4]],[2]!RAW[CONCAT_H],0),FALSE))</f>
        <v/>
      </c>
      <c r="AR900" s="56" t="str">
        <f>IF(NOTA[[#This Row],[CONCAT1]]="","",MATCH(NOTA[[#This Row],[CONCAT1]],[3]!db[NB NOTA_C],0))</f>
        <v/>
      </c>
      <c r="AS900" s="56" t="str">
        <f>IF(NOTA[[#This Row],[QTY/ CTN]]="","",TRUE)</f>
        <v/>
      </c>
      <c r="AT900" s="56" t="str">
        <f ca="1">IF(NOTA[[#This Row],[ID_H]]="","",IF(NOTA[[#This Row],[Column3]]=TRUE,NOTA[[#This Row],[QTY/ CTN]],INDEX([3]!db[QTY/ CTN],NOTA[[#This Row],[//DB]])))</f>
        <v/>
      </c>
      <c r="AU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0" s="56" t="str">
        <f ca="1">IF(NOTA[[#This Row],[ID_H]]="","",MATCH(NOTA[[#This Row],[NB NOTA_C_QTY]],[4]!db[NB NOTA_C_QTY+F],0))</f>
        <v/>
      </c>
      <c r="AW900" s="68" t="str">
        <f ca="1">IF(NOTA[[#This Row],[NB NOTA_C_QTY]]="","",ROW()-2)</f>
        <v/>
      </c>
    </row>
    <row r="901" spans="1:49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1" s="66" t="str">
        <f>IF(OR(NOTA[[#This Row],[QTY]]="",NOTA[[#This Row],[HARGA SATUAN]]="",),"",NOTA[[#This Row],[QTY]]*NOTA[[#This Row],[HARGA SATUAN]])</f>
        <v/>
      </c>
      <c r="AH901" s="60" t="str">
        <f ca="1">IF(NOTA[ID_H]="","",INDEX(NOTA[TANGGAL],MATCH(,INDIRECT(ADDRESS(ROW(NOTA[TANGGAL]),COLUMN(NOTA[TANGGAL]))&amp;":"&amp;ADDRESS(ROW(),COLUMN(NOTA[TANGGAL]))),-1)))</f>
        <v/>
      </c>
      <c r="AI901" s="55" t="str">
        <f ca="1">IF(NOTA[[#This Row],[NAMA BARANG]]="","",INDEX(NOTA[SUPPLIER],MATCH(,INDIRECT(ADDRESS(ROW(NOTA[ID]),COLUMN(NOTA[ID]))&amp;":"&amp;ADDRESS(ROW(),COLUMN(NOTA[ID]))),-1)))</f>
        <v/>
      </c>
      <c r="AJ901" s="55" t="str">
        <f ca="1">IF(NOTA[[#This Row],[ID_H]]="","",IF(NOTA[[#This Row],[FAKTUR]]="",INDIRECT(ADDRESS(ROW()-1,COLUMN())),NOTA[[#This Row],[FAKTUR]]))</f>
        <v/>
      </c>
      <c r="AK901" s="56" t="str">
        <f ca="1">IF(NOTA[[#This Row],[ID]]="","",COUNTIF(NOTA[ID_H],NOTA[[#This Row],[ID_H]]))</f>
        <v/>
      </c>
      <c r="AL901" s="56" t="str">
        <f ca="1">IF(NOTA[[#This Row],[TGL.NOTA]]="",IF(NOTA[[#This Row],[SUPPLIER_H]]="","",AL900),MONTH(NOTA[[#This Row],[TGL.NOTA]]))</f>
        <v/>
      </c>
      <c r="AM901" s="56" t="str">
        <f>LOWER(SUBSTITUTE(SUBSTITUTE(SUBSTITUTE(SUBSTITUTE(SUBSTITUTE(SUBSTITUTE(SUBSTITUTE(SUBSTITUTE(SUBSTITUTE(NOTA[NAMA BARANG]," ",),".",""),"-",""),"(",""),")",""),",",""),"/",""),"""",""),"+",""))</f>
        <v/>
      </c>
      <c r="AN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56" t="str">
        <f>IF(NOTA[[#This Row],[CONCAT4]]="","",_xlfn.IFNA(MATCH(NOTA[[#This Row],[CONCAT4]],[2]!RAW[CONCAT_H],0),FALSE))</f>
        <v/>
      </c>
      <c r="AR901" s="56" t="str">
        <f>IF(NOTA[[#This Row],[CONCAT1]]="","",MATCH(NOTA[[#This Row],[CONCAT1]],[3]!db[NB NOTA_C],0))</f>
        <v/>
      </c>
      <c r="AS901" s="56" t="str">
        <f>IF(NOTA[[#This Row],[QTY/ CTN]]="","",TRUE)</f>
        <v/>
      </c>
      <c r="AT901" s="56" t="str">
        <f ca="1">IF(NOTA[[#This Row],[ID_H]]="","",IF(NOTA[[#This Row],[Column3]]=TRUE,NOTA[[#This Row],[QTY/ CTN]],INDEX([3]!db[QTY/ CTN],NOTA[[#This Row],[//DB]])))</f>
        <v/>
      </c>
      <c r="AU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1" s="56" t="str">
        <f ca="1">IF(NOTA[[#This Row],[ID_H]]="","",MATCH(NOTA[[#This Row],[NB NOTA_C_QTY]],[4]!db[NB NOTA_C_QTY+F],0))</f>
        <v/>
      </c>
      <c r="AW901" s="68" t="str">
        <f ca="1">IF(NOTA[[#This Row],[NB NOTA_C_QTY]]="","",ROW()-2)</f>
        <v/>
      </c>
    </row>
    <row r="902" spans="1:49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2" s="66" t="str">
        <f>IF(OR(NOTA[[#This Row],[QTY]]="",NOTA[[#This Row],[HARGA SATUAN]]="",),"",NOTA[[#This Row],[QTY]]*NOTA[[#This Row],[HARGA SATUAN]])</f>
        <v/>
      </c>
      <c r="AH902" s="60" t="str">
        <f ca="1">IF(NOTA[ID_H]="","",INDEX(NOTA[TANGGAL],MATCH(,INDIRECT(ADDRESS(ROW(NOTA[TANGGAL]),COLUMN(NOTA[TANGGAL]))&amp;":"&amp;ADDRESS(ROW(),COLUMN(NOTA[TANGGAL]))),-1)))</f>
        <v/>
      </c>
      <c r="AI902" s="55" t="str">
        <f ca="1">IF(NOTA[[#This Row],[NAMA BARANG]]="","",INDEX(NOTA[SUPPLIER],MATCH(,INDIRECT(ADDRESS(ROW(NOTA[ID]),COLUMN(NOTA[ID]))&amp;":"&amp;ADDRESS(ROW(),COLUMN(NOTA[ID]))),-1)))</f>
        <v/>
      </c>
      <c r="AJ902" s="55" t="str">
        <f ca="1">IF(NOTA[[#This Row],[ID_H]]="","",IF(NOTA[[#This Row],[FAKTUR]]="",INDIRECT(ADDRESS(ROW()-1,COLUMN())),NOTA[[#This Row],[FAKTUR]]))</f>
        <v/>
      </c>
      <c r="AK902" s="56" t="str">
        <f ca="1">IF(NOTA[[#This Row],[ID]]="","",COUNTIF(NOTA[ID_H],NOTA[[#This Row],[ID_H]]))</f>
        <v/>
      </c>
      <c r="AL902" s="56" t="str">
        <f ca="1">IF(NOTA[[#This Row],[TGL.NOTA]]="",IF(NOTA[[#This Row],[SUPPLIER_H]]="","",AL901),MONTH(NOTA[[#This Row],[TGL.NOTA]]))</f>
        <v/>
      </c>
      <c r="AM902" s="56" t="str">
        <f>LOWER(SUBSTITUTE(SUBSTITUTE(SUBSTITUTE(SUBSTITUTE(SUBSTITUTE(SUBSTITUTE(SUBSTITUTE(SUBSTITUTE(SUBSTITUTE(NOTA[NAMA BARANG]," ",),".",""),"-",""),"(",""),")",""),",",""),"/",""),"""",""),"+",""))</f>
        <v/>
      </c>
      <c r="AN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56" t="str">
        <f>IF(NOTA[[#This Row],[CONCAT4]]="","",_xlfn.IFNA(MATCH(NOTA[[#This Row],[CONCAT4]],[2]!RAW[CONCAT_H],0),FALSE))</f>
        <v/>
      </c>
      <c r="AR902" s="56" t="str">
        <f>IF(NOTA[[#This Row],[CONCAT1]]="","",MATCH(NOTA[[#This Row],[CONCAT1]],[3]!db[NB NOTA_C],0))</f>
        <v/>
      </c>
      <c r="AS902" s="56" t="str">
        <f>IF(NOTA[[#This Row],[QTY/ CTN]]="","",TRUE)</f>
        <v/>
      </c>
      <c r="AT902" s="56" t="str">
        <f ca="1">IF(NOTA[[#This Row],[ID_H]]="","",IF(NOTA[[#This Row],[Column3]]=TRUE,NOTA[[#This Row],[QTY/ CTN]],INDEX([3]!db[QTY/ CTN],NOTA[[#This Row],[//DB]])))</f>
        <v/>
      </c>
      <c r="AU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2" s="56" t="str">
        <f ca="1">IF(NOTA[[#This Row],[ID_H]]="","",MATCH(NOTA[[#This Row],[NB NOTA_C_QTY]],[4]!db[NB NOTA_C_QTY+F],0))</f>
        <v/>
      </c>
      <c r="AW902" s="68" t="str">
        <f ca="1">IF(NOTA[[#This Row],[NB NOTA_C_QTY]]="","",ROW()-2)</f>
        <v/>
      </c>
    </row>
    <row r="903" spans="1:49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3" s="66" t="str">
        <f>IF(OR(NOTA[[#This Row],[QTY]]="",NOTA[[#This Row],[HARGA SATUAN]]="",),"",NOTA[[#This Row],[QTY]]*NOTA[[#This Row],[HARGA SATUAN]])</f>
        <v/>
      </c>
      <c r="AH903" s="60" t="str">
        <f ca="1">IF(NOTA[ID_H]="","",INDEX(NOTA[TANGGAL],MATCH(,INDIRECT(ADDRESS(ROW(NOTA[TANGGAL]),COLUMN(NOTA[TANGGAL]))&amp;":"&amp;ADDRESS(ROW(),COLUMN(NOTA[TANGGAL]))),-1)))</f>
        <v/>
      </c>
      <c r="AI903" s="55" t="str">
        <f ca="1">IF(NOTA[[#This Row],[NAMA BARANG]]="","",INDEX(NOTA[SUPPLIER],MATCH(,INDIRECT(ADDRESS(ROW(NOTA[ID]),COLUMN(NOTA[ID]))&amp;":"&amp;ADDRESS(ROW(),COLUMN(NOTA[ID]))),-1)))</f>
        <v/>
      </c>
      <c r="AJ903" s="55" t="str">
        <f ca="1">IF(NOTA[[#This Row],[ID_H]]="","",IF(NOTA[[#This Row],[FAKTUR]]="",INDIRECT(ADDRESS(ROW()-1,COLUMN())),NOTA[[#This Row],[FAKTUR]]))</f>
        <v/>
      </c>
      <c r="AK903" s="56" t="str">
        <f ca="1">IF(NOTA[[#This Row],[ID]]="","",COUNTIF(NOTA[ID_H],NOTA[[#This Row],[ID_H]]))</f>
        <v/>
      </c>
      <c r="AL903" s="56" t="str">
        <f ca="1">IF(NOTA[[#This Row],[TGL.NOTA]]="",IF(NOTA[[#This Row],[SUPPLIER_H]]="","",AL902),MONTH(NOTA[[#This Row],[TGL.NOTA]]))</f>
        <v/>
      </c>
      <c r="AM903" s="56" t="str">
        <f>LOWER(SUBSTITUTE(SUBSTITUTE(SUBSTITUTE(SUBSTITUTE(SUBSTITUTE(SUBSTITUTE(SUBSTITUTE(SUBSTITUTE(SUBSTITUTE(NOTA[NAMA BARANG]," ",),".",""),"-",""),"(",""),")",""),",",""),"/",""),"""",""),"+",""))</f>
        <v/>
      </c>
      <c r="AN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3" s="56" t="str">
        <f>IF(NOTA[[#This Row],[CONCAT4]]="","",_xlfn.IFNA(MATCH(NOTA[[#This Row],[CONCAT4]],[2]!RAW[CONCAT_H],0),FALSE))</f>
        <v/>
      </c>
      <c r="AR903" s="56" t="str">
        <f>IF(NOTA[[#This Row],[CONCAT1]]="","",MATCH(NOTA[[#This Row],[CONCAT1]],[3]!db[NB NOTA_C],0))</f>
        <v/>
      </c>
      <c r="AS903" s="56" t="str">
        <f>IF(NOTA[[#This Row],[QTY/ CTN]]="","",TRUE)</f>
        <v/>
      </c>
      <c r="AT903" s="56" t="str">
        <f ca="1">IF(NOTA[[#This Row],[ID_H]]="","",IF(NOTA[[#This Row],[Column3]]=TRUE,NOTA[[#This Row],[QTY/ CTN]],INDEX([3]!db[QTY/ CTN],NOTA[[#This Row],[//DB]])))</f>
        <v/>
      </c>
      <c r="AU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3" s="56" t="str">
        <f ca="1">IF(NOTA[[#This Row],[ID_H]]="","",MATCH(NOTA[[#This Row],[NB NOTA_C_QTY]],[4]!db[NB NOTA_C_QTY+F],0))</f>
        <v/>
      </c>
      <c r="AW903" s="68" t="str">
        <f ca="1">IF(NOTA[[#This Row],[NB NOTA_C_QTY]]="","",ROW()-2)</f>
        <v/>
      </c>
    </row>
    <row r="904" spans="1:49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4" s="66" t="str">
        <f>IF(OR(NOTA[[#This Row],[QTY]]="",NOTA[[#This Row],[HARGA SATUAN]]="",),"",NOTA[[#This Row],[QTY]]*NOTA[[#This Row],[HARGA SATUAN]])</f>
        <v/>
      </c>
      <c r="AH904" s="60" t="str">
        <f ca="1">IF(NOTA[ID_H]="","",INDEX(NOTA[TANGGAL],MATCH(,INDIRECT(ADDRESS(ROW(NOTA[TANGGAL]),COLUMN(NOTA[TANGGAL]))&amp;":"&amp;ADDRESS(ROW(),COLUMN(NOTA[TANGGAL]))),-1)))</f>
        <v/>
      </c>
      <c r="AI904" s="55" t="str">
        <f ca="1">IF(NOTA[[#This Row],[NAMA BARANG]]="","",INDEX(NOTA[SUPPLIER],MATCH(,INDIRECT(ADDRESS(ROW(NOTA[ID]),COLUMN(NOTA[ID]))&amp;":"&amp;ADDRESS(ROW(),COLUMN(NOTA[ID]))),-1)))</f>
        <v/>
      </c>
      <c r="AJ904" s="55" t="str">
        <f ca="1">IF(NOTA[[#This Row],[ID_H]]="","",IF(NOTA[[#This Row],[FAKTUR]]="",INDIRECT(ADDRESS(ROW()-1,COLUMN())),NOTA[[#This Row],[FAKTUR]]))</f>
        <v/>
      </c>
      <c r="AK904" s="56" t="str">
        <f ca="1">IF(NOTA[[#This Row],[ID]]="","",COUNTIF(NOTA[ID_H],NOTA[[#This Row],[ID_H]]))</f>
        <v/>
      </c>
      <c r="AL904" s="56" t="str">
        <f ca="1">IF(NOTA[[#This Row],[TGL.NOTA]]="",IF(NOTA[[#This Row],[SUPPLIER_H]]="","",AL903),MONTH(NOTA[[#This Row],[TGL.NOTA]]))</f>
        <v/>
      </c>
      <c r="AM904" s="56" t="str">
        <f>LOWER(SUBSTITUTE(SUBSTITUTE(SUBSTITUTE(SUBSTITUTE(SUBSTITUTE(SUBSTITUTE(SUBSTITUTE(SUBSTITUTE(SUBSTITUTE(NOTA[NAMA BARANG]," ",),".",""),"-",""),"(",""),")",""),",",""),"/",""),"""",""),"+",""))</f>
        <v/>
      </c>
      <c r="AN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4" s="56" t="str">
        <f>IF(NOTA[[#This Row],[CONCAT4]]="","",_xlfn.IFNA(MATCH(NOTA[[#This Row],[CONCAT4]],[2]!RAW[CONCAT_H],0),FALSE))</f>
        <v/>
      </c>
      <c r="AR904" s="56" t="str">
        <f>IF(NOTA[[#This Row],[CONCAT1]]="","",MATCH(NOTA[[#This Row],[CONCAT1]],[3]!db[NB NOTA_C],0))</f>
        <v/>
      </c>
      <c r="AS904" s="56" t="str">
        <f>IF(NOTA[[#This Row],[QTY/ CTN]]="","",TRUE)</f>
        <v/>
      </c>
      <c r="AT904" s="56" t="str">
        <f ca="1">IF(NOTA[[#This Row],[ID_H]]="","",IF(NOTA[[#This Row],[Column3]]=TRUE,NOTA[[#This Row],[QTY/ CTN]],INDEX([3]!db[QTY/ CTN],NOTA[[#This Row],[//DB]])))</f>
        <v/>
      </c>
      <c r="AU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4" s="56" t="str">
        <f ca="1">IF(NOTA[[#This Row],[ID_H]]="","",MATCH(NOTA[[#This Row],[NB NOTA_C_QTY]],[4]!db[NB NOTA_C_QTY+F],0))</f>
        <v/>
      </c>
      <c r="AW904" s="68" t="str">
        <f ca="1">IF(NOTA[[#This Row],[NB NOTA_C_QTY]]="","",ROW()-2)</f>
        <v/>
      </c>
    </row>
    <row r="905" spans="1:49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5" s="66" t="str">
        <f>IF(OR(NOTA[[#This Row],[QTY]]="",NOTA[[#This Row],[HARGA SATUAN]]="",),"",NOTA[[#This Row],[QTY]]*NOTA[[#This Row],[HARGA SATUAN]])</f>
        <v/>
      </c>
      <c r="AH905" s="60" t="str">
        <f ca="1">IF(NOTA[ID_H]="","",INDEX(NOTA[TANGGAL],MATCH(,INDIRECT(ADDRESS(ROW(NOTA[TANGGAL]),COLUMN(NOTA[TANGGAL]))&amp;":"&amp;ADDRESS(ROW(),COLUMN(NOTA[TANGGAL]))),-1)))</f>
        <v/>
      </c>
      <c r="AI905" s="55" t="str">
        <f ca="1">IF(NOTA[[#This Row],[NAMA BARANG]]="","",INDEX(NOTA[SUPPLIER],MATCH(,INDIRECT(ADDRESS(ROW(NOTA[ID]),COLUMN(NOTA[ID]))&amp;":"&amp;ADDRESS(ROW(),COLUMN(NOTA[ID]))),-1)))</f>
        <v/>
      </c>
      <c r="AJ905" s="55" t="str">
        <f ca="1">IF(NOTA[[#This Row],[ID_H]]="","",IF(NOTA[[#This Row],[FAKTUR]]="",INDIRECT(ADDRESS(ROW()-1,COLUMN())),NOTA[[#This Row],[FAKTUR]]))</f>
        <v/>
      </c>
      <c r="AK905" s="56" t="str">
        <f ca="1">IF(NOTA[[#This Row],[ID]]="","",COUNTIF(NOTA[ID_H],NOTA[[#This Row],[ID_H]]))</f>
        <v/>
      </c>
      <c r="AL905" s="56" t="str">
        <f ca="1">IF(NOTA[[#This Row],[TGL.NOTA]]="",IF(NOTA[[#This Row],[SUPPLIER_H]]="","",AL904),MONTH(NOTA[[#This Row],[TGL.NOTA]]))</f>
        <v/>
      </c>
      <c r="AM905" s="56" t="str">
        <f>LOWER(SUBSTITUTE(SUBSTITUTE(SUBSTITUTE(SUBSTITUTE(SUBSTITUTE(SUBSTITUTE(SUBSTITUTE(SUBSTITUTE(SUBSTITUTE(NOTA[NAMA BARANG]," ",),".",""),"-",""),"(",""),")",""),",",""),"/",""),"""",""),"+",""))</f>
        <v/>
      </c>
      <c r="AN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56" t="str">
        <f>IF(NOTA[[#This Row],[CONCAT4]]="","",_xlfn.IFNA(MATCH(NOTA[[#This Row],[CONCAT4]],[2]!RAW[CONCAT_H],0),FALSE))</f>
        <v/>
      </c>
      <c r="AR905" s="56" t="str">
        <f>IF(NOTA[[#This Row],[CONCAT1]]="","",MATCH(NOTA[[#This Row],[CONCAT1]],[3]!db[NB NOTA_C],0))</f>
        <v/>
      </c>
      <c r="AS905" s="56" t="str">
        <f>IF(NOTA[[#This Row],[QTY/ CTN]]="","",TRUE)</f>
        <v/>
      </c>
      <c r="AT905" s="56" t="str">
        <f ca="1">IF(NOTA[[#This Row],[ID_H]]="","",IF(NOTA[[#This Row],[Column3]]=TRUE,NOTA[[#This Row],[QTY/ CTN]],INDEX([3]!db[QTY/ CTN],NOTA[[#This Row],[//DB]])))</f>
        <v/>
      </c>
      <c r="AU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5" s="56" t="str">
        <f ca="1">IF(NOTA[[#This Row],[ID_H]]="","",MATCH(NOTA[[#This Row],[NB NOTA_C_QTY]],[4]!db[NB NOTA_C_QTY+F],0))</f>
        <v/>
      </c>
      <c r="AW905" s="68" t="str">
        <f ca="1">IF(NOTA[[#This Row],[NB NOTA_C_QTY]]="","",ROW()-2)</f>
        <v/>
      </c>
    </row>
    <row r="906" spans="1:49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6" s="66" t="str">
        <f>IF(OR(NOTA[[#This Row],[QTY]]="",NOTA[[#This Row],[HARGA SATUAN]]="",),"",NOTA[[#This Row],[QTY]]*NOTA[[#This Row],[HARGA SATUAN]])</f>
        <v/>
      </c>
      <c r="AH906" s="60" t="str">
        <f ca="1">IF(NOTA[ID_H]="","",INDEX(NOTA[TANGGAL],MATCH(,INDIRECT(ADDRESS(ROW(NOTA[TANGGAL]),COLUMN(NOTA[TANGGAL]))&amp;":"&amp;ADDRESS(ROW(),COLUMN(NOTA[TANGGAL]))),-1)))</f>
        <v/>
      </c>
      <c r="AI906" s="55" t="str">
        <f ca="1">IF(NOTA[[#This Row],[NAMA BARANG]]="","",INDEX(NOTA[SUPPLIER],MATCH(,INDIRECT(ADDRESS(ROW(NOTA[ID]),COLUMN(NOTA[ID]))&amp;":"&amp;ADDRESS(ROW(),COLUMN(NOTA[ID]))),-1)))</f>
        <v/>
      </c>
      <c r="AJ906" s="55" t="str">
        <f ca="1">IF(NOTA[[#This Row],[ID_H]]="","",IF(NOTA[[#This Row],[FAKTUR]]="",INDIRECT(ADDRESS(ROW()-1,COLUMN())),NOTA[[#This Row],[FAKTUR]]))</f>
        <v/>
      </c>
      <c r="AK906" s="56" t="str">
        <f ca="1">IF(NOTA[[#This Row],[ID]]="","",COUNTIF(NOTA[ID_H],NOTA[[#This Row],[ID_H]]))</f>
        <v/>
      </c>
      <c r="AL906" s="56" t="str">
        <f ca="1">IF(NOTA[[#This Row],[TGL.NOTA]]="",IF(NOTA[[#This Row],[SUPPLIER_H]]="","",AL905),MONTH(NOTA[[#This Row],[TGL.NOTA]]))</f>
        <v/>
      </c>
      <c r="AM906" s="56" t="str">
        <f>LOWER(SUBSTITUTE(SUBSTITUTE(SUBSTITUTE(SUBSTITUTE(SUBSTITUTE(SUBSTITUTE(SUBSTITUTE(SUBSTITUTE(SUBSTITUTE(NOTA[NAMA BARANG]," ",),".",""),"-",""),"(",""),")",""),",",""),"/",""),"""",""),"+",""))</f>
        <v/>
      </c>
      <c r="AN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56" t="str">
        <f>IF(NOTA[[#This Row],[CONCAT4]]="","",_xlfn.IFNA(MATCH(NOTA[[#This Row],[CONCAT4]],[2]!RAW[CONCAT_H],0),FALSE))</f>
        <v/>
      </c>
      <c r="AR906" s="56" t="str">
        <f>IF(NOTA[[#This Row],[CONCAT1]]="","",MATCH(NOTA[[#This Row],[CONCAT1]],[3]!db[NB NOTA_C],0))</f>
        <v/>
      </c>
      <c r="AS906" s="56" t="str">
        <f>IF(NOTA[[#This Row],[QTY/ CTN]]="","",TRUE)</f>
        <v/>
      </c>
      <c r="AT906" s="56" t="str">
        <f ca="1">IF(NOTA[[#This Row],[ID_H]]="","",IF(NOTA[[#This Row],[Column3]]=TRUE,NOTA[[#This Row],[QTY/ CTN]],INDEX([3]!db[QTY/ CTN],NOTA[[#This Row],[//DB]])))</f>
        <v/>
      </c>
      <c r="AU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6" s="56" t="str">
        <f ca="1">IF(NOTA[[#This Row],[ID_H]]="","",MATCH(NOTA[[#This Row],[NB NOTA_C_QTY]],[4]!db[NB NOTA_C_QTY+F],0))</f>
        <v/>
      </c>
      <c r="AW906" s="68" t="str">
        <f ca="1">IF(NOTA[[#This Row],[NB NOTA_C_QTY]]="","",ROW()-2)</f>
        <v/>
      </c>
    </row>
    <row r="907" spans="1:49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7" s="66" t="str">
        <f>IF(OR(NOTA[[#This Row],[QTY]]="",NOTA[[#This Row],[HARGA SATUAN]]="",),"",NOTA[[#This Row],[QTY]]*NOTA[[#This Row],[HARGA SATUAN]])</f>
        <v/>
      </c>
      <c r="AH907" s="60" t="str">
        <f ca="1">IF(NOTA[ID_H]="","",INDEX(NOTA[TANGGAL],MATCH(,INDIRECT(ADDRESS(ROW(NOTA[TANGGAL]),COLUMN(NOTA[TANGGAL]))&amp;":"&amp;ADDRESS(ROW(),COLUMN(NOTA[TANGGAL]))),-1)))</f>
        <v/>
      </c>
      <c r="AI907" s="55" t="str">
        <f ca="1">IF(NOTA[[#This Row],[NAMA BARANG]]="","",INDEX(NOTA[SUPPLIER],MATCH(,INDIRECT(ADDRESS(ROW(NOTA[ID]),COLUMN(NOTA[ID]))&amp;":"&amp;ADDRESS(ROW(),COLUMN(NOTA[ID]))),-1)))</f>
        <v/>
      </c>
      <c r="AJ907" s="55" t="str">
        <f ca="1">IF(NOTA[[#This Row],[ID_H]]="","",IF(NOTA[[#This Row],[FAKTUR]]="",INDIRECT(ADDRESS(ROW()-1,COLUMN())),NOTA[[#This Row],[FAKTUR]]))</f>
        <v/>
      </c>
      <c r="AK907" s="56" t="str">
        <f ca="1">IF(NOTA[[#This Row],[ID]]="","",COUNTIF(NOTA[ID_H],NOTA[[#This Row],[ID_H]]))</f>
        <v/>
      </c>
      <c r="AL907" s="56" t="str">
        <f ca="1">IF(NOTA[[#This Row],[TGL.NOTA]]="",IF(NOTA[[#This Row],[SUPPLIER_H]]="","",AL906),MONTH(NOTA[[#This Row],[TGL.NOTA]]))</f>
        <v/>
      </c>
      <c r="AM907" s="56" t="str">
        <f>LOWER(SUBSTITUTE(SUBSTITUTE(SUBSTITUTE(SUBSTITUTE(SUBSTITUTE(SUBSTITUTE(SUBSTITUTE(SUBSTITUTE(SUBSTITUTE(NOTA[NAMA BARANG]," ",),".",""),"-",""),"(",""),")",""),",",""),"/",""),"""",""),"+",""))</f>
        <v/>
      </c>
      <c r="AN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56" t="str">
        <f>IF(NOTA[[#This Row],[CONCAT4]]="","",_xlfn.IFNA(MATCH(NOTA[[#This Row],[CONCAT4]],[2]!RAW[CONCAT_H],0),FALSE))</f>
        <v/>
      </c>
      <c r="AR907" s="56" t="str">
        <f>IF(NOTA[[#This Row],[CONCAT1]]="","",MATCH(NOTA[[#This Row],[CONCAT1]],[3]!db[NB NOTA_C],0))</f>
        <v/>
      </c>
      <c r="AS907" s="56" t="str">
        <f>IF(NOTA[[#This Row],[QTY/ CTN]]="","",TRUE)</f>
        <v/>
      </c>
      <c r="AT907" s="56" t="str">
        <f ca="1">IF(NOTA[[#This Row],[ID_H]]="","",IF(NOTA[[#This Row],[Column3]]=TRUE,NOTA[[#This Row],[QTY/ CTN]],INDEX([3]!db[QTY/ CTN],NOTA[[#This Row],[//DB]])))</f>
        <v/>
      </c>
      <c r="AU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7" s="56" t="str">
        <f ca="1">IF(NOTA[[#This Row],[ID_H]]="","",MATCH(NOTA[[#This Row],[NB NOTA_C_QTY]],[4]!db[NB NOTA_C_QTY+F],0))</f>
        <v/>
      </c>
      <c r="AW907" s="68" t="str">
        <f ca="1">IF(NOTA[[#This Row],[NB NOTA_C_QTY]]="","",ROW()-2)</f>
        <v/>
      </c>
    </row>
    <row r="908" spans="1:49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8" s="66" t="str">
        <f>IF(OR(NOTA[[#This Row],[QTY]]="",NOTA[[#This Row],[HARGA SATUAN]]="",),"",NOTA[[#This Row],[QTY]]*NOTA[[#This Row],[HARGA SATUAN]])</f>
        <v/>
      </c>
      <c r="AH908" s="60" t="str">
        <f ca="1">IF(NOTA[ID_H]="","",INDEX(NOTA[TANGGAL],MATCH(,INDIRECT(ADDRESS(ROW(NOTA[TANGGAL]),COLUMN(NOTA[TANGGAL]))&amp;":"&amp;ADDRESS(ROW(),COLUMN(NOTA[TANGGAL]))),-1)))</f>
        <v/>
      </c>
      <c r="AI908" s="55" t="str">
        <f ca="1">IF(NOTA[[#This Row],[NAMA BARANG]]="","",INDEX(NOTA[SUPPLIER],MATCH(,INDIRECT(ADDRESS(ROW(NOTA[ID]),COLUMN(NOTA[ID]))&amp;":"&amp;ADDRESS(ROW(),COLUMN(NOTA[ID]))),-1)))</f>
        <v/>
      </c>
      <c r="AJ908" s="55" t="str">
        <f ca="1">IF(NOTA[[#This Row],[ID_H]]="","",IF(NOTA[[#This Row],[FAKTUR]]="",INDIRECT(ADDRESS(ROW()-1,COLUMN())),NOTA[[#This Row],[FAKTUR]]))</f>
        <v/>
      </c>
      <c r="AK908" s="56" t="str">
        <f ca="1">IF(NOTA[[#This Row],[ID]]="","",COUNTIF(NOTA[ID_H],NOTA[[#This Row],[ID_H]]))</f>
        <v/>
      </c>
      <c r="AL908" s="56" t="str">
        <f ca="1">IF(NOTA[[#This Row],[TGL.NOTA]]="",IF(NOTA[[#This Row],[SUPPLIER_H]]="","",AL907),MONTH(NOTA[[#This Row],[TGL.NOTA]]))</f>
        <v/>
      </c>
      <c r="AM908" s="56" t="str">
        <f>LOWER(SUBSTITUTE(SUBSTITUTE(SUBSTITUTE(SUBSTITUTE(SUBSTITUTE(SUBSTITUTE(SUBSTITUTE(SUBSTITUTE(SUBSTITUTE(NOTA[NAMA BARANG]," ",),".",""),"-",""),"(",""),")",""),",",""),"/",""),"""",""),"+",""))</f>
        <v/>
      </c>
      <c r="AN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56" t="str">
        <f>IF(NOTA[[#This Row],[CONCAT4]]="","",_xlfn.IFNA(MATCH(NOTA[[#This Row],[CONCAT4]],[2]!RAW[CONCAT_H],0),FALSE))</f>
        <v/>
      </c>
      <c r="AR908" s="56" t="str">
        <f>IF(NOTA[[#This Row],[CONCAT1]]="","",MATCH(NOTA[[#This Row],[CONCAT1]],[3]!db[NB NOTA_C],0))</f>
        <v/>
      </c>
      <c r="AS908" s="56" t="str">
        <f>IF(NOTA[[#This Row],[QTY/ CTN]]="","",TRUE)</f>
        <v/>
      </c>
      <c r="AT908" s="56" t="str">
        <f ca="1">IF(NOTA[[#This Row],[ID_H]]="","",IF(NOTA[[#This Row],[Column3]]=TRUE,NOTA[[#This Row],[QTY/ CTN]],INDEX([3]!db[QTY/ CTN],NOTA[[#This Row],[//DB]])))</f>
        <v/>
      </c>
      <c r="AU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8" s="56" t="str">
        <f ca="1">IF(NOTA[[#This Row],[ID_H]]="","",MATCH(NOTA[[#This Row],[NB NOTA_C_QTY]],[4]!db[NB NOTA_C_QTY+F],0))</f>
        <v/>
      </c>
      <c r="AW908" s="68" t="str">
        <f ca="1">IF(NOTA[[#This Row],[NB NOTA_C_QTY]]="","",ROW()-2)</f>
        <v/>
      </c>
    </row>
    <row r="909" spans="1:49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09" s="66" t="str">
        <f>IF(OR(NOTA[[#This Row],[QTY]]="",NOTA[[#This Row],[HARGA SATUAN]]="",),"",NOTA[[#This Row],[QTY]]*NOTA[[#This Row],[HARGA SATUAN]])</f>
        <v/>
      </c>
      <c r="AH909" s="60" t="str">
        <f ca="1">IF(NOTA[ID_H]="","",INDEX(NOTA[TANGGAL],MATCH(,INDIRECT(ADDRESS(ROW(NOTA[TANGGAL]),COLUMN(NOTA[TANGGAL]))&amp;":"&amp;ADDRESS(ROW(),COLUMN(NOTA[TANGGAL]))),-1)))</f>
        <v/>
      </c>
      <c r="AI909" s="55" t="str">
        <f ca="1">IF(NOTA[[#This Row],[NAMA BARANG]]="","",INDEX(NOTA[SUPPLIER],MATCH(,INDIRECT(ADDRESS(ROW(NOTA[ID]),COLUMN(NOTA[ID]))&amp;":"&amp;ADDRESS(ROW(),COLUMN(NOTA[ID]))),-1)))</f>
        <v/>
      </c>
      <c r="AJ909" s="55" t="str">
        <f ca="1">IF(NOTA[[#This Row],[ID_H]]="","",IF(NOTA[[#This Row],[FAKTUR]]="",INDIRECT(ADDRESS(ROW()-1,COLUMN())),NOTA[[#This Row],[FAKTUR]]))</f>
        <v/>
      </c>
      <c r="AK909" s="56" t="str">
        <f ca="1">IF(NOTA[[#This Row],[ID]]="","",COUNTIF(NOTA[ID_H],NOTA[[#This Row],[ID_H]]))</f>
        <v/>
      </c>
      <c r="AL909" s="56" t="str">
        <f ca="1">IF(NOTA[[#This Row],[TGL.NOTA]]="",IF(NOTA[[#This Row],[SUPPLIER_H]]="","",AL908),MONTH(NOTA[[#This Row],[TGL.NOTA]]))</f>
        <v/>
      </c>
      <c r="AM909" s="56" t="str">
        <f>LOWER(SUBSTITUTE(SUBSTITUTE(SUBSTITUTE(SUBSTITUTE(SUBSTITUTE(SUBSTITUTE(SUBSTITUTE(SUBSTITUTE(SUBSTITUTE(NOTA[NAMA BARANG]," ",),".",""),"-",""),"(",""),")",""),",",""),"/",""),"""",""),"+",""))</f>
        <v/>
      </c>
      <c r="AN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56" t="str">
        <f>IF(NOTA[[#This Row],[CONCAT4]]="","",_xlfn.IFNA(MATCH(NOTA[[#This Row],[CONCAT4]],[2]!RAW[CONCAT_H],0),FALSE))</f>
        <v/>
      </c>
      <c r="AR909" s="56" t="str">
        <f>IF(NOTA[[#This Row],[CONCAT1]]="","",MATCH(NOTA[[#This Row],[CONCAT1]],[3]!db[NB NOTA_C],0))</f>
        <v/>
      </c>
      <c r="AS909" s="56" t="str">
        <f>IF(NOTA[[#This Row],[QTY/ CTN]]="","",TRUE)</f>
        <v/>
      </c>
      <c r="AT909" s="56" t="str">
        <f ca="1">IF(NOTA[[#This Row],[ID_H]]="","",IF(NOTA[[#This Row],[Column3]]=TRUE,NOTA[[#This Row],[QTY/ CTN]],INDEX([3]!db[QTY/ CTN],NOTA[[#This Row],[//DB]])))</f>
        <v/>
      </c>
      <c r="AU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9" s="56" t="str">
        <f ca="1">IF(NOTA[[#This Row],[ID_H]]="","",MATCH(NOTA[[#This Row],[NB NOTA_C_QTY]],[4]!db[NB NOTA_C_QTY+F],0))</f>
        <v/>
      </c>
      <c r="AW909" s="68" t="str">
        <f ca="1">IF(NOTA[[#This Row],[NB NOTA_C_QTY]]="","",ROW()-2)</f>
        <v/>
      </c>
    </row>
    <row r="910" spans="1:49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0" s="66" t="str">
        <f>IF(OR(NOTA[[#This Row],[QTY]]="",NOTA[[#This Row],[HARGA SATUAN]]="",),"",NOTA[[#This Row],[QTY]]*NOTA[[#This Row],[HARGA SATUAN]])</f>
        <v/>
      </c>
      <c r="AH910" s="60" t="str">
        <f ca="1">IF(NOTA[ID_H]="","",INDEX(NOTA[TANGGAL],MATCH(,INDIRECT(ADDRESS(ROW(NOTA[TANGGAL]),COLUMN(NOTA[TANGGAL]))&amp;":"&amp;ADDRESS(ROW(),COLUMN(NOTA[TANGGAL]))),-1)))</f>
        <v/>
      </c>
      <c r="AI910" s="55" t="str">
        <f ca="1">IF(NOTA[[#This Row],[NAMA BARANG]]="","",INDEX(NOTA[SUPPLIER],MATCH(,INDIRECT(ADDRESS(ROW(NOTA[ID]),COLUMN(NOTA[ID]))&amp;":"&amp;ADDRESS(ROW(),COLUMN(NOTA[ID]))),-1)))</f>
        <v/>
      </c>
      <c r="AJ910" s="55" t="str">
        <f ca="1">IF(NOTA[[#This Row],[ID_H]]="","",IF(NOTA[[#This Row],[FAKTUR]]="",INDIRECT(ADDRESS(ROW()-1,COLUMN())),NOTA[[#This Row],[FAKTUR]]))</f>
        <v/>
      </c>
      <c r="AK910" s="56" t="str">
        <f ca="1">IF(NOTA[[#This Row],[ID]]="","",COUNTIF(NOTA[ID_H],NOTA[[#This Row],[ID_H]]))</f>
        <v/>
      </c>
      <c r="AL910" s="56" t="str">
        <f ca="1">IF(NOTA[[#This Row],[TGL.NOTA]]="",IF(NOTA[[#This Row],[SUPPLIER_H]]="","",AL909),MONTH(NOTA[[#This Row],[TGL.NOTA]]))</f>
        <v/>
      </c>
      <c r="AM910" s="56" t="str">
        <f>LOWER(SUBSTITUTE(SUBSTITUTE(SUBSTITUTE(SUBSTITUTE(SUBSTITUTE(SUBSTITUTE(SUBSTITUTE(SUBSTITUTE(SUBSTITUTE(NOTA[NAMA BARANG]," ",),".",""),"-",""),"(",""),")",""),",",""),"/",""),"""",""),"+",""))</f>
        <v/>
      </c>
      <c r="AN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56" t="str">
        <f>IF(NOTA[[#This Row],[CONCAT4]]="","",_xlfn.IFNA(MATCH(NOTA[[#This Row],[CONCAT4]],[2]!RAW[CONCAT_H],0),FALSE))</f>
        <v/>
      </c>
      <c r="AR910" s="56" t="str">
        <f>IF(NOTA[[#This Row],[CONCAT1]]="","",MATCH(NOTA[[#This Row],[CONCAT1]],[3]!db[NB NOTA_C],0))</f>
        <v/>
      </c>
      <c r="AS910" s="56" t="str">
        <f>IF(NOTA[[#This Row],[QTY/ CTN]]="","",TRUE)</f>
        <v/>
      </c>
      <c r="AT910" s="56" t="str">
        <f ca="1">IF(NOTA[[#This Row],[ID_H]]="","",IF(NOTA[[#This Row],[Column3]]=TRUE,NOTA[[#This Row],[QTY/ CTN]],INDEX([3]!db[QTY/ CTN],NOTA[[#This Row],[//DB]])))</f>
        <v/>
      </c>
      <c r="AU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0" s="56" t="str">
        <f ca="1">IF(NOTA[[#This Row],[ID_H]]="","",MATCH(NOTA[[#This Row],[NB NOTA_C_QTY]],[4]!db[NB NOTA_C_QTY+F],0))</f>
        <v/>
      </c>
      <c r="AW910" s="68" t="str">
        <f ca="1">IF(NOTA[[#This Row],[NB NOTA_C_QTY]]="","",ROW()-2)</f>
        <v/>
      </c>
    </row>
    <row r="911" spans="1:49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1" s="66" t="str">
        <f>IF(OR(NOTA[[#This Row],[QTY]]="",NOTA[[#This Row],[HARGA SATUAN]]="",),"",NOTA[[#This Row],[QTY]]*NOTA[[#This Row],[HARGA SATUAN]])</f>
        <v/>
      </c>
      <c r="AH911" s="60" t="str">
        <f ca="1">IF(NOTA[ID_H]="","",INDEX(NOTA[TANGGAL],MATCH(,INDIRECT(ADDRESS(ROW(NOTA[TANGGAL]),COLUMN(NOTA[TANGGAL]))&amp;":"&amp;ADDRESS(ROW(),COLUMN(NOTA[TANGGAL]))),-1)))</f>
        <v/>
      </c>
      <c r="AI911" s="55" t="str">
        <f ca="1">IF(NOTA[[#This Row],[NAMA BARANG]]="","",INDEX(NOTA[SUPPLIER],MATCH(,INDIRECT(ADDRESS(ROW(NOTA[ID]),COLUMN(NOTA[ID]))&amp;":"&amp;ADDRESS(ROW(),COLUMN(NOTA[ID]))),-1)))</f>
        <v/>
      </c>
      <c r="AJ911" s="55" t="str">
        <f ca="1">IF(NOTA[[#This Row],[ID_H]]="","",IF(NOTA[[#This Row],[FAKTUR]]="",INDIRECT(ADDRESS(ROW()-1,COLUMN())),NOTA[[#This Row],[FAKTUR]]))</f>
        <v/>
      </c>
      <c r="AK911" s="56" t="str">
        <f ca="1">IF(NOTA[[#This Row],[ID]]="","",COUNTIF(NOTA[ID_H],NOTA[[#This Row],[ID_H]]))</f>
        <v/>
      </c>
      <c r="AL911" s="56" t="str">
        <f ca="1">IF(NOTA[[#This Row],[TGL.NOTA]]="",IF(NOTA[[#This Row],[SUPPLIER_H]]="","",AL910),MONTH(NOTA[[#This Row],[TGL.NOTA]]))</f>
        <v/>
      </c>
      <c r="AM911" s="56" t="str">
        <f>LOWER(SUBSTITUTE(SUBSTITUTE(SUBSTITUTE(SUBSTITUTE(SUBSTITUTE(SUBSTITUTE(SUBSTITUTE(SUBSTITUTE(SUBSTITUTE(NOTA[NAMA BARANG]," ",),".",""),"-",""),"(",""),")",""),",",""),"/",""),"""",""),"+",""))</f>
        <v/>
      </c>
      <c r="AN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56" t="str">
        <f>IF(NOTA[[#This Row],[CONCAT4]]="","",_xlfn.IFNA(MATCH(NOTA[[#This Row],[CONCAT4]],[2]!RAW[CONCAT_H],0),FALSE))</f>
        <v/>
      </c>
      <c r="AR911" s="56" t="str">
        <f>IF(NOTA[[#This Row],[CONCAT1]]="","",MATCH(NOTA[[#This Row],[CONCAT1]],[3]!db[NB NOTA_C],0))</f>
        <v/>
      </c>
      <c r="AS911" s="56" t="str">
        <f>IF(NOTA[[#This Row],[QTY/ CTN]]="","",TRUE)</f>
        <v/>
      </c>
      <c r="AT911" s="56" t="str">
        <f ca="1">IF(NOTA[[#This Row],[ID_H]]="","",IF(NOTA[[#This Row],[Column3]]=TRUE,NOTA[[#This Row],[QTY/ CTN]],INDEX([3]!db[QTY/ CTN],NOTA[[#This Row],[//DB]])))</f>
        <v/>
      </c>
      <c r="AU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1" s="56" t="str">
        <f ca="1">IF(NOTA[[#This Row],[ID_H]]="","",MATCH(NOTA[[#This Row],[NB NOTA_C_QTY]],[4]!db[NB NOTA_C_QTY+F],0))</f>
        <v/>
      </c>
      <c r="AW911" s="68" t="str">
        <f ca="1">IF(NOTA[[#This Row],[NB NOTA_C_QTY]]="","",ROW()-2)</f>
        <v/>
      </c>
    </row>
    <row r="912" spans="1:49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2" s="66" t="str">
        <f>IF(OR(NOTA[[#This Row],[QTY]]="",NOTA[[#This Row],[HARGA SATUAN]]="",),"",NOTA[[#This Row],[QTY]]*NOTA[[#This Row],[HARGA SATUAN]])</f>
        <v/>
      </c>
      <c r="AH912" s="60" t="str">
        <f ca="1">IF(NOTA[ID_H]="","",INDEX(NOTA[TANGGAL],MATCH(,INDIRECT(ADDRESS(ROW(NOTA[TANGGAL]),COLUMN(NOTA[TANGGAL]))&amp;":"&amp;ADDRESS(ROW(),COLUMN(NOTA[TANGGAL]))),-1)))</f>
        <v/>
      </c>
      <c r="AI912" s="55" t="str">
        <f ca="1">IF(NOTA[[#This Row],[NAMA BARANG]]="","",INDEX(NOTA[SUPPLIER],MATCH(,INDIRECT(ADDRESS(ROW(NOTA[ID]),COLUMN(NOTA[ID]))&amp;":"&amp;ADDRESS(ROW(),COLUMN(NOTA[ID]))),-1)))</f>
        <v/>
      </c>
      <c r="AJ912" s="55" t="str">
        <f ca="1">IF(NOTA[[#This Row],[ID_H]]="","",IF(NOTA[[#This Row],[FAKTUR]]="",INDIRECT(ADDRESS(ROW()-1,COLUMN())),NOTA[[#This Row],[FAKTUR]]))</f>
        <v/>
      </c>
      <c r="AK912" s="56" t="str">
        <f ca="1">IF(NOTA[[#This Row],[ID]]="","",COUNTIF(NOTA[ID_H],NOTA[[#This Row],[ID_H]]))</f>
        <v/>
      </c>
      <c r="AL912" s="56" t="str">
        <f ca="1">IF(NOTA[[#This Row],[TGL.NOTA]]="",IF(NOTA[[#This Row],[SUPPLIER_H]]="","",AL911),MONTH(NOTA[[#This Row],[TGL.NOTA]]))</f>
        <v/>
      </c>
      <c r="AM912" s="56" t="str">
        <f>LOWER(SUBSTITUTE(SUBSTITUTE(SUBSTITUTE(SUBSTITUTE(SUBSTITUTE(SUBSTITUTE(SUBSTITUTE(SUBSTITUTE(SUBSTITUTE(NOTA[NAMA BARANG]," ",),".",""),"-",""),"(",""),")",""),",",""),"/",""),"""",""),"+",""))</f>
        <v/>
      </c>
      <c r="AN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56" t="str">
        <f>IF(NOTA[[#This Row],[CONCAT4]]="","",_xlfn.IFNA(MATCH(NOTA[[#This Row],[CONCAT4]],[2]!RAW[CONCAT_H],0),FALSE))</f>
        <v/>
      </c>
      <c r="AR912" s="56" t="str">
        <f>IF(NOTA[[#This Row],[CONCAT1]]="","",MATCH(NOTA[[#This Row],[CONCAT1]],[3]!db[NB NOTA_C],0))</f>
        <v/>
      </c>
      <c r="AS912" s="56" t="str">
        <f>IF(NOTA[[#This Row],[QTY/ CTN]]="","",TRUE)</f>
        <v/>
      </c>
      <c r="AT912" s="56" t="str">
        <f ca="1">IF(NOTA[[#This Row],[ID_H]]="","",IF(NOTA[[#This Row],[Column3]]=TRUE,NOTA[[#This Row],[QTY/ CTN]],INDEX([3]!db[QTY/ CTN],NOTA[[#This Row],[//DB]])))</f>
        <v/>
      </c>
      <c r="AU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2" s="56" t="str">
        <f ca="1">IF(NOTA[[#This Row],[ID_H]]="","",MATCH(NOTA[[#This Row],[NB NOTA_C_QTY]],[4]!db[NB NOTA_C_QTY+F],0))</f>
        <v/>
      </c>
      <c r="AW912" s="68" t="str">
        <f ca="1">IF(NOTA[[#This Row],[NB NOTA_C_QTY]]="","",ROW()-2)</f>
        <v/>
      </c>
    </row>
    <row r="913" spans="1:49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3" s="66" t="str">
        <f>IF(OR(NOTA[[#This Row],[QTY]]="",NOTA[[#This Row],[HARGA SATUAN]]="",),"",NOTA[[#This Row],[QTY]]*NOTA[[#This Row],[HARGA SATUAN]])</f>
        <v/>
      </c>
      <c r="AH913" s="60" t="str">
        <f ca="1">IF(NOTA[ID_H]="","",INDEX(NOTA[TANGGAL],MATCH(,INDIRECT(ADDRESS(ROW(NOTA[TANGGAL]),COLUMN(NOTA[TANGGAL]))&amp;":"&amp;ADDRESS(ROW(),COLUMN(NOTA[TANGGAL]))),-1)))</f>
        <v/>
      </c>
      <c r="AI913" s="55" t="str">
        <f ca="1">IF(NOTA[[#This Row],[NAMA BARANG]]="","",INDEX(NOTA[SUPPLIER],MATCH(,INDIRECT(ADDRESS(ROW(NOTA[ID]),COLUMN(NOTA[ID]))&amp;":"&amp;ADDRESS(ROW(),COLUMN(NOTA[ID]))),-1)))</f>
        <v/>
      </c>
      <c r="AJ913" s="55" t="str">
        <f ca="1">IF(NOTA[[#This Row],[ID_H]]="","",IF(NOTA[[#This Row],[FAKTUR]]="",INDIRECT(ADDRESS(ROW()-1,COLUMN())),NOTA[[#This Row],[FAKTUR]]))</f>
        <v/>
      </c>
      <c r="AK913" s="56" t="str">
        <f ca="1">IF(NOTA[[#This Row],[ID]]="","",COUNTIF(NOTA[ID_H],NOTA[[#This Row],[ID_H]]))</f>
        <v/>
      </c>
      <c r="AL913" s="56" t="str">
        <f ca="1">IF(NOTA[[#This Row],[TGL.NOTA]]="",IF(NOTA[[#This Row],[SUPPLIER_H]]="","",AL912),MONTH(NOTA[[#This Row],[TGL.NOTA]]))</f>
        <v/>
      </c>
      <c r="AM913" s="56" t="str">
        <f>LOWER(SUBSTITUTE(SUBSTITUTE(SUBSTITUTE(SUBSTITUTE(SUBSTITUTE(SUBSTITUTE(SUBSTITUTE(SUBSTITUTE(SUBSTITUTE(NOTA[NAMA BARANG]," ",),".",""),"-",""),"(",""),")",""),",",""),"/",""),"""",""),"+",""))</f>
        <v/>
      </c>
      <c r="AN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56" t="str">
        <f>IF(NOTA[[#This Row],[CONCAT4]]="","",_xlfn.IFNA(MATCH(NOTA[[#This Row],[CONCAT4]],[2]!RAW[CONCAT_H],0),FALSE))</f>
        <v/>
      </c>
      <c r="AR913" s="56" t="str">
        <f>IF(NOTA[[#This Row],[CONCAT1]]="","",MATCH(NOTA[[#This Row],[CONCAT1]],[3]!db[NB NOTA_C],0))</f>
        <v/>
      </c>
      <c r="AS913" s="56" t="str">
        <f>IF(NOTA[[#This Row],[QTY/ CTN]]="","",TRUE)</f>
        <v/>
      </c>
      <c r="AT913" s="56" t="str">
        <f ca="1">IF(NOTA[[#This Row],[ID_H]]="","",IF(NOTA[[#This Row],[Column3]]=TRUE,NOTA[[#This Row],[QTY/ CTN]],INDEX([3]!db[QTY/ CTN],NOTA[[#This Row],[//DB]])))</f>
        <v/>
      </c>
      <c r="AU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3" s="56" t="str">
        <f ca="1">IF(NOTA[[#This Row],[ID_H]]="","",MATCH(NOTA[[#This Row],[NB NOTA_C_QTY]],[4]!db[NB NOTA_C_QTY+F],0))</f>
        <v/>
      </c>
      <c r="AW913" s="68" t="str">
        <f ca="1">IF(NOTA[[#This Row],[NB NOTA_C_QTY]]="","",ROW()-2)</f>
        <v/>
      </c>
    </row>
    <row r="914" spans="1:49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4" s="66" t="str">
        <f>IF(OR(NOTA[[#This Row],[QTY]]="",NOTA[[#This Row],[HARGA SATUAN]]="",),"",NOTA[[#This Row],[QTY]]*NOTA[[#This Row],[HARGA SATUAN]])</f>
        <v/>
      </c>
      <c r="AH914" s="60" t="str">
        <f ca="1">IF(NOTA[ID_H]="","",INDEX(NOTA[TANGGAL],MATCH(,INDIRECT(ADDRESS(ROW(NOTA[TANGGAL]),COLUMN(NOTA[TANGGAL]))&amp;":"&amp;ADDRESS(ROW(),COLUMN(NOTA[TANGGAL]))),-1)))</f>
        <v/>
      </c>
      <c r="AI914" s="55" t="str">
        <f ca="1">IF(NOTA[[#This Row],[NAMA BARANG]]="","",INDEX(NOTA[SUPPLIER],MATCH(,INDIRECT(ADDRESS(ROW(NOTA[ID]),COLUMN(NOTA[ID]))&amp;":"&amp;ADDRESS(ROW(),COLUMN(NOTA[ID]))),-1)))</f>
        <v/>
      </c>
      <c r="AJ914" s="55" t="str">
        <f ca="1">IF(NOTA[[#This Row],[ID_H]]="","",IF(NOTA[[#This Row],[FAKTUR]]="",INDIRECT(ADDRESS(ROW()-1,COLUMN())),NOTA[[#This Row],[FAKTUR]]))</f>
        <v/>
      </c>
      <c r="AK914" s="56" t="str">
        <f ca="1">IF(NOTA[[#This Row],[ID]]="","",COUNTIF(NOTA[ID_H],NOTA[[#This Row],[ID_H]]))</f>
        <v/>
      </c>
      <c r="AL914" s="56" t="str">
        <f ca="1">IF(NOTA[[#This Row],[TGL.NOTA]]="",IF(NOTA[[#This Row],[SUPPLIER_H]]="","",AL913),MONTH(NOTA[[#This Row],[TGL.NOTA]]))</f>
        <v/>
      </c>
      <c r="AM914" s="56" t="str">
        <f>LOWER(SUBSTITUTE(SUBSTITUTE(SUBSTITUTE(SUBSTITUTE(SUBSTITUTE(SUBSTITUTE(SUBSTITUTE(SUBSTITUTE(SUBSTITUTE(NOTA[NAMA BARANG]," ",),".",""),"-",""),"(",""),")",""),",",""),"/",""),"""",""),"+",""))</f>
        <v/>
      </c>
      <c r="AN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4" s="56" t="str">
        <f>IF(NOTA[[#This Row],[CONCAT4]]="","",_xlfn.IFNA(MATCH(NOTA[[#This Row],[CONCAT4]],[2]!RAW[CONCAT_H],0),FALSE))</f>
        <v/>
      </c>
      <c r="AR914" s="56" t="str">
        <f>IF(NOTA[[#This Row],[CONCAT1]]="","",MATCH(NOTA[[#This Row],[CONCAT1]],[3]!db[NB NOTA_C],0))</f>
        <v/>
      </c>
      <c r="AS914" s="56" t="str">
        <f>IF(NOTA[[#This Row],[QTY/ CTN]]="","",TRUE)</f>
        <v/>
      </c>
      <c r="AT914" s="56" t="str">
        <f ca="1">IF(NOTA[[#This Row],[ID_H]]="","",IF(NOTA[[#This Row],[Column3]]=TRUE,NOTA[[#This Row],[QTY/ CTN]],INDEX([3]!db[QTY/ CTN],NOTA[[#This Row],[//DB]])))</f>
        <v/>
      </c>
      <c r="AU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4" s="56" t="str">
        <f ca="1">IF(NOTA[[#This Row],[ID_H]]="","",MATCH(NOTA[[#This Row],[NB NOTA_C_QTY]],[4]!db[NB NOTA_C_QTY+F],0))</f>
        <v/>
      </c>
      <c r="AW914" s="68" t="str">
        <f ca="1">IF(NOTA[[#This Row],[NB NOTA_C_QTY]]="","",ROW()-2)</f>
        <v/>
      </c>
    </row>
    <row r="915" spans="1:49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5" s="66" t="str">
        <f>IF(OR(NOTA[[#This Row],[QTY]]="",NOTA[[#This Row],[HARGA SATUAN]]="",),"",NOTA[[#This Row],[QTY]]*NOTA[[#This Row],[HARGA SATUAN]])</f>
        <v/>
      </c>
      <c r="AH915" s="60" t="str">
        <f ca="1">IF(NOTA[ID_H]="","",INDEX(NOTA[TANGGAL],MATCH(,INDIRECT(ADDRESS(ROW(NOTA[TANGGAL]),COLUMN(NOTA[TANGGAL]))&amp;":"&amp;ADDRESS(ROW(),COLUMN(NOTA[TANGGAL]))),-1)))</f>
        <v/>
      </c>
      <c r="AI915" s="55" t="str">
        <f ca="1">IF(NOTA[[#This Row],[NAMA BARANG]]="","",INDEX(NOTA[SUPPLIER],MATCH(,INDIRECT(ADDRESS(ROW(NOTA[ID]),COLUMN(NOTA[ID]))&amp;":"&amp;ADDRESS(ROW(),COLUMN(NOTA[ID]))),-1)))</f>
        <v/>
      </c>
      <c r="AJ915" s="55" t="str">
        <f ca="1">IF(NOTA[[#This Row],[ID_H]]="","",IF(NOTA[[#This Row],[FAKTUR]]="",INDIRECT(ADDRESS(ROW()-1,COLUMN())),NOTA[[#This Row],[FAKTUR]]))</f>
        <v/>
      </c>
      <c r="AK915" s="56" t="str">
        <f ca="1">IF(NOTA[[#This Row],[ID]]="","",COUNTIF(NOTA[ID_H],NOTA[[#This Row],[ID_H]]))</f>
        <v/>
      </c>
      <c r="AL915" s="56" t="str">
        <f ca="1">IF(NOTA[[#This Row],[TGL.NOTA]]="",IF(NOTA[[#This Row],[SUPPLIER_H]]="","",AL914),MONTH(NOTA[[#This Row],[TGL.NOTA]]))</f>
        <v/>
      </c>
      <c r="AM915" s="56" t="str">
        <f>LOWER(SUBSTITUTE(SUBSTITUTE(SUBSTITUTE(SUBSTITUTE(SUBSTITUTE(SUBSTITUTE(SUBSTITUTE(SUBSTITUTE(SUBSTITUTE(NOTA[NAMA BARANG]," ",),".",""),"-",""),"(",""),")",""),",",""),"/",""),"""",""),"+",""))</f>
        <v/>
      </c>
      <c r="AN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56" t="str">
        <f>IF(NOTA[[#This Row],[CONCAT4]]="","",_xlfn.IFNA(MATCH(NOTA[[#This Row],[CONCAT4]],[2]!RAW[CONCAT_H],0),FALSE))</f>
        <v/>
      </c>
      <c r="AR915" s="56" t="str">
        <f>IF(NOTA[[#This Row],[CONCAT1]]="","",MATCH(NOTA[[#This Row],[CONCAT1]],[3]!db[NB NOTA_C],0))</f>
        <v/>
      </c>
      <c r="AS915" s="56" t="str">
        <f>IF(NOTA[[#This Row],[QTY/ CTN]]="","",TRUE)</f>
        <v/>
      </c>
      <c r="AT915" s="56" t="str">
        <f ca="1">IF(NOTA[[#This Row],[ID_H]]="","",IF(NOTA[[#This Row],[Column3]]=TRUE,NOTA[[#This Row],[QTY/ CTN]],INDEX([3]!db[QTY/ CTN],NOTA[[#This Row],[//DB]])))</f>
        <v/>
      </c>
      <c r="AU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5" s="56" t="str">
        <f ca="1">IF(NOTA[[#This Row],[ID_H]]="","",MATCH(NOTA[[#This Row],[NB NOTA_C_QTY]],[4]!db[NB NOTA_C_QTY+F],0))</f>
        <v/>
      </c>
      <c r="AW915" s="68" t="str">
        <f ca="1">IF(NOTA[[#This Row],[NB NOTA_C_QTY]]="","",ROW()-2)</f>
        <v/>
      </c>
    </row>
    <row r="916" spans="1:49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6" s="66" t="str">
        <f>IF(OR(NOTA[[#This Row],[QTY]]="",NOTA[[#This Row],[HARGA SATUAN]]="",),"",NOTA[[#This Row],[QTY]]*NOTA[[#This Row],[HARGA SATUAN]])</f>
        <v/>
      </c>
      <c r="AH916" s="60" t="str">
        <f ca="1">IF(NOTA[ID_H]="","",INDEX(NOTA[TANGGAL],MATCH(,INDIRECT(ADDRESS(ROW(NOTA[TANGGAL]),COLUMN(NOTA[TANGGAL]))&amp;":"&amp;ADDRESS(ROW(),COLUMN(NOTA[TANGGAL]))),-1)))</f>
        <v/>
      </c>
      <c r="AI916" s="55" t="str">
        <f ca="1">IF(NOTA[[#This Row],[NAMA BARANG]]="","",INDEX(NOTA[SUPPLIER],MATCH(,INDIRECT(ADDRESS(ROW(NOTA[ID]),COLUMN(NOTA[ID]))&amp;":"&amp;ADDRESS(ROW(),COLUMN(NOTA[ID]))),-1)))</f>
        <v/>
      </c>
      <c r="AJ916" s="55" t="str">
        <f ca="1">IF(NOTA[[#This Row],[ID_H]]="","",IF(NOTA[[#This Row],[FAKTUR]]="",INDIRECT(ADDRESS(ROW()-1,COLUMN())),NOTA[[#This Row],[FAKTUR]]))</f>
        <v/>
      </c>
      <c r="AK916" s="56" t="str">
        <f ca="1">IF(NOTA[[#This Row],[ID]]="","",COUNTIF(NOTA[ID_H],NOTA[[#This Row],[ID_H]]))</f>
        <v/>
      </c>
      <c r="AL916" s="56" t="str">
        <f ca="1">IF(NOTA[[#This Row],[TGL.NOTA]]="",IF(NOTA[[#This Row],[SUPPLIER_H]]="","",AL915),MONTH(NOTA[[#This Row],[TGL.NOTA]]))</f>
        <v/>
      </c>
      <c r="AM916" s="56" t="str">
        <f>LOWER(SUBSTITUTE(SUBSTITUTE(SUBSTITUTE(SUBSTITUTE(SUBSTITUTE(SUBSTITUTE(SUBSTITUTE(SUBSTITUTE(SUBSTITUTE(NOTA[NAMA BARANG]," ",),".",""),"-",""),"(",""),")",""),",",""),"/",""),"""",""),"+",""))</f>
        <v/>
      </c>
      <c r="AN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56" t="str">
        <f>IF(NOTA[[#This Row],[CONCAT4]]="","",_xlfn.IFNA(MATCH(NOTA[[#This Row],[CONCAT4]],[2]!RAW[CONCAT_H],0),FALSE))</f>
        <v/>
      </c>
      <c r="AR916" s="56" t="str">
        <f>IF(NOTA[[#This Row],[CONCAT1]]="","",MATCH(NOTA[[#This Row],[CONCAT1]],[3]!db[NB NOTA_C],0))</f>
        <v/>
      </c>
      <c r="AS916" s="56" t="str">
        <f>IF(NOTA[[#This Row],[QTY/ CTN]]="","",TRUE)</f>
        <v/>
      </c>
      <c r="AT916" s="56" t="str">
        <f ca="1">IF(NOTA[[#This Row],[ID_H]]="","",IF(NOTA[[#This Row],[Column3]]=TRUE,NOTA[[#This Row],[QTY/ CTN]],INDEX([3]!db[QTY/ CTN],NOTA[[#This Row],[//DB]])))</f>
        <v/>
      </c>
      <c r="AU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6" s="56" t="str">
        <f ca="1">IF(NOTA[[#This Row],[ID_H]]="","",MATCH(NOTA[[#This Row],[NB NOTA_C_QTY]],[4]!db[NB NOTA_C_QTY+F],0))</f>
        <v/>
      </c>
      <c r="AW916" s="68" t="str">
        <f ca="1">IF(NOTA[[#This Row],[NB NOTA_C_QTY]]="","",ROW()-2)</f>
        <v/>
      </c>
    </row>
    <row r="917" spans="1:49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7" s="66" t="str">
        <f>IF(OR(NOTA[[#This Row],[QTY]]="",NOTA[[#This Row],[HARGA SATUAN]]="",),"",NOTA[[#This Row],[QTY]]*NOTA[[#This Row],[HARGA SATUAN]])</f>
        <v/>
      </c>
      <c r="AH917" s="60" t="str">
        <f ca="1">IF(NOTA[ID_H]="","",INDEX(NOTA[TANGGAL],MATCH(,INDIRECT(ADDRESS(ROW(NOTA[TANGGAL]),COLUMN(NOTA[TANGGAL]))&amp;":"&amp;ADDRESS(ROW(),COLUMN(NOTA[TANGGAL]))),-1)))</f>
        <v/>
      </c>
      <c r="AI917" s="55" t="str">
        <f ca="1">IF(NOTA[[#This Row],[NAMA BARANG]]="","",INDEX(NOTA[SUPPLIER],MATCH(,INDIRECT(ADDRESS(ROW(NOTA[ID]),COLUMN(NOTA[ID]))&amp;":"&amp;ADDRESS(ROW(),COLUMN(NOTA[ID]))),-1)))</f>
        <v/>
      </c>
      <c r="AJ917" s="55" t="str">
        <f ca="1">IF(NOTA[[#This Row],[ID_H]]="","",IF(NOTA[[#This Row],[FAKTUR]]="",INDIRECT(ADDRESS(ROW()-1,COLUMN())),NOTA[[#This Row],[FAKTUR]]))</f>
        <v/>
      </c>
      <c r="AK917" s="56" t="str">
        <f ca="1">IF(NOTA[[#This Row],[ID]]="","",COUNTIF(NOTA[ID_H],NOTA[[#This Row],[ID_H]]))</f>
        <v/>
      </c>
      <c r="AL917" s="56" t="str">
        <f ca="1">IF(NOTA[[#This Row],[TGL.NOTA]]="",IF(NOTA[[#This Row],[SUPPLIER_H]]="","",AL916),MONTH(NOTA[[#This Row],[TGL.NOTA]]))</f>
        <v/>
      </c>
      <c r="AM917" s="56" t="str">
        <f>LOWER(SUBSTITUTE(SUBSTITUTE(SUBSTITUTE(SUBSTITUTE(SUBSTITUTE(SUBSTITUTE(SUBSTITUTE(SUBSTITUTE(SUBSTITUTE(NOTA[NAMA BARANG]," ",),".",""),"-",""),"(",""),")",""),",",""),"/",""),"""",""),"+",""))</f>
        <v/>
      </c>
      <c r="AN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56" t="str">
        <f>IF(NOTA[[#This Row],[CONCAT4]]="","",_xlfn.IFNA(MATCH(NOTA[[#This Row],[CONCAT4]],[2]!RAW[CONCAT_H],0),FALSE))</f>
        <v/>
      </c>
      <c r="AR917" s="56" t="str">
        <f>IF(NOTA[[#This Row],[CONCAT1]]="","",MATCH(NOTA[[#This Row],[CONCAT1]],[3]!db[NB NOTA_C],0))</f>
        <v/>
      </c>
      <c r="AS917" s="56" t="str">
        <f>IF(NOTA[[#This Row],[QTY/ CTN]]="","",TRUE)</f>
        <v/>
      </c>
      <c r="AT917" s="56" t="str">
        <f ca="1">IF(NOTA[[#This Row],[ID_H]]="","",IF(NOTA[[#This Row],[Column3]]=TRUE,NOTA[[#This Row],[QTY/ CTN]],INDEX([3]!db[QTY/ CTN],NOTA[[#This Row],[//DB]])))</f>
        <v/>
      </c>
      <c r="AU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7" s="56" t="str">
        <f ca="1">IF(NOTA[[#This Row],[ID_H]]="","",MATCH(NOTA[[#This Row],[NB NOTA_C_QTY]],[4]!db[NB NOTA_C_QTY+F],0))</f>
        <v/>
      </c>
      <c r="AW917" s="68" t="str">
        <f ca="1">IF(NOTA[[#This Row],[NB NOTA_C_QTY]]="","",ROW()-2)</f>
        <v/>
      </c>
    </row>
    <row r="918" spans="1:49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8" s="66" t="str">
        <f>IF(OR(NOTA[[#This Row],[QTY]]="",NOTA[[#This Row],[HARGA SATUAN]]="",),"",NOTA[[#This Row],[QTY]]*NOTA[[#This Row],[HARGA SATUAN]])</f>
        <v/>
      </c>
      <c r="AH918" s="60" t="str">
        <f ca="1">IF(NOTA[ID_H]="","",INDEX(NOTA[TANGGAL],MATCH(,INDIRECT(ADDRESS(ROW(NOTA[TANGGAL]),COLUMN(NOTA[TANGGAL]))&amp;":"&amp;ADDRESS(ROW(),COLUMN(NOTA[TANGGAL]))),-1)))</f>
        <v/>
      </c>
      <c r="AI918" s="55" t="str">
        <f ca="1">IF(NOTA[[#This Row],[NAMA BARANG]]="","",INDEX(NOTA[SUPPLIER],MATCH(,INDIRECT(ADDRESS(ROW(NOTA[ID]),COLUMN(NOTA[ID]))&amp;":"&amp;ADDRESS(ROW(),COLUMN(NOTA[ID]))),-1)))</f>
        <v/>
      </c>
      <c r="AJ918" s="55" t="str">
        <f ca="1">IF(NOTA[[#This Row],[ID_H]]="","",IF(NOTA[[#This Row],[FAKTUR]]="",INDIRECT(ADDRESS(ROW()-1,COLUMN())),NOTA[[#This Row],[FAKTUR]]))</f>
        <v/>
      </c>
      <c r="AK918" s="56" t="str">
        <f ca="1">IF(NOTA[[#This Row],[ID]]="","",COUNTIF(NOTA[ID_H],NOTA[[#This Row],[ID_H]]))</f>
        <v/>
      </c>
      <c r="AL918" s="56" t="str">
        <f ca="1">IF(NOTA[[#This Row],[TGL.NOTA]]="",IF(NOTA[[#This Row],[SUPPLIER_H]]="","",AL917),MONTH(NOTA[[#This Row],[TGL.NOTA]]))</f>
        <v/>
      </c>
      <c r="AM918" s="56" t="str">
        <f>LOWER(SUBSTITUTE(SUBSTITUTE(SUBSTITUTE(SUBSTITUTE(SUBSTITUTE(SUBSTITUTE(SUBSTITUTE(SUBSTITUTE(SUBSTITUTE(NOTA[NAMA BARANG]," ",),".",""),"-",""),"(",""),")",""),",",""),"/",""),"""",""),"+",""))</f>
        <v/>
      </c>
      <c r="AN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56" t="str">
        <f>IF(NOTA[[#This Row],[CONCAT4]]="","",_xlfn.IFNA(MATCH(NOTA[[#This Row],[CONCAT4]],[2]!RAW[CONCAT_H],0),FALSE))</f>
        <v/>
      </c>
      <c r="AR918" s="56" t="str">
        <f>IF(NOTA[[#This Row],[CONCAT1]]="","",MATCH(NOTA[[#This Row],[CONCAT1]],[3]!db[NB NOTA_C],0))</f>
        <v/>
      </c>
      <c r="AS918" s="56" t="str">
        <f>IF(NOTA[[#This Row],[QTY/ CTN]]="","",TRUE)</f>
        <v/>
      </c>
      <c r="AT918" s="56" t="str">
        <f ca="1">IF(NOTA[[#This Row],[ID_H]]="","",IF(NOTA[[#This Row],[Column3]]=TRUE,NOTA[[#This Row],[QTY/ CTN]],INDEX([3]!db[QTY/ CTN],NOTA[[#This Row],[//DB]])))</f>
        <v/>
      </c>
      <c r="AU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8" s="56" t="str">
        <f ca="1">IF(NOTA[[#This Row],[ID_H]]="","",MATCH(NOTA[[#This Row],[NB NOTA_C_QTY]],[4]!db[NB NOTA_C_QTY+F],0))</f>
        <v/>
      </c>
      <c r="AW918" s="68" t="str">
        <f ca="1">IF(NOTA[[#This Row],[NB NOTA_C_QTY]]="","",ROW()-2)</f>
        <v/>
      </c>
    </row>
    <row r="919" spans="1:49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19" s="66" t="str">
        <f>IF(OR(NOTA[[#This Row],[QTY]]="",NOTA[[#This Row],[HARGA SATUAN]]="",),"",NOTA[[#This Row],[QTY]]*NOTA[[#This Row],[HARGA SATUAN]])</f>
        <v/>
      </c>
      <c r="AH919" s="60" t="str">
        <f ca="1">IF(NOTA[ID_H]="","",INDEX(NOTA[TANGGAL],MATCH(,INDIRECT(ADDRESS(ROW(NOTA[TANGGAL]),COLUMN(NOTA[TANGGAL]))&amp;":"&amp;ADDRESS(ROW(),COLUMN(NOTA[TANGGAL]))),-1)))</f>
        <v/>
      </c>
      <c r="AI919" s="55" t="str">
        <f ca="1">IF(NOTA[[#This Row],[NAMA BARANG]]="","",INDEX(NOTA[SUPPLIER],MATCH(,INDIRECT(ADDRESS(ROW(NOTA[ID]),COLUMN(NOTA[ID]))&amp;":"&amp;ADDRESS(ROW(),COLUMN(NOTA[ID]))),-1)))</f>
        <v/>
      </c>
      <c r="AJ919" s="55" t="str">
        <f ca="1">IF(NOTA[[#This Row],[ID_H]]="","",IF(NOTA[[#This Row],[FAKTUR]]="",INDIRECT(ADDRESS(ROW()-1,COLUMN())),NOTA[[#This Row],[FAKTUR]]))</f>
        <v/>
      </c>
      <c r="AK919" s="56" t="str">
        <f ca="1">IF(NOTA[[#This Row],[ID]]="","",COUNTIF(NOTA[ID_H],NOTA[[#This Row],[ID_H]]))</f>
        <v/>
      </c>
      <c r="AL919" s="56" t="str">
        <f ca="1">IF(NOTA[[#This Row],[TGL.NOTA]]="",IF(NOTA[[#This Row],[SUPPLIER_H]]="","",AL918),MONTH(NOTA[[#This Row],[TGL.NOTA]]))</f>
        <v/>
      </c>
      <c r="AM919" s="56" t="str">
        <f>LOWER(SUBSTITUTE(SUBSTITUTE(SUBSTITUTE(SUBSTITUTE(SUBSTITUTE(SUBSTITUTE(SUBSTITUTE(SUBSTITUTE(SUBSTITUTE(NOTA[NAMA BARANG]," ",),".",""),"-",""),"(",""),")",""),",",""),"/",""),"""",""),"+",""))</f>
        <v/>
      </c>
      <c r="AN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56" t="str">
        <f>IF(NOTA[[#This Row],[CONCAT4]]="","",_xlfn.IFNA(MATCH(NOTA[[#This Row],[CONCAT4]],[2]!RAW[CONCAT_H],0),FALSE))</f>
        <v/>
      </c>
      <c r="AR919" s="56" t="str">
        <f>IF(NOTA[[#This Row],[CONCAT1]]="","",MATCH(NOTA[[#This Row],[CONCAT1]],[3]!db[NB NOTA_C],0))</f>
        <v/>
      </c>
      <c r="AS919" s="56" t="str">
        <f>IF(NOTA[[#This Row],[QTY/ CTN]]="","",TRUE)</f>
        <v/>
      </c>
      <c r="AT919" s="56" t="str">
        <f ca="1">IF(NOTA[[#This Row],[ID_H]]="","",IF(NOTA[[#This Row],[Column3]]=TRUE,NOTA[[#This Row],[QTY/ CTN]],INDEX([3]!db[QTY/ CTN],NOTA[[#This Row],[//DB]])))</f>
        <v/>
      </c>
      <c r="AU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9" s="56" t="str">
        <f ca="1">IF(NOTA[[#This Row],[ID_H]]="","",MATCH(NOTA[[#This Row],[NB NOTA_C_QTY]],[4]!db[NB NOTA_C_QTY+F],0))</f>
        <v/>
      </c>
      <c r="AW919" s="68" t="str">
        <f ca="1">IF(NOTA[[#This Row],[NB NOTA_C_QTY]]="","",ROW()-2)</f>
        <v/>
      </c>
    </row>
    <row r="920" spans="1:49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F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G920" s="66" t="str">
        <f>IF(OR(NOTA[[#This Row],[QTY]]="",NOTA[[#This Row],[HARGA SATUAN]]="",),"",NOTA[[#This Row],[QTY]]*NOTA[[#This Row],[HARGA SATUAN]])</f>
        <v/>
      </c>
      <c r="AH920" s="60" t="str">
        <f ca="1">IF(NOTA[ID_H]="","",INDEX(NOTA[TANGGAL],MATCH(,INDIRECT(ADDRESS(ROW(NOTA[TANGGAL]),COLUMN(NOTA[TANGGAL]))&amp;":"&amp;ADDRESS(ROW(),COLUMN(NOTA[TANGGAL]))),-1)))</f>
        <v/>
      </c>
      <c r="AI920" s="55" t="str">
        <f ca="1">IF(NOTA[[#This Row],[NAMA BARANG]]="","",INDEX(NOTA[SUPPLIER],MATCH(,INDIRECT(ADDRESS(ROW(NOTA[ID]),COLUMN(NOTA[ID]))&amp;":"&amp;ADDRESS(ROW(),COLUMN(NOTA[ID]))),-1)))</f>
        <v/>
      </c>
      <c r="AJ920" s="55" t="str">
        <f ca="1">IF(NOTA[[#This Row],[ID_H]]="","",IF(NOTA[[#This Row],[FAKTUR]]="",INDIRECT(ADDRESS(ROW()-1,COLUMN())),NOTA[[#This Row],[FAKTUR]]))</f>
        <v/>
      </c>
      <c r="AK920" s="56" t="str">
        <f ca="1">IF(NOTA[[#This Row],[ID]]="","",COUNTIF(NOTA[ID_H],NOTA[[#This Row],[ID_H]]))</f>
        <v/>
      </c>
      <c r="AL920" s="56" t="str">
        <f ca="1">IF(NOTA[[#This Row],[TGL.NOTA]]="",IF(NOTA[[#This Row],[SUPPLIER_H]]="","",AL919),MONTH(NOTA[[#This Row],[TGL.NOTA]]))</f>
        <v/>
      </c>
      <c r="AM920" s="56" t="str">
        <f>LOWER(SUBSTITUTE(SUBSTITUTE(SUBSTITUTE(SUBSTITUTE(SUBSTITUTE(SUBSTITUTE(SUBSTITUTE(SUBSTITUTE(SUBSTITUTE(NOTA[NAMA BARANG]," ",),".",""),"-",""),"(",""),")",""),",",""),"/",""),"""",""),"+",""))</f>
        <v/>
      </c>
      <c r="AN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56" t="str">
        <f>IF(NOTA[[#This Row],[CONCAT4]]="","",_xlfn.IFNA(MATCH(NOTA[[#This Row],[CONCAT4]],[2]!RAW[CONCAT_H],0),FALSE))</f>
        <v/>
      </c>
      <c r="AR920" s="56" t="str">
        <f>IF(NOTA[[#This Row],[CONCAT1]]="","",MATCH(NOTA[[#This Row],[CONCAT1]],[3]!db[NB NOTA_C],0))</f>
        <v/>
      </c>
      <c r="AS920" s="56" t="str">
        <f>IF(NOTA[[#This Row],[QTY/ CTN]]="","",TRUE)</f>
        <v/>
      </c>
      <c r="AT920" s="56" t="str">
        <f ca="1">IF(NOTA[[#This Row],[ID_H]]="","",IF(NOTA[[#This Row],[Column3]]=TRUE,NOTA[[#This Row],[QTY/ CTN]],INDEX([3]!db[QTY/ CTN],NOTA[[#This Row],[//DB]])))</f>
        <v/>
      </c>
      <c r="AU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0" s="56" t="str">
        <f ca="1">IF(NOTA[[#This Row],[ID_H]]="","",MATCH(NOTA[[#This Row],[NB NOTA_C_QTY]],[4]!db[NB NOTA_C_QTY+F],0))</f>
        <v/>
      </c>
      <c r="AW920" s="68" t="str">
        <f ca="1">IF(NOTA[[#This Row],[NB NOTA_C_QTY]]="","",ROW()-2)</f>
        <v/>
      </c>
    </row>
  </sheetData>
  <conditionalFormatting sqref="B24:C1048576 B1:C21">
    <cfRule type="duplicateValues" dxfId="23" priority="1634"/>
    <cfRule type="duplicateValues" dxfId="22" priority="1635"/>
  </conditionalFormatting>
  <conditionalFormatting sqref="B24:B1048576 B1:B21">
    <cfRule type="duplicateValues" dxfId="21" priority="1640"/>
  </conditionalFormatting>
  <conditionalFormatting sqref="H598:H1048576 H34 H1:H13 H41:H596">
    <cfRule type="duplicateValues" dxfId="20" priority="1702"/>
  </conditionalFormatting>
  <conditionalFormatting sqref="H14:H21 H24:H33">
    <cfRule type="duplicateValues" dxfId="19" priority="17"/>
  </conditionalFormatting>
  <conditionalFormatting sqref="H35:H40">
    <cfRule type="duplicateValues" dxfId="18" priority="16"/>
  </conditionalFormatting>
  <conditionalFormatting sqref="L429">
    <cfRule type="duplicateValues" dxfId="17" priority="15"/>
  </conditionalFormatting>
  <conditionalFormatting sqref="L429">
    <cfRule type="duplicateValues" dxfId="16" priority="14"/>
  </conditionalFormatting>
  <conditionalFormatting sqref="L433">
    <cfRule type="duplicateValues" dxfId="15" priority="13"/>
  </conditionalFormatting>
  <conditionalFormatting sqref="L433">
    <cfRule type="duplicateValues" dxfId="14" priority="12"/>
  </conditionalFormatting>
  <conditionalFormatting sqref="L459">
    <cfRule type="duplicateValues" dxfId="13" priority="11"/>
  </conditionalFormatting>
  <conditionalFormatting sqref="L459">
    <cfRule type="duplicateValues" dxfId="12" priority="10"/>
  </conditionalFormatting>
  <conditionalFormatting sqref="L460">
    <cfRule type="duplicateValues" dxfId="11" priority="9"/>
  </conditionalFormatting>
  <conditionalFormatting sqref="L460">
    <cfRule type="duplicateValues" dxfId="10" priority="8"/>
  </conditionalFormatting>
  <conditionalFormatting sqref="L461">
    <cfRule type="duplicateValues" dxfId="9" priority="7"/>
  </conditionalFormatting>
  <conditionalFormatting sqref="L461">
    <cfRule type="duplicateValues" dxfId="8" priority="6"/>
  </conditionalFormatting>
  <conditionalFormatting sqref="B22:C23">
    <cfRule type="duplicateValues" dxfId="7" priority="1"/>
    <cfRule type="duplicateValues" dxfId="6" priority="2"/>
  </conditionalFormatting>
  <conditionalFormatting sqref="B22:B23">
    <cfRule type="duplicateValues" dxfId="5" priority="3"/>
  </conditionalFormatting>
  <conditionalFormatting sqref="H22:H23">
    <cfRule type="duplicateValues" dxfId="4" priority="4"/>
  </conditionalFormatting>
  <conditionalFormatting sqref="AQ22:AQ23">
    <cfRule type="duplicateValues" dxfId="3" priority="5"/>
  </conditionalFormatting>
  <conditionalFormatting sqref="AP3:AP21 AP24:AP920">
    <cfRule type="duplicateValues" dxfId="2" priority="1739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24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45178</v>
      </c>
      <c r="F3" s="2" t="str">
        <f ca="1">IF(MGN[[#This Row],[//PAJAK]]="","",INDEX(INDIRECT("PAJAK["&amp;MGN[#Headers]&amp;"]"),MGN[[#This Row],[//PAJAK]]-1))</f>
        <v>0709/2023</v>
      </c>
      <c r="G3" s="14" t="str">
        <f ca="1">IF(MGN[[#This Row],[//PAJAK]]="","",INDEX(INDIRECT("PAJAK["&amp;MGN[#Headers]&amp;"]"),MGN[[#This Row],[//PAJAK]]-1))</f>
        <v>L109035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EXP\BARU\2023\09 SEPTEMBER\[NOTA 09 SEPTEMBER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EXP\BARU\2023\09 SEPTEMBER\[NOTA 09 SEPTEMBER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EXP\BARU\2023\09 SEPTEMBER\[NOTA 09 SEPTEMBER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HYPERLINK("[NOTA_.xlsx]NOTA!A"&amp;MATCH(NCL[[#This Row],[ID]],NOTA[ID],0)+2,IF(NCL[[#This Row],[//PAJAK]]="","",MATCH(NCL[[#This Row],[ID]],NOTA[ID],0)+2))</f>
        <v>173</v>
      </c>
      <c r="B3" s="5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HYPERLINK("[NOTA_.xlsx]PAJAK!b"&amp;NCL[[#This Row],[//PAJAK]],IF(NCL[[#This Row],[//PAJAK]]="","",INDEX(INDIRECT("PAJAK["&amp;NCL[#Headers]&amp;"]"),NCL[[#This Row],[//PAJAK]]-1)))</f>
        <v>23</v>
      </c>
      <c r="D3" s="3" t="str">
        <f ca="1">IF(NCL[[#This Row],[//PAJAK]]="","",INDEX(INDIRECT("PAJAK["&amp;NCL[#Headers]&amp;"]"),NCL[[#This Row],[//PAJAK]]-1))</f>
        <v>NATURAL CAHAYA LESTARI</v>
      </c>
      <c r="E3" s="2">
        <f ca="1">IF(NCL[[#This Row],[//PAJAK]]="","",INDEX(INDIRECT("PAJAK["&amp;NCL[#Headers]&amp;"]"),NCL[[#This Row],[//PAJAK]]-1))</f>
        <v>45180</v>
      </c>
      <c r="F3" s="2">
        <f ca="1">IF(NCL[[#This Row],[//PAJAK]]="","",INDEX(INDIRECT("PAJAK["&amp;NCL[#Headers]&amp;"]"),NCL[[#This Row],[//PAJAK]]-1))</f>
        <v>45176</v>
      </c>
      <c r="G3" s="14" t="str">
        <f ca="1">IF(NCL[[#This Row],[//PAJAK]]="","",INDEX(INDIRECT("PAJAK["&amp;NCL[#Headers]&amp;"]"),NCL[[#This Row],[//PAJAK]]-1))</f>
        <v>NCL-R2309000010</v>
      </c>
      <c r="H3" s="3" t="str">
        <f ca="1">IF(NCL[[#This Row],[//PAJAK]]="","",INDEX(INDIRECT("PAJAK["&amp;NCL[#Headers]&amp;"]"),NCL[[#This Row],[//PAJAK]]-1))</f>
        <v/>
      </c>
      <c r="I3" s="1">
        <f ca="1">IF(NCL[[#This Row],[//PAJAK]]="","",INDEX(PAJAK[SUB T-DISC],NCL[[#This Row],[//PAJAK]]-1)*1.11)</f>
        <v>3240010.08</v>
      </c>
      <c r="J3" s="1">
        <f ca="1">IF(NCL[[#This Row],[//PAJAK]]="","",INDEX(PAJAK[DISC DLL],NCL[[#This Row],[//PAJAK]]-1))</f>
        <v>0</v>
      </c>
      <c r="K3" s="1">
        <f ca="1">(NCL[[#This Row],[SUB TOTAL]]-NCL[[#This Row],[DISKON]])/1.11</f>
        <v>2918928</v>
      </c>
      <c r="L3" s="1">
        <f ca="1">NCL[[#This Row],[DPP]]*11%</f>
        <v>321082.08</v>
      </c>
      <c r="M3" s="1">
        <f ca="1">NCL[[#This Row],[DPP]]+NCL[[#This Row],[PPN (11%)]]</f>
        <v>3240010.08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4"/>
  <sheetViews>
    <sheetView topLeftCell="A37" workbookViewId="0">
      <selection activeCell="A54" sqref="A5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118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610</v>
      </c>
      <c r="D2" t="s">
        <v>22</v>
      </c>
      <c r="E2" t="s">
        <v>59</v>
      </c>
      <c r="F2" t="s">
        <v>69</v>
      </c>
      <c r="G2">
        <f>COUNTIF(NOTA[SUPPLIER],CONV[[#This Row],[1]])</f>
        <v>26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27</v>
      </c>
    </row>
    <row r="4" spans="1:7" x14ac:dyDescent="0.25">
      <c r="A4" t="s">
        <v>34</v>
      </c>
      <c r="B4">
        <f>COUNTIF(NOTA[FAKTUR],NM_FAKTUR)</f>
        <v>59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1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1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2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1</v>
      </c>
    </row>
    <row r="13" spans="1:7" x14ac:dyDescent="0.25">
      <c r="D13" t="s">
        <v>94</v>
      </c>
      <c r="E13" t="s">
        <v>111</v>
      </c>
      <c r="F13" t="s">
        <v>94</v>
      </c>
      <c r="G13" s="3">
        <f>COUNTIF(NOTA[SUPPLIER],CONV[[#This Row],[1]])</f>
        <v>0</v>
      </c>
    </row>
    <row r="14" spans="1:7" x14ac:dyDescent="0.25">
      <c r="D14" t="s">
        <v>543</v>
      </c>
      <c r="E14" t="s">
        <v>278</v>
      </c>
      <c r="F14" t="s">
        <v>543</v>
      </c>
      <c r="G14" s="3">
        <f>COUNTIF(NOTA[SUPPLIER],CONV[[#This Row],[1]])</f>
        <v>1</v>
      </c>
    </row>
    <row r="16" spans="1:7" x14ac:dyDescent="0.25">
      <c r="A16" t="s">
        <v>706</v>
      </c>
    </row>
    <row r="17" spans="1:1" x14ac:dyDescent="0.25">
      <c r="A17" t="s">
        <v>707</v>
      </c>
    </row>
    <row r="18" spans="1:1" x14ac:dyDescent="0.25">
      <c r="A18" t="s">
        <v>708</v>
      </c>
    </row>
    <row r="19" spans="1:1" x14ac:dyDescent="0.25">
      <c r="A19" t="s">
        <v>709</v>
      </c>
    </row>
    <row r="20" spans="1:1" x14ac:dyDescent="0.25">
      <c r="A20" t="s">
        <v>710</v>
      </c>
    </row>
    <row r="21" spans="1:1" x14ac:dyDescent="0.25">
      <c r="A21" t="s">
        <v>711</v>
      </c>
    </row>
    <row r="22" spans="1:1" x14ac:dyDescent="0.25">
      <c r="A22" t="s">
        <v>712</v>
      </c>
    </row>
    <row r="23" spans="1:1" x14ac:dyDescent="0.25">
      <c r="A23" t="s">
        <v>713</v>
      </c>
    </row>
    <row r="24" spans="1:1" x14ac:dyDescent="0.25">
      <c r="A24" t="s">
        <v>714</v>
      </c>
    </row>
    <row r="25" spans="1:1" x14ac:dyDescent="0.25">
      <c r="A25" t="s">
        <v>715</v>
      </c>
    </row>
    <row r="26" spans="1:1" x14ac:dyDescent="0.25">
      <c r="A26" t="s">
        <v>716</v>
      </c>
    </row>
    <row r="27" spans="1:1" x14ac:dyDescent="0.25">
      <c r="A27" t="s">
        <v>717</v>
      </c>
    </row>
    <row r="28" spans="1:1" x14ac:dyDescent="0.25">
      <c r="A28" t="s">
        <v>718</v>
      </c>
    </row>
    <row r="29" spans="1:1" x14ac:dyDescent="0.25">
      <c r="A29" t="s">
        <v>719</v>
      </c>
    </row>
    <row r="30" spans="1:1" x14ac:dyDescent="0.25">
      <c r="A30" t="s">
        <v>720</v>
      </c>
    </row>
    <row r="31" spans="1:1" x14ac:dyDescent="0.25">
      <c r="A31" t="s">
        <v>721</v>
      </c>
    </row>
    <row r="32" spans="1:1" x14ac:dyDescent="0.25">
      <c r="A32" t="s">
        <v>569</v>
      </c>
    </row>
    <row r="33" spans="1:1" x14ac:dyDescent="0.25">
      <c r="A33" t="s">
        <v>722</v>
      </c>
    </row>
    <row r="34" spans="1:1" x14ac:dyDescent="0.25">
      <c r="A34" t="s">
        <v>723</v>
      </c>
    </row>
    <row r="35" spans="1:1" x14ac:dyDescent="0.25">
      <c r="A35" t="s">
        <v>724</v>
      </c>
    </row>
    <row r="36" spans="1:1" x14ac:dyDescent="0.25">
      <c r="A36" t="s">
        <v>725</v>
      </c>
    </row>
    <row r="37" spans="1:1" x14ac:dyDescent="0.25">
      <c r="A37" t="s">
        <v>722</v>
      </c>
    </row>
    <row r="38" spans="1:1" x14ac:dyDescent="0.25">
      <c r="A38" t="s">
        <v>723</v>
      </c>
    </row>
    <row r="39" spans="1:1" x14ac:dyDescent="0.25">
      <c r="A39" t="s">
        <v>726</v>
      </c>
    </row>
    <row r="40" spans="1:1" x14ac:dyDescent="0.25">
      <c r="A40" t="s">
        <v>727</v>
      </c>
    </row>
    <row r="41" spans="1:1" x14ac:dyDescent="0.25">
      <c r="A41" t="s">
        <v>728</v>
      </c>
    </row>
    <row r="42" spans="1:1" x14ac:dyDescent="0.25">
      <c r="A42" t="s">
        <v>729</v>
      </c>
    </row>
    <row r="43" spans="1:1" x14ac:dyDescent="0.25">
      <c r="A43" t="s">
        <v>730</v>
      </c>
    </row>
    <row r="44" spans="1:1" x14ac:dyDescent="0.25">
      <c r="A44" t="s">
        <v>572</v>
      </c>
    </row>
    <row r="45" spans="1:1" x14ac:dyDescent="0.25">
      <c r="A45" t="s">
        <v>731</v>
      </c>
    </row>
    <row r="46" spans="1:1" x14ac:dyDescent="0.25">
      <c r="A46" t="s">
        <v>732</v>
      </c>
    </row>
    <row r="47" spans="1:1" x14ac:dyDescent="0.25">
      <c r="A47" t="s">
        <v>733</v>
      </c>
    </row>
    <row r="48" spans="1:1" x14ac:dyDescent="0.25">
      <c r="A48" t="s">
        <v>573</v>
      </c>
    </row>
    <row r="49" spans="1:1" x14ac:dyDescent="0.25">
      <c r="A49" t="s">
        <v>731</v>
      </c>
    </row>
    <row r="50" spans="1:1" x14ac:dyDescent="0.25">
      <c r="A50" t="s">
        <v>732</v>
      </c>
    </row>
    <row r="51" spans="1:1" x14ac:dyDescent="0.25">
      <c r="A51" t="s">
        <v>734</v>
      </c>
    </row>
    <row r="52" spans="1:1" x14ac:dyDescent="0.25">
      <c r="A52" t="s">
        <v>574</v>
      </c>
    </row>
    <row r="53" spans="1:1" x14ac:dyDescent="0.25">
      <c r="A53" t="s">
        <v>731</v>
      </c>
    </row>
    <row r="54" spans="1:1" x14ac:dyDescent="0.25">
      <c r="A54" t="s">
        <v>732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16" zoomScale="85" zoomScaleNormal="85" workbookViewId="0">
      <selection activeCell="F47" sqref="F47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KEN_3108_036-2</v>
      </c>
      <c r="D2" s="15">
        <f ca="1">MATCH(PAJAK[[#This Row],[ID]],[6]!Table1[ID],0)</f>
        <v>2</v>
      </c>
      <c r="E2" s="16">
        <f ca="1">IF(PAJAK[[#This Row],[ID]]="","",COUNTIF(NOTA[ID_H],PAJAK[[#This Row],[ID]]))</f>
        <v>2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45169</v>
      </c>
      <c r="H2" s="17">
        <f ca="1">IF(PAJAK[[#This Row],[//]]="","",INDEX(INDIRECT("NOTA["&amp;PAJAK[#Headers]&amp;"]"),PAJAK[[#This Row],[//]]-2))</f>
        <v>45170</v>
      </c>
      <c r="I2" s="16" t="str">
        <f ca="1">IF(PAJAK[[#This Row],[//]]="","",INDEX(INDIRECT("NOTA["&amp;PAJAK[#Headers]&amp;"]"),PAJAK[[#This Row],[//]]-2))</f>
        <v>23090036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14352000</v>
      </c>
      <c r="L2" s="23">
        <f ca="1">IF(PAJAK[[#This Row],[//]]="","",SUMIF(NOTA[ID_H],PAJAK[[#This Row],[ID]],NOTA[DISC]))</f>
        <v>2439840</v>
      </c>
      <c r="M2" s="23">
        <f ca="1">PAJAK[[#This Row],[SUB TOTAL]]-PAJAK[[#This Row],[DISKON]]</f>
        <v>11912160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10731675.675675675</v>
      </c>
      <c r="P2" s="23">
        <f ca="1">PAJAK[[#This Row],[DPP]]*PAJAK[[#This Row],[PPN]]</f>
        <v>1180484.3243243243</v>
      </c>
      <c r="Q2" s="23">
        <f ca="1">PAJAK[[#This Row],[DPP]]+PAJAK[[#This Row],[PPN 11%]]</f>
        <v>11912160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KEN_0509_252-6</v>
      </c>
      <c r="D3" s="19">
        <f ca="1">MATCH(PAJAK[[#This Row],[ID]],[6]!Table1[ID],0)</f>
        <v>5</v>
      </c>
      <c r="E3" s="20">
        <f ca="1">IF(PAJAK[[#This Row],[ID]]="","",COUNTIF(NOTA[ID_H],PAJAK[[#This Row],[ID]]))</f>
        <v>6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45174</v>
      </c>
      <c r="H3" s="17">
        <f ca="1">IF(PAJAK[[#This Row],[//]]="","",INDEX(INDIRECT("NOTA["&amp;PAJAK[#Headers]&amp;"]"),PAJAK[[#This Row],[//]]-2))</f>
        <v>45173</v>
      </c>
      <c r="I3" s="16" t="str">
        <f ca="1">IF(PAJAK[[#This Row],[//]]="","",INDEX(INDIRECT("NOTA["&amp;PAJAK[#Headers]&amp;"]"),PAJAK[[#This Row],[//]]-2))</f>
        <v>23090252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22416000</v>
      </c>
      <c r="L3" s="23">
        <f ca="1">IF(PAJAK[[#This Row],[//]]="","",SUMIF(NOTA[ID_H],PAJAK[[#This Row],[ID]],NOTA[DISC]))</f>
        <v>3810720</v>
      </c>
      <c r="M3" s="23">
        <f ca="1">PAJAK[[#This Row],[SUB TOTAL]]-PAJAK[[#This Row],[DISKON]]</f>
        <v>18605280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16761513.513513513</v>
      </c>
      <c r="P3" s="23">
        <f ca="1">PAJAK[[#This Row],[DPP]]*PAJAK[[#This Row],[PPN]]</f>
        <v>1843766.4864864864</v>
      </c>
      <c r="Q3" s="23">
        <f ca="1">PAJAK[[#This Row],[DPP]]+PAJAK[[#This Row],[PPN 11%]]</f>
        <v>18605280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13</v>
      </c>
      <c r="B4" s="22">
        <f ca="1">HYPERLINK("[NOTA_.XLSX]NOTA!c"&amp;PAJAK[[#This Row],[//]],IF(PAJAK[[#This Row],[//]]="","",INDEX(INDIRECT("NOTA["&amp;PAJAK[#Headers]&amp;"]"),PAJAK[[#This Row],[//]]-2)))</f>
        <v>3</v>
      </c>
      <c r="C4" s="15" t="str">
        <f ca="1">IF(PAJAK[[#This Row],[//]]="","",INDEX(INDIRECT("NOTA["&amp;PAJAK[#Headers]&amp;"]"),PAJAK[[#This Row],[//]]-2))</f>
        <v>KEN_0209_082-4</v>
      </c>
      <c r="D4" s="15">
        <f ca="1">MATCH(PAJAK[[#This Row],[ID]],[6]!Table1[ID],0)</f>
        <v>3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45171</v>
      </c>
      <c r="H4" s="17">
        <f ca="1">IF(PAJAK[[#This Row],[//]]="","",INDEX(INDIRECT("NOTA["&amp;PAJAK[#Headers]&amp;"]"),PAJAK[[#This Row],[//]]-2))</f>
        <v>45170</v>
      </c>
      <c r="I4" s="16" t="str">
        <f ca="1">IF(PAJAK[[#This Row],[//]]="","",INDEX(INDIRECT("NOTA["&amp;PAJAK[#Headers]&amp;"]"),PAJAK[[#This Row],[//]]-2))</f>
        <v>23090082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25488000</v>
      </c>
      <c r="L4" s="23">
        <f ca="1">IF(PAJAK[[#This Row],[//]]="","",SUMIF(NOTA[ID_H],PAJAK[[#This Row],[ID]],NOTA[DISC]))</f>
        <v>4332960</v>
      </c>
      <c r="M4" s="23">
        <f ca="1">PAJAK[[#This Row],[SUB TOTAL]]-PAJAK[[#This Row],[DISKON]]</f>
        <v>21155040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19058594.594594594</v>
      </c>
      <c r="P4" s="23">
        <f ca="1">PAJAK[[#This Row],[DPP]]*PAJAK[[#This Row],[PPN]]</f>
        <v>2096445.4054054054</v>
      </c>
      <c r="Q4" s="23">
        <f ca="1">PAJAK[[#This Row],[DPP]]+PAJAK[[#This Row],[PPN 11%]]</f>
        <v>21155040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18</v>
      </c>
      <c r="B5" s="21">
        <f ca="1">HYPERLINK("[NOTA_.XLSX]NOTA!c"&amp;PAJAK[[#This Row],[//]],IF(PAJAK[[#This Row],[//]]="","",INDEX(INDIRECT("NOTA["&amp;PAJAK[#Headers]&amp;"]"),PAJAK[[#This Row],[//]]-2)))</f>
        <v>4</v>
      </c>
      <c r="C5" s="19" t="str">
        <f ca="1">IF(PAJAK[[#This Row],[//]]="","",INDEX(INDIRECT("NOTA["&amp;PAJAK[#Headers]&amp;"]"),PAJAK[[#This Row],[//]]-2))</f>
        <v>KEN_0209_138-5</v>
      </c>
      <c r="D5" s="19">
        <f ca="1">MATCH(PAJAK[[#This Row],[ID]],[6]!Table1[ID],0)</f>
        <v>4</v>
      </c>
      <c r="E5" s="20">
        <f ca="1">IF(PAJAK[[#This Row],[ID]]="","",COUNTIF(NOTA[ID_H],PAJAK[[#This Row],[ID]]))</f>
        <v>5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45171</v>
      </c>
      <c r="H5" s="17">
        <f ca="1">IF(PAJAK[[#This Row],[//]]="","",INDEX(INDIRECT("NOTA["&amp;PAJAK[#Headers]&amp;"]"),PAJAK[[#This Row],[//]]-2))</f>
        <v>45170</v>
      </c>
      <c r="I5" s="16" t="str">
        <f ca="1">IF(PAJAK[[#This Row],[//]]="","",INDEX(INDIRECT("NOTA["&amp;PAJAK[#Headers]&amp;"]"),PAJAK[[#This Row],[//]]-2))</f>
        <v>23090138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17313600</v>
      </c>
      <c r="L5" s="23">
        <f ca="1">IF(PAJAK[[#This Row],[//]]="","",SUMIF(NOTA[ID_H],PAJAK[[#This Row],[ID]],NOTA[DISC]))</f>
        <v>2943312</v>
      </c>
      <c r="M5" s="23">
        <f ca="1">PAJAK[[#This Row],[SUB TOTAL]]-PAJAK[[#This Row],[DISKON]]</f>
        <v>14370288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12946205.405405404</v>
      </c>
      <c r="P5" s="23">
        <f ca="1">PAJAK[[#This Row],[DPP]]*PAJAK[[#This Row],[PPN]]</f>
        <v>1424082.5945945946</v>
      </c>
      <c r="Q5" s="23">
        <f ca="1">PAJAK[[#This Row],[DPP]]+PAJAK[[#This Row],[PPN 11%]]</f>
        <v>14370287.999999998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31</v>
      </c>
      <c r="B6" s="15">
        <f ca="1">HYPERLINK("[NOTA_.XLSX]NOTA!c"&amp;PAJAK[[#This Row],[//]],IF(PAJAK[[#This Row],[//]]="","",INDEX(INDIRECT("NOTA["&amp;PAJAK[#Headers]&amp;"]"),PAJAK[[#This Row],[//]]-2)))</f>
        <v>8</v>
      </c>
      <c r="C6" s="15" t="str">
        <f ca="1">IF(PAJAK[[#This Row],[//]]="","",INDEX(INDIRECT("NOTA["&amp;PAJAK[#Headers]&amp;"]"),PAJAK[[#This Row],[//]]-2))</f>
        <v>KEN_1109_701-10</v>
      </c>
      <c r="D6" s="15">
        <f ca="1">MATCH(PAJAK[[#This Row],[ID]],[6]!Table1[ID],0)</f>
        <v>9</v>
      </c>
      <c r="E6" s="16">
        <f ca="1">IF(PAJAK[[#This Row],[ID]]="","",COUNTIF(NOTA[ID_H],PAJAK[[#This Row],[ID]]))</f>
        <v>10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45180</v>
      </c>
      <c r="H6" s="17">
        <f ca="1">IF(PAJAK[[#This Row],[//]]="","",INDEX(INDIRECT("NOTA["&amp;PAJAK[#Headers]&amp;"]"),PAJAK[[#This Row],[//]]-2))</f>
        <v>45177</v>
      </c>
      <c r="I6" s="16" t="str">
        <f ca="1">IF(PAJAK[[#This Row],[//]]="","",INDEX(INDIRECT("NOTA["&amp;PAJAK[#Headers]&amp;"]"),PAJAK[[#This Row],[//]]-2))</f>
        <v>23090701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69846600</v>
      </c>
      <c r="L6" s="23">
        <f ca="1">IF(PAJAK[[#This Row],[//]]="","",SUMIF(NOTA[ID_H],PAJAK[[#This Row],[ID]],NOTA[DISC]))</f>
        <v>12250410</v>
      </c>
      <c r="M6" s="23">
        <f ca="1">PAJAK[[#This Row],[SUB TOTAL]]-PAJAK[[#This Row],[DISKON]]</f>
        <v>57596190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51888459.459459454</v>
      </c>
      <c r="P6" s="23">
        <f ca="1">PAJAK[[#This Row],[DPP]]*PAJAK[[#This Row],[PPN]]</f>
        <v>5707730.5405405397</v>
      </c>
      <c r="Q6" s="23">
        <f ca="1">PAJAK[[#This Row],[DPP]]+PAJAK[[#This Row],[PPN 11%]]</f>
        <v>57596189.999999993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42</v>
      </c>
      <c r="B7" s="15">
        <f ca="1">HYPERLINK("[NOTA_.XLSX]NOTA!c"&amp;PAJAK[[#This Row],[//]],IF(PAJAK[[#This Row],[//]]="","",INDEX(INDIRECT("NOTA["&amp;PAJAK[#Headers]&amp;"]"),PAJAK[[#This Row],[//]]-2)))</f>
        <v>9</v>
      </c>
      <c r="C7" s="15" t="str">
        <f ca="1">IF(PAJAK[[#This Row],[//]]="","",INDEX(INDIRECT("NOTA["&amp;PAJAK[#Headers]&amp;"]"),PAJAK[[#This Row],[//]]-2))</f>
        <v>KEN_1109_747-2</v>
      </c>
      <c r="D7" s="15">
        <f ca="1">MATCH(PAJAK[[#This Row],[ID]],[6]!Table1[ID],0)</f>
        <v>10</v>
      </c>
      <c r="E7" s="16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45180</v>
      </c>
      <c r="H7" s="17">
        <f ca="1">IF(PAJAK[[#This Row],[//]]="","",INDEX(INDIRECT("NOTA["&amp;PAJAK[#Headers]&amp;"]"),PAJAK[[#This Row],[//]]-2))</f>
        <v>45177</v>
      </c>
      <c r="I7" s="16" t="str">
        <f ca="1">IF(PAJAK[[#This Row],[//]]="","",INDEX(INDIRECT("NOTA["&amp;PAJAK[#Headers]&amp;"]"),PAJAK[[#This Row],[//]]-2))</f>
        <v>23090747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5750000</v>
      </c>
      <c r="L7" s="23">
        <f ca="1">IF(PAJAK[[#This Row],[//]]="","",SUMIF(NOTA[ID_H],PAJAK[[#This Row],[ID]],NOTA[DISC]))</f>
        <v>977500.00000000012</v>
      </c>
      <c r="M7" s="23">
        <f ca="1">PAJAK[[#This Row],[SUB TOTAL]]-PAJAK[[#This Row],[DISKON]]</f>
        <v>4772500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4299549.5495495489</v>
      </c>
      <c r="P7" s="23">
        <f ca="1">PAJAK[[#This Row],[DPP]]*PAJAK[[#This Row],[PPN]]</f>
        <v>472950.45045045036</v>
      </c>
      <c r="Q7" s="23">
        <f ca="1">PAJAK[[#This Row],[DPP]]+PAJAK[[#This Row],[PPN 11%]]</f>
        <v>4772499.9999999991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45</v>
      </c>
      <c r="B8" s="21">
        <f ca="1">HYPERLINK("[NOTA_.XLSX]NOTA!c"&amp;PAJAK[[#This Row],[//]],IF(PAJAK[[#This Row],[//]]="","",INDEX(INDIRECT("NOTA["&amp;PAJAK[#Headers]&amp;"]"),PAJAK[[#This Row],[//]]-2)))</f>
        <v>10</v>
      </c>
      <c r="C8" s="19" t="str">
        <f ca="1">IF(PAJAK[[#This Row],[//]]="","",INDEX(INDIRECT("NOTA["&amp;PAJAK[#Headers]&amp;"]"),PAJAK[[#This Row],[//]]-2))</f>
        <v>KEN_1209_817-10</v>
      </c>
      <c r="D8" s="19">
        <f ca="1">MATCH(PAJAK[[#This Row],[ID]],[6]!Table1[ID],0)</f>
        <v>11</v>
      </c>
      <c r="E8" s="20">
        <f ca="1">IF(PAJAK[[#This Row],[ID]]="","",COUNTIF(NOTA[ID_H],PAJAK[[#This Row],[ID]]))</f>
        <v>10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45181</v>
      </c>
      <c r="H8" s="17">
        <f ca="1">IF(PAJAK[[#This Row],[//]]="","",INDEX(INDIRECT("NOTA["&amp;PAJAK[#Headers]&amp;"]"),PAJAK[[#This Row],[//]]-2))</f>
        <v>45178</v>
      </c>
      <c r="I8" s="16" t="str">
        <f ca="1">IF(PAJAK[[#This Row],[//]]="","",INDEX(INDIRECT("NOTA["&amp;PAJAK[#Headers]&amp;"]"),PAJAK[[#This Row],[//]]-2))</f>
        <v>23090817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43171200</v>
      </c>
      <c r="L8" s="23">
        <f ca="1">IF(PAJAK[[#This Row],[//]]="","",SUMIF(NOTA[ID_H],PAJAK[[#This Row],[ID]],NOTA[DISC]))</f>
        <v>7339104</v>
      </c>
      <c r="M8" s="23">
        <f ca="1">PAJAK[[#This Row],[SUB TOTAL]]-PAJAK[[#This Row],[DISKON]]</f>
        <v>35832096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32281167.567567565</v>
      </c>
      <c r="P8" s="23">
        <f ca="1">PAJAK[[#This Row],[DPP]]*PAJAK[[#This Row],[PPN]]</f>
        <v>3550928.4324324322</v>
      </c>
      <c r="Q8" s="23">
        <f ca="1">PAJAK[[#This Row],[DPP]]+PAJAK[[#This Row],[PPN 11%]]</f>
        <v>35832096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56</v>
      </c>
      <c r="B9" s="21">
        <f ca="1">HYPERLINK("[NOTA_.XLSX]NOTA!c"&amp;PAJAK[[#This Row],[//]],IF(PAJAK[[#This Row],[//]]="","",INDEX(INDIRECT("NOTA["&amp;PAJAK[#Headers]&amp;"]"),PAJAK[[#This Row],[//]]-2)))</f>
        <v>11</v>
      </c>
      <c r="C9" s="19" t="str">
        <f ca="1">IF(PAJAK[[#This Row],[//]]="","",INDEX(INDIRECT("NOTA["&amp;PAJAK[#Headers]&amp;"]"),PAJAK[[#This Row],[//]]-2))</f>
        <v>KEN_0909_463-8</v>
      </c>
      <c r="D9" s="19">
        <f ca="1">MATCH(PAJAK[[#This Row],[ID]],[6]!Table1[ID],0)</f>
        <v>6</v>
      </c>
      <c r="E9" s="20">
        <f ca="1">IF(PAJAK[[#This Row],[ID]]="","",COUNTIF(NOTA[ID_H],PAJAK[[#This Row],[ID]]))</f>
        <v>8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45178</v>
      </c>
      <c r="H9" s="17">
        <f ca="1">IF(PAJAK[[#This Row],[//]]="","",INDEX(INDIRECT("NOTA["&amp;PAJAK[#Headers]&amp;"]"),PAJAK[[#This Row],[//]]-2))</f>
        <v>45175</v>
      </c>
      <c r="I9" s="16" t="str">
        <f ca="1">IF(PAJAK[[#This Row],[//]]="","",INDEX(INDIRECT("NOTA["&amp;PAJAK[#Headers]&amp;"]"),PAJAK[[#This Row],[//]]-2))</f>
        <v>23090463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51392400</v>
      </c>
      <c r="L9" s="23">
        <f ca="1">IF(PAJAK[[#This Row],[//]]="","",SUMIF(NOTA[ID_H],PAJAK[[#This Row],[ID]],NOTA[DISC]))</f>
        <v>8736708</v>
      </c>
      <c r="M9" s="23">
        <f ca="1">PAJAK[[#This Row],[SUB TOTAL]]-PAJAK[[#This Row],[DISKON]]</f>
        <v>42655692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38428551.351351351</v>
      </c>
      <c r="P9" s="23">
        <f ca="1">PAJAK[[#This Row],[DPP]]*PAJAK[[#This Row],[PPN]]</f>
        <v>4227140.6486486485</v>
      </c>
      <c r="Q9" s="23">
        <f ca="1">PAJAK[[#This Row],[DPP]]+PAJAK[[#This Row],[PPN 11%]]</f>
        <v>42655692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12</v>
      </c>
      <c r="C10" s="19" t="str">
        <f ca="1">IF(PAJAK[[#This Row],[//]]="","",INDEX(INDIRECT("NOTA["&amp;PAJAK[#Headers]&amp;"]"),PAJAK[[#This Row],[//]]-2))</f>
        <v>KEN_0909_468-8</v>
      </c>
      <c r="D10" s="19">
        <f ca="1">MATCH(PAJAK[[#This Row],[ID]],[6]!Table1[ID],0)</f>
        <v>7</v>
      </c>
      <c r="E10" s="20">
        <f ca="1">IF(PAJAK[[#This Row],[ID]]="","",COUNTIF(NOTA[ID_H],PAJAK[[#This Row],[ID]]))</f>
        <v>8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45178</v>
      </c>
      <c r="H10" s="17">
        <f ca="1">IF(PAJAK[[#This Row],[//]]="","",INDEX(INDIRECT("NOTA["&amp;PAJAK[#Headers]&amp;"]"),PAJAK[[#This Row],[//]]-2))</f>
        <v>45175</v>
      </c>
      <c r="I10" s="16" t="str">
        <f ca="1">IF(PAJAK[[#This Row],[//]]="","",INDEX(INDIRECT("NOTA["&amp;PAJAK[#Headers]&amp;"]"),PAJAK[[#This Row],[//]]-2))</f>
        <v>23090468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50478600</v>
      </c>
      <c r="L10" s="23">
        <f ca="1">IF(PAJAK[[#This Row],[//]]="","",SUMIF(NOTA[ID_H],PAJAK[[#This Row],[ID]],NOTA[DISC]))</f>
        <v>10436312.4</v>
      </c>
      <c r="M10" s="23">
        <f ca="1">PAJAK[[#This Row],[SUB TOTAL]]-PAJAK[[#This Row],[DISKON]]</f>
        <v>40042287.600000001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36074132.972972974</v>
      </c>
      <c r="P10" s="23">
        <f ca="1">PAJAK[[#This Row],[DPP]]*PAJAK[[#This Row],[PPN]]</f>
        <v>3968154.6270270273</v>
      </c>
      <c r="Q10" s="23">
        <f ca="1">PAJAK[[#This Row],[DPP]]+PAJAK[[#This Row],[PPN 11%]]</f>
        <v>40042287.600000001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74</v>
      </c>
      <c r="B11" s="21">
        <f ca="1">HYPERLINK("[NOTA_.XLSX]NOTA!c"&amp;PAJAK[[#This Row],[//]],IF(PAJAK[[#This Row],[//]]="","",INDEX(INDIRECT("NOTA["&amp;PAJAK[#Headers]&amp;"]"),PAJAK[[#This Row],[//]]-2)))</f>
        <v>13</v>
      </c>
      <c r="C11" s="19" t="str">
        <f ca="1">IF(PAJAK[[#This Row],[//]]="","",INDEX(INDIRECT("NOTA["&amp;PAJAK[#Headers]&amp;"]"),PAJAK[[#This Row],[//]]-2))</f>
        <v>KEN_1209_971-9</v>
      </c>
      <c r="D11" s="19">
        <f ca="1">MATCH(PAJAK[[#This Row],[ID]],[6]!Table1[ID],0)</f>
        <v>13</v>
      </c>
      <c r="E11" s="20">
        <f ca="1">IF(PAJAK[[#This Row],[ID]]="","",COUNTIF(NOTA[ID_H],PAJAK[[#This Row],[ID]]))</f>
        <v>9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45181</v>
      </c>
      <c r="H11" s="17">
        <f ca="1">IF(PAJAK[[#This Row],[//]]="","",INDEX(INDIRECT("NOTA["&amp;PAJAK[#Headers]&amp;"]"),PAJAK[[#This Row],[//]]-2))</f>
        <v>45180</v>
      </c>
      <c r="I11" s="16" t="str">
        <f ca="1">IF(PAJAK[[#This Row],[//]]="","",INDEX(INDIRECT("NOTA["&amp;PAJAK[#Headers]&amp;"]"),PAJAK[[#This Row],[//]]-2))</f>
        <v>23090971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13008000</v>
      </c>
      <c r="L11" s="23">
        <f ca="1">IF(PAJAK[[#This Row],[//]]="","",SUMIF(NOTA[ID_H],PAJAK[[#This Row],[ID]],NOTA[DISC]))</f>
        <v>2211360</v>
      </c>
      <c r="M11" s="23">
        <f ca="1">PAJAK[[#This Row],[SUB TOTAL]]-PAJAK[[#This Row],[DISKON]]</f>
        <v>10796640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9726702.7027027011</v>
      </c>
      <c r="P11" s="23">
        <f ca="1">PAJAK[[#This Row],[DPP]]*PAJAK[[#This Row],[PPN]]</f>
        <v>1069937.297297297</v>
      </c>
      <c r="Q11" s="23">
        <f ca="1">PAJAK[[#This Row],[DPP]]+PAJAK[[#This Row],[PPN 11%]]</f>
        <v>10796639.999999998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84</v>
      </c>
      <c r="B12" s="21">
        <f ca="1">HYPERLINK("[NOTA_.XLSX]NOTA!c"&amp;PAJAK[[#This Row],[//]],IF(PAJAK[[#This Row],[//]]="","",INDEX(INDIRECT("NOTA["&amp;PAJAK[#Headers]&amp;"]"),PAJAK[[#This Row],[//]]-2)))</f>
        <v>14</v>
      </c>
      <c r="C12" s="19" t="str">
        <f ca="1">IF(PAJAK[[#This Row],[//]]="","",INDEX(INDIRECT("NOTA["&amp;PAJAK[#Headers]&amp;"]"),PAJAK[[#This Row],[//]]-2))</f>
        <v>KEN_1209_968-10</v>
      </c>
      <c r="D12" s="19">
        <f ca="1">MATCH(PAJAK[[#This Row],[ID]],[6]!Table1[ID],0)</f>
        <v>12</v>
      </c>
      <c r="E12" s="20">
        <f ca="1">IF(PAJAK[[#This Row],[ID]]="","",COUNTIF(NOTA[ID_H],PAJAK[[#This Row],[ID]]))</f>
        <v>10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45181</v>
      </c>
      <c r="H12" s="17">
        <f ca="1">IF(PAJAK[[#This Row],[//]]="","",INDEX(INDIRECT("NOTA["&amp;PAJAK[#Headers]&amp;"]"),PAJAK[[#This Row],[//]]-2))</f>
        <v>45180</v>
      </c>
      <c r="I12" s="16" t="str">
        <f ca="1">IF(PAJAK[[#This Row],[//]]="","",INDEX(INDIRECT("NOTA["&amp;PAJAK[#Headers]&amp;"]"),PAJAK[[#This Row],[//]]-2))</f>
        <v>23090968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48660000</v>
      </c>
      <c r="L12" s="23">
        <f ca="1">IF(PAJAK[[#This Row],[//]]="","",SUMIF(NOTA[ID_H],PAJAK[[#This Row],[ID]],NOTA[DISC]))</f>
        <v>8272200</v>
      </c>
      <c r="M12" s="23">
        <f ca="1">PAJAK[[#This Row],[SUB TOTAL]]-PAJAK[[#This Row],[DISKON]]</f>
        <v>40387800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36385405.405405402</v>
      </c>
      <c r="P12" s="23">
        <f ca="1">PAJAK[[#This Row],[DPP]]*PAJAK[[#This Row],[PPN]]</f>
        <v>4002394.5945945941</v>
      </c>
      <c r="Q12" s="23">
        <f ca="1">PAJAK[[#This Row],[DPP]]+PAJAK[[#This Row],[PPN 11%]]</f>
        <v>40387800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95</v>
      </c>
      <c r="B13" s="15">
        <f ca="1">HYPERLINK("[NOTA_.XLSX]NOTA!c"&amp;PAJAK[[#This Row],[//]],IF(PAJAK[[#This Row],[//]]="","",INDEX(INDIRECT("NOTA["&amp;PAJAK[#Headers]&amp;"]"),PAJAK[[#This Row],[//]]-2)))</f>
        <v>15</v>
      </c>
      <c r="C13" s="15" t="str">
        <f ca="1">IF(PAJAK[[#This Row],[//]]="","",INDEX(INDIRECT("NOTA["&amp;PAJAK[#Headers]&amp;"]"),PAJAK[[#This Row],[//]]-2))</f>
        <v>KEN_0909_583-10</v>
      </c>
      <c r="D13" s="15">
        <f ca="1">MATCH(PAJAK[[#This Row],[ID]],[6]!Table1[ID],0)</f>
        <v>8</v>
      </c>
      <c r="E13" s="16">
        <f ca="1">IF(PAJAK[[#This Row],[ID]]="","",COUNTIF(NOTA[ID_H],PAJAK[[#This Row],[ID]]))</f>
        <v>10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45178</v>
      </c>
      <c r="H13" s="17">
        <f ca="1">IF(PAJAK[[#This Row],[//]]="","",INDEX(INDIRECT("NOTA["&amp;PAJAK[#Headers]&amp;"]"),PAJAK[[#This Row],[//]]-2))</f>
        <v>45176</v>
      </c>
      <c r="I13" s="16" t="str">
        <f ca="1">IF(PAJAK[[#This Row],[//]]="","",INDEX(INDIRECT("NOTA["&amp;PAJAK[#Headers]&amp;"]"),PAJAK[[#This Row],[//]]-2))</f>
        <v>23090583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33652800</v>
      </c>
      <c r="L13" s="23">
        <f ca="1">IF(PAJAK[[#This Row],[//]]="","",SUMIF(NOTA[ID_H],PAJAK[[#This Row],[ID]],NOTA[DISC]))</f>
        <v>5720976</v>
      </c>
      <c r="M13" s="23">
        <f ca="1">PAJAK[[#This Row],[SUB TOTAL]]-PAJAK[[#This Row],[DISKON]]</f>
        <v>27931824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25163805.405405402</v>
      </c>
      <c r="P13" s="23">
        <f ca="1">PAJAK[[#This Row],[DPP]]*PAJAK[[#This Row],[PPN]]</f>
        <v>2768018.5945945941</v>
      </c>
      <c r="Q13" s="23">
        <f ca="1">PAJAK[[#This Row],[DPP]]+PAJAK[[#This Row],[PPN 11%]]</f>
        <v>27931823.999999996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106</v>
      </c>
      <c r="B14" s="21">
        <f ca="1">HYPERLINK("[NOTA_.XLSX]NOTA!c"&amp;PAJAK[[#This Row],[//]],IF(PAJAK[[#This Row],[//]]="","",INDEX(INDIRECT("NOTA["&amp;PAJAK[#Headers]&amp;"]"),PAJAK[[#This Row],[//]]-2)))</f>
        <v>16</v>
      </c>
      <c r="C14" s="19" t="str">
        <f ca="1">IF(PAJAK[[#This Row],[//]]="","",INDEX(INDIRECT("NOTA["&amp;PAJAK[#Headers]&amp;"]"),PAJAK[[#This Row],[//]]-2))</f>
        <v>ATA_0909_860-2</v>
      </c>
      <c r="D14" s="19">
        <f ca="1">MATCH(PAJAK[[#This Row],[ID]],[6]!Table1[ID],0)</f>
        <v>33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ATALI MAKMUR</v>
      </c>
      <c r="G14" s="17">
        <f ca="1">IF(PAJAK[[#This Row],[//]]="","",INDEX(NOTA[TGL_H],PAJAK[[#This Row],[//]]-2))</f>
        <v>45178</v>
      </c>
      <c r="H14" s="17">
        <f ca="1">IF(PAJAK[[#This Row],[//]]="","",INDEX(INDIRECT("NOTA["&amp;PAJAK[#Headers]&amp;"]"),PAJAK[[#This Row],[//]]-2))</f>
        <v>45175</v>
      </c>
      <c r="I14" s="16" t="str">
        <f ca="1">IF(PAJAK[[#This Row],[//]]="","",INDEX(INDIRECT("NOTA["&amp;PAJAK[#Headers]&amp;"]"),PAJAK[[#This Row],[//]]-2))</f>
        <v>SA230915860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12240000</v>
      </c>
      <c r="L14" s="23">
        <f ca="1">IF(PAJAK[[#This Row],[//]]="","",SUMIF(NOTA[ID_H],PAJAK[[#This Row],[ID]],NOTA[DISC]))</f>
        <v>2065500</v>
      </c>
      <c r="M14" s="23">
        <f ca="1">PAJAK[[#This Row],[SUB TOTAL]]-PAJAK[[#This Row],[DISKON]]</f>
        <v>10174500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9166216.2162162159</v>
      </c>
      <c r="P14" s="23">
        <f ca="1">PAJAK[[#This Row],[DPP]]*PAJAK[[#This Row],[PPN]]</f>
        <v>1008283.7837837838</v>
      </c>
      <c r="Q14" s="23">
        <f ca="1">PAJAK[[#This Row],[DPP]]+PAJAK[[#This Row],[PPN 11%]]</f>
        <v>10174500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109</v>
      </c>
      <c r="B15" s="15">
        <f ca="1">HYPERLINK("[NOTA_.XLSX]NOTA!c"&amp;PAJAK[[#This Row],[//]],IF(PAJAK[[#This Row],[//]]="","",INDEX(INDIRECT("NOTA["&amp;PAJAK[#Headers]&amp;"]"),PAJAK[[#This Row],[//]]-2)))</f>
        <v>17</v>
      </c>
      <c r="C15" s="15" t="str">
        <f ca="1">IF(PAJAK[[#This Row],[//]]="","",INDEX(INDIRECT("NOTA["&amp;PAJAK[#Headers]&amp;"]"),PAJAK[[#This Row],[//]]-2))</f>
        <v>ATA_0909_846-4</v>
      </c>
      <c r="D15" s="15">
        <f ca="1">MATCH(PAJAK[[#This Row],[ID]],[6]!Table1[ID],0)</f>
        <v>32</v>
      </c>
      <c r="E15" s="16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45178</v>
      </c>
      <c r="H15" s="17">
        <f ca="1">IF(PAJAK[[#This Row],[//]]="","",INDEX(INDIRECT("NOTA["&amp;PAJAK[#Headers]&amp;"]"),PAJAK[[#This Row],[//]]-2))</f>
        <v>45174</v>
      </c>
      <c r="I15" s="16" t="str">
        <f ca="1">IF(PAJAK[[#This Row],[//]]="","",INDEX(INDIRECT("NOTA["&amp;PAJAK[#Headers]&amp;"]"),PAJAK[[#This Row],[//]]-2))</f>
        <v>SA230915846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4909200</v>
      </c>
      <c r="L15" s="23">
        <f ca="1">IF(PAJAK[[#This Row],[//]]="","",SUMIF(NOTA[ID_H],PAJAK[[#This Row],[ID]],NOTA[DISC]))</f>
        <v>824665.5</v>
      </c>
      <c r="M15" s="23">
        <f ca="1">PAJAK[[#This Row],[SUB TOTAL]]-PAJAK[[#This Row],[DISKON]]</f>
        <v>4084534.5</v>
      </c>
      <c r="N15" s="23">
        <f ca="1">IF(PAJAK[[#This Row],[//]]="","",INDEX(INDIRECT("NOTA["&amp;PAJAK[#Headers]&amp;"]"),PAJAK[[#This Row],[//]]-2+PAJAK[[#This Row],[QB]]-1))</f>
        <v>135432</v>
      </c>
      <c r="O15" s="23">
        <f ca="1">(PAJAK[[#This Row],[SUB T-DISC]]-PAJAK[[#This Row],[DISC DLL]])/111%</f>
        <v>3557749.9999999995</v>
      </c>
      <c r="P15" s="23">
        <f ca="1">PAJAK[[#This Row],[DPP]]*PAJAK[[#This Row],[PPN]]</f>
        <v>391352.49999999994</v>
      </c>
      <c r="Q15" s="23">
        <f ca="1">PAJAK[[#This Row],[DPP]]+PAJAK[[#This Row],[PPN 11%]]</f>
        <v>3949102.4999999995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114</v>
      </c>
      <c r="B16" s="21">
        <f ca="1">HYPERLINK("[NOTA_.XLSX]NOTA!c"&amp;PAJAK[[#This Row],[//]],IF(PAJAK[[#This Row],[//]]="","",INDEX(INDIRECT("NOTA["&amp;PAJAK[#Headers]&amp;"]"),PAJAK[[#This Row],[//]]-2)))</f>
        <v>18</v>
      </c>
      <c r="C16" s="19" t="str">
        <f ca="1">IF(PAJAK[[#This Row],[//]]="","",INDEX(INDIRECT("NOTA["&amp;PAJAK[#Headers]&amp;"]"),PAJAK[[#This Row],[//]]-2))</f>
        <v>ATA_0909_845-11</v>
      </c>
      <c r="D16" s="19">
        <f ca="1">MATCH(PAJAK[[#This Row],[ID]],[6]!Table1[ID],0)</f>
        <v>31</v>
      </c>
      <c r="E16" s="20">
        <f ca="1">IF(PAJAK[[#This Row],[ID]]="","",COUNTIF(NOTA[ID_H],PAJAK[[#This Row],[ID]]))</f>
        <v>11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45178</v>
      </c>
      <c r="H16" s="17">
        <f ca="1">IF(PAJAK[[#This Row],[//]]="","",INDEX(INDIRECT("NOTA["&amp;PAJAK[#Headers]&amp;"]"),PAJAK[[#This Row],[//]]-2))</f>
        <v>45174</v>
      </c>
      <c r="I16" s="16" t="str">
        <f ca="1">IF(PAJAK[[#This Row],[//]]="","",INDEX(INDIRECT("NOTA["&amp;PAJAK[#Headers]&amp;"]"),PAJAK[[#This Row],[//]]-2))</f>
        <v>SA230915845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17421600</v>
      </c>
      <c r="L16" s="23">
        <f ca="1">IF(PAJAK[[#This Row],[//]]="","",SUMIF(NOTA[ID_H],PAJAK[[#This Row],[ID]],NOTA[DISC]))</f>
        <v>2939895</v>
      </c>
      <c r="M16" s="23">
        <f ca="1">PAJAK[[#This Row],[SUB TOTAL]]-PAJAK[[#This Row],[DISKON]]</f>
        <v>14481705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13046581.081081079</v>
      </c>
      <c r="P16" s="23">
        <f ca="1">PAJAK[[#This Row],[DPP]]*PAJAK[[#This Row],[PPN]]</f>
        <v>1435123.9189189188</v>
      </c>
      <c r="Q16" s="23">
        <f ca="1">PAJAK[[#This Row],[DPP]]+PAJAK[[#This Row],[PPN 11%]]</f>
        <v>14481704.999999998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126</v>
      </c>
      <c r="B17" s="21">
        <f ca="1">HYPERLINK("[NOTA_.XLSX]NOTA!c"&amp;PAJAK[[#This Row],[//]],IF(PAJAK[[#This Row],[//]]="","",INDEX(INDIRECT("NOTA["&amp;PAJAK[#Headers]&amp;"]"),PAJAK[[#This Row],[//]]-2)))</f>
        <v>19</v>
      </c>
      <c r="C17" s="19" t="str">
        <f ca="1">IF(PAJAK[[#This Row],[//]]="","",INDEX(INDIRECT("NOTA["&amp;PAJAK[#Headers]&amp;"]"),PAJAK[[#This Row],[//]]-2))</f>
        <v>ATA_0909_844-12</v>
      </c>
      <c r="D17" s="19">
        <f ca="1">MATCH(PAJAK[[#This Row],[ID]],[6]!Table1[ID],0)</f>
        <v>30</v>
      </c>
      <c r="E17" s="20">
        <f ca="1">IF(PAJAK[[#This Row],[ID]]="","",COUNTIF(NOTA[ID_H],PAJAK[[#This Row],[ID]]))</f>
        <v>12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45178</v>
      </c>
      <c r="H17" s="17">
        <f ca="1">IF(PAJAK[[#This Row],[//]]="","",INDEX(INDIRECT("NOTA["&amp;PAJAK[#Headers]&amp;"]"),PAJAK[[#This Row],[//]]-2))</f>
        <v>45174</v>
      </c>
      <c r="I17" s="16" t="str">
        <f ca="1">IF(PAJAK[[#This Row],[//]]="","",INDEX(INDIRECT("NOTA["&amp;PAJAK[#Headers]&amp;"]"),PAJAK[[#This Row],[//]]-2))</f>
        <v>SA230915844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38996000</v>
      </c>
      <c r="L17" s="23">
        <f ca="1">IF(PAJAK[[#This Row],[//]]="","",SUMIF(NOTA[ID_H],PAJAK[[#This Row],[ID]],NOTA[DISC]))</f>
        <v>6580575</v>
      </c>
      <c r="M17" s="23">
        <f ca="1">PAJAK[[#This Row],[SUB TOTAL]]-PAJAK[[#This Row],[DISKON]]</f>
        <v>32415425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29203085.585585583</v>
      </c>
      <c r="P17" s="23">
        <f ca="1">PAJAK[[#This Row],[DPP]]*PAJAK[[#This Row],[PPN]]</f>
        <v>3212339.4144144142</v>
      </c>
      <c r="Q17" s="23">
        <f ca="1">PAJAK[[#This Row],[DPP]]+PAJAK[[#This Row],[PPN 11%]]</f>
        <v>32415424.999999996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139</v>
      </c>
      <c r="B18" s="15">
        <f ca="1">HYPERLINK("[NOTA_.XLSX]NOTA!c"&amp;PAJAK[[#This Row],[//]],IF(PAJAK[[#This Row],[//]]="","",INDEX(INDIRECT("NOTA["&amp;PAJAK[#Headers]&amp;"]"),PAJAK[[#This Row],[//]]-2)))</f>
        <v>20</v>
      </c>
      <c r="C18" s="15" t="str">
        <f ca="1">IF(PAJAK[[#This Row],[//]]="","",INDEX(INDIRECT("NOTA["&amp;PAJAK[#Headers]&amp;"]"),PAJAK[[#This Row],[//]]-2))</f>
        <v>ATA_0909_843-11</v>
      </c>
      <c r="D18" s="15">
        <f ca="1">MATCH(PAJAK[[#This Row],[ID]],[6]!Table1[ID],0)</f>
        <v>29</v>
      </c>
      <c r="E18" s="16">
        <f ca="1">IF(PAJAK[[#This Row],[ID]]="","",COUNTIF(NOTA[ID_H],PAJAK[[#This Row],[ID]]))</f>
        <v>11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45178</v>
      </c>
      <c r="H18" s="17">
        <f ca="1">IF(PAJAK[[#This Row],[//]]="","",INDEX(INDIRECT("NOTA["&amp;PAJAK[#Headers]&amp;"]"),PAJAK[[#This Row],[//]]-2))</f>
        <v>45174</v>
      </c>
      <c r="I18" s="16" t="str">
        <f ca="1">IF(PAJAK[[#This Row],[//]]="","",INDEX(INDIRECT("NOTA["&amp;PAJAK[#Headers]&amp;"]"),PAJAK[[#This Row],[//]]-2))</f>
        <v>SA230915843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38900200</v>
      </c>
      <c r="L18" s="23">
        <f ca="1">IF(PAJAK[[#This Row],[//]]="","",SUMIF(NOTA[ID_H],PAJAK[[#This Row],[ID]],NOTA[DISC]))</f>
        <v>6560646.75</v>
      </c>
      <c r="M18" s="23">
        <f ca="1">PAJAK[[#This Row],[SUB TOTAL]]-PAJAK[[#This Row],[DISKON]]</f>
        <v>32339553.25</v>
      </c>
      <c r="N18" s="23">
        <f ca="1">IF(PAJAK[[#This Row],[//]]="","",INDEX(INDIRECT("NOTA["&amp;PAJAK[#Headers]&amp;"]"),PAJAK[[#This Row],[//]]-2+PAJAK[[#This Row],[QB]]-1))</f>
        <v>135432</v>
      </c>
      <c r="O18" s="23">
        <f ca="1">(PAJAK[[#This Row],[SUB T-DISC]]-PAJAK[[#This Row],[DISC DLL]])/111%</f>
        <v>29012721.846846845</v>
      </c>
      <c r="P18" s="23">
        <f ca="1">PAJAK[[#This Row],[DPP]]*PAJAK[[#This Row],[PPN]]</f>
        <v>3191399.4031531531</v>
      </c>
      <c r="Q18" s="23">
        <f ca="1">PAJAK[[#This Row],[DPP]]+PAJAK[[#This Row],[PPN 11%]]</f>
        <v>32204121.25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151</v>
      </c>
      <c r="B19" s="21">
        <f ca="1">HYPERLINK("[NOTA_.XLSX]NOTA!c"&amp;PAJAK[[#This Row],[//]],IF(PAJAK[[#This Row],[//]]="","",INDEX(INDIRECT("NOTA["&amp;PAJAK[#Headers]&amp;"]"),PAJAK[[#This Row],[//]]-2)))</f>
        <v>21</v>
      </c>
      <c r="C19" s="19" t="str">
        <f ca="1">IF(PAJAK[[#This Row],[//]]="","",INDEX(INDIRECT("NOTA["&amp;PAJAK[#Headers]&amp;"]"),PAJAK[[#This Row],[//]]-2))</f>
        <v>ATA_0909_894-12</v>
      </c>
      <c r="D19" s="19">
        <f ca="1">MATCH(PAJAK[[#This Row],[ID]],[6]!Table1[ID],0)</f>
        <v>34</v>
      </c>
      <c r="E19" s="20">
        <f ca="1">IF(PAJAK[[#This Row],[ID]]="","",COUNTIF(NOTA[ID_H],PAJAK[[#This Row],[ID]]))</f>
        <v>12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45178</v>
      </c>
      <c r="H19" s="17">
        <f ca="1">IF(PAJAK[[#This Row],[//]]="","",INDEX(INDIRECT("NOTA["&amp;PAJAK[#Headers]&amp;"]"),PAJAK[[#This Row],[//]]-2))</f>
        <v>45175</v>
      </c>
      <c r="I19" s="16" t="str">
        <f ca="1">IF(PAJAK[[#This Row],[//]]="","",INDEX(INDIRECT("NOTA["&amp;PAJAK[#Headers]&amp;"]"),PAJAK[[#This Row],[//]]-2))</f>
        <v>SA230915894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27640800</v>
      </c>
      <c r="L19" s="23">
        <f ca="1">IF(PAJAK[[#This Row],[//]]="","",SUMIF(NOTA[ID_H],PAJAK[[#This Row],[ID]],NOTA[DISC]))</f>
        <v>4664385</v>
      </c>
      <c r="M19" s="23">
        <f ca="1">PAJAK[[#This Row],[SUB TOTAL]]-PAJAK[[#This Row],[DISKON]]</f>
        <v>22976415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20699472.97297297</v>
      </c>
      <c r="P19" s="23">
        <f ca="1">PAJAK[[#This Row],[DPP]]*PAJAK[[#This Row],[PPN]]</f>
        <v>2276942.0270270268</v>
      </c>
      <c r="Q19" s="23">
        <f ca="1">PAJAK[[#This Row],[DPP]]+PAJAK[[#This Row],[PPN 11%]]</f>
        <v>22976414.999999996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164</v>
      </c>
      <c r="B20" s="22">
        <f ca="1">HYPERLINK("[NOTA_.XLSX]NOTA!c"&amp;PAJAK[[#This Row],[//]],IF(PAJAK[[#This Row],[//]]="","",INDEX(INDIRECT("NOTA["&amp;PAJAK[#Headers]&amp;"]"),PAJAK[[#This Row],[//]]-2)))</f>
        <v>22</v>
      </c>
      <c r="C20" s="15" t="str">
        <f ca="1">IF(PAJAK[[#This Row],[//]]="","",INDEX(INDIRECT("NOTA["&amp;PAJAK[#Headers]&amp;"]"),PAJAK[[#This Row],[//]]-2))</f>
        <v>ATA_0909_895-8</v>
      </c>
      <c r="D20" s="15">
        <f ca="1">MATCH(PAJAK[[#This Row],[ID]],[6]!Table1[ID],0)</f>
        <v>35</v>
      </c>
      <c r="E20" s="16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45178</v>
      </c>
      <c r="H20" s="17">
        <f ca="1">IF(PAJAK[[#This Row],[//]]="","",INDEX(INDIRECT("NOTA["&amp;PAJAK[#Headers]&amp;"]"),PAJAK[[#This Row],[//]]-2))</f>
        <v>45175</v>
      </c>
      <c r="I20" s="16" t="str">
        <f ca="1">IF(PAJAK[[#This Row],[//]]="","",INDEX(INDIRECT("NOTA["&amp;PAJAK[#Headers]&amp;"]"),PAJAK[[#This Row],[//]]-2))</f>
        <v>SA230915895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9100800</v>
      </c>
      <c r="L20" s="23">
        <f ca="1">IF(PAJAK[[#This Row],[//]]="","",SUMIF(NOTA[ID_H],PAJAK[[#This Row],[ID]],NOTA[DISC]))</f>
        <v>1535760</v>
      </c>
      <c r="M20" s="23">
        <f ca="1">PAJAK[[#This Row],[SUB TOTAL]]-PAJAK[[#This Row],[DISKON]]</f>
        <v>7565040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6815351.3513513505</v>
      </c>
      <c r="P20" s="23">
        <f ca="1">PAJAK[[#This Row],[DPP]]*PAJAK[[#This Row],[PPN]]</f>
        <v>749688.64864864852</v>
      </c>
      <c r="Q20" s="23">
        <f ca="1">PAJAK[[#This Row],[DPP]]+PAJAK[[#This Row],[PPN 11%]]</f>
        <v>7565039.9999999991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173</v>
      </c>
      <c r="B21" s="21">
        <f ca="1">HYPERLINK("[NOTA_.XLSX]NOTA!c"&amp;PAJAK[[#This Row],[//]],IF(PAJAK[[#This Row],[//]]="","",INDEX(INDIRECT("NOTA["&amp;PAJAK[#Headers]&amp;"]"),PAJAK[[#This Row],[//]]-2)))</f>
        <v>23</v>
      </c>
      <c r="C21" s="19" t="str">
        <f ca="1">IF(PAJAK[[#This Row],[//]]="","",INDEX(INDIRECT("NOTA["&amp;PAJAK[#Headers]&amp;"]"),PAJAK[[#This Row],[//]]-2))</f>
        <v>NCL_1109_010-1</v>
      </c>
      <c r="D21" s="19">
        <f ca="1">MATCH(PAJAK[[#This Row],[ID]],[6]!Table1[ID],0)</f>
        <v>64</v>
      </c>
      <c r="E21" s="20">
        <f ca="1">IF(PAJAK[[#This Row],[ID]]="","",COUNTIF(NOTA[ID_H],PAJAK[[#This Row],[ID]]))</f>
        <v>1</v>
      </c>
      <c r="F21" s="15" t="str">
        <f ca="1">IF(PAJAK[[#This Row],[//]]="","",INDEX(CONV[2],MATCH(INDEX(INDIRECT("NOTA["&amp;PAJAK[#Headers]&amp;"]"),PAJAK[[#This Row],[//]]-2),CONV[1],0),0))</f>
        <v>NATURAL CAHAYA LESTARI</v>
      </c>
      <c r="G21" s="17">
        <f ca="1">IF(PAJAK[[#This Row],[//]]="","",INDEX(NOTA[TGL_H],PAJAK[[#This Row],[//]]-2))</f>
        <v>45180</v>
      </c>
      <c r="H21" s="17">
        <f ca="1">IF(PAJAK[[#This Row],[//]]="","",INDEX(INDIRECT("NOTA["&amp;PAJAK[#Headers]&amp;"]"),PAJAK[[#This Row],[//]]-2))</f>
        <v>45176</v>
      </c>
      <c r="I21" s="16" t="str">
        <f ca="1">IF(PAJAK[[#This Row],[//]]="","",INDEX(INDIRECT("NOTA["&amp;PAJAK[#Headers]&amp;"]"),PAJAK[[#This Row],[//]]-2))</f>
        <v>NCL-R2309000010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3648660</v>
      </c>
      <c r="L21" s="23">
        <f ca="1">IF(PAJAK[[#This Row],[//]]="","",SUMIF(NOTA[ID_H],PAJAK[[#This Row],[ID]],NOTA[DISC]))</f>
        <v>729732</v>
      </c>
      <c r="M21" s="23">
        <f ca="1">PAJAK[[#This Row],[SUB TOTAL]]-PAJAK[[#This Row],[DISKON]]</f>
        <v>2918928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2629664.8648648649</v>
      </c>
      <c r="P21" s="23">
        <f ca="1">PAJAK[[#This Row],[DPP]]*PAJAK[[#This Row],[PPN]]</f>
        <v>289263.13513513515</v>
      </c>
      <c r="Q21" s="23">
        <f ca="1">PAJAK[[#This Row],[DPP]]+PAJAK[[#This Row],[PPN 11%]]</f>
        <v>2918928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175</v>
      </c>
      <c r="B22" s="21">
        <f ca="1">HYPERLINK("[NOTA_.XLSX]NOTA!c"&amp;PAJAK[[#This Row],[//]],IF(PAJAK[[#This Row],[//]]="","",INDEX(INDIRECT("NOTA["&amp;PAJAK[#Headers]&amp;"]"),PAJAK[[#This Row],[//]]-2)))</f>
        <v>24</v>
      </c>
      <c r="C22" s="19" t="str">
        <f ca="1">IF(PAJAK[[#This Row],[//]]="","",INDEX(INDIRECT("NOTA["&amp;PAJAK[#Headers]&amp;"]"),PAJAK[[#This Row],[//]]-2))</f>
        <v>LAY_0909_035-1</v>
      </c>
      <c r="D22" s="19">
        <f ca="1">MATCH(PAJAK[[#This Row],[ID]],[6]!Table1[ID],0)</f>
        <v>60</v>
      </c>
      <c r="E22" s="20">
        <f ca="1">IF(PAJAK[[#This Row],[ID]]="","",COUNTIF(NOTA[ID_H],PAJAK[[#This Row],[ID]]))</f>
        <v>1</v>
      </c>
      <c r="F22" s="15" t="str">
        <f ca="1">IF(PAJAK[[#This Row],[//]]="","",INDEX(CONV[2],MATCH(INDEX(INDIRECT("NOTA["&amp;PAJAK[#Headers]&amp;"]"),PAJAK[[#This Row],[//]]-2),CONV[1],0),0))</f>
        <v>PT MITRA GLOBAL NIAGA</v>
      </c>
      <c r="G22" s="17">
        <f ca="1">IF(PAJAK[[#This Row],[//]]="","",INDEX(NOTA[TGL_H],PAJAK[[#This Row],[//]]-2))</f>
        <v>45178</v>
      </c>
      <c r="H22" s="17" t="str">
        <f ca="1">IF(PAJAK[[#This Row],[//]]="","",INDEX(INDIRECT("NOTA["&amp;PAJAK[#Headers]&amp;"]"),PAJAK[[#This Row],[//]]-2))</f>
        <v>0709/2023</v>
      </c>
      <c r="I22" s="16" t="str">
        <f ca="1">IF(PAJAK[[#This Row],[//]]="","",INDEX(INDIRECT("NOTA["&amp;PAJAK[#Headers]&amp;"]"),PAJAK[[#This Row],[//]]-2))</f>
        <v>L109035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28000000</v>
      </c>
      <c r="L22" s="23">
        <f ca="1">IF(PAJAK[[#This Row],[//]]="","",SUMIF(NOTA[ID_H],PAJAK[[#This Row],[ID]],NOTA[DISC]))</f>
        <v>2800000</v>
      </c>
      <c r="M22" s="23">
        <f ca="1">PAJAK[[#This Row],[SUB TOTAL]]-PAJAK[[#This Row],[DISKON]]</f>
        <v>25200000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22702702.702702701</v>
      </c>
      <c r="P22" s="23">
        <f ca="1">PAJAK[[#This Row],[DPP]]*PAJAK[[#This Row],[PPN]]</f>
        <v>2497297.297297297</v>
      </c>
      <c r="Q22" s="23">
        <f ca="1">PAJAK[[#This Row],[DPP]]+PAJAK[[#This Row],[PPN 11%]]</f>
        <v>25200000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220</v>
      </c>
      <c r="B23" s="21">
        <f ca="1">HYPERLINK("[NOTA_.XLSX]NOTA!c"&amp;PAJAK[[#This Row],[//]],IF(PAJAK[[#This Row],[//]]="","",INDEX(INDIRECT("NOTA["&amp;PAJAK[#Headers]&amp;"]"),PAJAK[[#This Row],[//]]-2)))</f>
        <v>37</v>
      </c>
      <c r="C23" s="19" t="str">
        <f ca="1">IF(PAJAK[[#This Row],[//]]="","",INDEX(INDIRECT("NOTA["&amp;PAJAK[#Headers]&amp;"]"),PAJAK[[#This Row],[//]]-2))</f>
        <v>KEN_1409_177-7</v>
      </c>
      <c r="D23" s="19">
        <f ca="1">MATCH(PAJAK[[#This Row],[ID]],[6]!Table1[ID],0)</f>
        <v>16</v>
      </c>
      <c r="E23" s="20">
        <f ca="1">IF(PAJAK[[#This Row],[ID]]="","",COUNTIF(NOTA[ID_H],PAJAK[[#This Row],[ID]]))</f>
        <v>7</v>
      </c>
      <c r="F23" s="15" t="str">
        <f ca="1">IF(PAJAK[[#This Row],[//]]="","",INDEX(CONV[2],MATCH(INDEX(INDIRECT("NOTA["&amp;PAJAK[#Headers]&amp;"]"),PAJAK[[#This Row],[//]]-2),CONV[1],0),0))</f>
        <v>PT KENKO SINAR INDONESIA</v>
      </c>
      <c r="G23" s="17">
        <f ca="1">IF(PAJAK[[#This Row],[//]]="","",INDEX(NOTA[TGL_H],PAJAK[[#This Row],[//]]-2))</f>
        <v>45183</v>
      </c>
      <c r="H23" s="17">
        <f ca="1">IF(PAJAK[[#This Row],[//]]="","",INDEX(INDIRECT("NOTA["&amp;PAJAK[#Headers]&amp;"]"),PAJAK[[#This Row],[//]]-2))</f>
        <v>45182</v>
      </c>
      <c r="I23" s="16" t="str">
        <f ca="1">IF(PAJAK[[#This Row],[//]]="","",INDEX(INDIRECT("NOTA["&amp;PAJAK[#Headers]&amp;"]"),PAJAK[[#This Row],[//]]-2))</f>
        <v>23091177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12462400</v>
      </c>
      <c r="L23" s="23">
        <f ca="1">IF(PAJAK[[#This Row],[//]]="","",SUMIF(NOTA[ID_H],PAJAK[[#This Row],[ID]],NOTA[DISC]))</f>
        <v>2118608</v>
      </c>
      <c r="M23" s="23">
        <f ca="1">PAJAK[[#This Row],[SUB TOTAL]]-PAJAK[[#This Row],[DISKON]]</f>
        <v>10343792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9318731.5315315314</v>
      </c>
      <c r="P23" s="23">
        <f ca="1">PAJAK[[#This Row],[DPP]]*PAJAK[[#This Row],[PPN]]</f>
        <v>1025060.4684684684</v>
      </c>
      <c r="Q23" s="23">
        <f ca="1">PAJAK[[#This Row],[DPP]]+PAJAK[[#This Row],[PPN 11%]]</f>
        <v>10343792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228</v>
      </c>
      <c r="B24" s="22">
        <f ca="1">HYPERLINK("[NOTA_.XLSX]NOTA!c"&amp;PAJAK[[#This Row],[//]],IF(PAJAK[[#This Row],[//]]="","",INDEX(INDIRECT("NOTA["&amp;PAJAK[#Headers]&amp;"]"),PAJAK[[#This Row],[//]]-2)))</f>
        <v>38</v>
      </c>
      <c r="C24" s="15" t="str">
        <f ca="1">IF(PAJAK[[#This Row],[//]]="","",INDEX(INDIRECT("NOTA["&amp;PAJAK[#Headers]&amp;"]"),PAJAK[[#This Row],[//]]-2))</f>
        <v>KEN_1409_114-3</v>
      </c>
      <c r="D24" s="15">
        <f ca="1">MATCH(PAJAK[[#This Row],[ID]],[6]!Table1[ID],0)</f>
        <v>14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KENKO SINAR INDONESIA</v>
      </c>
      <c r="G24" s="17">
        <f ca="1">IF(PAJAK[[#This Row],[//]]="","",INDEX(NOTA[TGL_H],PAJAK[[#This Row],[//]]-2))</f>
        <v>45183</v>
      </c>
      <c r="H24" s="17">
        <f ca="1">IF(PAJAK[[#This Row],[//]]="","",INDEX(INDIRECT("NOTA["&amp;PAJAK[#Headers]&amp;"]"),PAJAK[[#This Row],[//]]-2))</f>
        <v>45181</v>
      </c>
      <c r="I24" s="16" t="str">
        <f ca="1">IF(PAJAK[[#This Row],[//]]="","",INDEX(INDIRECT("NOTA["&amp;PAJAK[#Headers]&amp;"]"),PAJAK[[#This Row],[//]]-2))</f>
        <v>23091114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15011600</v>
      </c>
      <c r="L24" s="23">
        <f ca="1">IF(PAJAK[[#This Row],[//]]="","",SUMIF(NOTA[ID_H],PAJAK[[#This Row],[ID]],NOTA[DISC]))</f>
        <v>2551972.0000000005</v>
      </c>
      <c r="M24" s="23">
        <f ca="1">PAJAK[[#This Row],[SUB TOTAL]]-PAJAK[[#This Row],[DISKON]]</f>
        <v>12459628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11224890.090090089</v>
      </c>
      <c r="P24" s="23">
        <f ca="1">PAJAK[[#This Row],[DPP]]*PAJAK[[#This Row],[PPN]]</f>
        <v>1234737.9099099098</v>
      </c>
      <c r="Q24" s="23">
        <f ca="1">PAJAK[[#This Row],[DPP]]+PAJAK[[#This Row],[PPN 11%]]</f>
        <v>12459627.999999998</v>
      </c>
      <c r="R24" s="18" t="str">
        <f ca="1">IF(ISNUMBER(PAJAK[[#This Row],[//]]),PPN,"")</f>
        <v>11%</v>
      </c>
    </row>
    <row r="25" spans="1:18" x14ac:dyDescent="0.25">
      <c r="A25" s="3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232</v>
      </c>
      <c r="B25" s="31">
        <f ca="1">HYPERLINK("[NOTA_.XLSX]NOTA!c"&amp;PAJAK[[#This Row],[//]],IF(PAJAK[[#This Row],[//]]="","",INDEX(INDIRECT("NOTA["&amp;PAJAK[#Headers]&amp;"]"),PAJAK[[#This Row],[//]]-2)))</f>
        <v>39</v>
      </c>
      <c r="C25" s="30" t="str">
        <f ca="1">IF(PAJAK[[#This Row],[//]]="","",INDEX(INDIRECT("NOTA["&amp;PAJAK[#Headers]&amp;"]"),PAJAK[[#This Row],[//]]-2))</f>
        <v>KEN_1409_140-11</v>
      </c>
      <c r="D25" s="30">
        <f ca="1">MATCH(PAJAK[[#This Row],[ID]],[6]!Table1[ID],0)</f>
        <v>15</v>
      </c>
      <c r="E25" s="32">
        <f ca="1">IF(PAJAK[[#This Row],[ID]]="","",COUNTIF(NOTA[ID_H],PAJAK[[#This Row],[ID]]))</f>
        <v>11</v>
      </c>
      <c r="F25" s="27" t="str">
        <f ca="1">IF(PAJAK[[#This Row],[//]]="","",INDEX(CONV[2],MATCH(INDEX(INDIRECT("NOTA["&amp;PAJAK[#Headers]&amp;"]"),PAJAK[[#This Row],[//]]-2),CONV[1],0),0))</f>
        <v>PT KENKO SINAR INDONESIA</v>
      </c>
      <c r="G25" s="29">
        <f ca="1">IF(PAJAK[[#This Row],[//]]="","",INDEX(NOTA[TGL_H],PAJAK[[#This Row],[//]]-2))</f>
        <v>45183</v>
      </c>
      <c r="H25" s="29">
        <f ca="1">IF(PAJAK[[#This Row],[//]]="","",INDEX(INDIRECT("NOTA["&amp;PAJAK[#Headers]&amp;"]"),PAJAK[[#This Row],[//]]-2))</f>
        <v>45181</v>
      </c>
      <c r="I25" s="28" t="str">
        <f ca="1">IF(PAJAK[[#This Row],[//]]="","",INDEX(INDIRECT("NOTA["&amp;PAJAK[#Headers]&amp;"]"),PAJAK[[#This Row],[//]]-2))</f>
        <v>23091140</v>
      </c>
      <c r="J25" s="27" t="str">
        <f ca="1">IF(OR(PAJAK[[#This Row],[//]]="",INDEX(INDIRECT("NOTA["&amp;PAJAK[#Headers]&amp;"]"),PAJAK[[#This Row],[//]]-2)=""),"",INDEX(INDIRECT("NOTA["&amp;PAJAK[#Headers]&amp;"]"),PAJAK[[#This Row],[//]]-2))</f>
        <v/>
      </c>
      <c r="K25" s="33">
        <f ca="1">IF(PAJAK[[#This Row],[//]]="","",SUMIF(NOTA[ID_H],PAJAK[[#This Row],[ID]],NOTA[JUMLAH]))</f>
        <v>26663600</v>
      </c>
      <c r="L25" s="33">
        <f ca="1">IF(PAJAK[[#This Row],[//]]="","",SUMIF(NOTA[ID_H],PAJAK[[#This Row],[ID]],NOTA[DISC]))</f>
        <v>4532812</v>
      </c>
      <c r="M25" s="33">
        <f ca="1">PAJAK[[#This Row],[SUB TOTAL]]-PAJAK[[#This Row],[DISKON]]</f>
        <v>22130788</v>
      </c>
      <c r="N25" s="33">
        <f ca="1">IF(PAJAK[[#This Row],[//]]="","",INDEX(INDIRECT("NOTA["&amp;PAJAK[#Headers]&amp;"]"),PAJAK[[#This Row],[//]]-2+PAJAK[[#This Row],[QB]]-1))</f>
        <v>0</v>
      </c>
      <c r="O25" s="33">
        <f ca="1">(PAJAK[[#This Row],[SUB T-DISC]]-PAJAK[[#This Row],[DISC DLL]])/111%</f>
        <v>19937646.846846845</v>
      </c>
      <c r="P25" s="33">
        <f ca="1">PAJAK[[#This Row],[DPP]]*PAJAK[[#This Row],[PPN]]</f>
        <v>2193141.1531531531</v>
      </c>
      <c r="Q25" s="33">
        <f ca="1">PAJAK[[#This Row],[DPP]]+PAJAK[[#This Row],[PPN 11%]]</f>
        <v>22130788</v>
      </c>
      <c r="R25" s="34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244</v>
      </c>
      <c r="B26" s="21">
        <f ca="1">HYPERLINK("[NOTA_.XLSX]NOTA!c"&amp;PAJAK[[#This Row],[//]],IF(PAJAK[[#This Row],[//]]="","",INDEX(INDIRECT("NOTA["&amp;PAJAK[#Headers]&amp;"]"),PAJAK[[#This Row],[//]]-2)))</f>
        <v>40</v>
      </c>
      <c r="C26" s="19" t="str">
        <f ca="1">IF(PAJAK[[#This Row],[//]]="","",INDEX(INDIRECT("NOTA["&amp;PAJAK[#Headers]&amp;"]"),PAJAK[[#This Row],[//]]-2))</f>
        <v>SDI_1409_198-2</v>
      </c>
      <c r="D26" s="19">
        <f ca="1">MATCH(PAJAK[[#This Row],[ID]],[6]!Table1[ID],0)</f>
        <v>62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DWI TUNGGAL INDAH JAYA</v>
      </c>
      <c r="G26" s="17">
        <f ca="1">IF(PAJAK[[#This Row],[//]]="","",INDEX(NOTA[TGL_H],PAJAK[[#This Row],[//]]-2))</f>
        <v>45183</v>
      </c>
      <c r="H26" s="17">
        <f ca="1">IF(PAJAK[[#This Row],[//]]="","",INDEX(INDIRECT("NOTA["&amp;PAJAK[#Headers]&amp;"]"),PAJAK[[#This Row],[//]]-2))</f>
        <v>45181</v>
      </c>
      <c r="I26" s="16" t="str">
        <f ca="1">IF(PAJAK[[#This Row],[//]]="","",INDEX(INDIRECT("NOTA["&amp;PAJAK[#Headers]&amp;"]"),PAJAK[[#This Row],[//]]-2))</f>
        <v>SINV99-230900000198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4364027</v>
      </c>
      <c r="L26" s="23">
        <f ca="1">IF(PAJAK[[#This Row],[//]]="","",SUMIF(NOTA[ID_H],PAJAK[[#This Row],[ID]],NOTA[DISC]))</f>
        <v>0</v>
      </c>
      <c r="M26" s="23">
        <f ca="1">PAJAK[[#This Row],[SUB TOTAL]]-PAJAK[[#This Row],[DISKON]]</f>
        <v>4364027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3931555.8558558556</v>
      </c>
      <c r="P26" s="23">
        <f ca="1">PAJAK[[#This Row],[DPP]]*PAJAK[[#This Row],[PPN]]</f>
        <v>432471.14414414414</v>
      </c>
      <c r="Q26" s="23">
        <f ca="1">PAJAK[[#This Row],[DPP]]+PAJAK[[#This Row],[PPN 11%]]</f>
        <v>4364027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253</v>
      </c>
      <c r="B27" s="21">
        <f ca="1">HYPERLINK("[NOTA_.XLSX]NOTA!c"&amp;PAJAK[[#This Row],[//]],IF(PAJAK[[#This Row],[//]]="","",INDEX(INDIRECT("NOTA["&amp;PAJAK[#Headers]&amp;"]"),PAJAK[[#This Row],[//]]-2)))</f>
        <v>42</v>
      </c>
      <c r="C27" s="19" t="str">
        <f ca="1">IF(PAJAK[[#This Row],[//]]="","",INDEX(INDIRECT("NOTA["&amp;PAJAK[#Headers]&amp;"]"),PAJAK[[#This Row],[//]]-2))</f>
        <v>KEN_1609_397-3</v>
      </c>
      <c r="D27" s="19">
        <f ca="1">MATCH(PAJAK[[#This Row],[ID]],[6]!Table1[ID],0)</f>
        <v>17</v>
      </c>
      <c r="E27" s="20">
        <f ca="1">IF(PAJAK[[#This Row],[ID]]="","",COUNTIF(NOTA[ID_H],PAJAK[[#This Row],[ID]]))</f>
        <v>3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45185</v>
      </c>
      <c r="H27" s="17">
        <f ca="1">IF(PAJAK[[#This Row],[//]]="","",INDEX(INDIRECT("NOTA["&amp;PAJAK[#Headers]&amp;"]"),PAJAK[[#This Row],[//]]-2))</f>
        <v>45184</v>
      </c>
      <c r="I27" s="16" t="str">
        <f ca="1">IF(PAJAK[[#This Row],[//]]="","",INDEX(INDIRECT("NOTA["&amp;PAJAK[#Headers]&amp;"]"),PAJAK[[#This Row],[//]]-2))</f>
        <v>23091397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8982400</v>
      </c>
      <c r="L27" s="23">
        <f ca="1">IF(PAJAK[[#This Row],[//]]="","",SUMIF(NOTA[ID_H],PAJAK[[#This Row],[ID]],NOTA[DISC]))</f>
        <v>1527008</v>
      </c>
      <c r="M27" s="23">
        <f ca="1">PAJAK[[#This Row],[SUB TOTAL]]-PAJAK[[#This Row],[DISKON]]</f>
        <v>7455392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6716569.369369369</v>
      </c>
      <c r="P27" s="23">
        <f ca="1">PAJAK[[#This Row],[DPP]]*PAJAK[[#This Row],[PPN]]</f>
        <v>738822.63063063065</v>
      </c>
      <c r="Q27" s="23">
        <f ca="1">PAJAK[[#This Row],[DPP]]+PAJAK[[#This Row],[PPN 11%]]</f>
        <v>7455392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257</v>
      </c>
      <c r="B28" s="21">
        <f ca="1">HYPERLINK("[NOTA_.XLSX]NOTA!c"&amp;PAJAK[[#This Row],[//]],IF(PAJAK[[#This Row],[//]]="","",INDEX(INDIRECT("NOTA["&amp;PAJAK[#Headers]&amp;"]"),PAJAK[[#This Row],[//]]-2)))</f>
        <v>43</v>
      </c>
      <c r="C28" s="19" t="str">
        <f ca="1">IF(PAJAK[[#This Row],[//]]="","",INDEX(INDIRECT("NOTA["&amp;PAJAK[#Headers]&amp;"]"),PAJAK[[#This Row],[//]]-2))</f>
        <v>ATA_1609_213-4</v>
      </c>
      <c r="D28" s="19">
        <f ca="1">MATCH(PAJAK[[#This Row],[ID]],[6]!Table1[ID],0)</f>
        <v>37</v>
      </c>
      <c r="E28" s="20">
        <f ca="1">IF(PAJAK[[#This Row],[ID]]="","",COUNTIF(NOTA[ID_H],PAJAK[[#This Row],[ID]]))</f>
        <v>4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45185</v>
      </c>
      <c r="H28" s="17">
        <f ca="1">IF(PAJAK[[#This Row],[//]]="","",INDEX(INDIRECT("NOTA["&amp;PAJAK[#Headers]&amp;"]"),PAJAK[[#This Row],[//]]-2))</f>
        <v>45181</v>
      </c>
      <c r="I28" s="16" t="str">
        <f ca="1">IF(PAJAK[[#This Row],[//]]="","",INDEX(INDIRECT("NOTA["&amp;PAJAK[#Headers]&amp;"]"),PAJAK[[#This Row],[//]]-2))</f>
        <v>SA230916213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12410400</v>
      </c>
      <c r="L28" s="23">
        <f ca="1">IF(PAJAK[[#This Row],[//]]="","",SUMIF(NOTA[ID_H],PAJAK[[#This Row],[ID]],NOTA[DISC]))</f>
        <v>2094255</v>
      </c>
      <c r="M28" s="23">
        <f ca="1">PAJAK[[#This Row],[SUB TOTAL]]-PAJAK[[#This Row],[DISKON]]</f>
        <v>10316145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9293824.3243243229</v>
      </c>
      <c r="P28" s="23">
        <f ca="1">PAJAK[[#This Row],[DPP]]*PAJAK[[#This Row],[PPN]]</f>
        <v>1022320.6756756755</v>
      </c>
      <c r="Q28" s="23">
        <f ca="1">PAJAK[[#This Row],[DPP]]+PAJAK[[#This Row],[PPN 11%]]</f>
        <v>10316144.999999998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262</v>
      </c>
      <c r="B29" s="21">
        <f ca="1">HYPERLINK("[NOTA_.XLSX]NOTA!c"&amp;PAJAK[[#This Row],[//]],IF(PAJAK[[#This Row],[//]]="","",INDEX(INDIRECT("NOTA["&amp;PAJAK[#Headers]&amp;"]"),PAJAK[[#This Row],[//]]-2)))</f>
        <v>44</v>
      </c>
      <c r="C29" s="19" t="str">
        <f ca="1">IF(PAJAK[[#This Row],[//]]="","",INDEX(INDIRECT("NOTA["&amp;PAJAK[#Headers]&amp;"]"),PAJAK[[#This Row],[//]]-2))</f>
        <v>ATA_1609_235-11</v>
      </c>
      <c r="D29" s="19">
        <f ca="1">MATCH(PAJAK[[#This Row],[ID]],[6]!Table1[ID],0)</f>
        <v>38</v>
      </c>
      <c r="E29" s="20">
        <f ca="1">IF(PAJAK[[#This Row],[ID]]="","",COUNTIF(NOTA[ID_H],PAJAK[[#This Row],[ID]]))</f>
        <v>11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45185</v>
      </c>
      <c r="H29" s="17">
        <f ca="1">IF(PAJAK[[#This Row],[//]]="","",INDEX(INDIRECT("NOTA["&amp;PAJAK[#Headers]&amp;"]"),PAJAK[[#This Row],[//]]-2))</f>
        <v>45181</v>
      </c>
      <c r="I29" s="16" t="str">
        <f ca="1">IF(PAJAK[[#This Row],[//]]="","",INDEX(INDIRECT("NOTA["&amp;PAJAK[#Headers]&amp;"]"),PAJAK[[#This Row],[//]]-2))</f>
        <v>SA230916235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31660280</v>
      </c>
      <c r="L29" s="23">
        <f ca="1">IF(PAJAK[[#This Row],[//]]="","",SUMIF(NOTA[ID_H],PAJAK[[#This Row],[ID]],NOTA[DISC]))</f>
        <v>5342672.25</v>
      </c>
      <c r="M29" s="23">
        <f ca="1">PAJAK[[#This Row],[SUB TOTAL]]-PAJAK[[#This Row],[DISKON]]</f>
        <v>26317607.75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23709556.531531528</v>
      </c>
      <c r="P29" s="23">
        <f ca="1">PAJAK[[#This Row],[DPP]]*PAJAK[[#This Row],[PPN]]</f>
        <v>2608051.2184684682</v>
      </c>
      <c r="Q29" s="23">
        <f ca="1">PAJAK[[#This Row],[DPP]]+PAJAK[[#This Row],[PPN 11%]]</f>
        <v>26317607.749999996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274</v>
      </c>
      <c r="B30" s="21">
        <f ca="1">HYPERLINK("[NOTA_.XLSX]NOTA!c"&amp;PAJAK[[#This Row],[//]],IF(PAJAK[[#This Row],[//]]="","",INDEX(INDIRECT("NOTA["&amp;PAJAK[#Headers]&amp;"]"),PAJAK[[#This Row],[//]]-2)))</f>
        <v>45</v>
      </c>
      <c r="C30" s="19" t="str">
        <f ca="1">IF(PAJAK[[#This Row],[//]]="","",INDEX(INDIRECT("NOTA["&amp;PAJAK[#Headers]&amp;"]"),PAJAK[[#This Row],[//]]-2))</f>
        <v>ATA_1609_212-12</v>
      </c>
      <c r="D30" s="19">
        <f ca="1">MATCH(PAJAK[[#This Row],[ID]],[6]!Table1[ID],0)</f>
        <v>36</v>
      </c>
      <c r="E30" s="20">
        <f ca="1">IF(PAJAK[[#This Row],[ID]]="","",COUNTIF(NOTA[ID_H],PAJAK[[#This Row],[ID]]))</f>
        <v>12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45185</v>
      </c>
      <c r="H30" s="17">
        <f ca="1">IF(PAJAK[[#This Row],[//]]="","",INDEX(INDIRECT("NOTA["&amp;PAJAK[#Headers]&amp;"]"),PAJAK[[#This Row],[//]]-2))</f>
        <v>45181</v>
      </c>
      <c r="I30" s="16" t="str">
        <f ca="1">IF(PAJAK[[#This Row],[//]]="","",INDEX(INDIRECT("NOTA["&amp;PAJAK[#Headers]&amp;"]"),PAJAK[[#This Row],[//]]-2))</f>
        <v>SA230916212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37674400</v>
      </c>
      <c r="L30" s="23">
        <f ca="1">IF(PAJAK[[#This Row],[//]]="","",SUMIF(NOTA[ID_H],PAJAK[[#This Row],[ID]],NOTA[DISC]))</f>
        <v>6357555</v>
      </c>
      <c r="M30" s="23">
        <f ca="1">PAJAK[[#This Row],[SUB TOTAL]]-PAJAK[[#This Row],[DISKON]]</f>
        <v>31316845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28213373.873873871</v>
      </c>
      <c r="P30" s="23">
        <f ca="1">PAJAK[[#This Row],[DPP]]*PAJAK[[#This Row],[PPN]]</f>
        <v>3103471.1261261259</v>
      </c>
      <c r="Q30" s="23">
        <f ca="1">PAJAK[[#This Row],[DPP]]+PAJAK[[#This Row],[PPN 11%]]</f>
        <v>31316844.999999996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287</v>
      </c>
      <c r="B31" s="21">
        <f ca="1">HYPERLINK("[NOTA_.XLSX]NOTA!c"&amp;PAJAK[[#This Row],[//]],IF(PAJAK[[#This Row],[//]]="","",INDEX(INDIRECT("NOTA["&amp;PAJAK[#Headers]&amp;"]"),PAJAK[[#This Row],[//]]-2)))</f>
        <v>46</v>
      </c>
      <c r="C31" s="19" t="str">
        <f ca="1">IF(PAJAK[[#This Row],[//]]="","",INDEX(INDIRECT("NOTA["&amp;PAJAK[#Headers]&amp;"]"),PAJAK[[#This Row],[//]]-2))</f>
        <v>ATA_1609_290-1</v>
      </c>
      <c r="D31" s="19">
        <f ca="1">MATCH(PAJAK[[#This Row],[ID]],[6]!Table1[ID],0)</f>
        <v>39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45185</v>
      </c>
      <c r="H31" s="17">
        <f ca="1">IF(PAJAK[[#This Row],[//]]="","",INDEX(INDIRECT("NOTA["&amp;PAJAK[#Headers]&amp;"]"),PAJAK[[#This Row],[//]]-2))</f>
        <v>45182</v>
      </c>
      <c r="I31" s="16" t="str">
        <f ca="1">IF(PAJAK[[#This Row],[//]]="","",INDEX(INDIRECT("NOTA["&amp;PAJAK[#Headers]&amp;"]"),PAJAK[[#This Row],[//]]-2))</f>
        <v>SA230916290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8064000</v>
      </c>
      <c r="L31" s="23">
        <f ca="1">IF(PAJAK[[#This Row],[//]]="","",SUMIF(NOTA[ID_H],PAJAK[[#This Row],[ID]],NOTA[DISC]))</f>
        <v>1360800</v>
      </c>
      <c r="M31" s="23">
        <f ca="1">PAJAK[[#This Row],[SUB TOTAL]]-PAJAK[[#This Row],[DISKON]]</f>
        <v>6703200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6038918.9189189188</v>
      </c>
      <c r="P31" s="23">
        <f ca="1">PAJAK[[#This Row],[DPP]]*PAJAK[[#This Row],[PPN]]</f>
        <v>664281.08108108107</v>
      </c>
      <c r="Q31" s="23">
        <f ca="1">PAJAK[[#This Row],[DPP]]+PAJAK[[#This Row],[PPN 11%]]</f>
        <v>6703200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305</v>
      </c>
      <c r="B32" s="15">
        <f ca="1">HYPERLINK("[NOTA_.XLSX]NOTA!c"&amp;PAJAK[[#This Row],[//]],IF(PAJAK[[#This Row],[//]]="","",INDEX(INDIRECT("NOTA["&amp;PAJAK[#Headers]&amp;"]"),PAJAK[[#This Row],[//]]-2)))</f>
        <v>51</v>
      </c>
      <c r="C32" s="15" t="str">
        <f ca="1">IF(PAJAK[[#This Row],[//]]="","",INDEX(INDIRECT("NOTA["&amp;PAJAK[#Headers]&amp;"]"),PAJAK[[#This Row],[//]]-2))</f>
        <v>SAM_1809_553-7</v>
      </c>
      <c r="D32" s="15">
        <f ca="1">MATCH(PAJAK[[#This Row],[ID]],[6]!Table1[ID],0)</f>
        <v>57</v>
      </c>
      <c r="E32" s="16">
        <f ca="1">IF(PAJAK[[#This Row],[ID]]="","",COUNTIF(NOTA[ID_H],PAJAK[[#This Row],[ID]]))</f>
        <v>7</v>
      </c>
      <c r="F32" s="15" t="str">
        <f ca="1">IF(PAJAK[[#This Row],[//]]="","",INDEX(CONV[2],MATCH(INDEX(INDIRECT("NOTA["&amp;PAJAK[#Headers]&amp;"]"),PAJAK[[#This Row],[//]]-2),CONV[1],0),0))</f>
        <v>CV SAMUDERA ANGKASA JAYA</v>
      </c>
      <c r="G32" s="17">
        <f ca="1">IF(PAJAK[[#This Row],[//]]="","",INDEX(NOTA[TGL_H],PAJAK[[#This Row],[//]]-2))</f>
        <v>45187</v>
      </c>
      <c r="H32" s="17">
        <f ca="1">IF(PAJAK[[#This Row],[//]]="","",INDEX(INDIRECT("NOTA["&amp;PAJAK[#Headers]&amp;"]"),PAJAK[[#This Row],[//]]-2))</f>
        <v>45185</v>
      </c>
      <c r="I32" s="16" t="str">
        <f ca="1">IF(PAJAK[[#This Row],[//]]="","",INDEX(INDIRECT("NOTA["&amp;PAJAK[#Headers]&amp;"]"),PAJAK[[#This Row],[//]]-2))</f>
        <v>JL-16553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50962000</v>
      </c>
      <c r="L32" s="23">
        <f ca="1">IF(PAJAK[[#This Row],[//]]="","",SUMIF(NOTA[ID_H],PAJAK[[#This Row],[ID]],NOTA[DISC]))</f>
        <v>3567340.0000000005</v>
      </c>
      <c r="M32" s="23">
        <f ca="1">PAJAK[[#This Row],[SUB TOTAL]]-PAJAK[[#This Row],[DISKON]]</f>
        <v>47394660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42697891.891891889</v>
      </c>
      <c r="P32" s="23">
        <f ca="1">PAJAK[[#This Row],[DPP]]*PAJAK[[#This Row],[PPN]]</f>
        <v>4696768.1081081079</v>
      </c>
      <c r="Q32" s="23">
        <f ca="1">PAJAK[[#This Row],[DPP]]+PAJAK[[#This Row],[PPN 11%]]</f>
        <v>47394660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313</v>
      </c>
      <c r="B33" s="21">
        <f ca="1">HYPERLINK("[NOTA_.XLSX]NOTA!c"&amp;PAJAK[[#This Row],[//]],IF(PAJAK[[#This Row],[//]]="","",INDEX(INDIRECT("NOTA["&amp;PAJAK[#Headers]&amp;"]"),PAJAK[[#This Row],[//]]-2)))</f>
        <v>52</v>
      </c>
      <c r="C33" s="19" t="str">
        <f ca="1">IF(PAJAK[[#This Row],[//]]="","",INDEX(INDIRECT("NOTA["&amp;PAJAK[#Headers]&amp;"]"),PAJAK[[#This Row],[//]]-2))</f>
        <v>ATA_1809_347-9</v>
      </c>
      <c r="D33" s="19">
        <f ca="1">MATCH(PAJAK[[#This Row],[ID]],[6]!Table1[ID],0)</f>
        <v>40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45187</v>
      </c>
      <c r="H33" s="17">
        <f ca="1">IF(PAJAK[[#This Row],[//]]="","",INDEX(INDIRECT("NOTA["&amp;PAJAK[#Headers]&amp;"]"),PAJAK[[#This Row],[//]]-2))</f>
        <v>45183</v>
      </c>
      <c r="I33" s="16" t="str">
        <f ca="1">IF(PAJAK[[#This Row],[//]]="","",INDEX(INDIRECT("NOTA["&amp;PAJAK[#Headers]&amp;"]"),PAJAK[[#This Row],[//]]-2))</f>
        <v>SA230916347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16631600</v>
      </c>
      <c r="L33" s="23">
        <f ca="1">IF(PAJAK[[#This Row],[//]]="","",SUMIF(NOTA[ID_H],PAJAK[[#This Row],[ID]],NOTA[DISC]))</f>
        <v>2802820.5</v>
      </c>
      <c r="M33" s="23">
        <f ca="1">PAJAK[[#This Row],[SUB TOTAL]]-PAJAK[[#This Row],[DISKON]]</f>
        <v>13828779.5</v>
      </c>
      <c r="N33" s="23">
        <f ca="1">IF(PAJAK[[#This Row],[//]]="","",INDEX(INDIRECT("NOTA["&amp;PAJAK[#Headers]&amp;"]"),PAJAK[[#This Row],[//]]-2+PAJAK[[#This Row],[QB]]-1))</f>
        <v>135432</v>
      </c>
      <c r="O33" s="23">
        <f ca="1">(PAJAK[[#This Row],[SUB T-DISC]]-PAJAK[[#This Row],[DISC DLL]])/111%</f>
        <v>12336349.099099098</v>
      </c>
      <c r="P33" s="23">
        <f ca="1">PAJAK[[#This Row],[DPP]]*PAJAK[[#This Row],[PPN]]</f>
        <v>1356998.4009009008</v>
      </c>
      <c r="Q33" s="23">
        <f ca="1">PAJAK[[#This Row],[DPP]]+PAJAK[[#This Row],[PPN 11%]]</f>
        <v>13693347.499999998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323</v>
      </c>
      <c r="B34" s="15">
        <f ca="1">HYPERLINK("[NOTA_.XLSX]NOTA!c"&amp;PAJAK[[#This Row],[//]],IF(PAJAK[[#This Row],[//]]="","",INDEX(INDIRECT("NOTA["&amp;PAJAK[#Headers]&amp;"]"),PAJAK[[#This Row],[//]]-2)))</f>
        <v>53</v>
      </c>
      <c r="C34" s="15" t="str">
        <f ca="1">IF(PAJAK[[#This Row],[//]]="","",INDEX(INDIRECT("NOTA["&amp;PAJAK[#Headers]&amp;"]"),PAJAK[[#This Row],[//]]-2))</f>
        <v>ATA_1809_381-8</v>
      </c>
      <c r="D34" s="15">
        <f ca="1">MATCH(PAJAK[[#This Row],[ID]],[6]!Table1[ID],0)</f>
        <v>41</v>
      </c>
      <c r="E34" s="16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45187</v>
      </c>
      <c r="H34" s="17">
        <f ca="1">IF(PAJAK[[#This Row],[//]]="","",INDEX(INDIRECT("NOTA["&amp;PAJAK[#Headers]&amp;"]"),PAJAK[[#This Row],[//]]-2))</f>
        <v>45183</v>
      </c>
      <c r="I34" s="16" t="str">
        <f ca="1">IF(PAJAK[[#This Row],[//]]="","",INDEX(INDIRECT("NOTA["&amp;PAJAK[#Headers]&amp;"]"),PAJAK[[#This Row],[//]]-2))</f>
        <v>SA230916381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23309400</v>
      </c>
      <c r="L34" s="23">
        <f ca="1">IF(PAJAK[[#This Row],[//]]="","",SUMIF(NOTA[ID_H],PAJAK[[#This Row],[ID]],NOTA[DISC]))</f>
        <v>3933461.25</v>
      </c>
      <c r="M34" s="23">
        <f ca="1">PAJAK[[#This Row],[SUB TOTAL]]-PAJAK[[#This Row],[DISKON]]</f>
        <v>19375938.75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17455800.675675675</v>
      </c>
      <c r="P34" s="23">
        <f ca="1">PAJAK[[#This Row],[DPP]]*PAJAK[[#This Row],[PPN]]</f>
        <v>1920138.0743243243</v>
      </c>
      <c r="Q34" s="23">
        <f ca="1">PAJAK[[#This Row],[DPP]]+PAJAK[[#This Row],[PPN 11%]]</f>
        <v>19375938.75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332</v>
      </c>
      <c r="B35" s="21">
        <f ca="1">HYPERLINK("[NOTA_.XLSX]NOTA!c"&amp;PAJAK[[#This Row],[//]],IF(PAJAK[[#This Row],[//]]="","",INDEX(INDIRECT("NOTA["&amp;PAJAK[#Headers]&amp;"]"),PAJAK[[#This Row],[//]]-2)))</f>
        <v>54</v>
      </c>
      <c r="C35" s="19" t="str">
        <f ca="1">IF(PAJAK[[#This Row],[//]]="","",INDEX(INDIRECT("NOTA["&amp;PAJAK[#Headers]&amp;"]"),PAJAK[[#This Row],[//]]-2))</f>
        <v>KEN_1809_481-7</v>
      </c>
      <c r="D35" s="19">
        <f ca="1">MATCH(PAJAK[[#This Row],[ID]],[6]!Table1[ID],0)</f>
        <v>18</v>
      </c>
      <c r="E35" s="20">
        <f ca="1">IF(PAJAK[[#This Row],[ID]]="","",COUNTIF(NOTA[ID_H],PAJAK[[#This Row],[ID]]))</f>
        <v>7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45187</v>
      </c>
      <c r="H35" s="17">
        <f ca="1">IF(PAJAK[[#This Row],[//]]="","",INDEX(INDIRECT("NOTA["&amp;PAJAK[#Headers]&amp;"]"),PAJAK[[#This Row],[//]]-2))</f>
        <v>45185</v>
      </c>
      <c r="I35" s="16" t="str">
        <f ca="1">IF(PAJAK[[#This Row],[//]]="","",INDEX(INDIRECT("NOTA["&amp;PAJAK[#Headers]&amp;"]"),PAJAK[[#This Row],[//]]-2))</f>
        <v>23091481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20883000</v>
      </c>
      <c r="L35" s="23">
        <f ca="1">IF(PAJAK[[#This Row],[//]]="","",SUMIF(NOTA[ID_H],PAJAK[[#This Row],[ID]],NOTA[DISC]))</f>
        <v>3550110</v>
      </c>
      <c r="M35" s="23">
        <f ca="1">PAJAK[[#This Row],[SUB TOTAL]]-PAJAK[[#This Row],[DISKON]]</f>
        <v>17332890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15615216.216216214</v>
      </c>
      <c r="P35" s="23">
        <f ca="1">PAJAK[[#This Row],[DPP]]*PAJAK[[#This Row],[PPN]]</f>
        <v>1717673.7837837834</v>
      </c>
      <c r="Q35" s="23">
        <f ca="1">PAJAK[[#This Row],[DPP]]+PAJAK[[#This Row],[PPN 11%]]</f>
        <v>17332889.999999996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340</v>
      </c>
      <c r="B36" s="21">
        <f ca="1">HYPERLINK("[NOTA_.XLSX]NOTA!c"&amp;PAJAK[[#This Row],[//]],IF(PAJAK[[#This Row],[//]]="","",INDEX(INDIRECT("NOTA["&amp;PAJAK[#Headers]&amp;"]"),PAJAK[[#This Row],[//]]-2)))</f>
        <v>55</v>
      </c>
      <c r="C36" s="19" t="str">
        <f ca="1">IF(PAJAK[[#This Row],[//]]="","",INDEX(INDIRECT("NOTA["&amp;PAJAK[#Headers]&amp;"]"),PAJAK[[#This Row],[//]]-2))</f>
        <v>ATA_1809_502-3</v>
      </c>
      <c r="D36" s="19">
        <f ca="1">MATCH(PAJAK[[#This Row],[ID]],[6]!Table1[ID],0)</f>
        <v>45</v>
      </c>
      <c r="E36" s="20">
        <f ca="1">IF(PAJAK[[#This Row],[ID]]="","",COUNTIF(NOTA[ID_H],PAJAK[[#This Row],[ID]]))</f>
        <v>3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45187</v>
      </c>
      <c r="H36" s="17">
        <f ca="1">IF(PAJAK[[#This Row],[//]]="","",INDEX(INDIRECT("NOTA["&amp;PAJAK[#Headers]&amp;"]"),PAJAK[[#This Row],[//]]-2))</f>
        <v>45184</v>
      </c>
      <c r="I36" s="16" t="str">
        <f ca="1">IF(PAJAK[[#This Row],[//]]="","",INDEX(INDIRECT("NOTA["&amp;PAJAK[#Headers]&amp;"]"),PAJAK[[#This Row],[//]]-2))</f>
        <v>SA230916502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13960800</v>
      </c>
      <c r="L36" s="23">
        <f ca="1">IF(PAJAK[[#This Row],[//]]="","",SUMIF(NOTA[ID_H],PAJAK[[#This Row],[ID]],NOTA[DISC]))</f>
        <v>2348361</v>
      </c>
      <c r="M36" s="23">
        <f ca="1">PAJAK[[#This Row],[SUB TOTAL]]-PAJAK[[#This Row],[DISKON]]</f>
        <v>11612439</v>
      </c>
      <c r="N36" s="23">
        <f ca="1">IF(PAJAK[[#This Row],[//]]="","",INDEX(INDIRECT("NOTA["&amp;PAJAK[#Headers]&amp;"]"),PAJAK[[#This Row],[//]]-2+PAJAK[[#This Row],[QB]]-1))</f>
        <v>270864</v>
      </c>
      <c r="O36" s="23">
        <f ca="1">(PAJAK[[#This Row],[SUB T-DISC]]-PAJAK[[#This Row],[DISC DLL]])/111%</f>
        <v>10217635.135135135</v>
      </c>
      <c r="P36" s="23">
        <f ca="1">PAJAK[[#This Row],[DPP]]*PAJAK[[#This Row],[PPN]]</f>
        <v>1123939.8648648649</v>
      </c>
      <c r="Q36" s="23">
        <f ca="1">PAJAK[[#This Row],[DPP]]+PAJAK[[#This Row],[PPN 11%]]</f>
        <v>11341575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344</v>
      </c>
      <c r="B37" s="15">
        <f ca="1">HYPERLINK("[NOTA_.XLSX]NOTA!c"&amp;PAJAK[[#This Row],[//]],IF(PAJAK[[#This Row],[//]]="","",INDEX(INDIRECT("NOTA["&amp;PAJAK[#Headers]&amp;"]"),PAJAK[[#This Row],[//]]-2)))</f>
        <v>56</v>
      </c>
      <c r="C37" s="15" t="str">
        <f ca="1">IF(PAJAK[[#This Row],[//]]="","",INDEX(INDIRECT("NOTA["&amp;PAJAK[#Headers]&amp;"]"),PAJAK[[#This Row],[//]]-2))</f>
        <v>ATA_1809_446-2</v>
      </c>
      <c r="D37" s="15">
        <f ca="1">MATCH(PAJAK[[#This Row],[ID]],[6]!Table1[ID],0)</f>
        <v>42</v>
      </c>
      <c r="E37" s="16">
        <f ca="1">IF(PAJAK[[#This Row],[ID]]="","",COUNTIF(NOTA[ID_H],PAJAK[[#This Row],[ID]]))</f>
        <v>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45187</v>
      </c>
      <c r="H37" s="17">
        <f ca="1">IF(PAJAK[[#This Row],[//]]="","",INDEX(INDIRECT("NOTA["&amp;PAJAK[#Headers]&amp;"]"),PAJAK[[#This Row],[//]]-2))</f>
        <v>45184</v>
      </c>
      <c r="I37" s="16" t="str">
        <f ca="1">IF(PAJAK[[#This Row],[//]]="","",INDEX(INDIRECT("NOTA["&amp;PAJAK[#Headers]&amp;"]"),PAJAK[[#This Row],[//]]-2))</f>
        <v>SA230916446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11248000</v>
      </c>
      <c r="L37" s="23">
        <f ca="1">IF(PAJAK[[#This Row],[//]]="","",SUMIF(NOTA[ID_H],PAJAK[[#This Row],[ID]],NOTA[DISC]))</f>
        <v>1898100</v>
      </c>
      <c r="M37" s="23">
        <f ca="1">PAJAK[[#This Row],[SUB TOTAL]]-PAJAK[[#This Row],[DISKON]]</f>
        <v>9349900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8423333.3333333321</v>
      </c>
      <c r="P37" s="23">
        <f ca="1">PAJAK[[#This Row],[DPP]]*PAJAK[[#This Row],[PPN]]</f>
        <v>926566.66666666651</v>
      </c>
      <c r="Q37" s="23">
        <f ca="1">PAJAK[[#This Row],[DPP]]+PAJAK[[#This Row],[PPN 11%]]</f>
        <v>9349899.9999999981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347</v>
      </c>
      <c r="B38" s="21">
        <f ca="1">HYPERLINK("[NOTA_.XLSX]NOTA!c"&amp;PAJAK[[#This Row],[//]],IF(PAJAK[[#This Row],[//]]="","",INDEX(INDIRECT("NOTA["&amp;PAJAK[#Headers]&amp;"]"),PAJAK[[#This Row],[//]]-2)))</f>
        <v>57</v>
      </c>
      <c r="C38" s="19" t="str">
        <f ca="1">IF(PAJAK[[#This Row],[//]]="","",INDEX(INDIRECT("NOTA["&amp;PAJAK[#Headers]&amp;"]"),PAJAK[[#This Row],[//]]-2))</f>
        <v>ATA_1809_500-11</v>
      </c>
      <c r="D38" s="19">
        <f ca="1">MATCH(PAJAK[[#This Row],[ID]],[6]!Table1[ID],0)</f>
        <v>43</v>
      </c>
      <c r="E38" s="20">
        <f ca="1">IF(PAJAK[[#This Row],[ID]]="","",COUNTIF(NOTA[ID_H],PAJAK[[#This Row],[ID]]))</f>
        <v>11</v>
      </c>
      <c r="F38" s="15" t="str">
        <f ca="1">IF(PAJAK[[#This Row],[//]]="","",INDEX(CONV[2],MATCH(INDEX(INDIRECT("NOTA["&amp;PAJAK[#Headers]&amp;"]"),PAJAK[[#This Row],[//]]-2),CONV[1],0),0))</f>
        <v>PT ATALI MAKMUR</v>
      </c>
      <c r="G38" s="17">
        <f ca="1">IF(PAJAK[[#This Row],[//]]="","",INDEX(NOTA[TGL_H],PAJAK[[#This Row],[//]]-2))</f>
        <v>45187</v>
      </c>
      <c r="H38" s="17">
        <f ca="1">IF(PAJAK[[#This Row],[//]]="","",INDEX(INDIRECT("NOTA["&amp;PAJAK[#Headers]&amp;"]"),PAJAK[[#This Row],[//]]-2))</f>
        <v>45184</v>
      </c>
      <c r="I38" s="16" t="str">
        <f ca="1">IF(PAJAK[[#This Row],[//]]="","",INDEX(INDIRECT("NOTA["&amp;PAJAK[#Headers]&amp;"]"),PAJAK[[#This Row],[//]]-2))</f>
        <v>SA230916500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41452600</v>
      </c>
      <c r="L38" s="23">
        <f ca="1">IF(PAJAK[[#This Row],[//]]="","",SUMIF(NOTA[ID_H],PAJAK[[#This Row],[ID]],NOTA[DISC]))</f>
        <v>6995126.25</v>
      </c>
      <c r="M38" s="23">
        <f ca="1">PAJAK[[#This Row],[SUB TOTAL]]-PAJAK[[#This Row],[DISKON]]</f>
        <v>34457473.75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31042769.14414414</v>
      </c>
      <c r="P38" s="23">
        <f ca="1">PAJAK[[#This Row],[DPP]]*PAJAK[[#This Row],[PPN]]</f>
        <v>3414704.6058558556</v>
      </c>
      <c r="Q38" s="23">
        <f ca="1">PAJAK[[#This Row],[DPP]]+PAJAK[[#This Row],[PPN 11%]]</f>
        <v>34457473.749999993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359</v>
      </c>
      <c r="B39" s="21">
        <f ca="1">HYPERLINK("[NOTA_.XLSX]NOTA!c"&amp;PAJAK[[#This Row],[//]],IF(PAJAK[[#This Row],[//]]="","",INDEX(INDIRECT("NOTA["&amp;PAJAK[#Headers]&amp;"]"),PAJAK[[#This Row],[//]]-2)))</f>
        <v>58</v>
      </c>
      <c r="C39" s="19" t="str">
        <f ca="1">IF(PAJAK[[#This Row],[//]]="","",INDEX(INDIRECT("NOTA["&amp;PAJAK[#Headers]&amp;"]"),PAJAK[[#This Row],[//]]-2))</f>
        <v>ATA_1809_501-12</v>
      </c>
      <c r="D39" s="19">
        <f ca="1">MATCH(PAJAK[[#This Row],[ID]],[6]!Table1[ID],0)</f>
        <v>44</v>
      </c>
      <c r="E39" s="20">
        <f ca="1">IF(PAJAK[[#This Row],[ID]]="","",COUNTIF(NOTA[ID_H],PAJAK[[#This Row],[ID]]))</f>
        <v>12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45187</v>
      </c>
      <c r="H39" s="17">
        <f ca="1">IF(PAJAK[[#This Row],[//]]="","",INDEX(INDIRECT("NOTA["&amp;PAJAK[#Headers]&amp;"]"),PAJAK[[#This Row],[//]]-2))</f>
        <v>45184</v>
      </c>
      <c r="I39" s="16" t="str">
        <f ca="1">IF(PAJAK[[#This Row],[//]]="","",INDEX(INDIRECT("NOTA["&amp;PAJAK[#Headers]&amp;"]"),PAJAK[[#This Row],[//]]-2))</f>
        <v>SA230916501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49060200</v>
      </c>
      <c r="L39" s="23">
        <f ca="1">IF(PAJAK[[#This Row],[//]]="","",SUMIF(NOTA[ID_H],PAJAK[[#This Row],[ID]],NOTA[DISC]))</f>
        <v>8278908.75</v>
      </c>
      <c r="M39" s="23">
        <f ca="1">PAJAK[[#This Row],[SUB TOTAL]]-PAJAK[[#This Row],[DISKON]]</f>
        <v>40781291.25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36739902.027027026</v>
      </c>
      <c r="P39" s="23">
        <f ca="1">PAJAK[[#This Row],[DPP]]*PAJAK[[#This Row],[PPN]]</f>
        <v>4041389.2229729728</v>
      </c>
      <c r="Q39" s="23">
        <f ca="1">PAJAK[[#This Row],[DPP]]+PAJAK[[#This Row],[PPN 11%]]</f>
        <v>40781291.25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400</v>
      </c>
      <c r="B40" s="15">
        <f ca="1">HYPERLINK("[NOTA_.XLSX]NOTA!c"&amp;PAJAK[[#This Row],[//]],IF(PAJAK[[#This Row],[//]]="","",INDEX(INDIRECT("NOTA["&amp;PAJAK[#Headers]&amp;"]"),PAJAK[[#This Row],[//]]-2)))</f>
        <v>67</v>
      </c>
      <c r="C40" s="15" t="str">
        <f ca="1">IF(PAJAK[[#This Row],[//]]="","",INDEX(INDIRECT("NOTA["&amp;PAJAK[#Headers]&amp;"]"),PAJAK[[#This Row],[//]]-2))</f>
        <v>SAM_2009_554-8</v>
      </c>
      <c r="D40" s="15">
        <f ca="1">MATCH(PAJAK[[#This Row],[ID]],[6]!Table1[ID],0)</f>
        <v>58</v>
      </c>
      <c r="E40" s="16">
        <f ca="1">IF(PAJAK[[#This Row],[ID]]="","",COUNTIF(NOTA[ID_H],PAJAK[[#This Row],[ID]]))</f>
        <v>8</v>
      </c>
      <c r="F40" s="15" t="str">
        <f ca="1">IF(PAJAK[[#This Row],[//]]="","",INDEX(CONV[2],MATCH(INDEX(INDIRECT("NOTA["&amp;PAJAK[#Headers]&amp;"]"),PAJAK[[#This Row],[//]]-2),CONV[1],0),0))</f>
        <v>CV SAMUDERA ANGKASA JAYA</v>
      </c>
      <c r="G40" s="17">
        <f ca="1">IF(PAJAK[[#This Row],[//]]="","",INDEX(NOTA[TGL_H],PAJAK[[#This Row],[//]]-2))</f>
        <v>45189</v>
      </c>
      <c r="H40" s="17">
        <f ca="1">IF(PAJAK[[#This Row],[//]]="","",INDEX(INDIRECT("NOTA["&amp;PAJAK[#Headers]&amp;"]"),PAJAK[[#This Row],[//]]-2))</f>
        <v>45185</v>
      </c>
      <c r="I40" s="16" t="str">
        <f ca="1">IF(PAJAK[[#This Row],[//]]="","",INDEX(INDIRECT("NOTA["&amp;PAJAK[#Headers]&amp;"]"),PAJAK[[#This Row],[//]]-2))</f>
        <v>JL-16554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48856000</v>
      </c>
      <c r="L40" s="23">
        <f ca="1">IF(PAJAK[[#This Row],[//]]="","",SUMIF(NOTA[ID_H],PAJAK[[#This Row],[ID]],NOTA[DISC]))</f>
        <v>3419920</v>
      </c>
      <c r="M40" s="23">
        <f ca="1">PAJAK[[#This Row],[SUB TOTAL]]-PAJAK[[#This Row],[DISKON]]</f>
        <v>45436080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40933405.405405402</v>
      </c>
      <c r="P40" s="23">
        <f ca="1">PAJAK[[#This Row],[DPP]]*PAJAK[[#This Row],[PPN]]</f>
        <v>4502674.5945945941</v>
      </c>
      <c r="Q40" s="23">
        <f ca="1">PAJAK[[#This Row],[DPP]]+PAJAK[[#This Row],[PPN 11%]]</f>
        <v>45436080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418</v>
      </c>
      <c r="B41" s="21">
        <f ca="1">HYPERLINK("[NOTA_.XLSX]NOTA!c"&amp;PAJAK[[#This Row],[//]],IF(PAJAK[[#This Row],[//]]="","",INDEX(INDIRECT("NOTA["&amp;PAJAK[#Headers]&amp;"]"),PAJAK[[#This Row],[//]]-2)))</f>
        <v>71</v>
      </c>
      <c r="C41" s="19" t="str">
        <f ca="1">IF(PAJAK[[#This Row],[//]]="","",INDEX(INDIRECT("NOTA["&amp;PAJAK[#Headers]&amp;"]"),PAJAK[[#This Row],[//]]-2))</f>
        <v>ATA_2109_629-3</v>
      </c>
      <c r="D41" s="19">
        <f ca="1">MATCH(PAJAK[[#This Row],[ID]],[6]!Table1[ID],0)</f>
        <v>47</v>
      </c>
      <c r="E41" s="20">
        <f ca="1">IF(PAJAK[[#This Row],[ID]]="","",COUNTIF(NOTA[ID_H],PAJAK[[#This Row],[ID]]))</f>
        <v>3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45190</v>
      </c>
      <c r="H41" s="17">
        <f ca="1">IF(PAJAK[[#This Row],[//]]="","",INDEX(INDIRECT("NOTA["&amp;PAJAK[#Headers]&amp;"]"),PAJAK[[#This Row],[//]]-2))</f>
        <v>45187</v>
      </c>
      <c r="I41" s="16" t="str">
        <f ca="1">IF(PAJAK[[#This Row],[//]]="","",INDEX(INDIRECT("NOTA["&amp;PAJAK[#Headers]&amp;"]"),PAJAK[[#This Row],[//]]-2))</f>
        <v>SA230916629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8085600</v>
      </c>
      <c r="L41" s="23">
        <f ca="1">IF(PAJAK[[#This Row],[//]]="","",SUMIF(NOTA[ID_H],PAJAK[[#This Row],[ID]],NOTA[DISC]))</f>
        <v>1364445</v>
      </c>
      <c r="M41" s="23">
        <f ca="1">PAJAK[[#This Row],[SUB TOTAL]]-PAJAK[[#This Row],[DISKON]]</f>
        <v>6721155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6055094.5945945941</v>
      </c>
      <c r="P41" s="23">
        <f ca="1">PAJAK[[#This Row],[DPP]]*PAJAK[[#This Row],[PPN]]</f>
        <v>666060.40540540533</v>
      </c>
      <c r="Q41" s="23">
        <f ca="1">PAJAK[[#This Row],[DPP]]+PAJAK[[#This Row],[PPN 11%]]</f>
        <v>6721154.9999999991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422</v>
      </c>
      <c r="B42" s="21">
        <f ca="1">HYPERLINK("[NOTA_.XLSX]NOTA!c"&amp;PAJAK[[#This Row],[//]],IF(PAJAK[[#This Row],[//]]="","",INDEX(INDIRECT("NOTA["&amp;PAJAK[#Headers]&amp;"]"),PAJAK[[#This Row],[//]]-2)))</f>
        <v>72</v>
      </c>
      <c r="C42" s="19" t="str">
        <f ca="1">IF(PAJAK[[#This Row],[//]]="","",INDEX(INDIRECT("NOTA["&amp;PAJAK[#Headers]&amp;"]"),PAJAK[[#This Row],[//]]-2))</f>
        <v>ATA_2109_590-7</v>
      </c>
      <c r="D42" s="19">
        <f ca="1">MATCH(PAJAK[[#This Row],[ID]],[6]!Table1[ID],0)</f>
        <v>46</v>
      </c>
      <c r="E42" s="20">
        <f ca="1">IF(PAJAK[[#This Row],[ID]]="","",COUNTIF(NOTA[ID_H],PAJAK[[#This Row],[ID]]))</f>
        <v>7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45190</v>
      </c>
      <c r="H42" s="17">
        <f ca="1">IF(PAJAK[[#This Row],[//]]="","",INDEX(INDIRECT("NOTA["&amp;PAJAK[#Headers]&amp;"]"),PAJAK[[#This Row],[//]]-2))</f>
        <v>45187</v>
      </c>
      <c r="I42" s="16" t="str">
        <f ca="1">IF(PAJAK[[#This Row],[//]]="","",INDEX(INDIRECT("NOTA["&amp;PAJAK[#Headers]&amp;"]"),PAJAK[[#This Row],[//]]-2))</f>
        <v>SA230916590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11652600</v>
      </c>
      <c r="L42" s="23">
        <f ca="1">IF(PAJAK[[#This Row],[//]]="","",SUMIF(NOTA[ID_H],PAJAK[[#This Row],[ID]],NOTA[DISC]))</f>
        <v>1962614.25</v>
      </c>
      <c r="M42" s="23">
        <f ca="1">PAJAK[[#This Row],[SUB TOTAL]]-PAJAK[[#This Row],[DISKON]]</f>
        <v>9689985.75</v>
      </c>
      <c r="N42" s="23">
        <f ca="1">IF(PAJAK[[#This Row],[//]]="","",INDEX(INDIRECT("NOTA["&amp;PAJAK[#Headers]&amp;"]"),PAJAK[[#This Row],[//]]-2+PAJAK[[#This Row],[QB]]-1))</f>
        <v>135432</v>
      </c>
      <c r="O42" s="23">
        <f ca="1">(PAJAK[[#This Row],[SUB T-DISC]]-PAJAK[[#This Row],[DISC DLL]])/111%</f>
        <v>8607706.0810810812</v>
      </c>
      <c r="P42" s="23">
        <f ca="1">PAJAK[[#This Row],[DPP]]*PAJAK[[#This Row],[PPN]]</f>
        <v>946847.66891891893</v>
      </c>
      <c r="Q42" s="23">
        <f ca="1">PAJAK[[#This Row],[DPP]]+PAJAK[[#This Row],[PPN 11%]]</f>
        <v>9554553.75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430</v>
      </c>
      <c r="B43" s="21">
        <f ca="1">HYPERLINK("[NOTA_.XLSX]NOTA!c"&amp;PAJAK[[#This Row],[//]],IF(PAJAK[[#This Row],[//]]="","",INDEX(INDIRECT("NOTA["&amp;PAJAK[#Headers]&amp;"]"),PAJAK[[#This Row],[//]]-2)))</f>
        <v>73</v>
      </c>
      <c r="C43" s="19" t="str">
        <f ca="1">IF(PAJAK[[#This Row],[//]]="","",INDEX(INDIRECT("NOTA["&amp;PAJAK[#Headers]&amp;"]"),PAJAK[[#This Row],[//]]-2))</f>
        <v>KEN_2109_564-2</v>
      </c>
      <c r="D43" s="19">
        <f ca="1">MATCH(PAJAK[[#This Row],[ID]],[6]!Table1[ID],0)</f>
        <v>19</v>
      </c>
      <c r="E43" s="20">
        <f ca="1">IF(PAJAK[[#This Row],[ID]]="","",COUNTIF(NOTA[ID_H],PAJAK[[#This Row],[ID]]))</f>
        <v>2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45190</v>
      </c>
      <c r="H43" s="17">
        <f ca="1">IF(PAJAK[[#This Row],[//]]="","",INDEX(INDIRECT("NOTA["&amp;PAJAK[#Headers]&amp;"]"),PAJAK[[#This Row],[//]]-2))</f>
        <v>45187</v>
      </c>
      <c r="I43" s="16" t="str">
        <f ca="1">IF(PAJAK[[#This Row],[//]]="","",INDEX(INDIRECT("NOTA["&amp;PAJAK[#Headers]&amp;"]"),PAJAK[[#This Row],[//]]-2))</f>
        <v>23091564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12301200</v>
      </c>
      <c r="L43" s="23">
        <f ca="1">IF(PAJAK[[#This Row],[//]]="","",SUMIF(NOTA[ID_H],PAJAK[[#This Row],[ID]],NOTA[DISC]))</f>
        <v>2091204.0000000002</v>
      </c>
      <c r="M43" s="23">
        <f ca="1">PAJAK[[#This Row],[SUB TOTAL]]-PAJAK[[#This Row],[DISKON]]</f>
        <v>10209996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9198194.5945945941</v>
      </c>
      <c r="P43" s="23">
        <f ca="1">PAJAK[[#This Row],[DPP]]*PAJAK[[#This Row],[PPN]]</f>
        <v>1011801.4054054053</v>
      </c>
      <c r="Q43" s="23">
        <f ca="1">PAJAK[[#This Row],[DPP]]+PAJAK[[#This Row],[PPN 11%]]</f>
        <v>10209996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433</v>
      </c>
      <c r="B44" s="21">
        <f ca="1">HYPERLINK("[NOTA_.XLSX]NOTA!c"&amp;PAJAK[[#This Row],[//]],IF(PAJAK[[#This Row],[//]]="","",INDEX(INDIRECT("NOTA["&amp;PAJAK[#Headers]&amp;"]"),PAJAK[[#This Row],[//]]-2)))</f>
        <v>74</v>
      </c>
      <c r="C44" s="19" t="str">
        <f ca="1">IF(PAJAK[[#This Row],[//]]="","",INDEX(INDIRECT("NOTA["&amp;PAJAK[#Headers]&amp;"]"),PAJAK[[#This Row],[//]]-2))</f>
        <v>KEN_2109_884-4</v>
      </c>
      <c r="D44" s="19">
        <f ca="1">MATCH(PAJAK[[#This Row],[ID]],[6]!Table1[ID],0)</f>
        <v>21</v>
      </c>
      <c r="E44" s="20">
        <f ca="1">IF(PAJAK[[#This Row],[ID]]="","",COUNTIF(NOTA[ID_H],PAJAK[[#This Row],[ID]]))</f>
        <v>4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45190</v>
      </c>
      <c r="H44" s="17">
        <f ca="1">IF(PAJAK[[#This Row],[//]]="","",INDEX(INDIRECT("NOTA["&amp;PAJAK[#Headers]&amp;"]"),PAJAK[[#This Row],[//]]-2))</f>
        <v>45190</v>
      </c>
      <c r="I44" s="16" t="str">
        <f ca="1">IF(PAJAK[[#This Row],[//]]="","",INDEX(INDIRECT("NOTA["&amp;PAJAK[#Headers]&amp;"]"),PAJAK[[#This Row],[//]]-2))</f>
        <v>23091884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15415200</v>
      </c>
      <c r="L44" s="23">
        <f ca="1">IF(PAJAK[[#This Row],[//]]="","",SUMIF(NOTA[ID_H],PAJAK[[#This Row],[ID]],NOTA[DISC]))</f>
        <v>2620584</v>
      </c>
      <c r="M44" s="23">
        <f ca="1">PAJAK[[#This Row],[SUB TOTAL]]-PAJAK[[#This Row],[DISKON]]</f>
        <v>12794616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11526681.081081079</v>
      </c>
      <c r="P44" s="23">
        <f ca="1">PAJAK[[#This Row],[DPP]]*PAJAK[[#This Row],[PPN]]</f>
        <v>1267934.9189189188</v>
      </c>
      <c r="Q44" s="23">
        <f ca="1">PAJAK[[#This Row],[DPP]]+PAJAK[[#This Row],[PPN 11%]]</f>
        <v>12794615.999999998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438</v>
      </c>
      <c r="B45" s="27">
        <f ca="1">HYPERLINK("[NOTA_.XLSX]NOTA!c"&amp;PAJAK[[#This Row],[//]],IF(PAJAK[[#This Row],[//]]="","",INDEX(INDIRECT("NOTA["&amp;PAJAK[#Headers]&amp;"]"),PAJAK[[#This Row],[//]]-2)))</f>
        <v>75</v>
      </c>
      <c r="C45" s="27" t="str">
        <f ca="1">IF(PAJAK[[#This Row],[//]]="","",INDEX(INDIRECT("NOTA["&amp;PAJAK[#Headers]&amp;"]"),PAJAK[[#This Row],[//]]-2))</f>
        <v>KEN_2109_769-2</v>
      </c>
      <c r="D45" s="27">
        <f ca="1">MATCH(PAJAK[[#This Row],[ID]],[6]!Table1[ID],0)</f>
        <v>20</v>
      </c>
      <c r="E45" s="28">
        <f ca="1">IF(PAJAK[[#This Row],[ID]]="","",COUNTIF(NOTA[ID_H],PAJAK[[#This Row],[ID]]))</f>
        <v>2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45190</v>
      </c>
      <c r="H45" s="29">
        <f ca="1">IF(PAJAK[[#This Row],[//]]="","",INDEX(INDIRECT("NOTA["&amp;PAJAK[#Headers]&amp;"]"),PAJAK[[#This Row],[//]]-2))</f>
        <v>45189</v>
      </c>
      <c r="I45" s="28" t="str">
        <f ca="1">IF(PAJAK[[#This Row],[//]]="","",INDEX(INDIRECT("NOTA["&amp;PAJAK[#Headers]&amp;"]"),PAJAK[[#This Row],[//]]-2))</f>
        <v>23091769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7411200</v>
      </c>
      <c r="L45" s="33">
        <f ca="1">IF(PAJAK[[#This Row],[//]]="","",SUMIF(NOTA[ID_H],PAJAK[[#This Row],[ID]],NOTA[DISC]))</f>
        <v>1259904</v>
      </c>
      <c r="M45" s="33">
        <f ca="1">PAJAK[[#This Row],[SUB TOTAL]]-PAJAK[[#This Row],[DISKON]]</f>
        <v>6151296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5541708.1081081079</v>
      </c>
      <c r="P45" s="33">
        <f ca="1">PAJAK[[#This Row],[DPP]]*PAJAK[[#This Row],[PPN]]</f>
        <v>609587.89189189184</v>
      </c>
      <c r="Q45" s="33">
        <f ca="1">PAJAK[[#This Row],[DPP]]+PAJAK[[#This Row],[PPN 11%]]</f>
        <v>6151296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441</v>
      </c>
      <c r="B46" s="21">
        <f ca="1">HYPERLINK("[NOTA_.XLSX]NOTA!c"&amp;PAJAK[[#This Row],[//]],IF(PAJAK[[#This Row],[//]]="","",INDEX(INDIRECT("NOTA["&amp;PAJAK[#Headers]&amp;"]"),PAJAK[[#This Row],[//]]-2)))</f>
        <v>76</v>
      </c>
      <c r="C46" s="19" t="str">
        <f ca="1">IF(PAJAK[[#This Row],[//]]="","",INDEX(INDIRECT("NOTA["&amp;PAJAK[#Headers]&amp;"]"),PAJAK[[#This Row],[//]]-2))</f>
        <v>ATA_2109_668-11</v>
      </c>
      <c r="D46" s="19">
        <f ca="1">MATCH(PAJAK[[#This Row],[ID]],[6]!Table1[ID],0)</f>
        <v>48</v>
      </c>
      <c r="E46" s="20">
        <f ca="1">IF(PAJAK[[#This Row],[ID]]="","",COUNTIF(NOTA[ID_H],PAJAK[[#This Row],[ID]]))</f>
        <v>11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45190</v>
      </c>
      <c r="H46" s="17">
        <f ca="1">IF(PAJAK[[#This Row],[//]]="","",INDEX(INDIRECT("NOTA["&amp;PAJAK[#Headers]&amp;"]"),PAJAK[[#This Row],[//]]-2))</f>
        <v>45188</v>
      </c>
      <c r="I46" s="16" t="str">
        <f ca="1">IF(PAJAK[[#This Row],[//]]="","",INDEX(INDIRECT("NOTA["&amp;PAJAK[#Headers]&amp;"]"),PAJAK[[#This Row],[//]]-2))</f>
        <v>SA230916668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21525600</v>
      </c>
      <c r="L46" s="23">
        <f ca="1">IF(PAJAK[[#This Row],[//]]="","",SUMIF(NOTA[ID_H],PAJAK[[#This Row],[ID]],NOTA[DISC]))</f>
        <v>3632445</v>
      </c>
      <c r="M46" s="23">
        <f ca="1">PAJAK[[#This Row],[SUB TOTAL]]-PAJAK[[#This Row],[DISKON]]</f>
        <v>17893155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16119959.459459458</v>
      </c>
      <c r="P46" s="23">
        <f ca="1">PAJAK[[#This Row],[DPP]]*PAJAK[[#This Row],[PPN]]</f>
        <v>1773195.5405405404</v>
      </c>
      <c r="Q46" s="23">
        <f ca="1">PAJAK[[#This Row],[DPP]]+PAJAK[[#This Row],[PPN 11%]]</f>
        <v>17893154.999999996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453</v>
      </c>
      <c r="B47" s="21">
        <f ca="1">HYPERLINK("[NOTA_.XLSX]NOTA!c"&amp;PAJAK[[#This Row],[//]],IF(PAJAK[[#This Row],[//]]="","",INDEX(INDIRECT("NOTA["&amp;PAJAK[#Headers]&amp;"]"),PAJAK[[#This Row],[//]]-2)))</f>
        <v>77</v>
      </c>
      <c r="C47" s="19" t="str">
        <f ca="1">IF(PAJAK[[#This Row],[//]]="","",INDEX(INDIRECT("NOTA["&amp;PAJAK[#Headers]&amp;"]"),PAJAK[[#This Row],[//]]-2))</f>
        <v>KAL_2109_177-10</v>
      </c>
      <c r="D47" s="19">
        <f ca="1">MATCH(PAJAK[[#This Row],[ID]],[6]!Table1[ID],0)</f>
        <v>66</v>
      </c>
      <c r="E47" s="20">
        <f ca="1">IF(PAJAK[[#This Row],[ID]]="","",COUNTIF(NOTA[ID_H],PAJAK[[#This Row],[ID]]))</f>
        <v>10</v>
      </c>
      <c r="F47" s="15" t="str">
        <f ca="1">IF(PAJAK[[#This Row],[//]]="","",INDEX(CONV[2],MATCH(INDEX(INDIRECT("NOTA["&amp;PAJAK[#Headers]&amp;"]"),PAJAK[[#This Row],[//]]-2),CONV[1],0),0))</f>
        <v>PT KALINDO SUKSES</v>
      </c>
      <c r="G47" s="17">
        <f ca="1">IF(PAJAK[[#This Row],[//]]="","",INDEX(NOTA[TGL_H],PAJAK[[#This Row],[//]]-2))</f>
        <v>45190</v>
      </c>
      <c r="H47" s="17">
        <f ca="1">IF(PAJAK[[#This Row],[//]]="","",INDEX(INDIRECT("NOTA["&amp;PAJAK[#Headers]&amp;"]"),PAJAK[[#This Row],[//]]-2))</f>
        <v>45189</v>
      </c>
      <c r="I47" s="16" t="str">
        <f ca="1">IF(PAJAK[[#This Row],[//]]="","",INDEX(INDIRECT("NOTA["&amp;PAJAK[#Headers]&amp;"]"),PAJAK[[#This Row],[//]]-2))</f>
        <v>SN23092177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40540000</v>
      </c>
      <c r="L47" s="23">
        <f ca="1">IF(PAJAK[[#This Row],[//]]="","",SUMIF(NOTA[ID_H],PAJAK[[#This Row],[ID]],NOTA[DISC]))</f>
        <v>6841125</v>
      </c>
      <c r="M47" s="23">
        <f ca="1">PAJAK[[#This Row],[SUB TOTAL]]-PAJAK[[#This Row],[DISKON]]</f>
        <v>33698875</v>
      </c>
      <c r="N47" s="23">
        <f ca="1">IF(PAJAK[[#This Row],[//]]="","",INDEX(INDIRECT("NOTA["&amp;PAJAK[#Headers]&amp;"]"),PAJAK[[#This Row],[//]]-2+PAJAK[[#This Row],[QB]]-1))</f>
        <v>529595.00190000061</v>
      </c>
      <c r="O47" s="23">
        <f ca="1">(PAJAK[[#This Row],[SUB T-DISC]]-PAJAK[[#This Row],[DISC DLL]])/111%</f>
        <v>29882234.232522517</v>
      </c>
      <c r="P47" s="23">
        <f ca="1">PAJAK[[#This Row],[DPP]]*PAJAK[[#This Row],[PPN]]</f>
        <v>3287045.7655774769</v>
      </c>
      <c r="Q47" s="23">
        <f ca="1">PAJAK[[#This Row],[DPP]]+PAJAK[[#This Row],[PPN 11%]]</f>
        <v>33169279.998099994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464</v>
      </c>
      <c r="B48" s="22">
        <f ca="1">HYPERLINK("[NOTA_.XLSX]NOTA!c"&amp;PAJAK[[#This Row],[//]],IF(PAJAK[[#This Row],[//]]="","",INDEX(INDIRECT("NOTA["&amp;PAJAK[#Headers]&amp;"]"),PAJAK[[#This Row],[//]]-2)))</f>
        <v>78</v>
      </c>
      <c r="C48" s="15" t="str">
        <f ca="1">IF(PAJAK[[#This Row],[//]]="","",INDEX(INDIRECT("NOTA["&amp;PAJAK[#Headers]&amp;"]"),PAJAK[[#This Row],[//]]-2))</f>
        <v>ATA_2109_775-3</v>
      </c>
      <c r="D48" s="15">
        <f ca="1">MATCH(PAJAK[[#This Row],[ID]],[6]!Table1[ID],0)</f>
        <v>49</v>
      </c>
      <c r="E48" s="16">
        <f ca="1">IF(PAJAK[[#This Row],[ID]]="","",COUNTIF(NOTA[ID_H],PAJAK[[#This Row],[ID]]))</f>
        <v>3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45190</v>
      </c>
      <c r="H48" s="17">
        <f ca="1">IF(PAJAK[[#This Row],[//]]="","",INDEX(INDIRECT("NOTA["&amp;PAJAK[#Headers]&amp;"]"),PAJAK[[#This Row],[//]]-2))</f>
        <v>45190</v>
      </c>
      <c r="I48" s="16" t="str">
        <f ca="1">IF(PAJAK[[#This Row],[//]]="","",INDEX(INDIRECT("NOTA["&amp;PAJAK[#Headers]&amp;"]"),PAJAK[[#This Row],[//]]-2))</f>
        <v>SA230916775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4659400</v>
      </c>
      <c r="L48" s="23">
        <f ca="1">IF(PAJAK[[#This Row],[//]]="","",SUMIF(NOTA[ID_H],PAJAK[[#This Row],[ID]],NOTA[DISC]))</f>
        <v>786273.75</v>
      </c>
      <c r="M48" s="23">
        <f ca="1">PAJAK[[#This Row],[SUB TOTAL]]-PAJAK[[#This Row],[DISKON]]</f>
        <v>3873126.25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3489302.9279279276</v>
      </c>
      <c r="P48" s="23">
        <f ca="1">PAJAK[[#This Row],[DPP]]*PAJAK[[#This Row],[PPN]]</f>
        <v>383823.32207207201</v>
      </c>
      <c r="Q48" s="23">
        <f ca="1">PAJAK[[#This Row],[DPP]]+PAJAK[[#This Row],[PPN 11%]]</f>
        <v>3873126.2499999995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468</v>
      </c>
      <c r="B49" s="15">
        <f ca="1">HYPERLINK("[NOTA_.XLSX]NOTA!c"&amp;PAJAK[[#This Row],[//]],IF(PAJAK[[#This Row],[//]]="","",INDEX(INDIRECT("NOTA["&amp;PAJAK[#Headers]&amp;"]"),PAJAK[[#This Row],[//]]-2)))</f>
        <v>79</v>
      </c>
      <c r="C49" s="15" t="str">
        <f ca="1">IF(PAJAK[[#This Row],[//]]="","",INDEX(INDIRECT("NOTA["&amp;PAJAK[#Headers]&amp;"]"),PAJAK[[#This Row],[//]]-2))</f>
        <v>ATA_2109_817-1</v>
      </c>
      <c r="D49" s="15">
        <f ca="1">MATCH(PAJAK[[#This Row],[ID]],[6]!Table1[ID],0)</f>
        <v>50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45190</v>
      </c>
      <c r="H49" s="17">
        <f ca="1">IF(PAJAK[[#This Row],[//]]="","",INDEX(INDIRECT("NOTA["&amp;PAJAK[#Headers]&amp;"]"),PAJAK[[#This Row],[//]]-2))</f>
        <v>45190</v>
      </c>
      <c r="I49" s="16" t="str">
        <f ca="1">IF(PAJAK[[#This Row],[//]]="","",INDEX(INDIRECT("NOTA["&amp;PAJAK[#Headers]&amp;"]"),PAJAK[[#This Row],[//]]-2))</f>
        <v>SA230916817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2572800</v>
      </c>
      <c r="L49" s="23">
        <f ca="1">IF(PAJAK[[#This Row],[//]]="","",SUMIF(NOTA[ID_H],PAJAK[[#This Row],[ID]],NOTA[DISC]))</f>
        <v>434160</v>
      </c>
      <c r="M49" s="23">
        <f ca="1">PAJAK[[#This Row],[SUB TOTAL]]-PAJAK[[#This Row],[DISKON]]</f>
        <v>2138640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1926702.7027027025</v>
      </c>
      <c r="P49" s="23">
        <f ca="1">PAJAK[[#This Row],[DPP]]*PAJAK[[#This Row],[PPN]]</f>
        <v>211937.29729729728</v>
      </c>
      <c r="Q49" s="23">
        <f ca="1">PAJAK[[#This Row],[DPP]]+PAJAK[[#This Row],[PPN 11%]]</f>
        <v>2138640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517</v>
      </c>
      <c r="B50" s="21">
        <f ca="1">HYPERLINK("[NOTA_.XLSX]NOTA!c"&amp;PAJAK[[#This Row],[//]],IF(PAJAK[[#This Row],[//]]="","",INDEX(INDIRECT("NOTA["&amp;PAJAK[#Headers]&amp;"]"),PAJAK[[#This Row],[//]]-2)))</f>
        <v>93</v>
      </c>
      <c r="C50" s="19" t="str">
        <f ca="1">IF(PAJAK[[#This Row],[//]]="","",INDEX(INDIRECT("NOTA["&amp;PAJAK[#Headers]&amp;"]"),PAJAK[[#This Row],[//]]-2))</f>
        <v>KEN_2709_078-5</v>
      </c>
      <c r="D50" s="19">
        <f ca="1">MATCH(PAJAK[[#This Row],[ID]],[6]!Table1[ID],0)</f>
        <v>24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45196</v>
      </c>
      <c r="H50" s="17">
        <f ca="1">IF(PAJAK[[#This Row],[//]]="","",INDEX(INDIRECT("NOTA["&amp;PAJAK[#Headers]&amp;"]"),PAJAK[[#This Row],[//]]-2))</f>
        <v>45192</v>
      </c>
      <c r="I50" s="16" t="str">
        <f ca="1">IF(PAJAK[[#This Row],[//]]="","",INDEX(INDIRECT("NOTA["&amp;PAJAK[#Headers]&amp;"]"),PAJAK[[#This Row],[//]]-2))</f>
        <v>23092078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31312800</v>
      </c>
      <c r="L50" s="23">
        <f ca="1">IF(PAJAK[[#This Row],[//]]="","",SUMIF(NOTA[ID_H],PAJAK[[#This Row],[ID]],NOTA[DISC]))</f>
        <v>5323176</v>
      </c>
      <c r="M50" s="23">
        <f ca="1">PAJAK[[#This Row],[SUB TOTAL]]-PAJAK[[#This Row],[DISKON]]</f>
        <v>25989624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23414075.675675675</v>
      </c>
      <c r="P50" s="23">
        <f ca="1">PAJAK[[#This Row],[DPP]]*PAJAK[[#This Row],[PPN]]</f>
        <v>2575548.3243243243</v>
      </c>
      <c r="Q50" s="23">
        <f ca="1">PAJAK[[#This Row],[DPP]]+PAJAK[[#This Row],[PPN 11%]]</f>
        <v>25989624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523</v>
      </c>
      <c r="B51" s="22">
        <f ca="1">HYPERLINK("[NOTA_.XLSX]NOTA!c"&amp;PAJAK[[#This Row],[//]],IF(PAJAK[[#This Row],[//]]="","",INDEX(INDIRECT("NOTA["&amp;PAJAK[#Headers]&amp;"]"),PAJAK[[#This Row],[//]]-2)))</f>
        <v>94</v>
      </c>
      <c r="C51" s="15" t="str">
        <f ca="1">IF(PAJAK[[#This Row],[//]]="","",INDEX(INDIRECT("NOTA["&amp;PAJAK[#Headers]&amp;"]"),PAJAK[[#This Row],[//]]-2))</f>
        <v>KEN_2709_995-8</v>
      </c>
      <c r="D51" s="15">
        <f ca="1">MATCH(PAJAK[[#This Row],[ID]],[6]!Table1[ID],0)</f>
        <v>23</v>
      </c>
      <c r="E51" s="16">
        <f ca="1">IF(PAJAK[[#This Row],[ID]]="","",COUNTIF(NOTA[ID_H],PAJAK[[#This Row],[ID]]))</f>
        <v>8</v>
      </c>
      <c r="F51" s="15" t="str">
        <f ca="1">IF(PAJAK[[#This Row],[//]]="","",INDEX(CONV[2],MATCH(INDEX(INDIRECT("NOTA["&amp;PAJAK[#Headers]&amp;"]"),PAJAK[[#This Row],[//]]-2),CONV[1],0),0))</f>
        <v>PT KENKO SINAR INDONESIA</v>
      </c>
      <c r="G51" s="17">
        <f ca="1">IF(PAJAK[[#This Row],[//]]="","",INDEX(NOTA[TGL_H],PAJAK[[#This Row],[//]]-2))</f>
        <v>45196</v>
      </c>
      <c r="H51" s="17">
        <f ca="1">IF(PAJAK[[#This Row],[//]]="","",INDEX(INDIRECT("NOTA["&amp;PAJAK[#Headers]&amp;"]"),PAJAK[[#This Row],[//]]-2))</f>
        <v>45191</v>
      </c>
      <c r="I51" s="16" t="str">
        <f ca="1">IF(PAJAK[[#This Row],[//]]="","",INDEX(INDIRECT("NOTA["&amp;PAJAK[#Headers]&amp;"]"),PAJAK[[#This Row],[//]]-2))</f>
        <v>23091995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15589200</v>
      </c>
      <c r="L51" s="23">
        <f ca="1">IF(PAJAK[[#This Row],[//]]="","",SUMIF(NOTA[ID_H],PAJAK[[#This Row],[ID]],NOTA[DISC]))</f>
        <v>2650164</v>
      </c>
      <c r="M51" s="23">
        <f ca="1">PAJAK[[#This Row],[SUB TOTAL]]-PAJAK[[#This Row],[DISKON]]</f>
        <v>12939036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11656789.189189188</v>
      </c>
      <c r="P51" s="23">
        <f ca="1">PAJAK[[#This Row],[DPP]]*PAJAK[[#This Row],[PPN]]</f>
        <v>1282246.8108108107</v>
      </c>
      <c r="Q51" s="23">
        <f ca="1">PAJAK[[#This Row],[DPP]]+PAJAK[[#This Row],[PPN 11%]]</f>
        <v>12939035.999999998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532</v>
      </c>
      <c r="B52" s="21">
        <f ca="1">HYPERLINK("[NOTA_.XLSX]NOTA!c"&amp;PAJAK[[#This Row],[//]],IF(PAJAK[[#This Row],[//]]="","",INDEX(INDIRECT("NOTA["&amp;PAJAK[#Headers]&amp;"]"),PAJAK[[#This Row],[//]]-2)))</f>
        <v>95</v>
      </c>
      <c r="C52" s="19" t="str">
        <f ca="1">IF(PAJAK[[#This Row],[//]]="","",INDEX(INDIRECT("NOTA["&amp;PAJAK[#Headers]&amp;"]"),PAJAK[[#This Row],[//]]-2))</f>
        <v>KEN_2709_008-1</v>
      </c>
      <c r="D52" s="19">
        <f ca="1">MATCH(PAJAK[[#This Row],[ID]],[6]!Table1[ID],0)</f>
        <v>22</v>
      </c>
      <c r="E52" s="20">
        <f ca="1">IF(PAJAK[[#This Row],[ID]]="","",COUNTIF(NOTA[ID_H],PAJAK[[#This Row],[ID]]))</f>
        <v>1</v>
      </c>
      <c r="F52" s="15" t="str">
        <f ca="1">IF(PAJAK[[#This Row],[//]]="","",INDEX(CONV[2],MATCH(INDEX(INDIRECT("NOTA["&amp;PAJAK[#Headers]&amp;"]"),PAJAK[[#This Row],[//]]-2),CONV[1],0),0))</f>
        <v>PT KENKO SINAR INDONESIA</v>
      </c>
      <c r="G52" s="17">
        <f ca="1">IF(PAJAK[[#This Row],[//]]="","",INDEX(NOTA[TGL_H],PAJAK[[#This Row],[//]]-2))</f>
        <v>45196</v>
      </c>
      <c r="H52" s="17">
        <f ca="1">IF(PAJAK[[#This Row],[//]]="","",INDEX(INDIRECT("NOTA["&amp;PAJAK[#Headers]&amp;"]"),PAJAK[[#This Row],[//]]-2))</f>
        <v>45191</v>
      </c>
      <c r="I52" s="16" t="str">
        <f ca="1">IF(PAJAK[[#This Row],[//]]="","",INDEX(INDIRECT("NOTA["&amp;PAJAK[#Headers]&amp;"]"),PAJAK[[#This Row],[//]]-2))</f>
        <v>23092008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11404800</v>
      </c>
      <c r="L52" s="23">
        <f ca="1">IF(PAJAK[[#This Row],[//]]="","",SUMIF(NOTA[ID_H],PAJAK[[#This Row],[ID]],NOTA[DISC]))</f>
        <v>1938816.0000000002</v>
      </c>
      <c r="M52" s="23">
        <f ca="1">PAJAK[[#This Row],[SUB TOTAL]]-PAJAK[[#This Row],[DISKON]]</f>
        <v>9465984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8527913.5135135129</v>
      </c>
      <c r="P52" s="23">
        <f ca="1">PAJAK[[#This Row],[DPP]]*PAJAK[[#This Row],[PPN]]</f>
        <v>938070.48648648639</v>
      </c>
      <c r="Q52" s="23">
        <f ca="1">PAJAK[[#This Row],[DPP]]+PAJAK[[#This Row],[PPN 11%]]</f>
        <v>9465984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534</v>
      </c>
      <c r="B53" s="21">
        <f ca="1">HYPERLINK("[NOTA_.XLSX]NOTA!c"&amp;PAJAK[[#This Row],[//]],IF(PAJAK[[#This Row],[//]]="","",INDEX(INDIRECT("NOTA["&amp;PAJAK[#Headers]&amp;"]"),PAJAK[[#This Row],[//]]-2)))</f>
        <v>96</v>
      </c>
      <c r="C53" s="19" t="str">
        <f ca="1">IF(PAJAK[[#This Row],[//]]="","",INDEX(INDIRECT("NOTA["&amp;PAJAK[#Headers]&amp;"]"),PAJAK[[#This Row],[//]]-2))</f>
        <v>ATA_2709_837-3</v>
      </c>
      <c r="D53" s="19">
        <f ca="1">MATCH(PAJAK[[#This Row],[ID]],[6]!Table1[ID],0)</f>
        <v>51</v>
      </c>
      <c r="E53" s="20">
        <f ca="1">IF(PAJAK[[#This Row],[ID]]="","",COUNTIF(NOTA[ID_H],PAJAK[[#This Row],[ID]]))</f>
        <v>3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45196</v>
      </c>
      <c r="H53" s="17">
        <f ca="1">IF(PAJAK[[#This Row],[//]]="","",INDEX(INDIRECT("NOTA["&amp;PAJAK[#Headers]&amp;"]"),PAJAK[[#This Row],[//]]-2))</f>
        <v>45191</v>
      </c>
      <c r="I53" s="16" t="str">
        <f ca="1">IF(PAJAK[[#This Row],[//]]="","",INDEX(INDIRECT("NOTA["&amp;PAJAK[#Headers]&amp;"]"),PAJAK[[#This Row],[//]]-2))</f>
        <v>SA230916837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6979200</v>
      </c>
      <c r="L53" s="23">
        <f ca="1">IF(PAJAK[[#This Row],[//]]="","",SUMIF(NOTA[ID_H],PAJAK[[#This Row],[ID]],NOTA[DISC]))</f>
        <v>1177740</v>
      </c>
      <c r="M53" s="23">
        <f ca="1">PAJAK[[#This Row],[SUB TOTAL]]-PAJAK[[#This Row],[DISKON]]</f>
        <v>5801460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5226540.5405405397</v>
      </c>
      <c r="P53" s="23">
        <f ca="1">PAJAK[[#This Row],[DPP]]*PAJAK[[#This Row],[PPN]]</f>
        <v>574919.45945945941</v>
      </c>
      <c r="Q53" s="23">
        <f ca="1">PAJAK[[#This Row],[DPP]]+PAJAK[[#This Row],[PPN 11%]]</f>
        <v>5801459.9999999991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551</v>
      </c>
      <c r="B54" s="15">
        <f ca="1">HYPERLINK("[NOTA_.XLSX]NOTA!c"&amp;PAJAK[[#This Row],[//]],IF(PAJAK[[#This Row],[//]]="","",INDEX(INDIRECT("NOTA["&amp;PAJAK[#Headers]&amp;"]"),PAJAK[[#This Row],[//]]-2)))</f>
        <v>103</v>
      </c>
      <c r="C54" s="15" t="str">
        <f ca="1">IF(PAJAK[[#This Row],[//]]="","",INDEX(INDIRECT("NOTA["&amp;PAJAK[#Headers]&amp;"]"),PAJAK[[#This Row],[//]]-2))</f>
        <v>ATA_2909_941-6</v>
      </c>
      <c r="D54" s="15">
        <f ca="1">MATCH(PAJAK[[#This Row],[ID]],[6]!Table1[ID],0)</f>
        <v>52</v>
      </c>
      <c r="E54" s="16">
        <f ca="1">IF(PAJAK[[#This Row],[ID]]="","",COUNTIF(NOTA[ID_H],PAJAK[[#This Row],[ID]]))</f>
        <v>6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45198</v>
      </c>
      <c r="H54" s="17">
        <f ca="1">IF(PAJAK[[#This Row],[//]]="","",INDEX(INDIRECT("NOTA["&amp;PAJAK[#Headers]&amp;"]"),PAJAK[[#This Row],[//]]-2))</f>
        <v>45192</v>
      </c>
      <c r="I54" s="16" t="str">
        <f ca="1">IF(PAJAK[[#This Row],[//]]="","",INDEX(INDIRECT("NOTA["&amp;PAJAK[#Headers]&amp;"]"),PAJAK[[#This Row],[//]]-2))</f>
        <v>SA230916941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19152000</v>
      </c>
      <c r="L54" s="23">
        <f ca="1">IF(PAJAK[[#This Row],[//]]="","",SUMIF(NOTA[ID_H],PAJAK[[#This Row],[ID]],NOTA[DISC]))</f>
        <v>3231900</v>
      </c>
      <c r="M54" s="23">
        <f ca="1">PAJAK[[#This Row],[SUB TOTAL]]-PAJAK[[#This Row],[DISKON]]</f>
        <v>15920100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14342432.432432432</v>
      </c>
      <c r="P54" s="23">
        <f ca="1">PAJAK[[#This Row],[DPP]]*PAJAK[[#This Row],[PPN]]</f>
        <v>1577667.5675675676</v>
      </c>
      <c r="Q54" s="23">
        <f ca="1">PAJAK[[#This Row],[DPP]]+PAJAK[[#This Row],[PPN 11%]]</f>
        <v>15920100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558</v>
      </c>
      <c r="B55" s="21">
        <f ca="1">HYPERLINK("[NOTA_.XLSX]NOTA!c"&amp;PAJAK[[#This Row],[//]],IF(PAJAK[[#This Row],[//]]="","",INDEX(INDIRECT("NOTA["&amp;PAJAK[#Headers]&amp;"]"),PAJAK[[#This Row],[//]]-2)))</f>
        <v>104</v>
      </c>
      <c r="C55" s="19" t="str">
        <f ca="1">IF(PAJAK[[#This Row],[//]]="","",INDEX(INDIRECT("NOTA["&amp;PAJAK[#Headers]&amp;"]"),PAJAK[[#This Row],[//]]-2))</f>
        <v>KEN_2909_171-7</v>
      </c>
      <c r="D55" s="19">
        <f ca="1">MATCH(PAJAK[[#This Row],[ID]],[6]!Table1[ID],0)</f>
        <v>25</v>
      </c>
      <c r="E55" s="20">
        <f ca="1">IF(PAJAK[[#This Row],[ID]]="","",COUNTIF(NOTA[ID_H],PAJAK[[#This Row],[ID]]))</f>
        <v>7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45198</v>
      </c>
      <c r="H55" s="17">
        <f ca="1">IF(PAJAK[[#This Row],[//]]="","",INDEX(INDIRECT("NOTA["&amp;PAJAK[#Headers]&amp;"]"),PAJAK[[#This Row],[//]]-2))</f>
        <v>45194</v>
      </c>
      <c r="I55" s="16" t="str">
        <f ca="1">IF(PAJAK[[#This Row],[//]]="","",INDEX(INDIRECT("NOTA["&amp;PAJAK[#Headers]&amp;"]"),PAJAK[[#This Row],[//]]-2))</f>
        <v>23092171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122035200</v>
      </c>
      <c r="L55" s="23">
        <f ca="1">IF(PAJAK[[#This Row],[//]]="","",SUMIF(NOTA[ID_H],PAJAK[[#This Row],[ID]],NOTA[DISC]))</f>
        <v>23061684</v>
      </c>
      <c r="M55" s="23">
        <f ca="1">PAJAK[[#This Row],[SUB TOTAL]]-PAJAK[[#This Row],[DISKON]]</f>
        <v>98973516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89165329.729729727</v>
      </c>
      <c r="P55" s="23">
        <f ca="1">PAJAK[[#This Row],[DPP]]*PAJAK[[#This Row],[PPN]]</f>
        <v>9808186.2702702694</v>
      </c>
      <c r="Q55" s="23">
        <f ca="1">PAJAK[[#This Row],[DPP]]+PAJAK[[#This Row],[PPN 11%]]</f>
        <v>98973516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566</v>
      </c>
      <c r="B56" s="21">
        <f ca="1">HYPERLINK("[NOTA_.XLSX]NOTA!c"&amp;PAJAK[[#This Row],[//]],IF(PAJAK[[#This Row],[//]]="","",INDEX(INDIRECT("NOTA["&amp;PAJAK[#Headers]&amp;"]"),PAJAK[[#This Row],[//]]-2)))</f>
        <v>105</v>
      </c>
      <c r="C56" s="19" t="str">
        <f ca="1">IF(PAJAK[[#This Row],[//]]="","",INDEX(INDIRECT("NOTA["&amp;PAJAK[#Headers]&amp;"]"),PAJAK[[#This Row],[//]]-2))</f>
        <v>KEN_0210_311-2</v>
      </c>
      <c r="D56" s="19">
        <f ca="1">MATCH(PAJAK[[#This Row],[ID]],[6]!Table1[ID],0)</f>
        <v>27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45201</v>
      </c>
      <c r="H56" s="17">
        <f ca="1">IF(PAJAK[[#This Row],[//]]="","",INDEX(INDIRECT("NOTA["&amp;PAJAK[#Headers]&amp;"]"),PAJAK[[#This Row],[//]]-2))</f>
        <v>45196</v>
      </c>
      <c r="I56" s="16" t="str">
        <f ca="1">IF(PAJAK[[#This Row],[//]]="","",INDEX(INDIRECT("NOTA["&amp;PAJAK[#Headers]&amp;"]"),PAJAK[[#This Row],[//]]-2))</f>
        <v>23092311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7732800</v>
      </c>
      <c r="L56" s="23">
        <f ca="1">IF(PAJAK[[#This Row],[//]]="","",SUMIF(NOTA[ID_H],PAJAK[[#This Row],[ID]],NOTA[DISC]))</f>
        <v>1314576</v>
      </c>
      <c r="M56" s="23">
        <f ca="1">PAJAK[[#This Row],[SUB TOTAL]]-PAJAK[[#This Row],[DISKON]]</f>
        <v>6418224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5782183.7837837832</v>
      </c>
      <c r="P56" s="23">
        <f ca="1">PAJAK[[#This Row],[DPP]]*PAJAK[[#This Row],[PPN]]</f>
        <v>636040.21621621621</v>
      </c>
      <c r="Q56" s="23">
        <f ca="1">PAJAK[[#This Row],[DPP]]+PAJAK[[#This Row],[PPN 11%]]</f>
        <v>6418223.9999999991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569</v>
      </c>
      <c r="B57" s="22">
        <f ca="1">HYPERLINK("[NOTA_.XLSX]NOTA!c"&amp;PAJAK[[#This Row],[//]],IF(PAJAK[[#This Row],[//]]="","",INDEX(INDIRECT("NOTA["&amp;PAJAK[#Headers]&amp;"]"),PAJAK[[#This Row],[//]]-2)))</f>
        <v>106</v>
      </c>
      <c r="C57" s="15" t="str">
        <f ca="1">IF(PAJAK[[#This Row],[//]]="","",INDEX(INDIRECT("NOTA["&amp;PAJAK[#Headers]&amp;"]"),PAJAK[[#This Row],[//]]-2))</f>
        <v>KEN_0210_214-2</v>
      </c>
      <c r="D57" s="15">
        <f ca="1">MATCH(PAJAK[[#This Row],[ID]],[6]!Table1[ID],0)</f>
        <v>26</v>
      </c>
      <c r="E57" s="16">
        <f ca="1">IF(PAJAK[[#This Row],[ID]]="","",COUNTIF(NOTA[ID_H],PAJAK[[#This Row],[ID]]))</f>
        <v>2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45201</v>
      </c>
      <c r="H57" s="17">
        <f ca="1">IF(PAJAK[[#This Row],[//]]="","",INDEX(INDIRECT("NOTA["&amp;PAJAK[#Headers]&amp;"]"),PAJAK[[#This Row],[//]]-2))</f>
        <v>45195</v>
      </c>
      <c r="I57" s="16" t="str">
        <f ca="1">IF(PAJAK[[#This Row],[//]]="","",INDEX(INDIRECT("NOTA["&amp;PAJAK[#Headers]&amp;"]"),PAJAK[[#This Row],[//]]-2))</f>
        <v>23092214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6890400</v>
      </c>
      <c r="L57" s="23">
        <f ca="1">IF(PAJAK[[#This Row],[//]]="","",SUMIF(NOTA[ID_H],PAJAK[[#This Row],[ID]],NOTA[DISC]))</f>
        <v>1171368</v>
      </c>
      <c r="M57" s="23">
        <f ca="1">PAJAK[[#This Row],[SUB TOTAL]]-PAJAK[[#This Row],[DISKON]]</f>
        <v>5719032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5152281.0810810803</v>
      </c>
      <c r="P57" s="23">
        <f ca="1">PAJAK[[#This Row],[DPP]]*PAJAK[[#This Row],[PPN]]</f>
        <v>566750.91891891882</v>
      </c>
      <c r="Q57" s="23">
        <f ca="1">PAJAK[[#This Row],[DPP]]+PAJAK[[#This Row],[PPN 11%]]</f>
        <v>5719031.9999999991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572</v>
      </c>
      <c r="B58" s="15">
        <f ca="1">HYPERLINK("[NOTA_.XLSX]NOTA!c"&amp;PAJAK[[#This Row],[//]],IF(PAJAK[[#This Row],[//]]="","",INDEX(INDIRECT("NOTA["&amp;PAJAK[#Headers]&amp;"]"),PAJAK[[#This Row],[//]]-2)))</f>
        <v>107</v>
      </c>
      <c r="C58" s="15" t="str">
        <f ca="1">IF(PAJAK[[#This Row],[//]]="","",INDEX(INDIRECT("NOTA["&amp;PAJAK[#Headers]&amp;"]"),PAJAK[[#This Row],[//]]-2))</f>
        <v>ATA_0210_133-8</v>
      </c>
      <c r="D58" s="15">
        <f ca="1">MATCH(PAJAK[[#This Row],[ID]],[6]!Table1[ID],0)</f>
        <v>54</v>
      </c>
      <c r="E58" s="16">
        <f ca="1">IF(PAJAK[[#This Row],[ID]]="","",COUNTIF(NOTA[ID_H],PAJAK[[#This Row],[ID]]))</f>
        <v>8</v>
      </c>
      <c r="F58" s="15" t="str">
        <f ca="1">IF(PAJAK[[#This Row],[//]]="","",INDEX(CONV[2],MATCH(INDEX(INDIRECT("NOTA["&amp;PAJAK[#Headers]&amp;"]"),PAJAK[[#This Row],[//]]-2),CONV[1],0),0))</f>
        <v>PT ATALI MAKMUR</v>
      </c>
      <c r="G58" s="17">
        <f ca="1">IF(PAJAK[[#This Row],[//]]="","",INDEX(NOTA[TGL_H],PAJAK[[#This Row],[//]]-2))</f>
        <v>45201</v>
      </c>
      <c r="H58" s="17">
        <f ca="1">IF(PAJAK[[#This Row],[//]]="","",INDEX(INDIRECT("NOTA["&amp;PAJAK[#Headers]&amp;"]"),PAJAK[[#This Row],[//]]-2))</f>
        <v>45196</v>
      </c>
      <c r="I58" s="16" t="str">
        <f ca="1">IF(PAJAK[[#This Row],[//]]="","",INDEX(INDIRECT("NOTA["&amp;PAJAK[#Headers]&amp;"]"),PAJAK[[#This Row],[//]]-2))</f>
        <v>SA230917133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16753200</v>
      </c>
      <c r="L58" s="23">
        <f ca="1">IF(PAJAK[[#This Row],[//]]="","",SUMIF(NOTA[ID_H],PAJAK[[#This Row],[ID]],NOTA[DISC]))</f>
        <v>2827102.5</v>
      </c>
      <c r="M58" s="23">
        <f ca="1">PAJAK[[#This Row],[SUB TOTAL]]-PAJAK[[#This Row],[DISKON]]</f>
        <v>13926097.5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12546033.783783782</v>
      </c>
      <c r="P58" s="23">
        <f ca="1">PAJAK[[#This Row],[DPP]]*PAJAK[[#This Row],[PPN]]</f>
        <v>1380063.7162162161</v>
      </c>
      <c r="Q58" s="23">
        <f ca="1">PAJAK[[#This Row],[DPP]]+PAJAK[[#This Row],[PPN 11%]]</f>
        <v>13926097.499999998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581</v>
      </c>
      <c r="B59" s="21">
        <f ca="1">HYPERLINK("[NOTA_.XLSX]NOTA!c"&amp;PAJAK[[#This Row],[//]],IF(PAJAK[[#This Row],[//]]="","",INDEX(INDIRECT("NOTA["&amp;PAJAK[#Headers]&amp;"]"),PAJAK[[#This Row],[//]]-2)))</f>
        <v>108</v>
      </c>
      <c r="C59" s="19" t="str">
        <f ca="1">IF(PAJAK[[#This Row],[//]]="","",INDEX(INDIRECT("NOTA["&amp;PAJAK[#Headers]&amp;"]"),PAJAK[[#This Row],[//]]-2))</f>
        <v>ATA_0210_106-2</v>
      </c>
      <c r="D59" s="19">
        <f ca="1">MATCH(PAJAK[[#This Row],[ID]],[6]!Table1[ID],0)</f>
        <v>53</v>
      </c>
      <c r="E59" s="20">
        <f ca="1">IF(PAJAK[[#This Row],[ID]]="","",COUNTIF(NOTA[ID_H],PAJAK[[#This Row],[ID]]))</f>
        <v>2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45201</v>
      </c>
      <c r="H59" s="17">
        <f ca="1">IF(PAJAK[[#This Row],[//]]="","",INDEX(INDIRECT("NOTA["&amp;PAJAK[#Headers]&amp;"]"),PAJAK[[#This Row],[//]]-2))</f>
        <v>45196</v>
      </c>
      <c r="I59" s="16" t="str">
        <f ca="1">IF(PAJAK[[#This Row],[//]]="","",INDEX(INDIRECT("NOTA["&amp;PAJAK[#Headers]&amp;"]"),PAJAK[[#This Row],[//]]-2))</f>
        <v>SA230917106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6912000</v>
      </c>
      <c r="L59" s="23">
        <f ca="1">IF(PAJAK[[#This Row],[//]]="","",SUMIF(NOTA[ID_H],PAJAK[[#This Row],[ID]],NOTA[DISC]))</f>
        <v>1166400</v>
      </c>
      <c r="M59" s="23">
        <f ca="1">PAJAK[[#This Row],[SUB TOTAL]]-PAJAK[[#This Row],[DISKON]]</f>
        <v>5745600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5176216.2162162159</v>
      </c>
      <c r="P59" s="23">
        <f ca="1">PAJAK[[#This Row],[DPP]]*PAJAK[[#This Row],[PPN]]</f>
        <v>569383.78378378379</v>
      </c>
      <c r="Q59" s="23">
        <f ca="1">PAJAK[[#This Row],[DPP]]+PAJAK[[#This Row],[PPN 11%]]</f>
        <v>5745600</v>
      </c>
      <c r="R59" s="18" t="str">
        <f ca="1">IF(ISNUMBER(PAJAK[[#This Row],[//]]),PPN,"")</f>
        <v>11%</v>
      </c>
    </row>
    <row r="60" spans="1:18" x14ac:dyDescent="0.25">
      <c r="A60" s="15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610</v>
      </c>
      <c r="B60" s="15">
        <f ca="1">HYPERLINK("[NOTA_.XLSX]NOTA!c"&amp;PAJAK[[#This Row],[//]],IF(PAJAK[[#This Row],[//]]="","",INDEX(INDIRECT("NOTA["&amp;PAJAK[#Headers]&amp;"]"),PAJAK[[#This Row],[//]]-2)))</f>
        <v>118</v>
      </c>
      <c r="C60" s="15" t="str">
        <f ca="1">IF(PAJAK[[#This Row],[//]]="","",INDEX(INDIRECT("NOTA["&amp;PAJAK[#Headers]&amp;"]"),PAJAK[[#This Row],[//]]-2))</f>
        <v>ATA_0410_238-3</v>
      </c>
      <c r="D60" s="15">
        <f ca="1">MATCH(PAJAK[[#This Row],[ID]],[6]!Table1[ID],0)</f>
        <v>55</v>
      </c>
      <c r="E60" s="16">
        <f ca="1">IF(PAJAK[[#This Row],[ID]]="","",COUNTIF(NOTA[ID_H],PAJAK[[#This Row],[ID]]))</f>
        <v>3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45203</v>
      </c>
      <c r="H60" s="17">
        <f ca="1">IF(PAJAK[[#This Row],[//]]="","",INDEX(INDIRECT("NOTA["&amp;PAJAK[#Headers]&amp;"]"),PAJAK[[#This Row],[//]]-2))</f>
        <v>45198</v>
      </c>
      <c r="I60" s="16" t="str">
        <f ca="1">IF(PAJAK[[#This Row],[//]]="","",INDEX(INDIRECT("NOTA["&amp;PAJAK[#Headers]&amp;"]"),PAJAK[[#This Row],[//]]-2))</f>
        <v>SA230917238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11294400</v>
      </c>
      <c r="L60" s="23">
        <f ca="1">IF(PAJAK[[#This Row],[//]]="","",SUMIF(NOTA[ID_H],PAJAK[[#This Row],[ID]],NOTA[DISC]))</f>
        <v>1905930</v>
      </c>
      <c r="M60" s="23">
        <f ca="1">PAJAK[[#This Row],[SUB TOTAL]]-PAJAK[[#This Row],[DISKON]]</f>
        <v>9388470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8458081.0810810812</v>
      </c>
      <c r="P60" s="23">
        <f ca="1">PAJAK[[#This Row],[DPP]]*PAJAK[[#This Row],[PPN]]</f>
        <v>930388.91891891893</v>
      </c>
      <c r="Q60" s="23">
        <f ca="1">PAJAK[[#This Row],[DPP]]+PAJAK[[#This Row],[PPN 11%]]</f>
        <v>9388470</v>
      </c>
      <c r="R60" s="18" t="str">
        <f ca="1">IF(ISNUMBER(PAJAK[[#This Row],[//]]),PPN,"")</f>
        <v>11%</v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>
        <f ca="1">MATCH(PAJAK[[#This Row],[ID]],[6]!Table1[ID],0)</f>
        <v>1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>
        <f ca="1">MATCH(PAJAK[[#This Row],[ID]],[6]!Table1[ID],0)</f>
        <v>1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>
        <f ca="1">MATCH(PAJAK[[#This Row],[ID]],[6]!Table1[ID],0)</f>
        <v>1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>
        <f ca="1">MATCH(PAJAK[[#This Row],[ID]],[6]!Table1[ID],0)</f>
        <v>1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>
        <f ca="1">MATCH(PAJAK[[#This Row],[ID]],[6]!Table1[ID],0)</f>
        <v>1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>
        <f ca="1">MATCH(PAJAK[[#This Row],[ID]],[6]!Table1[ID],0)</f>
        <v>1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>
        <f ca="1">MATCH(PAJAK[[#This Row],[ID]],[6]!Table1[ID],0)</f>
        <v>1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>
        <f ca="1">MATCH(PAJAK[[#This Row],[ID]],[6]!Table1[ID],0)</f>
        <v>1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>
        <f ca="1">MATCH(PAJAK[[#This Row],[ID]],[6]!Table1[ID],0)</f>
        <v>1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>
        <f ca="1">MATCH(PAJAK[[#This Row],[ID]],[6]!Table1[ID],0)</f>
        <v>1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Row],[ID]],[6]!Table1[ID],0)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Row],[ID]],[6]!Table1[ID],0)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Row],[ID]],[6]!Table1[ID],0)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Row],[ID]],[6]!Table1[ID],0)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>
        <f ca="1">MATCH(PAJAK[[#This Row],[ID]],[6]!Table1[ID],0)</f>
        <v>1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Row],[ID]],[6]!Table1[ID],0)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Row],[ID]],[6]!Table1[ID],0)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Row],[ID]],[6]!Table1[ID],0)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Row],[ID]],[6]!Table1[ID],0)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Row],[ID]],[6]!Table1[ID],0)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Row],[ID]],[6]!Table1[ID],0)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Row],[ID]],[6]!Table1[ID],0)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Row],[ID]],[6]!Table1[ID],0)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Row],[ID]],[6]!Table1[ID],0)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Row],[ID]],[6]!Table1[ID],0)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Row],[ID]],[6]!Table1[ID],0)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Row],[ID]],[6]!Table1[ID],0)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Row],[ID]],[6]!Table1[ID],0)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Row],[ID]],[6]!Table1[ID],0)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Row],[ID]],[6]!Table1[ID],0)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Row],[ID]],[6]!Table1[ID],0)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Row],[ID]],[6]!Table1[ID],0)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>
        <f ca="1">MATCH(PAJAK[[#This Row],[ID]],[6]!Table1[ID],0)</f>
        <v>1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EXP\BARU\2023\09 SEPTEMBER\[NOTA 09 SEPTEMBER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45169</v>
      </c>
      <c r="F3" s="2">
        <f ca="1">IF(KENKO[[#This Row],[//PAJAK]]="","",INDEX(INDIRECT("PAJAK["&amp;KENKO[#Headers]&amp;"]"),KENKO[[#This Row],[//PAJAK]]-1))</f>
        <v>45170</v>
      </c>
      <c r="G3" s="9" t="str">
        <f ca="1">IF(KENKO[[#This Row],[//PAJAK]]="","",INDEX(INDIRECT("PAJAK["&amp;KENKO[#Headers]&amp;"]"),KENKO[[#This Row],[//PAJAK]]-1))</f>
        <v>23090036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14352000</v>
      </c>
      <c r="J3" s="1">
        <f ca="1">IF(KENKO[[#This Row],[//PAJAK]]="","",INDEX(INDIRECT("PAJAK["&amp;KENKO[#Headers]&amp;"]"),KENKO[[#This Row],[//PAJAK]]-1))</f>
        <v>2439840</v>
      </c>
      <c r="K3" s="1">
        <f ca="1">(KENKO[[#This Row],[SUB TOTAL]]-KENKO[[#This Row],[DISKON]])/1.11</f>
        <v>10731675.675675675</v>
      </c>
      <c r="L3" s="1">
        <f ca="1">KENKO[[#This Row],[DPP]]*11%</f>
        <v>1180484.3243243243</v>
      </c>
      <c r="M3" s="1">
        <f ca="1">KENKO[[#This Row],[DPP]]+KENKO[[#This Row],[PPN (11%)]]</f>
        <v>11912160</v>
      </c>
      <c r="N3" s="1" t="str">
        <f ca="1">INDEX(PAJAK[ID_P],MATCH(KENKO[[#This Row],[ID]],PAJAK[ID],0))</f>
        <v>KEN_3108_036-2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45174</v>
      </c>
      <c r="F4" s="2">
        <f ca="1">IF(KENKO[[#This Row],[//PAJAK]]="","",INDEX(INDIRECT("PAJAK["&amp;KENKO[#Headers]&amp;"]"),KENKO[[#This Row],[//PAJAK]]-1))</f>
        <v>45173</v>
      </c>
      <c r="G4" s="9" t="str">
        <f ca="1">IF(KENKO[[#This Row],[//PAJAK]]="","",INDEX(INDIRECT("PAJAK["&amp;KENKO[#Headers]&amp;"]"),KENKO[[#This Row],[//PAJAK]]-1))</f>
        <v>23090252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22416000</v>
      </c>
      <c r="J4" s="1">
        <f ca="1">IF(KENKO[[#This Row],[//PAJAK]]="","",INDEX(INDIRECT("PAJAK["&amp;KENKO[#Headers]&amp;"]"),KENKO[[#This Row],[//PAJAK]]-1))</f>
        <v>3810720</v>
      </c>
      <c r="K4" s="1">
        <f ca="1">(KENKO[[#This Row],[SUB TOTAL]]-KENKO[[#This Row],[DISKON]])/1.11</f>
        <v>16761513.513513513</v>
      </c>
      <c r="L4" s="1">
        <f ca="1">KENKO[[#This Row],[DPP]]*11%</f>
        <v>1843766.4864864864</v>
      </c>
      <c r="M4" s="1">
        <f ca="1">KENKO[[#This Row],[DPP]]+KENKO[[#This Row],[PPN (11%)]]</f>
        <v>18605280</v>
      </c>
      <c r="N4" s="1" t="str">
        <f ca="1">INDEX(PAJAK[ID_P],MATCH(KENKO[[#This Row],[ID]],PAJAK[ID],0))</f>
        <v>KEN_0509_252-6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13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45171</v>
      </c>
      <c r="F5" s="2">
        <f ca="1">IF(KENKO[[#This Row],[//PAJAK]]="","",INDEX(INDIRECT("PAJAK["&amp;KENKO[#Headers]&amp;"]"),KENKO[[#This Row],[//PAJAK]]-1))</f>
        <v>45170</v>
      </c>
      <c r="G5" s="9" t="str">
        <f ca="1">IF(KENKO[[#This Row],[//PAJAK]]="","",INDEX(INDIRECT("PAJAK["&amp;KENKO[#Headers]&amp;"]"),KENKO[[#This Row],[//PAJAK]]-1))</f>
        <v>23090082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25488000</v>
      </c>
      <c r="J5" s="1">
        <f ca="1">IF(KENKO[[#This Row],[//PAJAK]]="","",INDEX(INDIRECT("PAJAK["&amp;KENKO[#Headers]&amp;"]"),KENKO[[#This Row],[//PAJAK]]-1))</f>
        <v>4332960</v>
      </c>
      <c r="K5" s="1">
        <f ca="1">(KENKO[[#This Row],[SUB TOTAL]]-KENKO[[#This Row],[DISKON]])/1.11</f>
        <v>19058594.594594594</v>
      </c>
      <c r="L5" s="1">
        <f ca="1">KENKO[[#This Row],[DPP]]*11%</f>
        <v>2096445.4054054054</v>
      </c>
      <c r="M5" s="1">
        <f ca="1">KENKO[[#This Row],[DPP]]+KENKO[[#This Row],[PPN (11%)]]</f>
        <v>21155040</v>
      </c>
      <c r="N5" s="1" t="str">
        <f ca="1">INDEX(PAJAK[ID_P],MATCH(KENKO[[#This Row],[ID]],PAJAK[ID],0))</f>
        <v>KEN_0209_082-4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45171</v>
      </c>
      <c r="F6" s="2">
        <f ca="1">IF(KENKO[[#This Row],[//PAJAK]]="","",INDEX(INDIRECT("PAJAK["&amp;KENKO[#Headers]&amp;"]"),KENKO[[#This Row],[//PAJAK]]-1))</f>
        <v>45170</v>
      </c>
      <c r="G6" s="9" t="str">
        <f ca="1">IF(KENKO[[#This Row],[//PAJAK]]="","",INDEX(INDIRECT("PAJAK["&amp;KENKO[#Headers]&amp;"]"),KENKO[[#This Row],[//PAJAK]]-1))</f>
        <v>23090138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17313600</v>
      </c>
      <c r="J6" s="1">
        <f ca="1">IF(KENKO[[#This Row],[//PAJAK]]="","",INDEX(INDIRECT("PAJAK["&amp;KENKO[#Headers]&amp;"]"),KENKO[[#This Row],[//PAJAK]]-1))</f>
        <v>2943312</v>
      </c>
      <c r="K6" s="1">
        <f ca="1">(KENKO[[#This Row],[SUB TOTAL]]-KENKO[[#This Row],[DISKON]])/1.11</f>
        <v>12946205.405405404</v>
      </c>
      <c r="L6" s="1">
        <f ca="1">KENKO[[#This Row],[DPP]]*11%</f>
        <v>1424082.5945945946</v>
      </c>
      <c r="M6" s="1">
        <f ca="1">KENKO[[#This Row],[DPP]]+KENKO[[#This Row],[PPN (11%)]]</f>
        <v>14370287.999999998</v>
      </c>
      <c r="N6" s="1" t="str">
        <f ca="1">INDEX(PAJAK[ID_P],MATCH(KENKO[[#This Row],[ID]],PAJAK[ID],0))</f>
        <v>KEN_0209_138-5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45180</v>
      </c>
      <c r="F7" s="2">
        <f ca="1">IF(KENKO[[#This Row],[//PAJAK]]="","",INDEX(INDIRECT("PAJAK["&amp;KENKO[#Headers]&amp;"]"),KENKO[[#This Row],[//PAJAK]]-1))</f>
        <v>45177</v>
      </c>
      <c r="G7" s="9" t="str">
        <f ca="1">IF(KENKO[[#This Row],[//PAJAK]]="","",INDEX(INDIRECT("PAJAK["&amp;KENKO[#Headers]&amp;"]"),KENKO[[#This Row],[//PAJAK]]-1))</f>
        <v>23090701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69846600</v>
      </c>
      <c r="J7" s="1">
        <f ca="1">IF(KENKO[[#This Row],[//PAJAK]]="","",INDEX(INDIRECT("PAJAK["&amp;KENKO[#Headers]&amp;"]"),KENKO[[#This Row],[//PAJAK]]-1))</f>
        <v>12250410</v>
      </c>
      <c r="K7" s="1">
        <f ca="1">(KENKO[[#This Row],[SUB TOTAL]]-KENKO[[#This Row],[DISKON]])/1.11</f>
        <v>51888459.459459454</v>
      </c>
      <c r="L7" s="1">
        <f ca="1">KENKO[[#This Row],[DPP]]*11%</f>
        <v>5707730.5405405397</v>
      </c>
      <c r="M7" s="1">
        <f ca="1">KENKO[[#This Row],[DPP]]+KENKO[[#This Row],[PPN (11%)]]</f>
        <v>57596189.999999993</v>
      </c>
      <c r="N7" s="1" t="str">
        <f ca="1">INDEX(PAJAK[ID_P],MATCH(KENKO[[#This Row],[ID]],PAJAK[ID],0))</f>
        <v>KEN_1109_701-10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45180</v>
      </c>
      <c r="F8" s="2">
        <f ca="1">IF(KENKO[[#This Row],[//PAJAK]]="","",INDEX(INDIRECT("PAJAK["&amp;KENKO[#Headers]&amp;"]"),KENKO[[#This Row],[//PAJAK]]-1))</f>
        <v>45177</v>
      </c>
      <c r="G8" s="9" t="str">
        <f ca="1">IF(KENKO[[#This Row],[//PAJAK]]="","",INDEX(INDIRECT("PAJAK["&amp;KENKO[#Headers]&amp;"]"),KENKO[[#This Row],[//PAJAK]]-1))</f>
        <v>23090747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5750000</v>
      </c>
      <c r="J8" s="1">
        <f ca="1">IF(KENKO[[#This Row],[//PAJAK]]="","",INDEX(INDIRECT("PAJAK["&amp;KENKO[#Headers]&amp;"]"),KENKO[[#This Row],[//PAJAK]]-1))</f>
        <v>977500.00000000012</v>
      </c>
      <c r="K8" s="1">
        <f ca="1">(KENKO[[#This Row],[SUB TOTAL]]-KENKO[[#This Row],[DISKON]])/1.11</f>
        <v>4299549.5495495489</v>
      </c>
      <c r="L8" s="1">
        <f ca="1">KENKO[[#This Row],[DPP]]*11%</f>
        <v>472950.45045045036</v>
      </c>
      <c r="M8" s="1">
        <f ca="1">KENKO[[#This Row],[DPP]]+KENKO[[#This Row],[PPN (11%)]]</f>
        <v>4772499.9999999991</v>
      </c>
      <c r="N8" s="1" t="str">
        <f ca="1">INDEX(PAJAK[ID_P],MATCH(KENKO[[#This Row],[ID]],PAJAK[ID],0))</f>
        <v>KEN_1109_747-2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45181</v>
      </c>
      <c r="F9" s="2">
        <f ca="1">IF(KENKO[[#This Row],[//PAJAK]]="","",INDEX(INDIRECT("PAJAK["&amp;KENKO[#Headers]&amp;"]"),KENKO[[#This Row],[//PAJAK]]-1))</f>
        <v>45178</v>
      </c>
      <c r="G9" s="9" t="str">
        <f ca="1">IF(KENKO[[#This Row],[//PAJAK]]="","",INDEX(INDIRECT("PAJAK["&amp;KENKO[#Headers]&amp;"]"),KENKO[[#This Row],[//PAJAK]]-1))</f>
        <v>23090817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43171200</v>
      </c>
      <c r="J9" s="1">
        <f ca="1">IF(KENKO[[#This Row],[//PAJAK]]="","",INDEX(INDIRECT("PAJAK["&amp;KENKO[#Headers]&amp;"]"),KENKO[[#This Row],[//PAJAK]]-1))</f>
        <v>7339104</v>
      </c>
      <c r="K9" s="1">
        <f ca="1">(KENKO[[#This Row],[SUB TOTAL]]-KENKO[[#This Row],[DISKON]])/1.11</f>
        <v>32281167.567567565</v>
      </c>
      <c r="L9" s="1">
        <f ca="1">KENKO[[#This Row],[DPP]]*11%</f>
        <v>3550928.4324324322</v>
      </c>
      <c r="M9" s="1">
        <f ca="1">KENKO[[#This Row],[DPP]]+KENKO[[#This Row],[PPN (11%)]]</f>
        <v>35832096</v>
      </c>
      <c r="N9" s="1" t="str">
        <f ca="1">INDEX(PAJAK[ID_P],MATCH(KENKO[[#This Row],[ID]],PAJAK[ID],0))</f>
        <v>KEN_1209_817-10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56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45178</v>
      </c>
      <c r="F10" s="2">
        <f ca="1">IF(KENKO[[#This Row],[//PAJAK]]="","",INDEX(INDIRECT("PAJAK["&amp;KENKO[#Headers]&amp;"]"),KENKO[[#This Row],[//PAJAK]]-1))</f>
        <v>45175</v>
      </c>
      <c r="G10" s="9" t="str">
        <f ca="1">IF(KENKO[[#This Row],[//PAJAK]]="","",INDEX(INDIRECT("PAJAK["&amp;KENKO[#Headers]&amp;"]"),KENKO[[#This Row],[//PAJAK]]-1))</f>
        <v>23090463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51392400</v>
      </c>
      <c r="J10" s="1">
        <f ca="1">IF(KENKO[[#This Row],[//PAJAK]]="","",INDEX(INDIRECT("PAJAK["&amp;KENKO[#Headers]&amp;"]"),KENKO[[#This Row],[//PAJAK]]-1))</f>
        <v>8736708</v>
      </c>
      <c r="K10" s="1">
        <f ca="1">(KENKO[[#This Row],[SUB TOTAL]]-KENKO[[#This Row],[DISKON]])/1.11</f>
        <v>38428551.351351351</v>
      </c>
      <c r="L10" s="1">
        <f ca="1">KENKO[[#This Row],[DPP]]*11%</f>
        <v>4227140.6486486485</v>
      </c>
      <c r="M10" s="1">
        <f ca="1">KENKO[[#This Row],[DPP]]+KENKO[[#This Row],[PPN (11%)]]</f>
        <v>42655692</v>
      </c>
      <c r="N10" s="1" t="str">
        <f ca="1">INDEX(PAJAK[ID_P],MATCH(KENKO[[#This Row],[ID]],PAJAK[ID],0))</f>
        <v>KEN_0909_463-8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65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12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45178</v>
      </c>
      <c r="F11" s="2">
        <f ca="1">IF(KENKO[[#This Row],[//PAJAK]]="","",INDEX(INDIRECT("PAJAK["&amp;KENKO[#Headers]&amp;"]"),KENKO[[#This Row],[//PAJAK]]-1))</f>
        <v>45175</v>
      </c>
      <c r="G11" s="9" t="str">
        <f ca="1">IF(KENKO[[#This Row],[//PAJAK]]="","",INDEX(INDIRECT("PAJAK["&amp;KENKO[#Headers]&amp;"]"),KENKO[[#This Row],[//PAJAK]]-1))</f>
        <v>23090468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50478600</v>
      </c>
      <c r="J11" s="1">
        <f ca="1">IF(KENKO[[#This Row],[//PAJAK]]="","",INDEX(INDIRECT("PAJAK["&amp;KENKO[#Headers]&amp;"]"),KENKO[[#This Row],[//PAJAK]]-1))</f>
        <v>10436312.4</v>
      </c>
      <c r="K11" s="1">
        <f ca="1">(KENKO[[#This Row],[SUB TOTAL]]-KENKO[[#This Row],[DISKON]])/1.11</f>
        <v>36074132.972972974</v>
      </c>
      <c r="L11" s="1">
        <f ca="1">KENKO[[#This Row],[DPP]]*11%</f>
        <v>3968154.6270270273</v>
      </c>
      <c r="M11" s="1">
        <f ca="1">KENKO[[#This Row],[DPP]]+KENKO[[#This Row],[PPN (11%)]]</f>
        <v>40042287.600000001</v>
      </c>
      <c r="N11" s="1" t="str">
        <f ca="1">INDEX(PAJAK[ID_P],MATCH(KENKO[[#This Row],[ID]],PAJAK[ID],0))</f>
        <v>KEN_0909_468-8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74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13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45181</v>
      </c>
      <c r="F12" s="2">
        <f ca="1">IF(KENKO[[#This Row],[//PAJAK]]="","",INDEX(INDIRECT("PAJAK["&amp;KENKO[#Headers]&amp;"]"),KENKO[[#This Row],[//PAJAK]]-1))</f>
        <v>45180</v>
      </c>
      <c r="G12" s="9" t="str">
        <f ca="1">IF(KENKO[[#This Row],[//PAJAK]]="","",INDEX(INDIRECT("PAJAK["&amp;KENKO[#Headers]&amp;"]"),KENKO[[#This Row],[//PAJAK]]-1))</f>
        <v>23090971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13008000</v>
      </c>
      <c r="J12" s="1">
        <f ca="1">IF(KENKO[[#This Row],[//PAJAK]]="","",INDEX(INDIRECT("PAJAK["&amp;KENKO[#Headers]&amp;"]"),KENKO[[#This Row],[//PAJAK]]-1))</f>
        <v>2211360</v>
      </c>
      <c r="K12" s="1">
        <f ca="1">(KENKO[[#This Row],[SUB TOTAL]]-KENKO[[#This Row],[DISKON]])/1.11</f>
        <v>9726702.7027027011</v>
      </c>
      <c r="L12" s="1">
        <f ca="1">KENKO[[#This Row],[DPP]]*11%</f>
        <v>1069937.297297297</v>
      </c>
      <c r="M12" s="1">
        <f ca="1">KENKO[[#This Row],[DPP]]+KENKO[[#This Row],[PPN (11%)]]</f>
        <v>10796639.999999998</v>
      </c>
      <c r="N12" s="1" t="str">
        <f ca="1">INDEX(PAJAK[ID_P],MATCH(KENKO[[#This Row],[ID]],PAJAK[ID],0))</f>
        <v>KEN_1209_971-9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14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45181</v>
      </c>
      <c r="F13" s="2">
        <f ca="1">IF(KENKO[[#This Row],[//PAJAK]]="","",INDEX(INDIRECT("PAJAK["&amp;KENKO[#Headers]&amp;"]"),KENKO[[#This Row],[//PAJAK]]-1))</f>
        <v>45180</v>
      </c>
      <c r="G13" s="6" t="str">
        <f ca="1">IF(KENKO[[#This Row],[//PAJAK]]="","",INDEX(INDIRECT("PAJAK["&amp;KENKO[#Headers]&amp;"]"),KENKO[[#This Row],[//PAJAK]]-1))</f>
        <v>23090968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48660000</v>
      </c>
      <c r="J13" s="1">
        <f ca="1">IF(KENKO[[#This Row],[//PAJAK]]="","",INDEX(INDIRECT("PAJAK["&amp;KENKO[#Headers]&amp;"]"),KENKO[[#This Row],[//PAJAK]]-1))</f>
        <v>8272200</v>
      </c>
      <c r="K13" s="1">
        <f ca="1">(KENKO[[#This Row],[SUB TOTAL]]-KENKO[[#This Row],[DISKON]])/1.11</f>
        <v>36385405.405405402</v>
      </c>
      <c r="L13" s="1">
        <f ca="1">KENKO[[#This Row],[DPP]]*11%</f>
        <v>4002394.5945945941</v>
      </c>
      <c r="M13" s="1">
        <f ca="1">KENKO[[#This Row],[DPP]]+KENKO[[#This Row],[PPN (11%)]]</f>
        <v>40387800</v>
      </c>
      <c r="N13" s="1" t="str">
        <f ca="1">INDEX(PAJAK[ID_P],MATCH(KENKO[[#This Row],[ID]],PAJAK[ID],0))</f>
        <v>KEN_1209_968-10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15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45178</v>
      </c>
      <c r="F14" s="2">
        <f ca="1">IF(KENKO[[#This Row],[//PAJAK]]="","",INDEX(INDIRECT("PAJAK["&amp;KENKO[#Headers]&amp;"]"),KENKO[[#This Row],[//PAJAK]]-1))</f>
        <v>45176</v>
      </c>
      <c r="G14" s="6" t="str">
        <f ca="1">IF(KENKO[[#This Row],[//PAJAK]]="","",INDEX(INDIRECT("PAJAK["&amp;KENKO[#Headers]&amp;"]"),KENKO[[#This Row],[//PAJAK]]-1))</f>
        <v>23090583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33652800</v>
      </c>
      <c r="J14" s="1">
        <f ca="1">IF(KENKO[[#This Row],[//PAJAK]]="","",INDEX(INDIRECT("PAJAK["&amp;KENKO[#Headers]&amp;"]"),KENKO[[#This Row],[//PAJAK]]-1))</f>
        <v>5720976</v>
      </c>
      <c r="K14" s="1">
        <f ca="1">(KENKO[[#This Row],[SUB TOTAL]]-KENKO[[#This Row],[DISKON]])/1.11</f>
        <v>25163805.405405402</v>
      </c>
      <c r="L14" s="1">
        <f ca="1">KENKO[[#This Row],[DPP]]*11%</f>
        <v>2768018.5945945941</v>
      </c>
      <c r="M14" s="1">
        <f ca="1">KENKO[[#This Row],[DPP]]+KENKO[[#This Row],[PPN (11%)]]</f>
        <v>27931823.999999996</v>
      </c>
      <c r="N14" s="1" t="str">
        <f ca="1">INDEX(PAJAK[ID_P],MATCH(KENKO[[#This Row],[ID]],PAJAK[ID],0))</f>
        <v>KEN_0909_583-10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HYPERLINK("[NOTA_.xlsx]PAJAK!b"&amp;KENKO[[#This Row],[//PAJAK]],IF(KENKO[[#This Row],[//PAJAK]]="","",INDEX(INDIRECT("PAJAK["&amp;KENKO[#Headers]&amp;"]"),KENKO[[#This Row],[//PAJAK]]-1)))</f>
        <v>37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45183</v>
      </c>
      <c r="F15" s="2">
        <f ca="1">IF(KENKO[[#This Row],[//PAJAK]]="","",INDEX(INDIRECT("PAJAK["&amp;KENKO[#Headers]&amp;"]"),KENKO[[#This Row],[//PAJAK]]-1))</f>
        <v>45182</v>
      </c>
      <c r="G15" s="6" t="str">
        <f ca="1">IF(KENKO[[#This Row],[//PAJAK]]="","",INDEX(INDIRECT("PAJAK["&amp;KENKO[#Headers]&amp;"]"),KENKO[[#This Row],[//PAJAK]]-1))</f>
        <v>23091177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12462400</v>
      </c>
      <c r="J15" s="1">
        <f ca="1">IF(KENKO[[#This Row],[//PAJAK]]="","",INDEX(INDIRECT("PAJAK["&amp;KENKO[#Headers]&amp;"]"),KENKO[[#This Row],[//PAJAK]]-1))</f>
        <v>2118608</v>
      </c>
      <c r="K15" s="1">
        <f ca="1">(KENKO[[#This Row],[SUB TOTAL]]-KENKO[[#This Row],[DISKON]])/1.11</f>
        <v>9318731.5315315314</v>
      </c>
      <c r="L15" s="1">
        <f ca="1">KENKO[[#This Row],[DPP]]*11%</f>
        <v>1025060.4684684684</v>
      </c>
      <c r="M15" s="1">
        <f ca="1">KENKO[[#This Row],[DPP]]+KENKO[[#This Row],[PPN (11%)]]</f>
        <v>10343792</v>
      </c>
      <c r="N15" s="1" t="str">
        <f ca="1">INDEX(PAJAK[ID_P],MATCH(KENKO[[#This Row],[ID]],PAJAK[ID],0))</f>
        <v>KEN_1409_177-7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228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24</v>
      </c>
      <c r="C16" s="7">
        <f ca="1">HYPERLINK("[NOTA_.xlsx]PAJAK!b"&amp;KENKO[[#This Row],[//PAJAK]],IF(KENKO[[#This Row],[//PAJAK]]="","",INDEX(INDIRECT("PAJAK["&amp;KENKO[#Headers]&amp;"]"),KENKO[[#This Row],[//PAJAK]]-1)))</f>
        <v>38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45183</v>
      </c>
      <c r="F16" s="2">
        <f ca="1">IF(KENKO[[#This Row],[//PAJAK]]="","",INDEX(INDIRECT("PAJAK["&amp;KENKO[#Headers]&amp;"]"),KENKO[[#This Row],[//PAJAK]]-1))</f>
        <v>45181</v>
      </c>
      <c r="G16" s="9" t="str">
        <f ca="1">IF(KENKO[[#This Row],[//PAJAK]]="","",INDEX(INDIRECT("PAJAK["&amp;KENKO[#Headers]&amp;"]"),KENKO[[#This Row],[//PAJAK]]-1))</f>
        <v>23091114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15011600</v>
      </c>
      <c r="J16" s="1">
        <f ca="1">IF(KENKO[[#This Row],[//PAJAK]]="","",INDEX(INDIRECT("PAJAK["&amp;KENKO[#Headers]&amp;"]"),KENKO[[#This Row],[//PAJAK]]-1))</f>
        <v>2551972.0000000005</v>
      </c>
      <c r="K16" s="1">
        <f ca="1">(KENKO[[#This Row],[SUB TOTAL]]-KENKO[[#This Row],[DISKON]])/1.11</f>
        <v>11224890.090090089</v>
      </c>
      <c r="L16" s="1">
        <f ca="1">KENKO[[#This Row],[DPP]]*11%</f>
        <v>1234737.9099099098</v>
      </c>
      <c r="M16" s="1">
        <f ca="1">KENKO[[#This Row],[DPP]]+KENKO[[#This Row],[PPN (11%)]]</f>
        <v>12459627.999999998</v>
      </c>
      <c r="N16" s="1" t="str">
        <f ca="1">INDEX(PAJAK[ID_P],MATCH(KENKO[[#This Row],[ID]],PAJAK[ID],0))</f>
        <v>KEN_1409_114-3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HYPERLINK("[NOTA_.xlsx]PAJAK!b"&amp;KENKO[[#This Row],[//PAJAK]],IF(KENKO[[#This Row],[//PAJAK]]="","",INDEX(INDIRECT("PAJAK["&amp;KENKO[#Headers]&amp;"]"),KENKO[[#This Row],[//PAJAK]]-1)))</f>
        <v>39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45183</v>
      </c>
      <c r="F17" s="2">
        <f ca="1">IF(KENKO[[#This Row],[//PAJAK]]="","",INDEX(INDIRECT("PAJAK["&amp;KENKO[#Headers]&amp;"]"),KENKO[[#This Row],[//PAJAK]]-1))</f>
        <v>45181</v>
      </c>
      <c r="G17" s="6" t="str">
        <f ca="1">IF(KENKO[[#This Row],[//PAJAK]]="","",INDEX(INDIRECT("PAJAK["&amp;KENKO[#Headers]&amp;"]"),KENKO[[#This Row],[//PAJAK]]-1))</f>
        <v>23091140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26663600</v>
      </c>
      <c r="J17" s="1">
        <f ca="1">IF(KENKO[[#This Row],[//PAJAK]]="","",INDEX(INDIRECT("PAJAK["&amp;KENKO[#Headers]&amp;"]"),KENKO[[#This Row],[//PAJAK]]-1))</f>
        <v>4532812</v>
      </c>
      <c r="K17" s="1">
        <f ca="1">(KENKO[[#This Row],[SUB TOTAL]]-KENKO[[#This Row],[DISKON]])/1.11</f>
        <v>19937646.846846845</v>
      </c>
      <c r="L17" s="1">
        <f ca="1">KENKO[[#This Row],[DPP]]*11%</f>
        <v>2193141.1531531531</v>
      </c>
      <c r="M17" s="1">
        <f ca="1">KENKO[[#This Row],[DPP]]+KENKO[[#This Row],[PPN (11%)]]</f>
        <v>22130788</v>
      </c>
      <c r="N17" s="1" t="str">
        <f ca="1">INDEX(PAJAK[ID_P],MATCH(KENKO[[#This Row],[ID]],PAJAK[ID],0))</f>
        <v>KEN_1409_140-11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27</v>
      </c>
      <c r="C18" s="7">
        <f ca="1">HYPERLINK("[NOTA_.xlsx]PAJAK!b"&amp;KENKO[[#This Row],[//PAJAK]],IF(KENKO[[#This Row],[//PAJAK]]="","",INDEX(INDIRECT("PAJAK["&amp;KENKO[#Headers]&amp;"]"),KENKO[[#This Row],[//PAJAK]]-1)))</f>
        <v>42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45185</v>
      </c>
      <c r="F18" s="2">
        <f ca="1">IF(KENKO[[#This Row],[//PAJAK]]="","",INDEX(INDIRECT("PAJAK["&amp;KENKO[#Headers]&amp;"]"),KENKO[[#This Row],[//PAJAK]]-1))</f>
        <v>45184</v>
      </c>
      <c r="G18" s="9" t="str">
        <f ca="1">IF(KENKO[[#This Row],[//PAJAK]]="","",INDEX(INDIRECT("PAJAK["&amp;KENKO[#Headers]&amp;"]"),KENKO[[#This Row],[//PAJAK]]-1))</f>
        <v>23091397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8982400</v>
      </c>
      <c r="J18" s="1">
        <f ca="1">IF(KENKO[[#This Row],[//PAJAK]]="","",INDEX(INDIRECT("PAJAK["&amp;KENKO[#Headers]&amp;"]"),KENKO[[#This Row],[//PAJAK]]-1))</f>
        <v>1527008</v>
      </c>
      <c r="K18" s="1">
        <f ca="1">(KENKO[[#This Row],[SUB TOTAL]]-KENKO[[#This Row],[DISKON]])/1.11</f>
        <v>6716569.369369369</v>
      </c>
      <c r="L18" s="1">
        <f ca="1">KENKO[[#This Row],[DPP]]*11%</f>
        <v>738822.63063063065</v>
      </c>
      <c r="M18" s="1">
        <f ca="1">KENKO[[#This Row],[DPP]]+KENKO[[#This Row],[PPN (11%)]]</f>
        <v>7455392</v>
      </c>
      <c r="N18" s="1" t="str">
        <f ca="1">INDEX(PAJAK[ID_P],MATCH(KENKO[[#This Row],[ID]],PAJAK[ID],0))</f>
        <v>KEN_1609_397-3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332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HYPERLINK("[NOTA_.xlsx]PAJAK!b"&amp;KENKO[[#This Row],[//PAJAK]],IF(KENKO[[#This Row],[//PAJAK]]="","",INDEX(INDIRECT("PAJAK["&amp;KENKO[#Headers]&amp;"]"),KENKO[[#This Row],[//PAJAK]]-1)))</f>
        <v>54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45187</v>
      </c>
      <c r="F19" s="2">
        <f ca="1">IF(KENKO[[#This Row],[//PAJAK]]="","",INDEX(INDIRECT("PAJAK["&amp;KENKO[#Headers]&amp;"]"),KENKO[[#This Row],[//PAJAK]]-1))</f>
        <v>45185</v>
      </c>
      <c r="G19" s="6" t="str">
        <f ca="1">IF(KENKO[[#This Row],[//PAJAK]]="","",INDEX(INDIRECT("PAJAK["&amp;KENKO[#Headers]&amp;"]"),KENKO[[#This Row],[//PAJAK]]-1))</f>
        <v>23091481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20883000</v>
      </c>
      <c r="J19" s="1">
        <f ca="1">IF(KENKO[[#This Row],[//PAJAK]]="","",INDEX(INDIRECT("PAJAK["&amp;KENKO[#Headers]&amp;"]"),KENKO[[#This Row],[//PAJAK]]-1))</f>
        <v>3550110</v>
      </c>
      <c r="K19" s="1">
        <f ca="1">(KENKO[[#This Row],[SUB TOTAL]]-KENKO[[#This Row],[DISKON]])/1.11</f>
        <v>15615216.216216214</v>
      </c>
      <c r="L19" s="1">
        <f ca="1">KENKO[[#This Row],[DPP]]*11%</f>
        <v>1717673.7837837834</v>
      </c>
      <c r="M19" s="1">
        <f ca="1">KENKO[[#This Row],[DPP]]+KENKO[[#This Row],[PPN (11%)]]</f>
        <v>17332889.999999996</v>
      </c>
      <c r="N19" s="1" t="str">
        <f ca="1">INDEX(PAJAK[ID_P],MATCH(KENKO[[#This Row],[ID]],PAJAK[ID],0))</f>
        <v>KEN_1809_481-7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430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73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45190</v>
      </c>
      <c r="F20" s="2">
        <f ca="1">IF(KENKO[[#This Row],[//PAJAK]]="","",INDEX(INDIRECT("PAJAK["&amp;KENKO[#Headers]&amp;"]"),KENKO[[#This Row],[//PAJAK]]-1))</f>
        <v>45187</v>
      </c>
      <c r="G20" s="9" t="str">
        <f ca="1">IF(KENKO[[#This Row],[//PAJAK]]="","",INDEX(INDIRECT("PAJAK["&amp;KENKO[#Headers]&amp;"]"),KENKO[[#This Row],[//PAJAK]]-1))</f>
        <v>23091564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12301200</v>
      </c>
      <c r="J20" s="1">
        <f ca="1">IF(KENKO[[#This Row],[//PAJAK]]="","",INDEX(INDIRECT("PAJAK["&amp;KENKO[#Headers]&amp;"]"),KENKO[[#This Row],[//PAJAK]]-1))</f>
        <v>2091204.0000000002</v>
      </c>
      <c r="K20" s="1">
        <f ca="1">(KENKO[[#This Row],[SUB TOTAL]]-KENKO[[#This Row],[DISKON]])/1.11</f>
        <v>9198194.5945945941</v>
      </c>
      <c r="L20" s="1">
        <f ca="1">KENKO[[#This Row],[DPP]]*11%</f>
        <v>1011801.4054054053</v>
      </c>
      <c r="M20" s="1">
        <f ca="1">KENKO[[#This Row],[DPP]]+KENKO[[#This Row],[PPN (11%)]]</f>
        <v>10209996</v>
      </c>
      <c r="N20" s="1" t="str">
        <f ca="1">INDEX(PAJAK[ID_P],MATCH(KENKO[[#This Row],[ID]],PAJAK[ID],0))</f>
        <v>KEN_2109_564-2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433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44</v>
      </c>
      <c r="C21" s="7">
        <f ca="1">HYPERLINK("[NOTA_.xlsx]PAJAK!b"&amp;KENKO[[#This Row],[//PAJAK]],IF(KENKO[[#This Row],[//PAJAK]]="","",INDEX(INDIRECT("PAJAK["&amp;KENKO[#Headers]&amp;"]"),KENKO[[#This Row],[//PAJAK]]-1)))</f>
        <v>74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45190</v>
      </c>
      <c r="F21" s="2">
        <f ca="1">IF(KENKO[[#This Row],[//PAJAK]]="","",INDEX(INDIRECT("PAJAK["&amp;KENKO[#Headers]&amp;"]"),KENKO[[#This Row],[//PAJAK]]-1))</f>
        <v>45190</v>
      </c>
      <c r="G21" s="9" t="str">
        <f ca="1">IF(KENKO[[#This Row],[//PAJAK]]="","",INDEX(INDIRECT("PAJAK["&amp;KENKO[#Headers]&amp;"]"),KENKO[[#This Row],[//PAJAK]]-1))</f>
        <v>23091884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15415200</v>
      </c>
      <c r="J21" s="1">
        <f ca="1">IF(KENKO[[#This Row],[//PAJAK]]="","",INDEX(INDIRECT("PAJAK["&amp;KENKO[#Headers]&amp;"]"),KENKO[[#This Row],[//PAJAK]]-1))</f>
        <v>2620584</v>
      </c>
      <c r="K21" s="1">
        <f ca="1">(KENKO[[#This Row],[SUB TOTAL]]-KENKO[[#This Row],[DISKON]])/1.11</f>
        <v>11526681.081081079</v>
      </c>
      <c r="L21" s="1">
        <f ca="1">KENKO[[#This Row],[DPP]]*11%</f>
        <v>1267934.9189189188</v>
      </c>
      <c r="M21" s="1">
        <f ca="1">KENKO[[#This Row],[DPP]]+KENKO[[#This Row],[PPN (11%)]]</f>
        <v>12794615.999999998</v>
      </c>
      <c r="N21" s="1" t="str">
        <f ca="1">INDEX(PAJAK[ID_P],MATCH(KENKO[[#This Row],[ID]],PAJAK[ID],0))</f>
        <v>KEN_2109_884-4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438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75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45190</v>
      </c>
      <c r="F22" s="2">
        <f ca="1">IF(KENKO[[#This Row],[//PAJAK]]="","",INDEX(INDIRECT("PAJAK["&amp;KENKO[#Headers]&amp;"]"),KENKO[[#This Row],[//PAJAK]]-1))</f>
        <v>45189</v>
      </c>
      <c r="G22" s="9" t="str">
        <f ca="1">IF(KENKO[[#This Row],[//PAJAK]]="","",INDEX(INDIRECT("PAJAK["&amp;KENKO[#Headers]&amp;"]"),KENKO[[#This Row],[//PAJAK]]-1))</f>
        <v>23091769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7411200</v>
      </c>
      <c r="J22" s="1">
        <f ca="1">IF(KENKO[[#This Row],[//PAJAK]]="","",INDEX(INDIRECT("PAJAK["&amp;KENKO[#Headers]&amp;"]"),KENKO[[#This Row],[//PAJAK]]-1))</f>
        <v>1259904</v>
      </c>
      <c r="K22" s="1">
        <f ca="1">(KENKO[[#This Row],[SUB TOTAL]]-KENKO[[#This Row],[DISKON]])/1.11</f>
        <v>5541708.1081081079</v>
      </c>
      <c r="L22" s="1">
        <f ca="1">KENKO[[#This Row],[DPP]]*11%</f>
        <v>609587.89189189184</v>
      </c>
      <c r="M22" s="1">
        <f ca="1">KENKO[[#This Row],[DPP]]+KENKO[[#This Row],[PPN (11%)]]</f>
        <v>6151296</v>
      </c>
      <c r="N22" s="1" t="str">
        <f ca="1">INDEX(PAJAK[ID_P],MATCH(KENKO[[#This Row],[ID]],PAJAK[ID],0))</f>
        <v>KEN_2109_769-2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517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50</v>
      </c>
      <c r="C23" s="7">
        <f ca="1">HYPERLINK("[NOTA_.xlsx]PAJAK!b"&amp;KENKO[[#This Row],[//PAJAK]],IF(KENKO[[#This Row],[//PAJAK]]="","",INDEX(INDIRECT("PAJAK["&amp;KENKO[#Headers]&amp;"]"),KENKO[[#This Row],[//PAJAK]]-1)))</f>
        <v>93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45196</v>
      </c>
      <c r="F23" s="2">
        <f ca="1">IF(KENKO[[#This Row],[//PAJAK]]="","",INDEX(INDIRECT("PAJAK["&amp;KENKO[#Headers]&amp;"]"),KENKO[[#This Row],[//PAJAK]]-1))</f>
        <v>45192</v>
      </c>
      <c r="G23" s="9" t="str">
        <f ca="1">IF(KENKO[[#This Row],[//PAJAK]]="","",INDEX(INDIRECT("PAJAK["&amp;KENKO[#Headers]&amp;"]"),KENKO[[#This Row],[//PAJAK]]-1))</f>
        <v>23092078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31312800</v>
      </c>
      <c r="J23" s="1">
        <f ca="1">IF(KENKO[[#This Row],[//PAJAK]]="","",INDEX(INDIRECT("PAJAK["&amp;KENKO[#Headers]&amp;"]"),KENKO[[#This Row],[//PAJAK]]-1))</f>
        <v>5323176</v>
      </c>
      <c r="K23" s="1">
        <f ca="1">(KENKO[[#This Row],[SUB TOTAL]]-KENKO[[#This Row],[DISKON]])/1.11</f>
        <v>23414075.675675675</v>
      </c>
      <c r="L23" s="1">
        <f ca="1">KENKO[[#This Row],[DPP]]*11%</f>
        <v>2575548.3243243243</v>
      </c>
      <c r="M23" s="1">
        <f ca="1">KENKO[[#This Row],[DPP]]+KENKO[[#This Row],[PPN (11%)]]</f>
        <v>25989624</v>
      </c>
      <c r="N23" s="1" t="str">
        <f ca="1">INDEX(PAJAK[ID_P],MATCH(KENKO[[#This Row],[ID]],PAJAK[ID],0))</f>
        <v>KEN_2709_078-5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523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51</v>
      </c>
      <c r="C24" s="7">
        <f ca="1">HYPERLINK("[NOTA_.xlsx]PAJAK!b"&amp;KENKO[[#This Row],[//PAJAK]],IF(KENKO[[#This Row],[//PAJAK]]="","",INDEX(INDIRECT("PAJAK["&amp;KENKO[#Headers]&amp;"]"),KENKO[[#This Row],[//PAJAK]]-1)))</f>
        <v>94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45196</v>
      </c>
      <c r="F24" s="2">
        <f ca="1">IF(KENKO[[#This Row],[//PAJAK]]="","",INDEX(INDIRECT("PAJAK["&amp;KENKO[#Headers]&amp;"]"),KENKO[[#This Row],[//PAJAK]]-1))</f>
        <v>45191</v>
      </c>
      <c r="G24" s="9" t="str">
        <f ca="1">IF(KENKO[[#This Row],[//PAJAK]]="","",INDEX(INDIRECT("PAJAK["&amp;KENKO[#Headers]&amp;"]"),KENKO[[#This Row],[//PAJAK]]-1))</f>
        <v>23091995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15589200</v>
      </c>
      <c r="J24" s="1">
        <f ca="1">IF(KENKO[[#This Row],[//PAJAK]]="","",INDEX(INDIRECT("PAJAK["&amp;KENKO[#Headers]&amp;"]"),KENKO[[#This Row],[//PAJAK]]-1))</f>
        <v>2650164</v>
      </c>
      <c r="K24" s="1">
        <f ca="1">(KENKO[[#This Row],[SUB TOTAL]]-KENKO[[#This Row],[DISKON]])/1.11</f>
        <v>11656789.189189188</v>
      </c>
      <c r="L24" s="1">
        <f ca="1">KENKO[[#This Row],[DPP]]*11%</f>
        <v>1282246.8108108107</v>
      </c>
      <c r="M24" s="1">
        <f ca="1">KENKO[[#This Row],[DPP]]+KENKO[[#This Row],[PPN (11%)]]</f>
        <v>12939035.999999998</v>
      </c>
      <c r="N24" s="1" t="str">
        <f ca="1">INDEX(PAJAK[ID_P],MATCH(KENKO[[#This Row],[ID]],PAJAK[ID],0))</f>
        <v>KEN_2709_995-8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532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52</v>
      </c>
      <c r="C25" s="7">
        <f ca="1">HYPERLINK("[NOTA_.xlsx]PAJAK!b"&amp;KENKO[[#This Row],[//PAJAK]],IF(KENKO[[#This Row],[//PAJAK]]="","",INDEX(INDIRECT("PAJAK["&amp;KENKO[#Headers]&amp;"]"),KENKO[[#This Row],[//PAJAK]]-1)))</f>
        <v>95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45196</v>
      </c>
      <c r="F25" s="2">
        <f ca="1">IF(KENKO[[#This Row],[//PAJAK]]="","",INDEX(INDIRECT("PAJAK["&amp;KENKO[#Headers]&amp;"]"),KENKO[[#This Row],[//PAJAK]]-1))</f>
        <v>45191</v>
      </c>
      <c r="G25" s="9" t="str">
        <f ca="1">IF(KENKO[[#This Row],[//PAJAK]]="","",INDEX(INDIRECT("PAJAK["&amp;KENKO[#Headers]&amp;"]"),KENKO[[#This Row],[//PAJAK]]-1))</f>
        <v>23092008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11404800</v>
      </c>
      <c r="J25" s="1">
        <f ca="1">IF(KENKO[[#This Row],[//PAJAK]]="","",INDEX(INDIRECT("PAJAK["&amp;KENKO[#Headers]&amp;"]"),KENKO[[#This Row],[//PAJAK]]-1))</f>
        <v>1938816.0000000002</v>
      </c>
      <c r="K25" s="1">
        <f ca="1">(KENKO[[#This Row],[SUB TOTAL]]-KENKO[[#This Row],[DISKON]])/1.11</f>
        <v>8527913.5135135129</v>
      </c>
      <c r="L25" s="1">
        <f ca="1">KENKO[[#This Row],[DPP]]*11%</f>
        <v>938070.48648648639</v>
      </c>
      <c r="M25" s="1">
        <f ca="1">KENKO[[#This Row],[DPP]]+KENKO[[#This Row],[PPN (11%)]]</f>
        <v>9465984</v>
      </c>
      <c r="N25" s="1" t="str">
        <f ca="1">INDEX(PAJAK[ID_P],MATCH(KENKO[[#This Row],[ID]],PAJAK[ID],0))</f>
        <v>KEN_2709_008-1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104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45198</v>
      </c>
      <c r="F26" s="2">
        <f ca="1">IF(KENKO[[#This Row],[//PAJAK]]="","",INDEX(INDIRECT("PAJAK["&amp;KENKO[#Headers]&amp;"]"),KENKO[[#This Row],[//PAJAK]]-1))</f>
        <v>45194</v>
      </c>
      <c r="G26" s="9" t="str">
        <f ca="1">IF(KENKO[[#This Row],[//PAJAK]]="","",INDEX(INDIRECT("PAJAK["&amp;KENKO[#Headers]&amp;"]"),KENKO[[#This Row],[//PAJAK]]-1))</f>
        <v>23092171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122035200</v>
      </c>
      <c r="J26" s="1">
        <f ca="1">IF(KENKO[[#This Row],[//PAJAK]]="","",INDEX(INDIRECT("PAJAK["&amp;KENKO[#Headers]&amp;"]"),KENKO[[#This Row],[//PAJAK]]-1))</f>
        <v>23061684</v>
      </c>
      <c r="K26" s="1">
        <f ca="1">(KENKO[[#This Row],[SUB TOTAL]]-KENKO[[#This Row],[DISKON]])/1.11</f>
        <v>89165329.729729727</v>
      </c>
      <c r="L26" s="1">
        <f ca="1">KENKO[[#This Row],[DPP]]*11%</f>
        <v>9808186.2702702694</v>
      </c>
      <c r="M26" s="1">
        <f ca="1">KENKO[[#This Row],[DPP]]+KENKO[[#This Row],[PPN (11%)]]</f>
        <v>98973516</v>
      </c>
      <c r="N26" s="1" t="str">
        <f ca="1">INDEX(PAJAK[ID_P],MATCH(KENKO[[#This Row],[ID]],PAJAK[ID],0))</f>
        <v>KEN_2909_171-7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566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56</v>
      </c>
      <c r="C27" s="7">
        <f ca="1">HYPERLINK("[NOTA_.xlsx]PAJAK!b"&amp;KENKO[[#This Row],[//PAJAK]],IF(KENKO[[#This Row],[//PAJAK]]="","",INDEX(INDIRECT("PAJAK["&amp;KENKO[#Headers]&amp;"]"),KENKO[[#This Row],[//PAJAK]]-1)))</f>
        <v>105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45201</v>
      </c>
      <c r="F27" s="2">
        <f ca="1">IF(KENKO[[#This Row],[//PAJAK]]="","",INDEX(INDIRECT("PAJAK["&amp;KENKO[#Headers]&amp;"]"),KENKO[[#This Row],[//PAJAK]]-1))</f>
        <v>45196</v>
      </c>
      <c r="G27" s="9" t="str">
        <f ca="1">IF(KENKO[[#This Row],[//PAJAK]]="","",INDEX(INDIRECT("PAJAK["&amp;KENKO[#Headers]&amp;"]"),KENKO[[#This Row],[//PAJAK]]-1))</f>
        <v>23092311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7732800</v>
      </c>
      <c r="J27" s="1">
        <f ca="1">IF(KENKO[[#This Row],[//PAJAK]]="","",INDEX(INDIRECT("PAJAK["&amp;KENKO[#Headers]&amp;"]"),KENKO[[#This Row],[//PAJAK]]-1))</f>
        <v>1314576</v>
      </c>
      <c r="K27" s="1">
        <f ca="1">(KENKO[[#This Row],[SUB TOTAL]]-KENKO[[#This Row],[DISKON]])/1.11</f>
        <v>5782183.7837837832</v>
      </c>
      <c r="L27" s="1">
        <f ca="1">KENKO[[#This Row],[DPP]]*11%</f>
        <v>636040.21621621621</v>
      </c>
      <c r="M27" s="1">
        <f ca="1">KENKO[[#This Row],[DPP]]+KENKO[[#This Row],[PPN (11%)]]</f>
        <v>6418223.9999999991</v>
      </c>
      <c r="N27" s="1" t="str">
        <f ca="1">INDEX(PAJAK[ID_P],MATCH(KENKO[[#This Row],[ID]],PAJAK[ID],0))</f>
        <v>KEN_0210_311-2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569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106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45201</v>
      </c>
      <c r="F28" s="2">
        <f ca="1">IF(KENKO[[#This Row],[//PAJAK]]="","",INDEX(INDIRECT("PAJAK["&amp;KENKO[#Headers]&amp;"]"),KENKO[[#This Row],[//PAJAK]]-1))</f>
        <v>45195</v>
      </c>
      <c r="G28" s="9" t="str">
        <f ca="1">IF(KENKO[[#This Row],[//PAJAK]]="","",INDEX(INDIRECT("PAJAK["&amp;KENKO[#Headers]&amp;"]"),KENKO[[#This Row],[//PAJAK]]-1))</f>
        <v>23092214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6890400</v>
      </c>
      <c r="J28" s="1">
        <f ca="1">IF(KENKO[[#This Row],[//PAJAK]]="","",INDEX(INDIRECT("PAJAK["&amp;KENKO[#Headers]&amp;"]"),KENKO[[#This Row],[//PAJAK]]-1))</f>
        <v>1171368</v>
      </c>
      <c r="K28" s="1">
        <f ca="1">(KENKO[[#This Row],[SUB TOTAL]]-KENKO[[#This Row],[DISKON]])/1.11</f>
        <v>5152281.0810810803</v>
      </c>
      <c r="L28" s="1">
        <f ca="1">KENKO[[#This Row],[DPP]]*11%</f>
        <v>566750.91891891882</v>
      </c>
      <c r="M28" s="1">
        <f ca="1">KENKO[[#This Row],[DPP]]+KENKO[[#This Row],[PPN (11%)]]</f>
        <v>5719031.9999999991</v>
      </c>
      <c r="N28" s="1" t="str">
        <f ca="1">INDEX(PAJAK[ID_P],MATCH(KENKO[[#This Row],[ID]],PAJAK[ID],0))</f>
        <v>KEN_0210_214-2</v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EXP\BARU\2023\09 SEPTEMBER\[NOTA 09 SEPTEMBER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453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HYPERLINK("[NOTA_.xlsx]PAJAK!b"&amp;KALINDO[[#This Row],[//PAJAK]],IF(KALINDO[[#This Row],[//PAJAK]]="","",INDEX(INDIRECT("PAJAK["&amp;KALINDO[#Headers]&amp;"]"),KALINDO[[#This Row],[//PAJAK]]-1)))</f>
        <v>77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45190</v>
      </c>
      <c r="F3" s="2">
        <f ca="1">IF(KALINDO[[#This Row],[//PAJAK]]="","",INDEX(INDIRECT("PAJAK["&amp;KALINDO[#Headers]&amp;"]"),KALINDO[[#This Row],[//PAJAK]]-1))</f>
        <v>45189</v>
      </c>
      <c r="G3" s="7" t="str">
        <f ca="1">IF(KALINDO[[#This Row],[//PAJAK]]="","",INDEX(INDIRECT("PAJAK["&amp;KALINDO[#Headers]&amp;"]"),KALINDO[[#This Row],[//PAJAK]]-1))</f>
        <v>SN23092177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33698875</v>
      </c>
      <c r="J3" s="1">
        <f ca="1">IF(KALINDO[[#This Row],[//PAJAK]]="","",INDEX(PAJAK[DISC DLL],KALINDO[[#This Row],[//PAJAK]]-1))</f>
        <v>529595.00190000061</v>
      </c>
      <c r="K3" s="1">
        <f ca="1">(KALINDO[[#This Row],[SUB TOTAL]]-KALINDO[[#This Row],[DISKON]])/1.11</f>
        <v>29882234.232522517</v>
      </c>
      <c r="L3" s="1">
        <f ca="1">KALINDO[[#This Row],[DPP]]*11%</f>
        <v>3287045.7655774769</v>
      </c>
      <c r="M3" s="1">
        <f ca="1">KALINDO[[#This Row],[DPP]]+KALINDO[[#This Row],[PPN (11%)]]</f>
        <v>33169279.998099994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27</v>
      </c>
      <c r="F1" t="str">
        <f ca="1">MID(G1,FIND("]",G1)+1,LEN(G1)-FIND("]",G1))</f>
        <v>ATALI</v>
      </c>
      <c r="G1" s="4" t="str">
        <f ca="1">CELL("filename",G1)</f>
        <v>D:\kerja\BANK EXP\BARU\2023\09 SEPTEMBER\[NOTA 09 SEPTEMBER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106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16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45178</v>
      </c>
      <c r="F3" s="2">
        <f ca="1">IF(ATALI[[#This Row],[//PAJAK]]="","",INDEX(INDIRECT("PAJAK["&amp;ATALI[#Headers]&amp;"]"),ATALI[[#This Row],[//PAJAK]]-1))</f>
        <v>45175</v>
      </c>
      <c r="G3" s="7" t="str">
        <f ca="1">IF(ATALI[[#This Row],[//PAJAK]]="","",INDEX(INDIRECT("PAJAK["&amp;ATALI[#Headers]&amp;"]"),ATALI[[#This Row],[//PAJAK]]-1))</f>
        <v>SA230915860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10174500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9166216.2162162159</v>
      </c>
      <c r="L3" s="1">
        <f ca="1">ATALI[[#This Row],[DPP]]*11%</f>
        <v>1008283.7837837838</v>
      </c>
      <c r="M3" s="1">
        <f ca="1">ATALI[[#This Row],[DPP]]+ATALI[[#This Row],[PPN (11%)]]</f>
        <v>10174500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109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17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45178</v>
      </c>
      <c r="F4" s="2">
        <f ca="1">IF(ATALI[[#This Row],[//PAJAK]]="","",INDEX(INDIRECT("PAJAK["&amp;ATALI[#Headers]&amp;"]"),ATALI[[#This Row],[//PAJAK]]-1))</f>
        <v>45174</v>
      </c>
      <c r="G4" s="5" t="str">
        <f ca="1">IF(ATALI[[#This Row],[//PAJAK]]="","",INDEX(INDIRECT("PAJAK["&amp;ATALI[#Headers]&amp;"]"),ATALI[[#This Row],[//PAJAK]]-1))</f>
        <v>SA230915846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4084534.5</v>
      </c>
      <c r="J4" s="1">
        <f ca="1">IF(ATALI[[#This Row],[//PAJAK]]="","",INDEX(PAJAK[DISC DLL],ATALI[[#This Row],[//PAJAK]]-1))</f>
        <v>135432</v>
      </c>
      <c r="K4" s="1">
        <f ca="1">(ATALI[[#This Row],[SUB TOTAL]]-ATALI[[#This Row],[DISKON]])/1.11</f>
        <v>3557749.9999999995</v>
      </c>
      <c r="L4" s="1">
        <f ca="1">ATALI[[#This Row],[DPP]]*11%</f>
        <v>391352.49999999994</v>
      </c>
      <c r="M4" s="1">
        <f ca="1">ATALI[[#This Row],[DPP]]+ATALI[[#This Row],[PPN (11%)]]</f>
        <v>3949102.4999999995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114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18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45178</v>
      </c>
      <c r="F5" s="2">
        <f ca="1">IF(ATALI[[#This Row],[//PAJAK]]="","",INDEX(INDIRECT("PAJAK["&amp;ATALI[#Headers]&amp;"]"),ATALI[[#This Row],[//PAJAK]]-1))</f>
        <v>45174</v>
      </c>
      <c r="G5" s="5" t="str">
        <f ca="1">IF(ATALI[[#This Row],[//PAJAK]]="","",INDEX(INDIRECT("PAJAK["&amp;ATALI[#Headers]&amp;"]"),ATALI[[#This Row],[//PAJAK]]-1))</f>
        <v>SA230915845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14481705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13046581.081081079</v>
      </c>
      <c r="L5" s="1">
        <f ca="1">ATALI[[#This Row],[DPP]]*11%</f>
        <v>1435123.9189189188</v>
      </c>
      <c r="M5" s="1">
        <f ca="1">ATALI[[#This Row],[DPP]]+ATALI[[#This Row],[PPN (11%)]]</f>
        <v>14481704.999999998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126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19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45178</v>
      </c>
      <c r="F6" s="2">
        <f ca="1">IF(ATALI[[#This Row],[//PAJAK]]="","",INDEX(INDIRECT("PAJAK["&amp;ATALI[#Headers]&amp;"]"),ATALI[[#This Row],[//PAJAK]]-1))</f>
        <v>45174</v>
      </c>
      <c r="G6" s="5" t="str">
        <f ca="1">IF(ATALI[[#This Row],[//PAJAK]]="","",INDEX(INDIRECT("PAJAK["&amp;ATALI[#Headers]&amp;"]"),ATALI[[#This Row],[//PAJAK]]-1))</f>
        <v>SA230915844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32415425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29203085.585585583</v>
      </c>
      <c r="L6" s="1">
        <f ca="1">ATALI[[#This Row],[DPP]]*11%</f>
        <v>3212339.4144144142</v>
      </c>
      <c r="M6" s="1">
        <f ca="1">ATALI[[#This Row],[DPP]]+ATALI[[#This Row],[PPN (11%)]]</f>
        <v>32415424.999999996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20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45178</v>
      </c>
      <c r="F7" s="2">
        <f ca="1">IF(ATALI[[#This Row],[//PAJAK]]="","",INDEX(INDIRECT("PAJAK["&amp;ATALI[#Headers]&amp;"]"),ATALI[[#This Row],[//PAJAK]]-1))</f>
        <v>45174</v>
      </c>
      <c r="G7" s="5" t="str">
        <f ca="1">IF(ATALI[[#This Row],[//PAJAK]]="","",INDEX(INDIRECT("PAJAK["&amp;ATALI[#Headers]&amp;"]"),ATALI[[#This Row],[//PAJAK]]-1))</f>
        <v>SA230915843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32339553.25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29012721.846846845</v>
      </c>
      <c r="L7" s="1">
        <f ca="1">ATALI[[#This Row],[DPP]]*11%</f>
        <v>3191399.4031531531</v>
      </c>
      <c r="M7" s="1">
        <f ca="1">ATALI[[#This Row],[DPP]]+ATALI[[#This Row],[PPN (11%)]]</f>
        <v>32204121.25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21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45178</v>
      </c>
      <c r="F8" s="2">
        <f ca="1">IF(ATALI[[#This Row],[//PAJAK]]="","",INDEX(INDIRECT("PAJAK["&amp;ATALI[#Headers]&amp;"]"),ATALI[[#This Row],[//PAJAK]]-1))</f>
        <v>45175</v>
      </c>
      <c r="G8" s="5" t="str">
        <f ca="1">IF(ATALI[[#This Row],[//PAJAK]]="","",INDEX(INDIRECT("PAJAK["&amp;ATALI[#Headers]&amp;"]"),ATALI[[#This Row],[//PAJAK]]-1))</f>
        <v>SA230915894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22976415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20699472.97297297</v>
      </c>
      <c r="L8" s="1">
        <f ca="1">ATALI[[#This Row],[DPP]]*11%</f>
        <v>2276942.0270270268</v>
      </c>
      <c r="M8" s="1">
        <f ca="1">ATALI[[#This Row],[DPP]]+ATALI[[#This Row],[PPN (11%)]]</f>
        <v>22976414.999999996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22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45178</v>
      </c>
      <c r="F9" s="2">
        <f ca="1">IF(ATALI[[#This Row],[//PAJAK]]="","",INDEX(INDIRECT("PAJAK["&amp;ATALI[#Headers]&amp;"]"),ATALI[[#This Row],[//PAJAK]]-1))</f>
        <v>45175</v>
      </c>
      <c r="G9" s="5" t="str">
        <f ca="1">IF(ATALI[[#This Row],[//PAJAK]]="","",INDEX(INDIRECT("PAJAK["&amp;ATALI[#Headers]&amp;"]"),ATALI[[#This Row],[//PAJAK]]-1))</f>
        <v>SA230915895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7565040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6815351.3513513505</v>
      </c>
      <c r="L9" s="1">
        <f ca="1">ATALI[[#This Row],[DPP]]*11%</f>
        <v>749688.64864864852</v>
      </c>
      <c r="M9" s="1">
        <f ca="1">ATALI[[#This Row],[DPP]]+ATALI[[#This Row],[PPN (11%)]]</f>
        <v>7565039.9999999991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257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28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45185</v>
      </c>
      <c r="F10" s="2">
        <f ca="1">IF(ATALI[[#This Row],[//PAJAK]]="","",INDEX(INDIRECT("PAJAK["&amp;ATALI[#Headers]&amp;"]"),ATALI[[#This Row],[//PAJAK]]-1))</f>
        <v>45181</v>
      </c>
      <c r="G10" s="5" t="str">
        <f ca="1">IF(ATALI[[#This Row],[//PAJAK]]="","",INDEX(INDIRECT("PAJAK["&amp;ATALI[#Headers]&amp;"]"),ATALI[[#This Row],[//PAJAK]]-1))</f>
        <v>SA230916213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10316145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9293824.3243243229</v>
      </c>
      <c r="L10" s="1">
        <f ca="1">ATALI[[#This Row],[DPP]]*11%</f>
        <v>1022320.6756756755</v>
      </c>
      <c r="M10" s="1">
        <f ca="1">ATALI[[#This Row],[DPP]]+ATALI[[#This Row],[PPN (11%)]]</f>
        <v>10316144.999999998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262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29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45185</v>
      </c>
      <c r="F11" s="2">
        <f ca="1">IF(ATALI[[#This Row],[//PAJAK]]="","",INDEX(INDIRECT("PAJAK["&amp;ATALI[#Headers]&amp;"]"),ATALI[[#This Row],[//PAJAK]]-1))</f>
        <v>45181</v>
      </c>
      <c r="G11" s="5" t="str">
        <f ca="1">IF(ATALI[[#This Row],[//PAJAK]]="","",INDEX(INDIRECT("PAJAK["&amp;ATALI[#Headers]&amp;"]"),ATALI[[#This Row],[//PAJAK]]-1))</f>
        <v>SA230916235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26317607.75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23709556.531531528</v>
      </c>
      <c r="L11" s="1">
        <f ca="1">ATALI[[#This Row],[DPP]]*11%</f>
        <v>2608051.2184684682</v>
      </c>
      <c r="M11" s="1">
        <f ca="1">ATALI[[#This Row],[DPP]]+ATALI[[#This Row],[PPN (11%)]]</f>
        <v>26317607.749999996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274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30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45185</v>
      </c>
      <c r="F12" s="2">
        <f ca="1">IF(ATALI[[#This Row],[//PAJAK]]="","",INDEX(INDIRECT("PAJAK["&amp;ATALI[#Headers]&amp;"]"),ATALI[[#This Row],[//PAJAK]]-1))</f>
        <v>45181</v>
      </c>
      <c r="G12" s="5" t="str">
        <f ca="1">IF(ATALI[[#This Row],[//PAJAK]]="","",INDEX(INDIRECT("PAJAK["&amp;ATALI[#Headers]&amp;"]"),ATALI[[#This Row],[//PAJAK]]-1))</f>
        <v>SA230916212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31316845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28213373.873873871</v>
      </c>
      <c r="L12" s="1">
        <f ca="1">ATALI[[#This Row],[DPP]]*11%</f>
        <v>3103471.1261261259</v>
      </c>
      <c r="M12" s="1">
        <f ca="1">ATALI[[#This Row],[DPP]]+ATALI[[#This Row],[PPN (11%)]]</f>
        <v>31316844.999999996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45185</v>
      </c>
      <c r="F13" s="2">
        <f ca="1">IF(ATALI[[#This Row],[//PAJAK]]="","",INDEX(INDIRECT("PAJAK["&amp;ATALI[#Headers]&amp;"]"),ATALI[[#This Row],[//PAJAK]]-1))</f>
        <v>45182</v>
      </c>
      <c r="G13" s="5" t="str">
        <f ca="1">IF(ATALI[[#This Row],[//PAJAK]]="","",INDEX(INDIRECT("PAJAK["&amp;ATALI[#Headers]&amp;"]"),ATALI[[#This Row],[//PAJAK]]-1))</f>
        <v>SA230916290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6703200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6038918.9189189188</v>
      </c>
      <c r="L13" s="1">
        <f ca="1">ATALI[[#This Row],[DPP]]*11%</f>
        <v>664281.08108108107</v>
      </c>
      <c r="M13" s="1">
        <f ca="1">ATALI[[#This Row],[DPP]]+ATALI[[#This Row],[PPN (11%)]]</f>
        <v>6703200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33</v>
      </c>
      <c r="C14" s="12">
        <f ca="1">HYPERLINK("[NOTA_.xlsx]PAJAK!b"&amp;ATALI[[#This Row],[//PAJAK]],IF(ATALI[[#This Row],[//PAJAK]]="","",INDEX(INDIRECT("PAJAK["&amp;ATALI[#Headers]&amp;"]"),ATALI[[#This Row],[//PAJAK]]-1)))</f>
        <v>52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45187</v>
      </c>
      <c r="F14" s="2">
        <f ca="1">IF(ATALI[[#This Row],[//PAJAK]]="","",INDEX(INDIRECT("PAJAK["&amp;ATALI[#Headers]&amp;"]"),ATALI[[#This Row],[//PAJAK]]-1))</f>
        <v>45183</v>
      </c>
      <c r="G14" s="5" t="str">
        <f ca="1">IF(ATALI[[#This Row],[//PAJAK]]="","",INDEX(INDIRECT("PAJAK["&amp;ATALI[#Headers]&amp;"]"),ATALI[[#This Row],[//PAJAK]]-1))</f>
        <v>SA230916347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13828779.5</v>
      </c>
      <c r="J14" s="1">
        <f ca="1">IF(ATALI[[#This Row],[//PAJAK]]="","",INDEX(PAJAK[DISC DLL],ATALI[[#This Row],[//PAJAK]]-1))</f>
        <v>135432</v>
      </c>
      <c r="K14" s="1">
        <f ca="1">(ATALI[[#This Row],[SUB TOTAL]]-ATALI[[#This Row],[DISKON]])/1.11</f>
        <v>12336349.099099098</v>
      </c>
      <c r="L14" s="1">
        <f ca="1">ATALI[[#This Row],[DPP]]*11%</f>
        <v>1356998.4009009008</v>
      </c>
      <c r="M14" s="1">
        <f ca="1">ATALI[[#This Row],[DPP]]+ATALI[[#This Row],[PPN (11%)]]</f>
        <v>13693347.499999998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323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34</v>
      </c>
      <c r="C15" s="12">
        <f ca="1">HYPERLINK("[NOTA_.xlsx]PAJAK!b"&amp;ATALI[[#This Row],[//PAJAK]],IF(ATALI[[#This Row],[//PAJAK]]="","",INDEX(INDIRECT("PAJAK["&amp;ATALI[#Headers]&amp;"]"),ATALI[[#This Row],[//PAJAK]]-1)))</f>
        <v>53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45187</v>
      </c>
      <c r="F15" s="2">
        <f ca="1">IF(ATALI[[#This Row],[//PAJAK]]="","",INDEX(INDIRECT("PAJAK["&amp;ATALI[#Headers]&amp;"]"),ATALI[[#This Row],[//PAJAK]]-1))</f>
        <v>45183</v>
      </c>
      <c r="G15" s="5" t="str">
        <f ca="1">IF(ATALI[[#This Row],[//PAJAK]]="","",INDEX(INDIRECT("PAJAK["&amp;ATALI[#Headers]&amp;"]"),ATALI[[#This Row],[//PAJAK]]-1))</f>
        <v>SA230916381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19375938.75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17455800.675675675</v>
      </c>
      <c r="L15" s="1">
        <f ca="1">ATALI[[#This Row],[DPP]]*11%</f>
        <v>1920138.0743243243</v>
      </c>
      <c r="M15" s="1">
        <f ca="1">ATALI[[#This Row],[DPP]]+ATALI[[#This Row],[PPN (11%)]]</f>
        <v>19375938.75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340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55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45187</v>
      </c>
      <c r="F16" s="2">
        <f ca="1">IF(ATALI[[#This Row],[//PAJAK]]="","",INDEX(INDIRECT("PAJAK["&amp;ATALI[#Headers]&amp;"]"),ATALI[[#This Row],[//PAJAK]]-1))</f>
        <v>45184</v>
      </c>
      <c r="G16" s="5" t="str">
        <f ca="1">IF(ATALI[[#This Row],[//PAJAK]]="","",INDEX(INDIRECT("PAJAK["&amp;ATALI[#Headers]&amp;"]"),ATALI[[#This Row],[//PAJAK]]-1))</f>
        <v>SA230916502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11612439</v>
      </c>
      <c r="J16" s="1">
        <f ca="1">IF(ATALI[[#This Row],[//PAJAK]]="","",INDEX(PAJAK[DISC DLL],ATALI[[#This Row],[//PAJAK]]-1))</f>
        <v>270864</v>
      </c>
      <c r="K16" s="1">
        <f ca="1">(ATALI[[#This Row],[SUB TOTAL]]-ATALI[[#This Row],[DISKON]])/1.11</f>
        <v>10217635.135135135</v>
      </c>
      <c r="L16" s="1">
        <f ca="1">ATALI[[#This Row],[DPP]]*11%</f>
        <v>1123939.8648648649</v>
      </c>
      <c r="M16" s="1">
        <f ca="1">ATALI[[#This Row],[DPP]]+ATALI[[#This Row],[PPN (11%)]]</f>
        <v>11341575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344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56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45187</v>
      </c>
      <c r="F17" s="2">
        <f ca="1">IF(ATALI[[#This Row],[//PAJAK]]="","",INDEX(INDIRECT("PAJAK["&amp;ATALI[#Headers]&amp;"]"),ATALI[[#This Row],[//PAJAK]]-1))</f>
        <v>45184</v>
      </c>
      <c r="G17" s="5" t="str">
        <f ca="1">IF(ATALI[[#This Row],[//PAJAK]]="","",INDEX(INDIRECT("PAJAK["&amp;ATALI[#Headers]&amp;"]"),ATALI[[#This Row],[//PAJAK]]-1))</f>
        <v>SA230916446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9349900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8423333.3333333321</v>
      </c>
      <c r="L17" s="1">
        <f ca="1">ATALI[[#This Row],[DPP]]*11%</f>
        <v>926566.66666666651</v>
      </c>
      <c r="M17" s="1">
        <f ca="1">ATALI[[#This Row],[DPP]]+ATALI[[#This Row],[PPN (11%)]]</f>
        <v>9349899.9999999981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347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57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45187</v>
      </c>
      <c r="F18" s="2">
        <f ca="1">IF(ATALI[[#This Row],[//PAJAK]]="","",INDEX(INDIRECT("PAJAK["&amp;ATALI[#Headers]&amp;"]"),ATALI[[#This Row],[//PAJAK]]-1))</f>
        <v>45184</v>
      </c>
      <c r="G18" s="7" t="str">
        <f ca="1">IF(ATALI[[#This Row],[//PAJAK]]="","",INDEX(INDIRECT("PAJAK["&amp;ATALI[#Headers]&amp;"]"),ATALI[[#This Row],[//PAJAK]]-1))</f>
        <v>SA230916500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34457473.75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31042769.14414414</v>
      </c>
      <c r="L18" s="1">
        <f ca="1">ATALI[[#This Row],[DPP]]*11%</f>
        <v>3414704.6058558556</v>
      </c>
      <c r="M18" s="1">
        <f ca="1">ATALI[[#This Row],[DPP]]+ATALI[[#This Row],[PPN (11%)]]</f>
        <v>34457473.749999993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359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HYPERLINK("[NOTA_.xlsx]PAJAK!b"&amp;ATALI[[#This Row],[//PAJAK]],IF(ATALI[[#This Row],[//PAJAK]]="","",INDEX(INDIRECT("PAJAK["&amp;ATALI[#Headers]&amp;"]"),ATALI[[#This Row],[//PAJAK]]-1)))</f>
        <v>58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45187</v>
      </c>
      <c r="F19" s="2">
        <f ca="1">IF(ATALI[[#This Row],[//PAJAK]]="","",INDEX(INDIRECT("PAJAK["&amp;ATALI[#Headers]&amp;"]"),ATALI[[#This Row],[//PAJAK]]-1))</f>
        <v>45184</v>
      </c>
      <c r="G19" s="7" t="str">
        <f ca="1">IF(ATALI[[#This Row],[//PAJAK]]="","",INDEX(INDIRECT("PAJAK["&amp;ATALI[#Headers]&amp;"]"),ATALI[[#This Row],[//PAJAK]]-1))</f>
        <v>SA230916501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40781291.25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36739902.027027026</v>
      </c>
      <c r="L19" s="1">
        <f ca="1">ATALI[[#This Row],[DPP]]*11%</f>
        <v>4041389.2229729728</v>
      </c>
      <c r="M19" s="1">
        <f ca="1">ATALI[[#This Row],[DPP]]+ATALI[[#This Row],[PPN (11%)]]</f>
        <v>40781291.25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41</v>
      </c>
      <c r="C20" s="12">
        <f ca="1">HYPERLINK("[NOTA_.xlsx]PAJAK!b"&amp;ATALI[[#This Row],[//PAJAK]],IF(ATALI[[#This Row],[//PAJAK]]="","",INDEX(INDIRECT("PAJAK["&amp;ATALI[#Headers]&amp;"]"),ATALI[[#This Row],[//PAJAK]]-1)))</f>
        <v>71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45190</v>
      </c>
      <c r="F20" s="2">
        <f ca="1">IF(ATALI[[#This Row],[//PAJAK]]="","",INDEX(INDIRECT("PAJAK["&amp;ATALI[#Headers]&amp;"]"),ATALI[[#This Row],[//PAJAK]]-1))</f>
        <v>45187</v>
      </c>
      <c r="G20" s="7" t="str">
        <f ca="1">IF(ATALI[[#This Row],[//PAJAK]]="","",INDEX(INDIRECT("PAJAK["&amp;ATALI[#Headers]&amp;"]"),ATALI[[#This Row],[//PAJAK]]-1))</f>
        <v>SA230916629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6721155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6055094.5945945941</v>
      </c>
      <c r="L20" s="1">
        <f ca="1">ATALI[[#This Row],[DPP]]*11%</f>
        <v>666060.40540540533</v>
      </c>
      <c r="M20" s="1">
        <f ca="1">ATALI[[#This Row],[DPP]]+ATALI[[#This Row],[PPN (11%)]]</f>
        <v>6721154.9999999991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422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42</v>
      </c>
      <c r="C21" s="12">
        <f ca="1">HYPERLINK("[NOTA_.xlsx]PAJAK!b"&amp;ATALI[[#This Row],[//PAJAK]],IF(ATALI[[#This Row],[//PAJAK]]="","",INDEX(INDIRECT("PAJAK["&amp;ATALI[#Headers]&amp;"]"),ATALI[[#This Row],[//PAJAK]]-1)))</f>
        <v>72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45190</v>
      </c>
      <c r="F21" s="2">
        <f ca="1">IF(ATALI[[#This Row],[//PAJAK]]="","",INDEX(INDIRECT("PAJAK["&amp;ATALI[#Headers]&amp;"]"),ATALI[[#This Row],[//PAJAK]]-1))</f>
        <v>45187</v>
      </c>
      <c r="G21" s="7" t="str">
        <f ca="1">IF(ATALI[[#This Row],[//PAJAK]]="","",INDEX(INDIRECT("PAJAK["&amp;ATALI[#Headers]&amp;"]"),ATALI[[#This Row],[//PAJAK]]-1))</f>
        <v>SA230916590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9689985.75</v>
      </c>
      <c r="J21" s="1">
        <f ca="1">IF(ATALI[[#This Row],[//PAJAK]]="","",INDEX(PAJAK[DISC DLL],ATALI[[#This Row],[//PAJAK]]-1))</f>
        <v>135432</v>
      </c>
      <c r="K21" s="1">
        <f ca="1">(ATALI[[#This Row],[SUB TOTAL]]-ATALI[[#This Row],[DISKON]])/1.11</f>
        <v>8607706.0810810812</v>
      </c>
      <c r="L21" s="1">
        <f ca="1">ATALI[[#This Row],[DPP]]*11%</f>
        <v>946847.66891891893</v>
      </c>
      <c r="M21" s="1">
        <f ca="1">ATALI[[#This Row],[DPP]]+ATALI[[#This Row],[PPN (11%)]]</f>
        <v>9554553.75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441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46</v>
      </c>
      <c r="C22" s="12">
        <f ca="1">HYPERLINK("[NOTA_.xlsx]PAJAK!b"&amp;ATALI[[#This Row],[//PAJAK]],IF(ATALI[[#This Row],[//PAJAK]]="","",INDEX(INDIRECT("PAJAK["&amp;ATALI[#Headers]&amp;"]"),ATALI[[#This Row],[//PAJAK]]-1)))</f>
        <v>76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45190</v>
      </c>
      <c r="F22" s="2">
        <f ca="1">IF(ATALI[[#This Row],[//PAJAK]]="","",INDEX(INDIRECT("PAJAK["&amp;ATALI[#Headers]&amp;"]"),ATALI[[#This Row],[//PAJAK]]-1))</f>
        <v>45188</v>
      </c>
      <c r="G22" s="7" t="str">
        <f ca="1">IF(ATALI[[#This Row],[//PAJAK]]="","",INDEX(INDIRECT("PAJAK["&amp;ATALI[#Headers]&amp;"]"),ATALI[[#This Row],[//PAJAK]]-1))</f>
        <v>SA230916668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17893155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16119959.459459458</v>
      </c>
      <c r="L22" s="1">
        <f ca="1">ATALI[[#This Row],[DPP]]*11%</f>
        <v>1773195.5405405404</v>
      </c>
      <c r="M22" s="1">
        <f ca="1">ATALI[[#This Row],[DPP]]+ATALI[[#This Row],[PPN (11%)]]</f>
        <v>17893154.999999996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48</v>
      </c>
      <c r="C23" s="12">
        <f ca="1">HYPERLINK("[NOTA_.xlsx]PAJAK!b"&amp;ATALI[[#This Row],[//PAJAK]],IF(ATALI[[#This Row],[//PAJAK]]="","",INDEX(INDIRECT("PAJAK["&amp;ATALI[#Headers]&amp;"]"),ATALI[[#This Row],[//PAJAK]]-1)))</f>
        <v>78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45190</v>
      </c>
      <c r="F23" s="2">
        <f ca="1">IF(ATALI[[#This Row],[//PAJAK]]="","",INDEX(INDIRECT("PAJAK["&amp;ATALI[#Headers]&amp;"]"),ATALI[[#This Row],[//PAJAK]]-1))</f>
        <v>45190</v>
      </c>
      <c r="G23" s="7" t="str">
        <f ca="1">IF(ATALI[[#This Row],[//PAJAK]]="","",INDEX(INDIRECT("PAJAK["&amp;ATALI[#Headers]&amp;"]"),ATALI[[#This Row],[//PAJAK]]-1))</f>
        <v>SA230916775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3873126.25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3489302.9279279276</v>
      </c>
      <c r="L23" s="1">
        <f ca="1">ATALI[[#This Row],[DPP]]*11%</f>
        <v>383823.32207207201</v>
      </c>
      <c r="M23" s="1">
        <f ca="1">ATALI[[#This Row],[DPP]]+ATALI[[#This Row],[PPN (11%)]]</f>
        <v>3873126.2499999995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49</v>
      </c>
      <c r="C24" s="12">
        <f ca="1">HYPERLINK("[NOTA_.xlsx]PAJAK!b"&amp;ATALI[[#This Row],[//PAJAK]],IF(ATALI[[#This Row],[//PAJAK]]="","",INDEX(INDIRECT("PAJAK["&amp;ATALI[#Headers]&amp;"]"),ATALI[[#This Row],[//PAJAK]]-1)))</f>
        <v>79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45190</v>
      </c>
      <c r="F24" s="2">
        <f ca="1">IF(ATALI[[#This Row],[//PAJAK]]="","",INDEX(INDIRECT("PAJAK["&amp;ATALI[#Headers]&amp;"]"),ATALI[[#This Row],[//PAJAK]]-1))</f>
        <v>45190</v>
      </c>
      <c r="G24" s="7" t="str">
        <f ca="1">IF(ATALI[[#This Row],[//PAJAK]]="","",INDEX(INDIRECT("PAJAK["&amp;ATALI[#Headers]&amp;"]"),ATALI[[#This Row],[//PAJAK]]-1))</f>
        <v>SA230916817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2138640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1926702.7027027025</v>
      </c>
      <c r="L24" s="1">
        <f ca="1">ATALI[[#This Row],[DPP]]*11%</f>
        <v>211937.29729729728</v>
      </c>
      <c r="M24" s="1">
        <f ca="1">ATALI[[#This Row],[DPP]]+ATALI[[#This Row],[PPN (11%)]]</f>
        <v>2138640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534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96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45196</v>
      </c>
      <c r="F25" s="2">
        <f ca="1">IF(ATALI[[#This Row],[//PAJAK]]="","",INDEX(INDIRECT("PAJAK["&amp;ATALI[#Headers]&amp;"]"),ATALI[[#This Row],[//PAJAK]]-1))</f>
        <v>45191</v>
      </c>
      <c r="G25" s="7" t="str">
        <f ca="1">IF(ATALI[[#This Row],[//PAJAK]]="","",INDEX(INDIRECT("PAJAK["&amp;ATALI[#Headers]&amp;"]"),ATALI[[#This Row],[//PAJAK]]-1))</f>
        <v>SA230916837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5801460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5226540.5405405397</v>
      </c>
      <c r="L25" s="1">
        <f ca="1">ATALI[[#This Row],[DPP]]*11%</f>
        <v>574919.45945945941</v>
      </c>
      <c r="M25" s="1">
        <f ca="1">ATALI[[#This Row],[DPP]]+ATALI[[#This Row],[PPN (11%)]]</f>
        <v>5801459.9999999991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551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103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45198</v>
      </c>
      <c r="F26" s="2">
        <f ca="1">IF(ATALI[[#This Row],[//PAJAK]]="","",INDEX(INDIRECT("PAJAK["&amp;ATALI[#Headers]&amp;"]"),ATALI[[#This Row],[//PAJAK]]-1))</f>
        <v>45192</v>
      </c>
      <c r="G26" s="7" t="str">
        <f ca="1">IF(ATALI[[#This Row],[//PAJAK]]="","",INDEX(INDIRECT("PAJAK["&amp;ATALI[#Headers]&amp;"]"),ATALI[[#This Row],[//PAJAK]]-1))</f>
        <v>SA230916941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15920100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14342432.432432432</v>
      </c>
      <c r="L26" s="1">
        <f ca="1">ATALI[[#This Row],[DPP]]*11%</f>
        <v>1577667.5675675676</v>
      </c>
      <c r="M26" s="1">
        <f ca="1">ATALI[[#This Row],[DPP]]+ATALI[[#This Row],[PPN (11%)]]</f>
        <v>15920100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572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2">
        <f ca="1">HYPERLINK("[NOTA_.xlsx]PAJAK!b"&amp;ATALI[[#This Row],[//PAJAK]],IF(ATALI[[#This Row],[//PAJAK]]="","",INDEX(INDIRECT("PAJAK["&amp;ATALI[#Headers]&amp;"]"),ATALI[[#This Row],[//PAJAK]]-1)))</f>
        <v>107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45201</v>
      </c>
      <c r="F27" s="2">
        <f ca="1">IF(ATALI[[#This Row],[//PAJAK]]="","",INDEX(INDIRECT("PAJAK["&amp;ATALI[#Headers]&amp;"]"),ATALI[[#This Row],[//PAJAK]]-1))</f>
        <v>45196</v>
      </c>
      <c r="G27" s="7" t="str">
        <f ca="1">IF(ATALI[[#This Row],[//PAJAK]]="","",INDEX(INDIRECT("PAJAK["&amp;ATALI[#Headers]&amp;"]"),ATALI[[#This Row],[//PAJAK]]-1))</f>
        <v>SA230917133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13926097.5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12546033.783783782</v>
      </c>
      <c r="L27" s="1">
        <f ca="1">ATALI[[#This Row],[DPP]]*11%</f>
        <v>1380063.7162162161</v>
      </c>
      <c r="M27" s="1">
        <f ca="1">ATALI[[#This Row],[DPP]]+ATALI[[#This Row],[PPN (11%)]]</f>
        <v>13926097.499999998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581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108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45201</v>
      </c>
      <c r="F28" s="2">
        <f ca="1">IF(ATALI[[#This Row],[//PAJAK]]="","",INDEX(INDIRECT("PAJAK["&amp;ATALI[#Headers]&amp;"]"),ATALI[[#This Row],[//PAJAK]]-1))</f>
        <v>45196</v>
      </c>
      <c r="G28" s="7" t="str">
        <f ca="1">IF(ATALI[[#This Row],[//PAJAK]]="","",INDEX(INDIRECT("PAJAK["&amp;ATALI[#Headers]&amp;"]"),ATALI[[#This Row],[//PAJAK]]-1))</f>
        <v>SA230917106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5745600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5176216.2162162159</v>
      </c>
      <c r="L28" s="1">
        <f ca="1">ATALI[[#This Row],[DPP]]*11%</f>
        <v>569383.78378378379</v>
      </c>
      <c r="M28" s="1">
        <f ca="1">ATALI[[#This Row],[DPP]]+ATALI[[#This Row],[PPN (11%)]]</f>
        <v>5745600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610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118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45203</v>
      </c>
      <c r="F29" s="2">
        <f ca="1">IF(ATALI[[#This Row],[//PAJAK]]="","",INDEX(INDIRECT("PAJAK["&amp;ATALI[#Headers]&amp;"]"),ATALI[[#This Row],[//PAJAK]]-1))</f>
        <v>45198</v>
      </c>
      <c r="G29" s="7" t="str">
        <f ca="1">IF(ATALI[[#This Row],[//PAJAK]]="","",INDEX(INDIRECT("PAJAK["&amp;ATALI[#Headers]&amp;"]"),ATALI[[#This Row],[//PAJAK]]-1))</f>
        <v>SA230917238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9388470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8458081.0810810812</v>
      </c>
      <c r="L29" s="1">
        <f ca="1">ATALI[[#This Row],[DPP]]*11%</f>
        <v>930388.91891891893</v>
      </c>
      <c r="M29" s="1">
        <f ca="1">ATALI[[#This Row],[DPP]]+ATALI[[#This Row],[PPN (11%)]]</f>
        <v>9388470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EXP\BARU\2023\09 SEPTEMBER\[NOTA 09 SEPTEMBER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1</v>
      </c>
      <c r="F1" s="4" t="str">
        <f ca="1">CELL("filename",F1)</f>
        <v>D:\kerja\BANK EXP\BARU\2023\09 SEPTEMBER\[NOTA 09 SEPTEMBER 2023.xlsx]SDI</v>
      </c>
      <c r="K1" s="25">
        <f ca="1">(400881.99*(100/11))*1.11+I3</f>
        <v>4045263.7172727278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26</v>
      </c>
      <c r="B3" s="12">
        <f ca="1">HYPERLINK("[NOTA_.xlsx]PAJAK!b"&amp;SDI[[#This Row],[//PAJAK]],IF(SDI[[#This Row],[//PAJAK]]="","",INDEX(INDIRECT("PAJAK["&amp;SDI[#Headers]&amp;"]"),SDI[[#This Row],[//PAJAK]]-1)))</f>
        <v>40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45183</v>
      </c>
      <c r="E3" s="2">
        <f ca="1">IF(SDI[[#This Row],[//PAJAK]]="","",INDEX(INDIRECT("PAJAK["&amp;SDI[#Headers]&amp;"]"),SDI[[#This Row],[//PAJAK]]-1))</f>
        <v>45181</v>
      </c>
      <c r="F3" s="14" t="str">
        <f ca="1">IF(SDI[[#This Row],[//PAJAK]]="","",INDEX(INDIRECT("PAJAK["&amp;SDI[#Headers]&amp;"]"),SDI[[#This Row],[//PAJAK]]-1))</f>
        <v>SINV99-230900000198</v>
      </c>
      <c r="G3" s="3" t="str">
        <f ca="1">IF(SDI[[#This Row],[//PAJAK]]="","",INDEX(INDIRECT("PAJAK["&amp;SDI[#Headers]&amp;"]"),SDI[[#This Row],[//PAJAK]]-1))</f>
        <v/>
      </c>
      <c r="H3" s="24">
        <f ca="1">IF(SDI[[#This Row],[//PAJAK]]="","",(INDEX(INDIRECT("PAJAK["&amp;SDI[#Headers]&amp;"]"),SDI[[#This Row],[//PAJAK]]-1))-SDI[[#This Row],[H_DISKON]])*1.11</f>
        <v>4844069.9700000007</v>
      </c>
      <c r="I3" s="24">
        <f ca="1">IF(SDI[[#This Row],[//PAJAK]]="","",SDI[[#This Row],[H_DISC DLL]])</f>
        <v>0</v>
      </c>
      <c r="J3" s="24">
        <f ca="1">(SDI[[#This Row],[SUB TOTAL]])/1.11</f>
        <v>4364027</v>
      </c>
      <c r="K3" s="24">
        <f ca="1">SDI[[#This Row],[DPP]]*11%</f>
        <v>480042.97000000003</v>
      </c>
      <c r="L3" s="24">
        <f ca="1">SDI[[#This Row],[DPP]]+SDI[[#This Row],[PPN (11%)]]</f>
        <v>4844069.97</v>
      </c>
      <c r="M3" s="24">
        <f ca="1">IF(SDI[[#This Row],[//PAJAK]]="","",INDEX(PAJAK[DISKON],SDI[[#This Row],[//PAJAK]]-1))</f>
        <v>0</v>
      </c>
      <c r="N3" s="24">
        <f ca="1">IF(SDI[[#This Row],[//PAJAK]]="","",INDEX(PAJAK[DISC DLL],SDI[[#This Row],[//PAJAK]]-1))</f>
        <v>0</v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EXP\BARU\2023\09 SEPTEMBER\[NOTA 09 SEPTEMBER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305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32</v>
      </c>
      <c r="C3" s="12">
        <f ca="1">HYPERLINK("[NOTA_.xlsx]PAJAK!b"&amp;SAJ[[#This Row],[//PAJAK]],IF(SAJ[[#This Row],[//PAJAK]]="","",INDEX(INDIRECT("PAJAK["&amp;SAJ[#Headers]&amp;"]"),SAJ[[#This Row],[//PAJAK]]-1)))</f>
        <v>51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45187</v>
      </c>
      <c r="F3" s="2">
        <f ca="1">IF(SAJ[[#This Row],[//PAJAK]]="","",INDEX(INDIRECT("PAJAK["&amp;SAJ[#Headers]&amp;"]"),SAJ[[#This Row],[//PAJAK]]-1))</f>
        <v>45185</v>
      </c>
      <c r="G3" s="14" t="str">
        <f ca="1">IF(SAJ[[#This Row],[//PAJAK]]="","",INDEX(INDIRECT("PAJAK["&amp;SAJ[#Headers]&amp;"]"),SAJ[[#This Row],[//PAJAK]]-1))</f>
        <v>JL-16553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50962000</v>
      </c>
      <c r="J3" s="1">
        <f ca="1">IF(SAJ[[#This Row],[//PAJAK]]="","",INDEX(INDIRECT("PAJAK["&amp;SAJ[#Headers]&amp;"]"),SAJ[[#This Row],[//PAJAK]]-1))</f>
        <v>3567340.0000000005</v>
      </c>
      <c r="K3" s="1">
        <f ca="1">(SAJ[[#This Row],[SUB TOTAL]]-SAJ[[#This Row],[DISKON]])/1.11</f>
        <v>42697891.891891889</v>
      </c>
      <c r="L3" s="1">
        <f ca="1">SAJ[[#This Row],[DPP]]*11%</f>
        <v>4696768.1081081079</v>
      </c>
      <c r="M3" s="1">
        <f ca="1">SAJ[[#This Row],[DPP]]+SAJ[[#This Row],[PPN (11%)]]</f>
        <v>47394660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400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40</v>
      </c>
      <c r="C4" s="12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45189</v>
      </c>
      <c r="F4" s="2">
        <f ca="1">IF(SAJ[[#This Row],[//PAJAK]]="","",INDEX(INDIRECT("PAJAK["&amp;SAJ[#Headers]&amp;"]"),SAJ[[#This Row],[//PAJAK]]-1))</f>
        <v>45185</v>
      </c>
      <c r="G4" t="str">
        <f ca="1">IF(SAJ[[#This Row],[//PAJAK]]="","",INDEX(INDIRECT("PAJAK["&amp;SAJ[#Headers]&amp;"]"),SAJ[[#This Row],[//PAJAK]]-1))</f>
        <v>JL-16554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48856000</v>
      </c>
      <c r="J4" s="1">
        <f ca="1">IF(SAJ[[#This Row],[//PAJAK]]="","",INDEX(INDIRECT("PAJAK["&amp;SAJ[#Headers]&amp;"]"),SAJ[[#This Row],[//PAJAK]]-1))</f>
        <v>3419920</v>
      </c>
      <c r="K4" s="1">
        <f ca="1">(SAJ[[#This Row],[SUB TOTAL]]-SAJ[[#This Row],[DISKON]])/1.11</f>
        <v>40933405.405405402</v>
      </c>
      <c r="L4" s="1">
        <f ca="1">SAJ[[#This Row],[DPP]]*11%</f>
        <v>4502674.5945945941</v>
      </c>
      <c r="M4" s="1">
        <f ca="1">SAJ[[#This Row],[DPP]]+SAJ[[#This Row],[PPN (11%)]]</f>
        <v>45436080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VAR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2023-10-17T03:03:30Z</dcterms:modified>
</cp:coreProperties>
</file>