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 activeTab="1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1" r:id="rId6"/>
  </pivotCaches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B18" i="1" l="1"/>
  <c r="H18" i="1" s="1"/>
  <c r="A18" i="1" s="1"/>
  <c r="AD18" i="1" s="1"/>
  <c r="C18" i="1"/>
  <c r="I18" i="1"/>
  <c r="T18" i="1"/>
  <c r="W18" i="1"/>
  <c r="X18" i="1" s="1"/>
  <c r="Y18" i="1"/>
  <c r="Z18" i="1"/>
  <c r="AA18" i="1"/>
  <c r="AB18" i="1"/>
  <c r="AC18" i="1"/>
  <c r="C19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B42" i="1" l="1"/>
  <c r="C42" i="1"/>
  <c r="Y42" i="1"/>
  <c r="Z42" i="1" s="1"/>
  <c r="C47" i="1"/>
  <c r="Y47" i="1"/>
  <c r="Z47" i="1" s="1"/>
  <c r="H42" i="1" l="1"/>
  <c r="A42" i="1" s="1"/>
  <c r="AD42" i="1" s="1"/>
  <c r="AA47" i="1"/>
  <c r="AB47" i="1" s="1"/>
  <c r="AC47" i="1" s="1"/>
  <c r="T47" i="1" s="1"/>
  <c r="AA42" i="1"/>
  <c r="AB42" i="1"/>
  <c r="AC42" i="1" s="1"/>
  <c r="T42" i="1" s="1"/>
  <c r="B5" i="1" l="1"/>
  <c r="C5" i="1"/>
  <c r="Y5" i="1"/>
  <c r="Z5" i="1" s="1"/>
  <c r="H5" i="1" l="1"/>
  <c r="A5" i="1" s="1"/>
  <c r="AD5" i="1" s="1"/>
  <c r="AA5" i="1"/>
  <c r="AB5" i="1"/>
  <c r="AC5" i="1" s="1"/>
  <c r="T5" i="1" s="1"/>
  <c r="E22" i="3"/>
  <c r="C99" i="1" l="1"/>
  <c r="Y99" i="1"/>
  <c r="Z99" i="1" s="1"/>
  <c r="AA99" i="1" l="1"/>
  <c r="AB99" i="1" s="1"/>
  <c r="AC99" i="1" s="1"/>
  <c r="T99" i="1" s="1"/>
  <c r="B89" i="1" l="1"/>
  <c r="B90" i="1"/>
  <c r="B91" i="1"/>
  <c r="B92" i="1"/>
  <c r="C89" i="1"/>
  <c r="C90" i="1"/>
  <c r="C91" i="1"/>
  <c r="C92" i="1"/>
  <c r="Y89" i="1"/>
  <c r="Y90" i="1"/>
  <c r="Y91" i="1"/>
  <c r="Y92" i="1"/>
  <c r="Z89" i="1"/>
  <c r="Z90" i="1"/>
  <c r="Z91" i="1"/>
  <c r="Z92" i="1"/>
  <c r="AA89" i="1"/>
  <c r="AA90" i="1"/>
  <c r="AA91" i="1"/>
  <c r="AA92" i="1"/>
  <c r="AB89" i="1"/>
  <c r="AB90" i="1"/>
  <c r="AB91" i="1"/>
  <c r="AB92" i="1"/>
  <c r="AC89" i="1"/>
  <c r="T89" i="1" s="1"/>
  <c r="AC90" i="1"/>
  <c r="T90" i="1" s="1"/>
  <c r="AC91" i="1"/>
  <c r="T91" i="1" s="1"/>
  <c r="AC92" i="1"/>
  <c r="T92" i="1" s="1"/>
  <c r="H91" i="1" l="1"/>
  <c r="A91" i="1" s="1"/>
  <c r="AD91" i="1" s="1"/>
  <c r="H89" i="1"/>
  <c r="A89" i="1" s="1"/>
  <c r="AD89" i="1" s="1"/>
  <c r="H92" i="1"/>
  <c r="A92" i="1" s="1"/>
  <c r="AD92" i="1" s="1"/>
  <c r="H90" i="1"/>
  <c r="A90" i="1" s="1"/>
  <c r="AD90" i="1" s="1"/>
  <c r="C3" i="1"/>
  <c r="C4" i="1"/>
  <c r="C6" i="1"/>
  <c r="C7" i="1"/>
  <c r="C8" i="1"/>
  <c r="C9" i="1"/>
  <c r="C10" i="1"/>
  <c r="C11" i="1"/>
  <c r="C12" i="1"/>
  <c r="C13" i="1"/>
  <c r="C14" i="1"/>
  <c r="C15" i="1"/>
  <c r="C16" i="1"/>
  <c r="C17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3" i="1"/>
  <c r="C44" i="1"/>
  <c r="C45" i="1"/>
  <c r="C46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93" i="1"/>
  <c r="C94" i="1"/>
  <c r="C95" i="1"/>
  <c r="C96" i="1"/>
  <c r="C97" i="1"/>
  <c r="C98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Y25" i="1" l="1"/>
  <c r="Z25" i="1" s="1"/>
  <c r="AA25" i="1" l="1"/>
  <c r="AB25" i="1" s="1"/>
  <c r="AC25" i="1" s="1"/>
  <c r="T25" i="1" s="1"/>
  <c r="B15" i="1" l="1"/>
  <c r="H15" i="1" s="1"/>
  <c r="B17" i="1"/>
  <c r="H17" i="1" s="1"/>
  <c r="B23" i="1"/>
  <c r="H23" i="1" s="1"/>
  <c r="B24" i="1"/>
  <c r="H24" i="1" s="1"/>
  <c r="B29" i="1"/>
  <c r="H29" i="1" s="1"/>
  <c r="B31" i="1"/>
  <c r="H31" i="1" s="1"/>
  <c r="B51" i="1"/>
  <c r="H51" i="1" s="1"/>
  <c r="B56" i="1"/>
  <c r="H56" i="1" s="1"/>
  <c r="B57" i="1"/>
  <c r="H57" i="1" s="1"/>
  <c r="B59" i="1"/>
  <c r="H59" i="1" s="1"/>
  <c r="B60" i="1"/>
  <c r="H60" i="1" s="1"/>
  <c r="B64" i="1"/>
  <c r="H64" i="1" s="1"/>
  <c r="B66" i="1"/>
  <c r="H66" i="1" s="1"/>
  <c r="B67" i="1"/>
  <c r="H67" i="1" s="1"/>
  <c r="B72" i="1"/>
  <c r="H72" i="1" s="1"/>
  <c r="B74" i="1"/>
  <c r="H74" i="1" s="1"/>
  <c r="B76" i="1"/>
  <c r="H76" i="1" s="1"/>
  <c r="B77" i="1"/>
  <c r="H77" i="1" s="1"/>
  <c r="B79" i="1"/>
  <c r="H79" i="1" s="1"/>
  <c r="B81" i="1"/>
  <c r="H81" i="1" s="1"/>
  <c r="B86" i="1"/>
  <c r="H86" i="1" s="1"/>
  <c r="B87" i="1"/>
  <c r="H87" i="1" s="1"/>
  <c r="B100" i="1"/>
  <c r="H100" i="1" s="1"/>
  <c r="B102" i="1"/>
  <c r="H102" i="1" s="1"/>
  <c r="B103" i="1"/>
  <c r="H103" i="1" s="1"/>
  <c r="B105" i="1"/>
  <c r="H105" i="1" s="1"/>
  <c r="B106" i="1"/>
  <c r="H106" i="1" s="1"/>
  <c r="B108" i="1"/>
  <c r="H108" i="1" s="1"/>
  <c r="B111" i="1"/>
  <c r="H111" i="1" s="1"/>
  <c r="B113" i="1"/>
  <c r="H113" i="1" s="1"/>
  <c r="B114" i="1"/>
  <c r="H114" i="1" s="1"/>
  <c r="B116" i="1"/>
  <c r="H116" i="1" s="1"/>
  <c r="B117" i="1"/>
  <c r="H117" i="1" s="1"/>
  <c r="B119" i="1"/>
  <c r="H119" i="1" s="1"/>
  <c r="B120" i="1"/>
  <c r="H120" i="1" s="1"/>
  <c r="B122" i="1"/>
  <c r="H122" i="1" s="1"/>
  <c r="B123" i="1"/>
  <c r="H123" i="1" s="1"/>
  <c r="B124" i="1"/>
  <c r="H124" i="1" s="1"/>
  <c r="B125" i="1"/>
  <c r="H125" i="1" s="1"/>
  <c r="B126" i="1"/>
  <c r="H126" i="1" s="1"/>
  <c r="B127" i="1"/>
  <c r="H127" i="1" s="1"/>
  <c r="B129" i="1"/>
  <c r="H129" i="1" s="1"/>
  <c r="B131" i="1"/>
  <c r="H131" i="1" s="1"/>
  <c r="B132" i="1"/>
  <c r="H132" i="1" s="1"/>
  <c r="B133" i="1"/>
  <c r="H133" i="1" s="1"/>
  <c r="B136" i="1"/>
  <c r="H136" i="1" s="1"/>
  <c r="B138" i="1"/>
  <c r="H138" i="1" s="1"/>
  <c r="B140" i="1"/>
  <c r="H140" i="1" s="1"/>
  <c r="B141" i="1"/>
  <c r="H141" i="1" s="1"/>
  <c r="B143" i="1"/>
  <c r="H143" i="1" s="1"/>
  <c r="B145" i="1"/>
  <c r="H145" i="1" s="1"/>
  <c r="B146" i="1"/>
  <c r="H146" i="1" s="1"/>
  <c r="B147" i="1"/>
  <c r="H147" i="1" s="1"/>
  <c r="B148" i="1"/>
  <c r="H148" i="1" s="1"/>
  <c r="B149" i="1"/>
  <c r="H149" i="1" s="1"/>
  <c r="B150" i="1"/>
  <c r="H150" i="1" s="1"/>
  <c r="B151" i="1"/>
  <c r="H151" i="1" s="1"/>
  <c r="B152" i="1"/>
  <c r="H152" i="1" s="1"/>
  <c r="B153" i="1"/>
  <c r="H153" i="1" s="1"/>
  <c r="B154" i="1"/>
  <c r="H154" i="1" s="1"/>
  <c r="B155" i="1"/>
  <c r="H155" i="1" s="1"/>
  <c r="B156" i="1"/>
  <c r="H156" i="1" s="1"/>
  <c r="B157" i="1"/>
  <c r="H157" i="1" s="1"/>
  <c r="B158" i="1"/>
  <c r="H158" i="1" s="1"/>
  <c r="B159" i="1"/>
  <c r="H159" i="1" s="1"/>
  <c r="B160" i="1"/>
  <c r="H160" i="1" s="1"/>
  <c r="B162" i="1"/>
  <c r="H162" i="1" s="1"/>
  <c r="B163" i="1"/>
  <c r="H163" i="1" s="1"/>
  <c r="B164" i="1"/>
  <c r="H164" i="1" s="1"/>
  <c r="B165" i="1"/>
  <c r="H165" i="1" s="1"/>
  <c r="B166" i="1"/>
  <c r="H166" i="1" s="1"/>
  <c r="B167" i="1"/>
  <c r="H167" i="1" s="1"/>
  <c r="B168" i="1"/>
  <c r="H168" i="1" s="1"/>
  <c r="B169" i="1"/>
  <c r="H169" i="1" s="1"/>
  <c r="B170" i="1"/>
  <c r="H170" i="1" s="1"/>
  <c r="B171" i="1"/>
  <c r="H171" i="1" s="1"/>
  <c r="B172" i="1"/>
  <c r="H172" i="1" s="1"/>
  <c r="B173" i="1"/>
  <c r="H173" i="1" s="1"/>
  <c r="B175" i="1"/>
  <c r="H175" i="1" s="1"/>
  <c r="B176" i="1"/>
  <c r="H176" i="1" s="1"/>
  <c r="B177" i="1"/>
  <c r="H177" i="1" s="1"/>
  <c r="B179" i="1"/>
  <c r="H179" i="1" s="1"/>
  <c r="B180" i="1"/>
  <c r="H180" i="1" s="1"/>
  <c r="B181" i="1"/>
  <c r="H181" i="1" s="1"/>
  <c r="B182" i="1"/>
  <c r="H182" i="1" s="1"/>
  <c r="B183" i="1"/>
  <c r="H183" i="1" s="1"/>
  <c r="B184" i="1"/>
  <c r="H184" i="1" s="1"/>
  <c r="B185" i="1"/>
  <c r="H185" i="1" s="1"/>
  <c r="B186" i="1"/>
  <c r="H186" i="1" s="1"/>
  <c r="B187" i="1"/>
  <c r="H187" i="1" s="1"/>
  <c r="B188" i="1"/>
  <c r="H188" i="1" s="1"/>
  <c r="B189" i="1"/>
  <c r="H189" i="1" s="1"/>
  <c r="B190" i="1"/>
  <c r="H190" i="1" s="1"/>
  <c r="B191" i="1"/>
  <c r="H191" i="1" s="1"/>
  <c r="B192" i="1"/>
  <c r="H192" i="1" s="1"/>
  <c r="B193" i="1"/>
  <c r="H193" i="1" s="1"/>
  <c r="B194" i="1"/>
  <c r="H194" i="1" s="1"/>
  <c r="B195" i="1"/>
  <c r="H195" i="1" s="1"/>
  <c r="B196" i="1"/>
  <c r="H196" i="1" s="1"/>
  <c r="B197" i="1"/>
  <c r="H197" i="1" s="1"/>
  <c r="B198" i="1"/>
  <c r="H198" i="1" s="1"/>
  <c r="B199" i="1"/>
  <c r="H199" i="1" s="1"/>
  <c r="B200" i="1"/>
  <c r="H200" i="1" s="1"/>
  <c r="B201" i="1"/>
  <c r="H201" i="1" s="1"/>
  <c r="B202" i="1"/>
  <c r="H202" i="1" s="1"/>
  <c r="B203" i="1"/>
  <c r="H203" i="1" s="1"/>
  <c r="B204" i="1"/>
  <c r="H204" i="1" s="1"/>
  <c r="B205" i="1"/>
  <c r="H205" i="1" s="1"/>
  <c r="B206" i="1"/>
  <c r="H206" i="1" s="1"/>
  <c r="B207" i="1"/>
  <c r="H207" i="1" s="1"/>
  <c r="B208" i="1"/>
  <c r="H208" i="1" s="1"/>
  <c r="B209" i="1"/>
  <c r="H209" i="1" s="1"/>
  <c r="B210" i="1"/>
  <c r="H210" i="1" s="1"/>
  <c r="B211" i="1"/>
  <c r="H211" i="1" s="1"/>
  <c r="B212" i="1"/>
  <c r="H212" i="1" s="1"/>
  <c r="B213" i="1"/>
  <c r="H213" i="1" s="1"/>
  <c r="B214" i="1"/>
  <c r="H214" i="1" s="1"/>
  <c r="B215" i="1"/>
  <c r="H215" i="1" s="1"/>
  <c r="B216" i="1"/>
  <c r="H216" i="1" s="1"/>
  <c r="B217" i="1"/>
  <c r="H217" i="1" s="1"/>
  <c r="B218" i="1"/>
  <c r="H218" i="1" s="1"/>
  <c r="B219" i="1"/>
  <c r="H219" i="1" s="1"/>
  <c r="B220" i="1"/>
  <c r="H220" i="1" s="1"/>
  <c r="B221" i="1"/>
  <c r="H221" i="1" s="1"/>
  <c r="B222" i="1"/>
  <c r="H222" i="1" s="1"/>
  <c r="B223" i="1"/>
  <c r="H223" i="1" s="1"/>
  <c r="B224" i="1"/>
  <c r="H224" i="1" s="1"/>
  <c r="B225" i="1"/>
  <c r="H225" i="1" s="1"/>
  <c r="B226" i="1"/>
  <c r="H226" i="1" s="1"/>
  <c r="B227" i="1"/>
  <c r="H227" i="1" s="1"/>
  <c r="B228" i="1"/>
  <c r="H228" i="1" s="1"/>
  <c r="B229" i="1"/>
  <c r="H229" i="1" s="1"/>
  <c r="B230" i="1"/>
  <c r="H230" i="1" s="1"/>
  <c r="B231" i="1"/>
  <c r="H231" i="1" s="1"/>
  <c r="B232" i="1"/>
  <c r="H232" i="1" s="1"/>
  <c r="B233" i="1"/>
  <c r="H233" i="1" s="1"/>
  <c r="B234" i="1"/>
  <c r="H234" i="1" s="1"/>
  <c r="B235" i="1"/>
  <c r="H235" i="1" s="1"/>
  <c r="B236" i="1"/>
  <c r="H236" i="1" s="1"/>
  <c r="B237" i="1"/>
  <c r="H237" i="1" s="1"/>
  <c r="B238" i="1"/>
  <c r="H238" i="1" s="1"/>
  <c r="B239" i="1"/>
  <c r="H239" i="1" s="1"/>
  <c r="B240" i="1"/>
  <c r="H240" i="1" s="1"/>
  <c r="B241" i="1"/>
  <c r="H241" i="1" s="1"/>
  <c r="B242" i="1"/>
  <c r="H242" i="1" s="1"/>
  <c r="B243" i="1"/>
  <c r="H243" i="1" s="1"/>
  <c r="B244" i="1"/>
  <c r="H244" i="1" s="1"/>
  <c r="B245" i="1"/>
  <c r="H245" i="1" s="1"/>
  <c r="B246" i="1"/>
  <c r="H246" i="1" s="1"/>
  <c r="B247" i="1"/>
  <c r="H247" i="1" s="1"/>
  <c r="B248" i="1"/>
  <c r="H248" i="1" s="1"/>
  <c r="B249" i="1"/>
  <c r="H249" i="1" s="1"/>
  <c r="B250" i="1"/>
  <c r="H250" i="1" s="1"/>
  <c r="B251" i="1"/>
  <c r="H251" i="1" s="1"/>
  <c r="B252" i="1"/>
  <c r="H252" i="1" s="1"/>
  <c r="B253" i="1"/>
  <c r="H253" i="1" s="1"/>
  <c r="B254" i="1"/>
  <c r="H254" i="1" s="1"/>
  <c r="B255" i="1"/>
  <c r="H255" i="1" s="1"/>
  <c r="B256" i="1"/>
  <c r="H256" i="1" s="1"/>
  <c r="B257" i="1"/>
  <c r="H257" i="1" s="1"/>
  <c r="B258" i="1"/>
  <c r="H258" i="1" s="1"/>
  <c r="B259" i="1"/>
  <c r="H259" i="1" s="1"/>
  <c r="B260" i="1"/>
  <c r="H260" i="1" s="1"/>
  <c r="B261" i="1"/>
  <c r="H261" i="1" s="1"/>
  <c r="B262" i="1"/>
  <c r="H262" i="1" s="1"/>
  <c r="B263" i="1"/>
  <c r="H263" i="1" s="1"/>
  <c r="B264" i="1"/>
  <c r="H264" i="1" s="1"/>
  <c r="B265" i="1"/>
  <c r="H265" i="1" s="1"/>
  <c r="B266" i="1"/>
  <c r="H266" i="1" s="1"/>
  <c r="B267" i="1"/>
  <c r="H267" i="1" s="1"/>
  <c r="B268" i="1"/>
  <c r="H268" i="1" s="1"/>
  <c r="B269" i="1"/>
  <c r="H269" i="1" s="1"/>
  <c r="B270" i="1"/>
  <c r="H270" i="1" s="1"/>
  <c r="B271" i="1"/>
  <c r="H271" i="1" s="1"/>
  <c r="B3" i="1"/>
  <c r="B27" i="1"/>
  <c r="H27" i="1" s="1"/>
  <c r="B53" i="1"/>
  <c r="H53" i="1" s="1"/>
  <c r="B55" i="1"/>
  <c r="H55" i="1" s="1"/>
  <c r="B61" i="1"/>
  <c r="H61" i="1" s="1"/>
  <c r="B63" i="1"/>
  <c r="H63" i="1" s="1"/>
  <c r="B70" i="1"/>
  <c r="H70" i="1" s="1"/>
  <c r="B78" i="1"/>
  <c r="H78" i="1" s="1"/>
  <c r="B82" i="1"/>
  <c r="H82" i="1" s="1"/>
  <c r="B84" i="1"/>
  <c r="H84" i="1" s="1"/>
  <c r="B93" i="1"/>
  <c r="H93" i="1" s="1"/>
  <c r="B95" i="1"/>
  <c r="H95" i="1" s="1"/>
  <c r="B97" i="1"/>
  <c r="H97" i="1" s="1"/>
  <c r="B107" i="1"/>
  <c r="H107" i="1" s="1"/>
  <c r="B115" i="1"/>
  <c r="H115" i="1" s="1"/>
  <c r="B118" i="1"/>
  <c r="H118" i="1" s="1"/>
  <c r="B121" i="1"/>
  <c r="H121" i="1" s="1"/>
  <c r="B135" i="1"/>
  <c r="H135" i="1" s="1"/>
  <c r="B137" i="1"/>
  <c r="H137" i="1" s="1"/>
  <c r="B139" i="1"/>
  <c r="B4" i="1"/>
  <c r="H3" i="1" l="1"/>
  <c r="H4" i="1"/>
  <c r="B142" i="1"/>
  <c r="H142" i="1" s="1"/>
  <c r="H139" i="1"/>
  <c r="A141" i="1"/>
  <c r="AD141" i="1" s="1"/>
  <c r="W141" i="1"/>
  <c r="X141" i="1" s="1"/>
  <c r="Y141" i="1"/>
  <c r="Z141" i="1" s="1"/>
  <c r="AB141" i="1"/>
  <c r="AC141" i="1"/>
  <c r="T141" i="1" s="1"/>
  <c r="B144" i="1"/>
  <c r="H144" i="1" s="1"/>
  <c r="B161" i="1"/>
  <c r="B7" i="1"/>
  <c r="B6" i="1"/>
  <c r="B8" i="1" s="1"/>
  <c r="H6" i="1" l="1"/>
  <c r="H8" i="1"/>
  <c r="H7" i="1"/>
  <c r="B174" i="1"/>
  <c r="H174" i="1" s="1"/>
  <c r="H161" i="1"/>
  <c r="AA141" i="1"/>
  <c r="Y98" i="1"/>
  <c r="Z98" i="1" s="1"/>
  <c r="Y109" i="1"/>
  <c r="Y110" i="1"/>
  <c r="Z110" i="1" s="1"/>
  <c r="Z109" i="1"/>
  <c r="AA109" i="1"/>
  <c r="AB109" i="1"/>
  <c r="AC109" i="1"/>
  <c r="T109" i="1" s="1"/>
  <c r="B178" i="1"/>
  <c r="H178" i="1" s="1"/>
  <c r="B9" i="1"/>
  <c r="B10" i="1"/>
  <c r="AA110" i="1" l="1"/>
  <c r="AB110" i="1" s="1"/>
  <c r="AC110" i="1" s="1"/>
  <c r="T110" i="1" s="1"/>
  <c r="H9" i="1"/>
  <c r="H10" i="1"/>
  <c r="AA98" i="1"/>
  <c r="AB98" i="1" s="1"/>
  <c r="AC98" i="1" s="1"/>
  <c r="T98" i="1" s="1"/>
  <c r="B13" i="1"/>
  <c r="H13" i="1" s="1"/>
  <c r="B11" i="1"/>
  <c r="B12" i="1"/>
  <c r="H12" i="1" l="1"/>
  <c r="H11" i="1"/>
  <c r="H3" i="4"/>
  <c r="B14" i="1"/>
  <c r="H14" i="1" l="1"/>
  <c r="O3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20" i="1"/>
  <c r="H20" i="1" s="1"/>
  <c r="B16" i="1"/>
  <c r="H16" i="1" l="1"/>
  <c r="S56" i="4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1" i="1"/>
  <c r="B22" i="1"/>
  <c r="H22" i="1" s="1"/>
  <c r="B19" i="1"/>
  <c r="B25" i="1"/>
  <c r="H19" i="1" l="1"/>
  <c r="H25" i="1"/>
  <c r="A25" i="1" s="1"/>
  <c r="H21" i="1"/>
  <c r="A232" i="1"/>
  <c r="AD232" i="1" s="1"/>
  <c r="Y232" i="1"/>
  <c r="Z232" i="1" s="1"/>
  <c r="B26" i="1"/>
  <c r="H26" i="1" l="1"/>
  <c r="AA232" i="1"/>
  <c r="AB232" i="1" s="1"/>
  <c r="AC232" i="1" s="1"/>
  <c r="T232" i="1" s="1"/>
  <c r="B34" i="1"/>
  <c r="H34" i="1" s="1"/>
  <c r="B28" i="1"/>
  <c r="B30" i="1"/>
  <c r="H30" i="1" s="1"/>
  <c r="H28" i="1" l="1"/>
  <c r="A186" i="1"/>
  <c r="AD186" i="1" s="1"/>
  <c r="W186" i="1"/>
  <c r="X186" i="1" s="1"/>
  <c r="Y186" i="1"/>
  <c r="Z186" i="1" s="1"/>
  <c r="AB186" i="1"/>
  <c r="AC186" i="1"/>
  <c r="T186" i="1" s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B36" i="1"/>
  <c r="H36" i="1" s="1"/>
  <c r="B38" i="1"/>
  <c r="B32" i="1"/>
  <c r="B33" i="1"/>
  <c r="H33" i="1" l="1"/>
  <c r="H32" i="1"/>
  <c r="B40" i="1"/>
  <c r="H40" i="1" s="1"/>
  <c r="H38" i="1"/>
  <c r="AA186" i="1"/>
  <c r="B45" i="1"/>
  <c r="H45" i="1" s="1"/>
  <c r="B41" i="1"/>
  <c r="H41" i="1" s="1"/>
  <c r="B35" i="1"/>
  <c r="H35" i="1" l="1"/>
  <c r="A163" i="1"/>
  <c r="AD163" i="1" s="1"/>
  <c r="Y163" i="1"/>
  <c r="Z163" i="1" s="1"/>
  <c r="B48" i="1"/>
  <c r="H48" i="1" s="1"/>
  <c r="B62" i="1"/>
  <c r="H62" i="1" s="1"/>
  <c r="B44" i="1"/>
  <c r="H44" i="1" s="1"/>
  <c r="B46" i="1"/>
  <c r="H46" i="1" s="1"/>
  <c r="B37" i="1"/>
  <c r="B39" i="1"/>
  <c r="B43" i="1"/>
  <c r="B47" i="1"/>
  <c r="H39" i="1" l="1"/>
  <c r="H37" i="1"/>
  <c r="H47" i="1"/>
  <c r="A47" i="1" s="1"/>
  <c r="W47" i="1" s="1"/>
  <c r="H43" i="1"/>
  <c r="AA163" i="1"/>
  <c r="AB163" i="1" s="1"/>
  <c r="AC163" i="1" s="1"/>
  <c r="T163" i="1" s="1"/>
  <c r="A157" i="1"/>
  <c r="AD157" i="1" s="1"/>
  <c r="Y157" i="1"/>
  <c r="Z157" i="1" s="1"/>
  <c r="B68" i="1"/>
  <c r="H68" i="1" s="1"/>
  <c r="B73" i="1"/>
  <c r="H73" i="1" s="1"/>
  <c r="B75" i="1"/>
  <c r="B49" i="1"/>
  <c r="B50" i="1"/>
  <c r="B52" i="1"/>
  <c r="H52" i="1" l="1"/>
  <c r="H50" i="1"/>
  <c r="H49" i="1"/>
  <c r="B88" i="1"/>
  <c r="H88" i="1" s="1"/>
  <c r="H75" i="1"/>
  <c r="AA157" i="1"/>
  <c r="AB157" i="1" s="1"/>
  <c r="AC157" i="1" s="1"/>
  <c r="T157" i="1" s="1"/>
  <c r="A145" i="1"/>
  <c r="AD145" i="1" s="1"/>
  <c r="Y145" i="1"/>
  <c r="Z145" i="1" s="1"/>
  <c r="Y139" i="1"/>
  <c r="Z139" i="1" s="1"/>
  <c r="A123" i="1"/>
  <c r="AD123" i="1" s="1"/>
  <c r="A124" i="1"/>
  <c r="AD124" i="1" s="1"/>
  <c r="A125" i="1"/>
  <c r="AD125" i="1" s="1"/>
  <c r="A126" i="1"/>
  <c r="AD126" i="1" s="1"/>
  <c r="A127" i="1"/>
  <c r="AD127" i="1" s="1"/>
  <c r="A129" i="1"/>
  <c r="AD129" i="1" s="1"/>
  <c r="A131" i="1"/>
  <c r="AD131" i="1" s="1"/>
  <c r="A122" i="1"/>
  <c r="AD122" i="1" s="1"/>
  <c r="Y121" i="1"/>
  <c r="Z121" i="1" s="1"/>
  <c r="Y122" i="1"/>
  <c r="AA122" i="1" s="1"/>
  <c r="Y123" i="1"/>
  <c r="Z123" i="1" s="1"/>
  <c r="Y124" i="1"/>
  <c r="Z124" i="1" s="1"/>
  <c r="Y125" i="1"/>
  <c r="Z125" i="1" s="1"/>
  <c r="Y126" i="1"/>
  <c r="Z126" i="1" s="1"/>
  <c r="Y127" i="1"/>
  <c r="Z127" i="1" s="1"/>
  <c r="Y128" i="1"/>
  <c r="Z128" i="1" s="1"/>
  <c r="Y129" i="1"/>
  <c r="Z129" i="1" s="1"/>
  <c r="Y130" i="1"/>
  <c r="Z130" i="1" s="1"/>
  <c r="Y131" i="1"/>
  <c r="Z131" i="1" s="1"/>
  <c r="Z122" i="1"/>
  <c r="B94" i="1"/>
  <c r="H94" i="1" s="1"/>
  <c r="B96" i="1"/>
  <c r="B54" i="1"/>
  <c r="H54" i="1" s="1"/>
  <c r="B98" i="1" l="1"/>
  <c r="H98" i="1" s="1"/>
  <c r="A98" i="1" s="1"/>
  <c r="H96" i="1"/>
  <c r="AA126" i="1"/>
  <c r="AB126" i="1" s="1"/>
  <c r="AC126" i="1" s="1"/>
  <c r="T126" i="1" s="1"/>
  <c r="AA145" i="1"/>
  <c r="AB145" i="1" s="1"/>
  <c r="AC145" i="1" s="1"/>
  <c r="T145" i="1" s="1"/>
  <c r="AA131" i="1"/>
  <c r="AB131" i="1" s="1"/>
  <c r="AC131" i="1" s="1"/>
  <c r="T131" i="1" s="1"/>
  <c r="AA139" i="1"/>
  <c r="AB139" i="1" s="1"/>
  <c r="AC139" i="1" s="1"/>
  <c r="T139" i="1" s="1"/>
  <c r="AA130" i="1"/>
  <c r="AB130" i="1" s="1"/>
  <c r="AC130" i="1" s="1"/>
  <c r="T130" i="1" s="1"/>
  <c r="AA128" i="1"/>
  <c r="AB128" i="1" s="1"/>
  <c r="AC128" i="1" s="1"/>
  <c r="T128" i="1" s="1"/>
  <c r="AA124" i="1"/>
  <c r="AB124" i="1" s="1"/>
  <c r="AC124" i="1" s="1"/>
  <c r="T124" i="1" s="1"/>
  <c r="AA129" i="1"/>
  <c r="AB129" i="1" s="1"/>
  <c r="AC129" i="1" s="1"/>
  <c r="T129" i="1" s="1"/>
  <c r="AA127" i="1"/>
  <c r="AB127" i="1" s="1"/>
  <c r="AC127" i="1" s="1"/>
  <c r="T127" i="1" s="1"/>
  <c r="AA125" i="1"/>
  <c r="AB125" i="1" s="1"/>
  <c r="AC125" i="1" s="1"/>
  <c r="T125" i="1" s="1"/>
  <c r="AA123" i="1"/>
  <c r="AB123" i="1" s="1"/>
  <c r="AC123" i="1" s="1"/>
  <c r="T123" i="1" s="1"/>
  <c r="AA121" i="1"/>
  <c r="AB121" i="1" s="1"/>
  <c r="AC121" i="1" s="1"/>
  <c r="T121" i="1" s="1"/>
  <c r="AB122" i="1"/>
  <c r="AC122" i="1" s="1"/>
  <c r="T122" i="1" s="1"/>
  <c r="B101" i="1"/>
  <c r="H101" i="1" s="1"/>
  <c r="B58" i="1"/>
  <c r="B69" i="1"/>
  <c r="H69" i="1" s="1"/>
  <c r="B65" i="1" l="1"/>
  <c r="H65" i="1" s="1"/>
  <c r="H58" i="1"/>
  <c r="A143" i="1"/>
  <c r="AD143" i="1" s="1"/>
  <c r="Y142" i="1"/>
  <c r="Y143" i="1"/>
  <c r="Z142" i="1"/>
  <c r="Z143" i="1"/>
  <c r="AA142" i="1"/>
  <c r="AB142" i="1" s="1"/>
  <c r="AC142" i="1" s="1"/>
  <c r="T142" i="1" s="1"/>
  <c r="AA143" i="1"/>
  <c r="AB143" i="1"/>
  <c r="AC143" i="1"/>
  <c r="T143" i="1" s="1"/>
  <c r="A136" i="1"/>
  <c r="AD136" i="1" s="1"/>
  <c r="A138" i="1"/>
  <c r="AD138" i="1" s="1"/>
  <c r="Y136" i="1"/>
  <c r="Z136" i="1" s="1"/>
  <c r="Y137" i="1"/>
  <c r="Y138" i="1"/>
  <c r="Z138" i="1" s="1"/>
  <c r="Z137" i="1"/>
  <c r="AA136" i="1"/>
  <c r="AA137" i="1"/>
  <c r="AA138" i="1"/>
  <c r="AB137" i="1"/>
  <c r="AC137" i="1" s="1"/>
  <c r="T137" i="1" s="1"/>
  <c r="A133" i="1"/>
  <c r="AD133" i="1" s="1"/>
  <c r="Y133" i="1"/>
  <c r="Z133" i="1" s="1"/>
  <c r="Y134" i="1"/>
  <c r="Z134" i="1" s="1"/>
  <c r="A119" i="1"/>
  <c r="AD119" i="1" s="1"/>
  <c r="A120" i="1"/>
  <c r="AD120" i="1" s="1"/>
  <c r="Y118" i="1"/>
  <c r="Z118" i="1" s="1"/>
  <c r="Y119" i="1"/>
  <c r="AA119" i="1" s="1"/>
  <c r="Y120" i="1"/>
  <c r="Z120" i="1" s="1"/>
  <c r="Z119" i="1"/>
  <c r="A148" i="1"/>
  <c r="AD148" i="1" s="1"/>
  <c r="Y148" i="1"/>
  <c r="Z148" i="1" s="1"/>
  <c r="B109" i="1"/>
  <c r="H109" i="1" s="1"/>
  <c r="B112" i="1"/>
  <c r="H112" i="1" s="1"/>
  <c r="B71" i="1"/>
  <c r="H71" i="1" s="1"/>
  <c r="B80" i="1"/>
  <c r="H80" i="1" s="1"/>
  <c r="A109" i="1" l="1"/>
  <c r="AB119" i="1"/>
  <c r="AC119" i="1" s="1"/>
  <c r="T119" i="1" s="1"/>
  <c r="AA120" i="1"/>
  <c r="AA118" i="1"/>
  <c r="AA134" i="1"/>
  <c r="AB134" i="1" s="1"/>
  <c r="AC134" i="1" s="1"/>
  <c r="T134" i="1" s="1"/>
  <c r="AA133" i="1"/>
  <c r="AB133" i="1" s="1"/>
  <c r="AC133" i="1" s="1"/>
  <c r="T133" i="1" s="1"/>
  <c r="AB138" i="1"/>
  <c r="AC138" i="1" s="1"/>
  <c r="T138" i="1" s="1"/>
  <c r="AB136" i="1"/>
  <c r="AC136" i="1" s="1"/>
  <c r="T136" i="1" s="1"/>
  <c r="AB120" i="1"/>
  <c r="AC120" i="1" s="1"/>
  <c r="T120" i="1" s="1"/>
  <c r="AB118" i="1"/>
  <c r="AC118" i="1" s="1"/>
  <c r="T118" i="1" s="1"/>
  <c r="AA148" i="1"/>
  <c r="AB148" i="1" s="1"/>
  <c r="AC148" i="1" s="1"/>
  <c r="T148" i="1" s="1"/>
  <c r="B128" i="1"/>
  <c r="H128" i="1" s="1"/>
  <c r="B83" i="1"/>
  <c r="H83" i="1" s="1"/>
  <c r="B85" i="1"/>
  <c r="H85" i="1" s="1"/>
  <c r="B99" i="1"/>
  <c r="B104" i="1" l="1"/>
  <c r="H104" i="1" s="1"/>
  <c r="H99" i="1"/>
  <c r="A99" i="1" s="1"/>
  <c r="Y140" i="1"/>
  <c r="Z140" i="1" s="1"/>
  <c r="Y117" i="1"/>
  <c r="Z117" i="1" s="1"/>
  <c r="Y132" i="1"/>
  <c r="Z132" i="1" s="1"/>
  <c r="Y135" i="1"/>
  <c r="Z135" i="1" s="1"/>
  <c r="Y144" i="1"/>
  <c r="Z144" i="1" s="1"/>
  <c r="B130" i="1"/>
  <c r="H130" i="1" s="1"/>
  <c r="B110" i="1"/>
  <c r="H110" i="1" s="1"/>
  <c r="A110" i="1" l="1"/>
  <c r="AA140" i="1"/>
  <c r="AB140" i="1" s="1"/>
  <c r="AC140" i="1" s="1"/>
  <c r="T140" i="1" s="1"/>
  <c r="AA144" i="1"/>
  <c r="AB144" i="1" s="1"/>
  <c r="AC144" i="1" s="1"/>
  <c r="T144" i="1" s="1"/>
  <c r="AA135" i="1"/>
  <c r="AB135" i="1" s="1"/>
  <c r="AC135" i="1" s="1"/>
  <c r="T135" i="1" s="1"/>
  <c r="AA132" i="1"/>
  <c r="AB132" i="1" s="1"/>
  <c r="AC132" i="1" s="1"/>
  <c r="T132" i="1" s="1"/>
  <c r="AA117" i="1"/>
  <c r="AB117" i="1" s="1"/>
  <c r="AC117" i="1" s="1"/>
  <c r="T117" i="1" s="1"/>
  <c r="B134" i="1"/>
  <c r="H134" i="1" s="1"/>
  <c r="A134" i="1" l="1"/>
  <c r="Y113" i="1"/>
  <c r="Z113" i="1" s="1"/>
  <c r="A113" i="1"/>
  <c r="AD113" i="1" s="1"/>
  <c r="AA113" i="1" l="1"/>
  <c r="AB113" i="1" s="1"/>
  <c r="AC113" i="1" s="1"/>
  <c r="T113" i="1" s="1"/>
  <c r="A16" i="1" l="1"/>
  <c r="Y16" i="1"/>
  <c r="Z16" i="1" s="1"/>
  <c r="AA16" i="1" l="1"/>
  <c r="AB16" i="1" s="1"/>
  <c r="AC16" i="1" s="1"/>
  <c r="T16" i="1" s="1"/>
  <c r="A226" i="1"/>
  <c r="AD226" i="1" s="1"/>
  <c r="Y226" i="1"/>
  <c r="Z226" i="1" s="1"/>
  <c r="AA226" i="1" l="1"/>
  <c r="AB226" i="1" s="1"/>
  <c r="AC226" i="1" s="1"/>
  <c r="T226" i="1" s="1"/>
  <c r="A181" i="1" l="1"/>
  <c r="AD181" i="1" s="1"/>
  <c r="W181" i="1"/>
  <c r="X181" i="1" s="1"/>
  <c r="Y180" i="1"/>
  <c r="Y181" i="1"/>
  <c r="Z181" i="1" s="1"/>
  <c r="AB181" i="1"/>
  <c r="AC181" i="1"/>
  <c r="T181" i="1" s="1"/>
  <c r="AA181" i="1" l="1"/>
  <c r="Z180" i="1"/>
  <c r="AA180" i="1"/>
  <c r="AB180" i="1" s="1"/>
  <c r="AC180" i="1" s="1"/>
  <c r="T180" i="1" s="1"/>
  <c r="A171" i="1" l="1"/>
  <c r="AD171" i="1" s="1"/>
  <c r="Y171" i="1"/>
  <c r="Z171" i="1" s="1"/>
  <c r="A118" i="1" l="1"/>
  <c r="AA171" i="1"/>
  <c r="AB171" i="1" s="1"/>
  <c r="AC171" i="1" s="1"/>
  <c r="T171" i="1" s="1"/>
  <c r="A121" i="1" l="1"/>
  <c r="Y14" i="1"/>
  <c r="A11" i="1"/>
  <c r="A13" i="1"/>
  <c r="A14" i="1"/>
  <c r="Y11" i="1"/>
  <c r="Z11" i="1" s="1"/>
  <c r="Y12" i="1"/>
  <c r="Z12" i="1" s="1"/>
  <c r="Y13" i="1"/>
  <c r="A12" i="1" l="1"/>
  <c r="A128" i="1"/>
  <c r="A130" i="1"/>
  <c r="AA12" i="1"/>
  <c r="A100" i="1"/>
  <c r="Z13" i="1"/>
  <c r="AA11" i="1"/>
  <c r="AB11" i="1" s="1"/>
  <c r="AC11" i="1" s="1"/>
  <c r="T11" i="1" s="1"/>
  <c r="AB12" i="1"/>
  <c r="AC12" i="1" s="1"/>
  <c r="T12" i="1" s="1"/>
  <c r="Z14" i="1"/>
  <c r="AA14" i="1"/>
  <c r="Y100" i="1"/>
  <c r="Z100" i="1" s="1"/>
  <c r="AA13" i="1" l="1"/>
  <c r="AB13" i="1" s="1"/>
  <c r="AC13" i="1" s="1"/>
  <c r="T13" i="1" s="1"/>
  <c r="AB14" i="1"/>
  <c r="AC14" i="1" s="1"/>
  <c r="T14" i="1" s="1"/>
  <c r="AA100" i="1"/>
  <c r="AB100" i="1" s="1"/>
  <c r="AC100" i="1" s="1"/>
  <c r="T100" i="1" s="1"/>
  <c r="A137" i="1" l="1"/>
  <c r="A139" i="1"/>
  <c r="A142" i="1"/>
  <c r="A132" i="1"/>
  <c r="A117" i="1"/>
  <c r="A135" i="1"/>
  <c r="Y69" i="1"/>
  <c r="Z69" i="1" s="1"/>
  <c r="Y68" i="1"/>
  <c r="AA68" i="1" s="1"/>
  <c r="Y67" i="1"/>
  <c r="Z67" i="1" s="1"/>
  <c r="Y66" i="1"/>
  <c r="AA66" i="1" s="1"/>
  <c r="Y65" i="1"/>
  <c r="Z65" i="1" s="1"/>
  <c r="Y64" i="1"/>
  <c r="AA64" i="1" s="1"/>
  <c r="Y63" i="1"/>
  <c r="AA63" i="1" s="1"/>
  <c r="A69" i="1"/>
  <c r="A68" i="1"/>
  <c r="A67" i="1"/>
  <c r="A65" i="1"/>
  <c r="A63" i="1"/>
  <c r="A72" i="1"/>
  <c r="AD72" i="1" s="1"/>
  <c r="Y72" i="1"/>
  <c r="Z72" i="1" s="1"/>
  <c r="A144" i="1" l="1"/>
  <c r="A180" i="1"/>
  <c r="A140" i="1"/>
  <c r="Z63" i="1"/>
  <c r="AB63" i="1" s="1"/>
  <c r="AC63" i="1" s="1"/>
  <c r="T63" i="1" s="1"/>
  <c r="Z66" i="1"/>
  <c r="AB66" i="1" s="1"/>
  <c r="AC66" i="1" s="1"/>
  <c r="T66" i="1" s="1"/>
  <c r="Z64" i="1"/>
  <c r="AB64" i="1" s="1"/>
  <c r="AC64" i="1" s="1"/>
  <c r="T64" i="1" s="1"/>
  <c r="Z68" i="1"/>
  <c r="AB68" i="1" s="1"/>
  <c r="AC68" i="1" s="1"/>
  <c r="T68" i="1" s="1"/>
  <c r="AA65" i="1"/>
  <c r="AB65" i="1" s="1"/>
  <c r="AC65" i="1" s="1"/>
  <c r="T65" i="1" s="1"/>
  <c r="AA67" i="1"/>
  <c r="AB67" i="1" s="1"/>
  <c r="AC67" i="1" s="1"/>
  <c r="T67" i="1" s="1"/>
  <c r="AA69" i="1"/>
  <c r="AB69" i="1" s="1"/>
  <c r="AC69" i="1" s="1"/>
  <c r="T69" i="1" s="1"/>
  <c r="AA72" i="1"/>
  <c r="AB72" i="1" s="1"/>
  <c r="AC72" i="1" s="1"/>
  <c r="T72" i="1" s="1"/>
  <c r="W137" i="1"/>
  <c r="W142" i="1"/>
  <c r="A15" i="1" l="1"/>
  <c r="Y15" i="1"/>
  <c r="Z15" i="1" s="1"/>
  <c r="W143" i="1"/>
  <c r="W138" i="1"/>
  <c r="W139" i="1"/>
  <c r="W140" i="1" s="1"/>
  <c r="AD15" i="1" l="1"/>
  <c r="AA15" i="1"/>
  <c r="AB15" i="1" s="1"/>
  <c r="AC15" i="1" s="1"/>
  <c r="T15" i="1" s="1"/>
  <c r="W144" i="1"/>
  <c r="W145" i="1"/>
  <c r="A7" i="1" l="1"/>
  <c r="Y7" i="1"/>
  <c r="Z7" i="1" s="1"/>
  <c r="AA7" i="1" l="1"/>
  <c r="AB7" i="1" s="1"/>
  <c r="AC7" i="1" s="1"/>
  <c r="T7" i="1" s="1"/>
  <c r="A45" i="1"/>
  <c r="Y44" i="1"/>
  <c r="Z44" i="1" s="1"/>
  <c r="Y45" i="1"/>
  <c r="Z45" i="1" s="1"/>
  <c r="AA44" i="1" l="1"/>
  <c r="AB44" i="1"/>
  <c r="AC44" i="1" s="1"/>
  <c r="T44" i="1" s="1"/>
  <c r="AA45" i="1"/>
  <c r="AB45" i="1" s="1"/>
  <c r="AC45" i="1" s="1"/>
  <c r="T45" i="1" s="1"/>
  <c r="A1" i="1" l="1"/>
  <c r="AB271" i="1"/>
  <c r="AB270" i="1"/>
  <c r="AB269" i="1"/>
  <c r="AB268" i="1"/>
  <c r="AB267" i="1"/>
  <c r="AB266" i="1"/>
  <c r="AB265" i="1"/>
  <c r="AB264" i="1"/>
  <c r="AB263" i="1"/>
  <c r="AB260" i="1"/>
  <c r="AB245" i="1"/>
  <c r="AB243" i="1"/>
  <c r="AB241" i="1"/>
  <c r="AB236" i="1"/>
  <c r="J69" i="2" l="1"/>
  <c r="J107" i="2" s="1"/>
  <c r="D41" i="2"/>
  <c r="D79" i="2" s="1"/>
  <c r="C1" i="2"/>
  <c r="AC271" i="1"/>
  <c r="T271" i="1" s="1"/>
  <c r="Y271" i="1"/>
  <c r="W271" i="1"/>
  <c r="X271" i="1" s="1"/>
  <c r="A271" i="1"/>
  <c r="AD271" i="1" s="1"/>
  <c r="AC270" i="1"/>
  <c r="T270" i="1" s="1"/>
  <c r="Y270" i="1"/>
  <c r="W270" i="1"/>
  <c r="X270" i="1" s="1"/>
  <c r="A270" i="1"/>
  <c r="AD270" i="1" s="1"/>
  <c r="AC269" i="1"/>
  <c r="T269" i="1" s="1"/>
  <c r="Y269" i="1"/>
  <c r="W269" i="1"/>
  <c r="X269" i="1" s="1"/>
  <c r="A269" i="1"/>
  <c r="AD269" i="1" s="1"/>
  <c r="AC268" i="1"/>
  <c r="T268" i="1" s="1"/>
  <c r="Y268" i="1"/>
  <c r="W268" i="1"/>
  <c r="X268" i="1" s="1"/>
  <c r="A268" i="1"/>
  <c r="AD268" i="1" s="1"/>
  <c r="AC267" i="1"/>
  <c r="T267" i="1" s="1"/>
  <c r="Y267" i="1"/>
  <c r="W267" i="1"/>
  <c r="X267" i="1" s="1"/>
  <c r="A267" i="1"/>
  <c r="AD267" i="1" s="1"/>
  <c r="AC266" i="1"/>
  <c r="T266" i="1" s="1"/>
  <c r="Y266" i="1"/>
  <c r="W266" i="1"/>
  <c r="X266" i="1" s="1"/>
  <c r="A266" i="1"/>
  <c r="AD266" i="1" s="1"/>
  <c r="AC265" i="1"/>
  <c r="T265" i="1" s="1"/>
  <c r="Y265" i="1"/>
  <c r="W265" i="1"/>
  <c r="X265" i="1" s="1"/>
  <c r="A265" i="1"/>
  <c r="AD265" i="1" s="1"/>
  <c r="AC264" i="1"/>
  <c r="T264" i="1" s="1"/>
  <c r="Y264" i="1"/>
  <c r="W264" i="1"/>
  <c r="X264" i="1" s="1"/>
  <c r="A264" i="1"/>
  <c r="AD264" i="1" s="1"/>
  <c r="AC263" i="1"/>
  <c r="T263" i="1" s="1"/>
  <c r="Y263" i="1"/>
  <c r="W263" i="1"/>
  <c r="X263" i="1" s="1"/>
  <c r="A263" i="1"/>
  <c r="AD263" i="1" s="1"/>
  <c r="Y262" i="1"/>
  <c r="A262" i="1"/>
  <c r="AD262" i="1" s="1"/>
  <c r="Y261" i="1"/>
  <c r="W261" i="1"/>
  <c r="A261" i="1"/>
  <c r="AC260" i="1"/>
  <c r="T260" i="1" s="1"/>
  <c r="Y260" i="1"/>
  <c r="W260" i="1"/>
  <c r="X260" i="1" s="1"/>
  <c r="A260" i="1"/>
  <c r="AD260" i="1" s="1"/>
  <c r="Y259" i="1"/>
  <c r="A259" i="1"/>
  <c r="AD259" i="1" s="1"/>
  <c r="Y258" i="1"/>
  <c r="A258" i="1"/>
  <c r="AD258" i="1" s="1"/>
  <c r="Y257" i="1"/>
  <c r="A257" i="1"/>
  <c r="AD257" i="1" s="1"/>
  <c r="Y256" i="1"/>
  <c r="A256" i="1"/>
  <c r="AD256" i="1" s="1"/>
  <c r="Y255" i="1"/>
  <c r="A255" i="1"/>
  <c r="AD255" i="1" s="1"/>
  <c r="Y254" i="1"/>
  <c r="A254" i="1"/>
  <c r="AD254" i="1" s="1"/>
  <c r="Y253" i="1"/>
  <c r="A253" i="1"/>
  <c r="AD253" i="1" s="1"/>
  <c r="Y252" i="1"/>
  <c r="A252" i="1"/>
  <c r="AD252" i="1" s="1"/>
  <c r="Y251" i="1"/>
  <c r="A251" i="1"/>
  <c r="AD251" i="1" s="1"/>
  <c r="Y250" i="1"/>
  <c r="A250" i="1"/>
  <c r="AD250" i="1" s="1"/>
  <c r="Y249" i="1"/>
  <c r="A249" i="1"/>
  <c r="AD249" i="1" s="1"/>
  <c r="Y248" i="1"/>
  <c r="A248" i="1"/>
  <c r="AD248" i="1" s="1"/>
  <c r="Y247" i="1"/>
  <c r="A247" i="1"/>
  <c r="AD247" i="1" s="1"/>
  <c r="Y246" i="1"/>
  <c r="W246" i="1"/>
  <c r="A246" i="1"/>
  <c r="AC245" i="1"/>
  <c r="T245" i="1" s="1"/>
  <c r="Y245" i="1"/>
  <c r="W245" i="1"/>
  <c r="X245" i="1" s="1"/>
  <c r="A245" i="1"/>
  <c r="AD245" i="1" s="1"/>
  <c r="Y244" i="1"/>
  <c r="W244" i="1"/>
  <c r="A244" i="1"/>
  <c r="AC243" i="1"/>
  <c r="T243" i="1" s="1"/>
  <c r="Y243" i="1"/>
  <c r="W243" i="1"/>
  <c r="X243" i="1" s="1"/>
  <c r="A243" i="1"/>
  <c r="AD243" i="1" s="1"/>
  <c r="Y242" i="1"/>
  <c r="W242" i="1"/>
  <c r="A242" i="1"/>
  <c r="AC241" i="1"/>
  <c r="T241" i="1" s="1"/>
  <c r="Y241" i="1"/>
  <c r="W241" i="1"/>
  <c r="X241" i="1" s="1"/>
  <c r="A241" i="1"/>
  <c r="AD241" i="1" s="1"/>
  <c r="Y240" i="1"/>
  <c r="A240" i="1"/>
  <c r="AD240" i="1" s="1"/>
  <c r="Y239" i="1"/>
  <c r="A239" i="1"/>
  <c r="AD239" i="1" s="1"/>
  <c r="Y238" i="1"/>
  <c r="A238" i="1"/>
  <c r="AD238" i="1" s="1"/>
  <c r="Y237" i="1"/>
  <c r="W237" i="1"/>
  <c r="A237" i="1"/>
  <c r="AC236" i="1"/>
  <c r="T236" i="1" s="1"/>
  <c r="Y236" i="1"/>
  <c r="W236" i="1"/>
  <c r="X236" i="1" s="1"/>
  <c r="A236" i="1"/>
  <c r="AD236" i="1" s="1"/>
  <c r="Y235" i="1"/>
  <c r="A235" i="1"/>
  <c r="AD235" i="1" s="1"/>
  <c r="Y234" i="1"/>
  <c r="A234" i="1"/>
  <c r="AD234" i="1" s="1"/>
  <c r="Y233" i="1"/>
  <c r="A233" i="1"/>
  <c r="AD233" i="1" s="1"/>
  <c r="Y231" i="1"/>
  <c r="A231" i="1"/>
  <c r="AD231" i="1" s="1"/>
  <c r="Y230" i="1"/>
  <c r="A230" i="1"/>
  <c r="AD230" i="1" s="1"/>
  <c r="Y229" i="1"/>
  <c r="A229" i="1"/>
  <c r="AD229" i="1" s="1"/>
  <c r="Y228" i="1"/>
  <c r="A228" i="1"/>
  <c r="AD228" i="1" s="1"/>
  <c r="Y227" i="1"/>
  <c r="Y225" i="1"/>
  <c r="A225" i="1"/>
  <c r="AD225" i="1" s="1"/>
  <c r="Y224" i="1"/>
  <c r="Y223" i="1"/>
  <c r="A223" i="1"/>
  <c r="AD223" i="1" s="1"/>
  <c r="Y222" i="1"/>
  <c r="A222" i="1"/>
  <c r="Y221" i="1"/>
  <c r="Y220" i="1"/>
  <c r="A220" i="1"/>
  <c r="Y219" i="1"/>
  <c r="Y218" i="1"/>
  <c r="A218" i="1"/>
  <c r="Y217" i="1"/>
  <c r="Y216" i="1"/>
  <c r="A216" i="1"/>
  <c r="AD216" i="1" s="1"/>
  <c r="Y215" i="1"/>
  <c r="A215" i="1"/>
  <c r="Y214" i="1"/>
  <c r="Y213" i="1"/>
  <c r="A213" i="1"/>
  <c r="Y212" i="1"/>
  <c r="Y211" i="1"/>
  <c r="A211" i="1"/>
  <c r="AD211" i="1" s="1"/>
  <c r="Y210" i="1"/>
  <c r="Y209" i="1"/>
  <c r="Y208" i="1"/>
  <c r="A208" i="1"/>
  <c r="AD208" i="1" s="1"/>
  <c r="Y207" i="1"/>
  <c r="A207" i="1"/>
  <c r="AD207" i="1" s="1"/>
  <c r="Y206" i="1"/>
  <c r="Y205" i="1"/>
  <c r="Y204" i="1"/>
  <c r="Y203" i="1"/>
  <c r="Y202" i="1"/>
  <c r="A202" i="1"/>
  <c r="Y201" i="1"/>
  <c r="Y200" i="1"/>
  <c r="A200" i="1"/>
  <c r="AD200" i="1" s="1"/>
  <c r="Y199" i="1"/>
  <c r="Y198" i="1"/>
  <c r="A198" i="1"/>
  <c r="AD198" i="1" s="1"/>
  <c r="Y197" i="1"/>
  <c r="Y196" i="1"/>
  <c r="Y195" i="1"/>
  <c r="Y194" i="1"/>
  <c r="A194" i="1"/>
  <c r="AD194" i="1" s="1"/>
  <c r="Y193" i="1"/>
  <c r="A193" i="1"/>
  <c r="AD193" i="1" s="1"/>
  <c r="Y192" i="1"/>
  <c r="Y191" i="1"/>
  <c r="A191" i="1"/>
  <c r="AD191" i="1" s="1"/>
  <c r="Y190" i="1"/>
  <c r="Y189" i="1"/>
  <c r="A189" i="1"/>
  <c r="AD189" i="1" s="1"/>
  <c r="Y188" i="1"/>
  <c r="Y187" i="1"/>
  <c r="A187" i="1"/>
  <c r="Y185" i="1"/>
  <c r="Y184" i="1"/>
  <c r="A184" i="1"/>
  <c r="W184" i="1" s="1"/>
  <c r="Y183" i="1"/>
  <c r="A183" i="1"/>
  <c r="AD183" i="1" s="1"/>
  <c r="Y182" i="1"/>
  <c r="Y179" i="1"/>
  <c r="A179" i="1"/>
  <c r="AD179" i="1" s="1"/>
  <c r="Y178" i="1"/>
  <c r="Y177" i="1"/>
  <c r="A177" i="1"/>
  <c r="AD177" i="1" s="1"/>
  <c r="Y176" i="1"/>
  <c r="Y175" i="1"/>
  <c r="A175" i="1"/>
  <c r="AD175" i="1" s="1"/>
  <c r="Y174" i="1"/>
  <c r="A174" i="1"/>
  <c r="Y173" i="1"/>
  <c r="A173" i="1"/>
  <c r="AD173" i="1" s="1"/>
  <c r="Y172" i="1"/>
  <c r="A172" i="1"/>
  <c r="AD172" i="1" s="1"/>
  <c r="Y170" i="1"/>
  <c r="A170" i="1"/>
  <c r="Y169" i="1"/>
  <c r="A169" i="1"/>
  <c r="AD169" i="1" s="1"/>
  <c r="Y168" i="1"/>
  <c r="Y167" i="1"/>
  <c r="A167" i="1"/>
  <c r="Y166" i="1"/>
  <c r="A166" i="1"/>
  <c r="AD166" i="1" s="1"/>
  <c r="Y165" i="1"/>
  <c r="Y164" i="1"/>
  <c r="A164" i="1"/>
  <c r="Y162" i="1"/>
  <c r="Y161" i="1"/>
  <c r="A161" i="1"/>
  <c r="Y160" i="1"/>
  <c r="Y159" i="1"/>
  <c r="A159" i="1"/>
  <c r="AD159" i="1" s="1"/>
  <c r="Y158" i="1"/>
  <c r="A158" i="1"/>
  <c r="Y156" i="1"/>
  <c r="Y155" i="1"/>
  <c r="Y154" i="1"/>
  <c r="A154" i="1"/>
  <c r="AD154" i="1" s="1"/>
  <c r="Y153" i="1"/>
  <c r="A153" i="1"/>
  <c r="AD153" i="1" s="1"/>
  <c r="Y152" i="1"/>
  <c r="Y151" i="1"/>
  <c r="A151" i="1"/>
  <c r="Y150" i="1"/>
  <c r="Y149" i="1"/>
  <c r="A149" i="1"/>
  <c r="AD149" i="1" s="1"/>
  <c r="Y147" i="1"/>
  <c r="Y146" i="1"/>
  <c r="A146" i="1"/>
  <c r="Y116" i="1"/>
  <c r="A116" i="1"/>
  <c r="AD116" i="1" s="1"/>
  <c r="Y115" i="1"/>
  <c r="A115" i="1"/>
  <c r="Y114" i="1"/>
  <c r="Y112" i="1"/>
  <c r="Y111" i="1"/>
  <c r="A111" i="1"/>
  <c r="AD111" i="1" s="1"/>
  <c r="Y108" i="1"/>
  <c r="A108" i="1"/>
  <c r="AD108" i="1" s="1"/>
  <c r="Y107" i="1"/>
  <c r="Y106" i="1"/>
  <c r="A106" i="1"/>
  <c r="Y105" i="1"/>
  <c r="Y104" i="1"/>
  <c r="A104" i="1"/>
  <c r="Y103" i="1"/>
  <c r="A103" i="1"/>
  <c r="AD103" i="1" s="1"/>
  <c r="Y102" i="1"/>
  <c r="A102" i="1"/>
  <c r="AD102" i="1" s="1"/>
  <c r="A101" i="1"/>
  <c r="Y97" i="1"/>
  <c r="A97" i="1"/>
  <c r="Y96" i="1"/>
  <c r="Y95" i="1"/>
  <c r="A95" i="1"/>
  <c r="Y94" i="1"/>
  <c r="Y93" i="1"/>
  <c r="A93" i="1"/>
  <c r="Y88" i="1"/>
  <c r="A88" i="1"/>
  <c r="Y87" i="1"/>
  <c r="Y86" i="1"/>
  <c r="A86" i="1"/>
  <c r="AD86" i="1" s="1"/>
  <c r="Y85" i="1"/>
  <c r="Y84" i="1"/>
  <c r="Y83" i="1"/>
  <c r="Y82" i="1"/>
  <c r="A82" i="1"/>
  <c r="Y81" i="1"/>
  <c r="A81" i="1"/>
  <c r="AD81" i="1" s="1"/>
  <c r="Y80" i="1"/>
  <c r="Y79" i="1"/>
  <c r="A79" i="1"/>
  <c r="AD79" i="1" s="1"/>
  <c r="Y78" i="1"/>
  <c r="Y77" i="1"/>
  <c r="A77" i="1"/>
  <c r="Y76" i="1"/>
  <c r="A76" i="1"/>
  <c r="AD76" i="1" s="1"/>
  <c r="Y75" i="1"/>
  <c r="A75" i="1"/>
  <c r="Y74" i="1"/>
  <c r="A74" i="1"/>
  <c r="AD74" i="1" s="1"/>
  <c r="Y73" i="1"/>
  <c r="Y71" i="1"/>
  <c r="A71" i="1"/>
  <c r="Y70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6" i="1"/>
  <c r="Y43" i="1"/>
  <c r="Y41" i="1"/>
  <c r="Y40" i="1"/>
  <c r="A40" i="1"/>
  <c r="Y39" i="1"/>
  <c r="Y38" i="1"/>
  <c r="A38" i="1"/>
  <c r="Y37" i="1"/>
  <c r="Y36" i="1"/>
  <c r="A36" i="1"/>
  <c r="Y35" i="1"/>
  <c r="Y34" i="1"/>
  <c r="A34" i="1"/>
  <c r="Y33" i="1"/>
  <c r="A33" i="1"/>
  <c r="Y32" i="1"/>
  <c r="Y31" i="1"/>
  <c r="Y30" i="1"/>
  <c r="Y29" i="1"/>
  <c r="Y28" i="1"/>
  <c r="Y27" i="1"/>
  <c r="Y26" i="1"/>
  <c r="Y24" i="1"/>
  <c r="Y23" i="1"/>
  <c r="A23" i="1"/>
  <c r="AD23" i="1" s="1"/>
  <c r="Y22" i="1"/>
  <c r="Y21" i="1"/>
  <c r="Y20" i="1"/>
  <c r="Y19" i="1"/>
  <c r="Y17" i="1"/>
  <c r="Y10" i="1"/>
  <c r="Y9" i="1"/>
  <c r="A9" i="1"/>
  <c r="Y8" i="1"/>
  <c r="Y6" i="1"/>
  <c r="Y4" i="1"/>
  <c r="Y3" i="1"/>
  <c r="W216" i="1"/>
  <c r="W247" i="1"/>
  <c r="W238" i="1"/>
  <c r="W248" i="1"/>
  <c r="W249" i="1" s="1"/>
  <c r="W262" i="1"/>
  <c r="A4" i="1" l="1"/>
  <c r="W4" i="1" s="1"/>
  <c r="A3" i="1"/>
  <c r="Z3" i="1"/>
  <c r="AA3" i="1" s="1"/>
  <c r="AA4" i="1"/>
  <c r="Z4" i="1"/>
  <c r="Z8" i="1"/>
  <c r="AA8" i="1" s="1"/>
  <c r="AA21" i="1"/>
  <c r="Z21" i="1"/>
  <c r="Z29" i="1"/>
  <c r="AA32" i="1"/>
  <c r="Z32" i="1"/>
  <c r="AA36" i="1"/>
  <c r="Z36" i="1"/>
  <c r="Z39" i="1"/>
  <c r="AA39" i="1"/>
  <c r="AA43" i="1"/>
  <c r="Z43" i="1"/>
  <c r="AA48" i="1"/>
  <c r="Z48" i="1"/>
  <c r="AA49" i="1"/>
  <c r="Z49" i="1"/>
  <c r="AA52" i="1"/>
  <c r="Z52" i="1"/>
  <c r="AA55" i="1"/>
  <c r="Z55" i="1"/>
  <c r="AA57" i="1"/>
  <c r="Z57" i="1"/>
  <c r="AA59" i="1"/>
  <c r="Z59" i="1"/>
  <c r="AA61" i="1"/>
  <c r="Z61" i="1"/>
  <c r="AA73" i="1"/>
  <c r="Z73" i="1"/>
  <c r="Z75" i="1"/>
  <c r="AA75" i="1"/>
  <c r="AA78" i="1"/>
  <c r="Z78" i="1"/>
  <c r="Z79" i="1"/>
  <c r="AA79" i="1"/>
  <c r="AA81" i="1"/>
  <c r="Z81" i="1"/>
  <c r="Z83" i="1"/>
  <c r="AA83" i="1"/>
  <c r="AA85" i="1"/>
  <c r="Z85" i="1"/>
  <c r="Z86" i="1"/>
  <c r="AA86" i="1"/>
  <c r="AA93" i="1"/>
  <c r="Z93" i="1"/>
  <c r="AA96" i="1"/>
  <c r="Z96" i="1"/>
  <c r="AA102" i="1"/>
  <c r="Z102" i="1"/>
  <c r="Z105" i="1"/>
  <c r="AA105" i="1"/>
  <c r="AA106" i="1"/>
  <c r="Z106" i="1"/>
  <c r="AA108" i="1"/>
  <c r="Z108" i="1"/>
  <c r="AA111" i="1"/>
  <c r="Z111" i="1"/>
  <c r="AA114" i="1"/>
  <c r="Z114" i="1"/>
  <c r="AA116" i="1"/>
  <c r="Z116" i="1"/>
  <c r="Z146" i="1"/>
  <c r="AA146" i="1"/>
  <c r="AA149" i="1"/>
  <c r="Z149" i="1"/>
  <c r="AA152" i="1"/>
  <c r="Z152" i="1"/>
  <c r="Z155" i="1"/>
  <c r="AA155" i="1"/>
  <c r="AA158" i="1"/>
  <c r="Z158" i="1"/>
  <c r="Z160" i="1"/>
  <c r="AA160" i="1"/>
  <c r="AA161" i="1"/>
  <c r="Z161" i="1"/>
  <c r="AA164" i="1"/>
  <c r="Z164" i="1"/>
  <c r="AA166" i="1"/>
  <c r="Z166" i="1"/>
  <c r="AA167" i="1"/>
  <c r="Z167" i="1"/>
  <c r="Z169" i="1"/>
  <c r="AA169" i="1"/>
  <c r="AA172" i="1"/>
  <c r="Z172" i="1"/>
  <c r="AA174" i="1"/>
  <c r="Z174" i="1"/>
  <c r="AA176" i="1"/>
  <c r="Z176" i="1"/>
  <c r="AA178" i="1"/>
  <c r="Z178" i="1"/>
  <c r="AA182" i="1"/>
  <c r="Z182" i="1"/>
  <c r="Z185" i="1"/>
  <c r="AA185" i="1"/>
  <c r="AA187" i="1"/>
  <c r="Z187" i="1"/>
  <c r="Z190" i="1"/>
  <c r="AA190" i="1"/>
  <c r="AA192" i="1"/>
  <c r="Z192" i="1"/>
  <c r="Z194" i="1"/>
  <c r="AA194" i="1"/>
  <c r="AA195" i="1"/>
  <c r="Z195" i="1"/>
  <c r="AA197" i="1"/>
  <c r="Z197" i="1"/>
  <c r="AA199" i="1"/>
  <c r="Z199" i="1"/>
  <c r="AA200" i="1"/>
  <c r="Z200" i="1"/>
  <c r="AA203" i="1"/>
  <c r="Z203" i="1"/>
  <c r="AA204" i="1"/>
  <c r="Z204" i="1"/>
  <c r="Z206" i="1"/>
  <c r="AA206" i="1"/>
  <c r="Z208" i="1"/>
  <c r="AA209" i="1"/>
  <c r="Z209" i="1"/>
  <c r="Z10" i="1"/>
  <c r="AA10" i="1" s="1"/>
  <c r="Z24" i="1"/>
  <c r="AA28" i="1"/>
  <c r="Z28" i="1"/>
  <c r="Z35" i="1"/>
  <c r="AA35" i="1"/>
  <c r="AA6" i="1"/>
  <c r="Z6" i="1"/>
  <c r="Z9" i="1"/>
  <c r="AA9" i="1" s="1"/>
  <c r="AA17" i="1"/>
  <c r="Z17" i="1"/>
  <c r="AA19" i="1"/>
  <c r="Z19" i="1"/>
  <c r="AA20" i="1"/>
  <c r="Z20" i="1"/>
  <c r="Z22" i="1"/>
  <c r="AA22" i="1" s="1"/>
  <c r="AA23" i="1"/>
  <c r="Z23" i="1"/>
  <c r="AA26" i="1"/>
  <c r="Z26" i="1"/>
  <c r="Z27" i="1"/>
  <c r="AA27" i="1"/>
  <c r="AA30" i="1"/>
  <c r="Z30" i="1"/>
  <c r="Z31" i="1"/>
  <c r="AA31" i="1"/>
  <c r="AA33" i="1"/>
  <c r="Z33" i="1"/>
  <c r="AA34" i="1"/>
  <c r="Z34" i="1"/>
  <c r="AA37" i="1"/>
  <c r="Z37" i="1"/>
  <c r="AA38" i="1"/>
  <c r="Z38" i="1"/>
  <c r="AA40" i="1"/>
  <c r="Z40" i="1"/>
  <c r="AA41" i="1"/>
  <c r="Z41" i="1"/>
  <c r="AA46" i="1"/>
  <c r="Z46" i="1"/>
  <c r="Z50" i="1"/>
  <c r="AA50" i="1"/>
  <c r="AA51" i="1"/>
  <c r="Z51" i="1"/>
  <c r="AA53" i="1"/>
  <c r="Z53" i="1"/>
  <c r="Z54" i="1"/>
  <c r="AA54" i="1"/>
  <c r="AA56" i="1"/>
  <c r="Z56" i="1"/>
  <c r="Z58" i="1"/>
  <c r="AA58" i="1"/>
  <c r="AA60" i="1"/>
  <c r="Z60" i="1"/>
  <c r="Z62" i="1"/>
  <c r="AA62" i="1"/>
  <c r="AA70" i="1"/>
  <c r="Z70" i="1"/>
  <c r="AA71" i="1"/>
  <c r="Z71" i="1"/>
  <c r="AA74" i="1"/>
  <c r="Z74" i="1"/>
  <c r="AA76" i="1"/>
  <c r="Z76" i="1"/>
  <c r="AA77" i="1"/>
  <c r="Z77" i="1"/>
  <c r="AA80" i="1"/>
  <c r="Z80" i="1"/>
  <c r="AA82" i="1"/>
  <c r="Z82" i="1"/>
  <c r="AA84" i="1"/>
  <c r="Z84" i="1"/>
  <c r="AA87" i="1"/>
  <c r="Z87" i="1"/>
  <c r="AA88" i="1"/>
  <c r="Z88" i="1"/>
  <c r="Z94" i="1"/>
  <c r="AA94" i="1"/>
  <c r="AA95" i="1"/>
  <c r="Z95" i="1"/>
  <c r="AA97" i="1"/>
  <c r="Z97" i="1"/>
  <c r="AA103" i="1"/>
  <c r="Z103" i="1"/>
  <c r="AA104" i="1"/>
  <c r="Z104" i="1"/>
  <c r="AA107" i="1"/>
  <c r="Z107" i="1"/>
  <c r="AA112" i="1"/>
  <c r="Z112" i="1"/>
  <c r="AA115" i="1"/>
  <c r="Z115" i="1"/>
  <c r="AA147" i="1"/>
  <c r="Z147" i="1"/>
  <c r="AA150" i="1"/>
  <c r="Z150" i="1"/>
  <c r="Z151" i="1"/>
  <c r="AA151" i="1"/>
  <c r="AA153" i="1"/>
  <c r="Z153" i="1"/>
  <c r="AA154" i="1"/>
  <c r="Z154" i="1"/>
  <c r="AA156" i="1"/>
  <c r="Z156" i="1"/>
  <c r="AA159" i="1"/>
  <c r="Z159" i="1"/>
  <c r="AA162" i="1"/>
  <c r="Z162" i="1"/>
  <c r="Z165" i="1"/>
  <c r="AA165" i="1"/>
  <c r="AA168" i="1"/>
  <c r="Z168" i="1"/>
  <c r="AA173" i="1"/>
  <c r="Z173" i="1"/>
  <c r="Z175" i="1"/>
  <c r="AA175" i="1"/>
  <c r="AA177" i="1"/>
  <c r="Z177" i="1"/>
  <c r="AB177" i="1" s="1"/>
  <c r="Z179" i="1"/>
  <c r="AA179" i="1"/>
  <c r="AA183" i="1"/>
  <c r="Z183" i="1"/>
  <c r="AA184" i="1"/>
  <c r="Z184" i="1"/>
  <c r="AA188" i="1"/>
  <c r="Z188" i="1"/>
  <c r="AA189" i="1"/>
  <c r="Z189" i="1"/>
  <c r="AA191" i="1"/>
  <c r="Z191" i="1"/>
  <c r="AB191" i="1" s="1"/>
  <c r="AA193" i="1"/>
  <c r="Z193" i="1"/>
  <c r="AA196" i="1"/>
  <c r="Z196" i="1"/>
  <c r="AB196" i="1" s="1"/>
  <c r="AC196" i="1" s="1"/>
  <c r="T196" i="1" s="1"/>
  <c r="Z198" i="1"/>
  <c r="AA198" i="1"/>
  <c r="AA201" i="1"/>
  <c r="Z201" i="1"/>
  <c r="Z202" i="1"/>
  <c r="AA202" i="1"/>
  <c r="Z205" i="1"/>
  <c r="Z207" i="1"/>
  <c r="Z210" i="1"/>
  <c r="AA210" i="1"/>
  <c r="AA211" i="1"/>
  <c r="Z211" i="1"/>
  <c r="AA170" i="1"/>
  <c r="Z170" i="1"/>
  <c r="Z213" i="1"/>
  <c r="AA213" i="1"/>
  <c r="Z214" i="1"/>
  <c r="AA214" i="1"/>
  <c r="AA216" i="1"/>
  <c r="Z216" i="1"/>
  <c r="AA218" i="1"/>
  <c r="Z218" i="1"/>
  <c r="Z220" i="1"/>
  <c r="AA220" i="1"/>
  <c r="AA222" i="1"/>
  <c r="Z222" i="1"/>
  <c r="AA224" i="1"/>
  <c r="Z224" i="1"/>
  <c r="AB224" i="1" s="1"/>
  <c r="AC224" i="1" s="1"/>
  <c r="T224" i="1" s="1"/>
  <c r="Z227" i="1"/>
  <c r="AA227" i="1"/>
  <c r="AA229" i="1"/>
  <c r="Z229" i="1"/>
  <c r="AB229" i="1" s="1"/>
  <c r="AC229" i="1" s="1"/>
  <c r="T229" i="1" s="1"/>
  <c r="AA231" i="1"/>
  <c r="Z231" i="1"/>
  <c r="AB231" i="1" s="1"/>
  <c r="AC231" i="1" s="1"/>
  <c r="T231" i="1" s="1"/>
  <c r="Z234" i="1"/>
  <c r="AA234" i="1"/>
  <c r="AA236" i="1"/>
  <c r="Z236" i="1"/>
  <c r="Z238" i="1"/>
  <c r="AA238" i="1"/>
  <c r="AA240" i="1"/>
  <c r="Z240" i="1"/>
  <c r="AB240" i="1" s="1"/>
  <c r="AC240" i="1" s="1"/>
  <c r="T240" i="1" s="1"/>
  <c r="AA242" i="1"/>
  <c r="Z242" i="1"/>
  <c r="Z244" i="1"/>
  <c r="AB244" i="1" s="1"/>
  <c r="AC244" i="1" s="1"/>
  <c r="T244" i="1" s="1"/>
  <c r="AA244" i="1"/>
  <c r="AA246" i="1"/>
  <c r="Z246" i="1"/>
  <c r="AB246" i="1" s="1"/>
  <c r="AC246" i="1" s="1"/>
  <c r="T246" i="1" s="1"/>
  <c r="Z248" i="1"/>
  <c r="AA248" i="1"/>
  <c r="AA250" i="1"/>
  <c r="Z250" i="1"/>
  <c r="AB250" i="1" s="1"/>
  <c r="AC250" i="1" s="1"/>
  <c r="T250" i="1" s="1"/>
  <c r="AA252" i="1"/>
  <c r="Z252" i="1"/>
  <c r="AB252" i="1" s="1"/>
  <c r="AC252" i="1" s="1"/>
  <c r="T252" i="1" s="1"/>
  <c r="Z254" i="1"/>
  <c r="AA254" i="1"/>
  <c r="AA256" i="1"/>
  <c r="Z256" i="1"/>
  <c r="AB256" i="1" s="1"/>
  <c r="AC256" i="1" s="1"/>
  <c r="T256" i="1" s="1"/>
  <c r="AA258" i="1"/>
  <c r="Z258" i="1"/>
  <c r="AB258" i="1" s="1"/>
  <c r="AC258" i="1" s="1"/>
  <c r="T258" i="1" s="1"/>
  <c r="Z260" i="1"/>
  <c r="AA260" i="1"/>
  <c r="AA262" i="1"/>
  <c r="Z262" i="1"/>
  <c r="AB262" i="1" s="1"/>
  <c r="AC262" i="1" s="1"/>
  <c r="T262" i="1" s="1"/>
  <c r="Z264" i="1"/>
  <c r="AA264" i="1"/>
  <c r="AA266" i="1"/>
  <c r="Z266" i="1"/>
  <c r="Z268" i="1"/>
  <c r="AA268" i="1"/>
  <c r="AA270" i="1"/>
  <c r="Z270" i="1"/>
  <c r="AA212" i="1"/>
  <c r="Z212" i="1"/>
  <c r="Z215" i="1"/>
  <c r="AA215" i="1"/>
  <c r="Z217" i="1"/>
  <c r="AA217" i="1"/>
  <c r="Z219" i="1"/>
  <c r="AA219" i="1"/>
  <c r="Z221" i="1"/>
  <c r="AA221" i="1"/>
  <c r="Z223" i="1"/>
  <c r="AA223" i="1"/>
  <c r="Z225" i="1"/>
  <c r="AA225" i="1"/>
  <c r="Z228" i="1"/>
  <c r="AA228" i="1"/>
  <c r="AA230" i="1"/>
  <c r="Z230" i="1"/>
  <c r="AB230" i="1" s="1"/>
  <c r="AC230" i="1" s="1"/>
  <c r="T230" i="1" s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Z257" i="1"/>
  <c r="AA257" i="1"/>
  <c r="Z259" i="1"/>
  <c r="AA259" i="1"/>
  <c r="Z261" i="1"/>
  <c r="AA261" i="1"/>
  <c r="Z263" i="1"/>
  <c r="AA263" i="1"/>
  <c r="AA265" i="1"/>
  <c r="Z265" i="1"/>
  <c r="Z267" i="1"/>
  <c r="AA267" i="1"/>
  <c r="Z269" i="1"/>
  <c r="AA269" i="1"/>
  <c r="Z271" i="1"/>
  <c r="AA271" i="1"/>
  <c r="Y101" i="1"/>
  <c r="AC191" i="1"/>
  <c r="T191" i="1" s="1"/>
  <c r="AC177" i="1"/>
  <c r="T177" i="1" s="1"/>
  <c r="W220" i="1"/>
  <c r="W250" i="1"/>
  <c r="W127" i="1"/>
  <c r="W239" i="1"/>
  <c r="W240" i="1" s="1"/>
  <c r="W3" i="1"/>
  <c r="W5" i="1"/>
  <c r="AB261" i="1" l="1"/>
  <c r="AC261" i="1" s="1"/>
  <c r="T261" i="1" s="1"/>
  <c r="AB247" i="1"/>
  <c r="AC247" i="1" s="1"/>
  <c r="T247" i="1" s="1"/>
  <c r="AB248" i="1"/>
  <c r="AC248" i="1" s="1"/>
  <c r="T248" i="1" s="1"/>
  <c r="AB259" i="1"/>
  <c r="AC259" i="1" s="1"/>
  <c r="T259" i="1" s="1"/>
  <c r="AB257" i="1"/>
  <c r="AC257" i="1" s="1"/>
  <c r="T257" i="1" s="1"/>
  <c r="AB255" i="1"/>
  <c r="AC255" i="1" s="1"/>
  <c r="T255" i="1" s="1"/>
  <c r="AB253" i="1"/>
  <c r="AC253" i="1" s="1"/>
  <c r="T253" i="1" s="1"/>
  <c r="AB251" i="1"/>
  <c r="AC251" i="1" s="1"/>
  <c r="T251" i="1" s="1"/>
  <c r="AB249" i="1"/>
  <c r="AC249" i="1" s="1"/>
  <c r="T249" i="1" s="1"/>
  <c r="AB254" i="1"/>
  <c r="AC254" i="1" s="1"/>
  <c r="T254" i="1" s="1"/>
  <c r="AB242" i="1"/>
  <c r="AC242" i="1" s="1"/>
  <c r="T242" i="1" s="1"/>
  <c r="AB239" i="1"/>
  <c r="AC239" i="1" s="1"/>
  <c r="T239" i="1" s="1"/>
  <c r="AB237" i="1"/>
  <c r="AC237" i="1" s="1"/>
  <c r="T237" i="1" s="1"/>
  <c r="AB238" i="1"/>
  <c r="AC238" i="1" s="1"/>
  <c r="T238" i="1" s="1"/>
  <c r="AB235" i="1"/>
  <c r="AC235" i="1" s="1"/>
  <c r="T235" i="1" s="1"/>
  <c r="AB233" i="1"/>
  <c r="AC233" i="1" s="1"/>
  <c r="T233" i="1" s="1"/>
  <c r="AB228" i="1"/>
  <c r="AC228" i="1" s="1"/>
  <c r="T228" i="1" s="1"/>
  <c r="AB223" i="1"/>
  <c r="AC223" i="1" s="1"/>
  <c r="T223" i="1" s="1"/>
  <c r="AB234" i="1"/>
  <c r="AC234" i="1" s="1"/>
  <c r="T234" i="1" s="1"/>
  <c r="AB227" i="1"/>
  <c r="AC227" i="1" s="1"/>
  <c r="T227" i="1" s="1"/>
  <c r="AB218" i="1"/>
  <c r="AC218" i="1" s="1"/>
  <c r="T218" i="1" s="1"/>
  <c r="AB206" i="1"/>
  <c r="AC206" i="1" s="1"/>
  <c r="T206" i="1" s="1"/>
  <c r="AB203" i="1"/>
  <c r="AC203" i="1" s="1"/>
  <c r="T203" i="1" s="1"/>
  <c r="AB211" i="1"/>
  <c r="AC211" i="1" s="1"/>
  <c r="T211" i="1" s="1"/>
  <c r="AB200" i="1"/>
  <c r="AC200" i="1" s="1"/>
  <c r="T200" i="1" s="1"/>
  <c r="AB199" i="1"/>
  <c r="AC199" i="1" s="1"/>
  <c r="T199" i="1" s="1"/>
  <c r="AB187" i="1"/>
  <c r="AC187" i="1" s="1"/>
  <c r="T187" i="1" s="1"/>
  <c r="AB159" i="1"/>
  <c r="AC159" i="1" s="1"/>
  <c r="T159" i="1" s="1"/>
  <c r="AB184" i="1"/>
  <c r="AC184" i="1" s="1"/>
  <c r="T184" i="1" s="1"/>
  <c r="AB164" i="1"/>
  <c r="AC164" i="1" s="1"/>
  <c r="T164" i="1" s="1"/>
  <c r="AB161" i="1"/>
  <c r="AC161" i="1" s="1"/>
  <c r="T161" i="1" s="1"/>
  <c r="AB151" i="1"/>
  <c r="AC151" i="1" s="1"/>
  <c r="T151" i="1" s="1"/>
  <c r="AB149" i="1"/>
  <c r="AC149" i="1" s="1"/>
  <c r="T149" i="1" s="1"/>
  <c r="AB61" i="1"/>
  <c r="AC61" i="1" s="1"/>
  <c r="T61" i="1" s="1"/>
  <c r="AB55" i="1"/>
  <c r="AC55" i="1" s="1"/>
  <c r="T55" i="1" s="1"/>
  <c r="AB111" i="1"/>
  <c r="AC111" i="1" s="1"/>
  <c r="T111" i="1" s="1"/>
  <c r="AB108" i="1"/>
  <c r="AC108" i="1" s="1"/>
  <c r="T108" i="1" s="1"/>
  <c r="AB93" i="1"/>
  <c r="AC93" i="1" s="1"/>
  <c r="T93" i="1" s="1"/>
  <c r="AB82" i="1"/>
  <c r="AC82" i="1" s="1"/>
  <c r="T82" i="1" s="1"/>
  <c r="AB225" i="1"/>
  <c r="AC225" i="1" s="1"/>
  <c r="T225" i="1" s="1"/>
  <c r="AB212" i="1"/>
  <c r="AC212" i="1" s="1"/>
  <c r="T212" i="1" s="1"/>
  <c r="AB222" i="1"/>
  <c r="AC222" i="1" s="1"/>
  <c r="T222" i="1" s="1"/>
  <c r="AB209" i="1"/>
  <c r="AC209" i="1" s="1"/>
  <c r="T209" i="1" s="1"/>
  <c r="AB217" i="1"/>
  <c r="AC217" i="1" s="1"/>
  <c r="T217" i="1" s="1"/>
  <c r="AB214" i="1"/>
  <c r="AC214" i="1" s="1"/>
  <c r="T214" i="1" s="1"/>
  <c r="AB204" i="1"/>
  <c r="AC204" i="1" s="1"/>
  <c r="T204" i="1" s="1"/>
  <c r="AB202" i="1"/>
  <c r="AC202" i="1" s="1"/>
  <c r="T202" i="1" s="1"/>
  <c r="AB201" i="1"/>
  <c r="AC201" i="1" s="1"/>
  <c r="T201" i="1" s="1"/>
  <c r="AB197" i="1"/>
  <c r="AC197" i="1" s="1"/>
  <c r="T197" i="1" s="1"/>
  <c r="AB195" i="1"/>
  <c r="AC195" i="1" s="1"/>
  <c r="T195" i="1" s="1"/>
  <c r="AB178" i="1"/>
  <c r="AC178" i="1" s="1"/>
  <c r="T178" i="1" s="1"/>
  <c r="AB193" i="1"/>
  <c r="AC193" i="1" s="1"/>
  <c r="T193" i="1" s="1"/>
  <c r="AB183" i="1"/>
  <c r="AC183" i="1" s="1"/>
  <c r="T183" i="1" s="1"/>
  <c r="AB192" i="1"/>
  <c r="AC192" i="1" s="1"/>
  <c r="T192" i="1" s="1"/>
  <c r="AB190" i="1"/>
  <c r="AC190" i="1" s="1"/>
  <c r="T190" i="1" s="1"/>
  <c r="AB189" i="1"/>
  <c r="AC189" i="1" s="1"/>
  <c r="T189" i="1" s="1"/>
  <c r="AB188" i="1"/>
  <c r="AC188" i="1" s="1"/>
  <c r="T188" i="1" s="1"/>
  <c r="AB182" i="1"/>
  <c r="AC182" i="1" s="1"/>
  <c r="T182" i="1" s="1"/>
  <c r="AB176" i="1"/>
  <c r="AC176" i="1" s="1"/>
  <c r="T176" i="1" s="1"/>
  <c r="AB173" i="1"/>
  <c r="AC173" i="1" s="1"/>
  <c r="T173" i="1" s="1"/>
  <c r="AB168" i="1"/>
  <c r="AC168" i="1" s="1"/>
  <c r="T168" i="1" s="1"/>
  <c r="AB156" i="1"/>
  <c r="AC156" i="1" s="1"/>
  <c r="T156" i="1" s="1"/>
  <c r="AB154" i="1"/>
  <c r="AC154" i="1" s="1"/>
  <c r="T154" i="1" s="1"/>
  <c r="AB153" i="1"/>
  <c r="AC153" i="1" s="1"/>
  <c r="T153" i="1" s="1"/>
  <c r="AB150" i="1"/>
  <c r="AC150" i="1" s="1"/>
  <c r="T150" i="1" s="1"/>
  <c r="AB146" i="1"/>
  <c r="AC146" i="1" s="1"/>
  <c r="T146" i="1" s="1"/>
  <c r="AB86" i="1"/>
  <c r="AC86" i="1" s="1"/>
  <c r="T86" i="1" s="1"/>
  <c r="AB174" i="1"/>
  <c r="AC174" i="1" s="1"/>
  <c r="T174" i="1" s="1"/>
  <c r="AB167" i="1"/>
  <c r="AC167" i="1" s="1"/>
  <c r="T167" i="1" s="1"/>
  <c r="AB166" i="1"/>
  <c r="AC166" i="1" s="1"/>
  <c r="T166" i="1" s="1"/>
  <c r="AB172" i="1"/>
  <c r="AC172" i="1" s="1"/>
  <c r="T172" i="1" s="1"/>
  <c r="AB162" i="1"/>
  <c r="AC162" i="1" s="1"/>
  <c r="T162" i="1" s="1"/>
  <c r="AB158" i="1"/>
  <c r="AC158" i="1" s="1"/>
  <c r="T158" i="1" s="1"/>
  <c r="AB147" i="1"/>
  <c r="AC147" i="1" s="1"/>
  <c r="T147" i="1" s="1"/>
  <c r="AB115" i="1"/>
  <c r="AC115" i="1" s="1"/>
  <c r="T115" i="1" s="1"/>
  <c r="AB112" i="1"/>
  <c r="AC112" i="1" s="1"/>
  <c r="T112" i="1" s="1"/>
  <c r="AB116" i="1"/>
  <c r="AC116" i="1" s="1"/>
  <c r="T116" i="1" s="1"/>
  <c r="AB114" i="1"/>
  <c r="AC114" i="1" s="1"/>
  <c r="T114" i="1" s="1"/>
  <c r="AB106" i="1"/>
  <c r="AC106" i="1" s="1"/>
  <c r="T106" i="1" s="1"/>
  <c r="AB102" i="1"/>
  <c r="AC102" i="1" s="1"/>
  <c r="T102" i="1" s="1"/>
  <c r="AB107" i="1"/>
  <c r="AC107" i="1" s="1"/>
  <c r="T107" i="1" s="1"/>
  <c r="AB97" i="1"/>
  <c r="AC97" i="1" s="1"/>
  <c r="T97" i="1" s="1"/>
  <c r="AB95" i="1"/>
  <c r="AC95" i="1" s="1"/>
  <c r="T95" i="1" s="1"/>
  <c r="AB88" i="1"/>
  <c r="AC88" i="1" s="1"/>
  <c r="T88" i="1" s="1"/>
  <c r="AB84" i="1"/>
  <c r="AC84" i="1" s="1"/>
  <c r="T84" i="1" s="1"/>
  <c r="AB104" i="1"/>
  <c r="AC104" i="1" s="1"/>
  <c r="T104" i="1" s="1"/>
  <c r="AB103" i="1"/>
  <c r="AC103" i="1" s="1"/>
  <c r="T103" i="1" s="1"/>
  <c r="AB96" i="1"/>
  <c r="AC96" i="1" s="1"/>
  <c r="T96" i="1" s="1"/>
  <c r="AB85" i="1"/>
  <c r="AC85" i="1" s="1"/>
  <c r="T85" i="1" s="1"/>
  <c r="AB77" i="1"/>
  <c r="AC77" i="1" s="1"/>
  <c r="T77" i="1" s="1"/>
  <c r="AB76" i="1"/>
  <c r="AC76" i="1" s="1"/>
  <c r="T76" i="1" s="1"/>
  <c r="AB74" i="1"/>
  <c r="AC74" i="1" s="1"/>
  <c r="T74" i="1" s="1"/>
  <c r="AB70" i="1"/>
  <c r="AC70" i="1" s="1"/>
  <c r="T70" i="1" s="1"/>
  <c r="AB31" i="1"/>
  <c r="AC31" i="1" s="1"/>
  <c r="T31" i="1" s="1"/>
  <c r="AB79" i="1"/>
  <c r="AC79" i="1" s="1"/>
  <c r="T79" i="1" s="1"/>
  <c r="AB81" i="1"/>
  <c r="AC81" i="1" s="1"/>
  <c r="T81" i="1" s="1"/>
  <c r="AB78" i="1"/>
  <c r="AC78" i="1" s="1"/>
  <c r="T78" i="1" s="1"/>
  <c r="AB73" i="1"/>
  <c r="AC73" i="1" s="1"/>
  <c r="T73" i="1" s="1"/>
  <c r="AB71" i="1"/>
  <c r="AC71" i="1" s="1"/>
  <c r="T71" i="1" s="1"/>
  <c r="AB60" i="1"/>
  <c r="AC60" i="1" s="1"/>
  <c r="T60" i="1" s="1"/>
  <c r="AB26" i="1"/>
  <c r="AC26" i="1" s="1"/>
  <c r="T26" i="1" s="1"/>
  <c r="AB43" i="1"/>
  <c r="AC43" i="1" s="1"/>
  <c r="T43" i="1" s="1"/>
  <c r="AB59" i="1"/>
  <c r="AC59" i="1" s="1"/>
  <c r="T59" i="1" s="1"/>
  <c r="AB38" i="1"/>
  <c r="AC38" i="1" s="1"/>
  <c r="T38" i="1" s="1"/>
  <c r="AB30" i="1"/>
  <c r="AC30" i="1" s="1"/>
  <c r="T30" i="1" s="1"/>
  <c r="A8" i="1"/>
  <c r="AB4" i="1"/>
  <c r="AC4" i="1" s="1"/>
  <c r="T4" i="1" s="1"/>
  <c r="AB56" i="1"/>
  <c r="AC56" i="1" s="1"/>
  <c r="T56" i="1" s="1"/>
  <c r="AB10" i="1"/>
  <c r="AC10" i="1" s="1"/>
  <c r="T10" i="1" s="1"/>
  <c r="A6" i="1"/>
  <c r="W6" i="1" s="1"/>
  <c r="AB23" i="1"/>
  <c r="AC23" i="1" s="1"/>
  <c r="T23" i="1" s="1"/>
  <c r="AB6" i="1"/>
  <c r="AC6" i="1" s="1"/>
  <c r="T6" i="1" s="1"/>
  <c r="AB54" i="1"/>
  <c r="AC54" i="1" s="1"/>
  <c r="T54" i="1" s="1"/>
  <c r="AB53" i="1"/>
  <c r="AC53" i="1" s="1"/>
  <c r="T53" i="1" s="1"/>
  <c r="AB51" i="1"/>
  <c r="AC51" i="1" s="1"/>
  <c r="T51" i="1" s="1"/>
  <c r="AB46" i="1"/>
  <c r="AC46" i="1" s="1"/>
  <c r="T46" i="1" s="1"/>
  <c r="AB52" i="1"/>
  <c r="AC52" i="1" s="1"/>
  <c r="T52" i="1" s="1"/>
  <c r="AB49" i="1"/>
  <c r="AC49" i="1" s="1"/>
  <c r="T49" i="1" s="1"/>
  <c r="AB48" i="1"/>
  <c r="AC48" i="1" s="1"/>
  <c r="T48" i="1" s="1"/>
  <c r="A41" i="1"/>
  <c r="AB41" i="1"/>
  <c r="AC41" i="1" s="1"/>
  <c r="T41" i="1" s="1"/>
  <c r="AB40" i="1"/>
  <c r="AC40" i="1" s="1"/>
  <c r="T40" i="1" s="1"/>
  <c r="AB37" i="1"/>
  <c r="AC37" i="1" s="1"/>
  <c r="T37" i="1" s="1"/>
  <c r="AB34" i="1"/>
  <c r="AC34" i="1" s="1"/>
  <c r="T34" i="1" s="1"/>
  <c r="AB33" i="1"/>
  <c r="AC33" i="1" s="1"/>
  <c r="T33" i="1" s="1"/>
  <c r="AB36" i="1"/>
  <c r="AC36" i="1" s="1"/>
  <c r="T36" i="1" s="1"/>
  <c r="AB32" i="1"/>
  <c r="AC32" i="1" s="1"/>
  <c r="T32" i="1" s="1"/>
  <c r="AA29" i="1"/>
  <c r="AB29" i="1" s="1"/>
  <c r="AC29" i="1" s="1"/>
  <c r="T29" i="1" s="1"/>
  <c r="AB27" i="1"/>
  <c r="AC27" i="1" s="1"/>
  <c r="T27" i="1" s="1"/>
  <c r="AA24" i="1"/>
  <c r="AB24" i="1" s="1"/>
  <c r="AC24" i="1" s="1"/>
  <c r="T24" i="1" s="1"/>
  <c r="AB20" i="1"/>
  <c r="AC20" i="1" s="1"/>
  <c r="T20" i="1" s="1"/>
  <c r="AB19" i="1"/>
  <c r="AC19" i="1" s="1"/>
  <c r="T19" i="1" s="1"/>
  <c r="AB17" i="1"/>
  <c r="AC17" i="1" s="1"/>
  <c r="T17" i="1" s="1"/>
  <c r="AB8" i="1"/>
  <c r="AC8" i="1" s="1"/>
  <c r="T8" i="1" s="1"/>
  <c r="Z101" i="1"/>
  <c r="AA101" i="1"/>
  <c r="AB215" i="1"/>
  <c r="AC215" i="1" s="1"/>
  <c r="T215" i="1" s="1"/>
  <c r="AB210" i="1"/>
  <c r="AC210" i="1" s="1"/>
  <c r="T210" i="1" s="1"/>
  <c r="AA207" i="1"/>
  <c r="AB207" i="1" s="1"/>
  <c r="AC207" i="1" s="1"/>
  <c r="T207" i="1" s="1"/>
  <c r="AA205" i="1"/>
  <c r="AB205" i="1" s="1"/>
  <c r="AC205" i="1" s="1"/>
  <c r="T205" i="1" s="1"/>
  <c r="AB198" i="1"/>
  <c r="AC198" i="1" s="1"/>
  <c r="T198" i="1" s="1"/>
  <c r="AB179" i="1"/>
  <c r="AC179" i="1" s="1"/>
  <c r="T179" i="1" s="1"/>
  <c r="AB175" i="1"/>
  <c r="AC175" i="1" s="1"/>
  <c r="T175" i="1" s="1"/>
  <c r="AB165" i="1"/>
  <c r="AC165" i="1" s="1"/>
  <c r="T165" i="1" s="1"/>
  <c r="AB94" i="1"/>
  <c r="AC94" i="1" s="1"/>
  <c r="T94" i="1" s="1"/>
  <c r="AB87" i="1"/>
  <c r="AC87" i="1" s="1"/>
  <c r="T87" i="1" s="1"/>
  <c r="AB80" i="1"/>
  <c r="AC80" i="1" s="1"/>
  <c r="T80" i="1" s="1"/>
  <c r="AB62" i="1"/>
  <c r="AC62" i="1" s="1"/>
  <c r="T62" i="1" s="1"/>
  <c r="AB58" i="1"/>
  <c r="AC58" i="1" s="1"/>
  <c r="T58" i="1" s="1"/>
  <c r="AB50" i="1"/>
  <c r="AC50" i="1" s="1"/>
  <c r="T50" i="1" s="1"/>
  <c r="AB22" i="1"/>
  <c r="AC22" i="1" s="1"/>
  <c r="T22" i="1" s="1"/>
  <c r="AB9" i="1"/>
  <c r="AC9" i="1" s="1"/>
  <c r="T9" i="1" s="1"/>
  <c r="AB35" i="1"/>
  <c r="AC35" i="1" s="1"/>
  <c r="T35" i="1" s="1"/>
  <c r="AB28" i="1"/>
  <c r="AC28" i="1" s="1"/>
  <c r="T28" i="1" s="1"/>
  <c r="AA208" i="1"/>
  <c r="AB208" i="1" s="1"/>
  <c r="AC208" i="1" s="1"/>
  <c r="T208" i="1" s="1"/>
  <c r="AB194" i="1"/>
  <c r="AC194" i="1" s="1"/>
  <c r="T194" i="1" s="1"/>
  <c r="AB185" i="1"/>
  <c r="AC185" i="1" s="1"/>
  <c r="T185" i="1" s="1"/>
  <c r="AB169" i="1"/>
  <c r="AC169" i="1" s="1"/>
  <c r="T169" i="1" s="1"/>
  <c r="AB160" i="1"/>
  <c r="AC160" i="1" s="1"/>
  <c r="T160" i="1" s="1"/>
  <c r="AB155" i="1"/>
  <c r="AC155" i="1" s="1"/>
  <c r="T155" i="1" s="1"/>
  <c r="AB152" i="1"/>
  <c r="AC152" i="1" s="1"/>
  <c r="T152" i="1" s="1"/>
  <c r="AB105" i="1"/>
  <c r="AC105" i="1" s="1"/>
  <c r="T105" i="1" s="1"/>
  <c r="AB83" i="1"/>
  <c r="AC83" i="1" s="1"/>
  <c r="T83" i="1" s="1"/>
  <c r="AB75" i="1"/>
  <c r="AC75" i="1" s="1"/>
  <c r="T75" i="1" s="1"/>
  <c r="AB57" i="1"/>
  <c r="AC57" i="1" s="1"/>
  <c r="T57" i="1" s="1"/>
  <c r="AB39" i="1"/>
  <c r="AC39" i="1" s="1"/>
  <c r="T39" i="1" s="1"/>
  <c r="AB21" i="1"/>
  <c r="AC21" i="1" s="1"/>
  <c r="T21" i="1" s="1"/>
  <c r="AB3" i="1"/>
  <c r="AC3" i="1" s="1"/>
  <c r="T3" i="1" s="1"/>
  <c r="AB221" i="1"/>
  <c r="AC221" i="1" s="1"/>
  <c r="T221" i="1" s="1"/>
  <c r="AB219" i="1"/>
  <c r="AC219" i="1" s="1"/>
  <c r="T219" i="1" s="1"/>
  <c r="AB220" i="1"/>
  <c r="AC220" i="1" s="1"/>
  <c r="T220" i="1" s="1"/>
  <c r="AB170" i="1"/>
  <c r="AC170" i="1" s="1"/>
  <c r="T170" i="1" s="1"/>
  <c r="AB216" i="1"/>
  <c r="AC216" i="1" s="1"/>
  <c r="T216" i="1" s="1"/>
  <c r="AB213" i="1"/>
  <c r="AC213" i="1" s="1"/>
  <c r="T213" i="1" s="1"/>
  <c r="W251" i="1"/>
  <c r="W7" i="1"/>
  <c r="W128" i="1"/>
  <c r="A17" i="1" l="1"/>
  <c r="A19" i="1"/>
  <c r="AB101" i="1"/>
  <c r="AC101" i="1" s="1"/>
  <c r="T101" i="1" s="1"/>
  <c r="W252" i="1"/>
  <c r="W129" i="1"/>
  <c r="W8" i="1"/>
  <c r="A10" i="1" l="1"/>
  <c r="A22" i="1"/>
  <c r="A27" i="1"/>
  <c r="A28" i="1"/>
  <c r="W253" i="1"/>
  <c r="W9" i="1"/>
  <c r="W130" i="1"/>
  <c r="W131" i="1"/>
  <c r="A20" i="1" l="1"/>
  <c r="A29" i="1"/>
  <c r="A24" i="1"/>
  <c r="W254" i="1"/>
  <c r="W10" i="1"/>
  <c r="W11" i="1"/>
  <c r="W132" i="1"/>
  <c r="A21" i="1" l="1"/>
  <c r="A31" i="1"/>
  <c r="W255" i="1"/>
  <c r="W133" i="1"/>
  <c r="W134" i="1"/>
  <c r="W135" i="1" s="1"/>
  <c r="W136" i="1" s="1"/>
  <c r="W12" i="1"/>
  <c r="A26" i="1" l="1"/>
  <c r="A30" i="1"/>
  <c r="A32" i="1"/>
  <c r="W256" i="1"/>
  <c r="W13" i="1"/>
  <c r="A35" i="1" l="1"/>
  <c r="W257" i="1"/>
  <c r="W32" i="1"/>
  <c r="W14" i="1"/>
  <c r="A37" i="1" l="1"/>
  <c r="W258" i="1"/>
  <c r="W33" i="1"/>
  <c r="W24" i="1"/>
  <c r="W15" i="1"/>
  <c r="A39" i="1" l="1"/>
  <c r="A44" i="1"/>
  <c r="W259" i="1"/>
  <c r="W25" i="1"/>
  <c r="W16" i="1"/>
  <c r="W34" i="1"/>
  <c r="A43" i="1" l="1"/>
  <c r="W35" i="1"/>
  <c r="W26" i="1"/>
  <c r="W17" i="1"/>
  <c r="A48" i="1" l="1"/>
  <c r="A46" i="1"/>
  <c r="W19" i="1"/>
  <c r="W36" i="1"/>
  <c r="W20" i="1"/>
  <c r="W27" i="1"/>
  <c r="A50" i="1" l="1"/>
  <c r="A49" i="1"/>
  <c r="W43" i="1"/>
  <c r="W42" i="1"/>
  <c r="W37" i="1"/>
  <c r="W28" i="1"/>
  <c r="W21" i="1"/>
  <c r="A51" i="1" l="1"/>
  <c r="A52" i="1"/>
  <c r="A53" i="1"/>
  <c r="W46" i="1"/>
  <c r="W38" i="1"/>
  <c r="W44" i="1"/>
  <c r="W29" i="1"/>
  <c r="W22" i="1"/>
  <c r="A54" i="1" l="1"/>
  <c r="W39" i="1"/>
  <c r="W48" i="1"/>
  <c r="W45" i="1"/>
  <c r="W30" i="1"/>
  <c r="W23" i="1"/>
  <c r="A55" i="1" l="1"/>
  <c r="A57" i="1"/>
  <c r="W49" i="1"/>
  <c r="W31" i="1"/>
  <c r="W40" i="1"/>
  <c r="A56" i="1" l="1"/>
  <c r="W50" i="1"/>
  <c r="W41" i="1"/>
  <c r="A58" i="1" l="1"/>
  <c r="A78" i="1"/>
  <c r="W51" i="1"/>
  <c r="A59" i="1" l="1"/>
  <c r="A80" i="1"/>
  <c r="W52" i="1"/>
  <c r="A60" i="1" l="1"/>
  <c r="A85" i="1"/>
  <c r="W53" i="1"/>
  <c r="A61" i="1" l="1"/>
  <c r="A87" i="1"/>
  <c r="W54" i="1"/>
  <c r="A64" i="1" l="1"/>
  <c r="A62" i="1"/>
  <c r="W55" i="1"/>
  <c r="A66" i="1" l="1"/>
  <c r="A70" i="1"/>
  <c r="A96" i="1"/>
  <c r="W56" i="1"/>
  <c r="A105" i="1" l="1"/>
  <c r="W64" i="1"/>
  <c r="W57" i="1"/>
  <c r="A107" i="1" l="1"/>
  <c r="W65" i="1"/>
  <c r="W58" i="1"/>
  <c r="A73" i="1" l="1"/>
  <c r="A147" i="1"/>
  <c r="W66" i="1"/>
  <c r="W59" i="1"/>
  <c r="A83" i="1" l="1"/>
  <c r="W68" i="1"/>
  <c r="W69" i="1"/>
  <c r="W67" i="1"/>
  <c r="W60" i="1"/>
  <c r="A84" i="1" l="1"/>
  <c r="A155" i="1"/>
  <c r="W70" i="1"/>
  <c r="W61" i="1"/>
  <c r="A94" i="1" l="1"/>
  <c r="A162" i="1"/>
  <c r="W71" i="1"/>
  <c r="W62" i="1"/>
  <c r="W72" i="1"/>
  <c r="A168" i="1" l="1"/>
  <c r="W73" i="1"/>
  <c r="W63" i="1"/>
  <c r="A112" i="1" l="1"/>
  <c r="W79" i="1"/>
  <c r="W74" i="1"/>
  <c r="A114" i="1" l="1"/>
  <c r="A150" i="1"/>
  <c r="A188" i="1"/>
  <c r="W80" i="1"/>
  <c r="W75" i="1"/>
  <c r="A152" i="1" l="1"/>
  <c r="A190" i="1"/>
  <c r="W146" i="1"/>
  <c r="W98" i="1"/>
  <c r="W99" i="1"/>
  <c r="W81" i="1"/>
  <c r="W100" i="1"/>
  <c r="W76" i="1"/>
  <c r="A156" i="1" l="1"/>
  <c r="A196" i="1"/>
  <c r="W147" i="1"/>
  <c r="W82" i="1"/>
  <c r="W101" i="1"/>
  <c r="W77" i="1"/>
  <c r="W102" i="1"/>
  <c r="A160" i="1" l="1"/>
  <c r="A201" i="1"/>
  <c r="W177" i="1"/>
  <c r="W160" i="1"/>
  <c r="W148" i="1"/>
  <c r="W83" i="1"/>
  <c r="W103" i="1"/>
  <c r="W78" i="1"/>
  <c r="A165" i="1" l="1"/>
  <c r="A203" i="1"/>
  <c r="W161" i="1"/>
  <c r="W162" i="1"/>
  <c r="W149" i="1"/>
  <c r="W84" i="1"/>
  <c r="W104" i="1"/>
  <c r="A176" i="1" l="1"/>
  <c r="A205" i="1"/>
  <c r="W150" i="1"/>
  <c r="W163" i="1"/>
  <c r="W85" i="1"/>
  <c r="W105" i="1"/>
  <c r="A178" i="1" l="1"/>
  <c r="A210" i="1"/>
  <c r="W178" i="1"/>
  <c r="W151" i="1"/>
  <c r="W164" i="1"/>
  <c r="W165" i="1" s="1"/>
  <c r="W179" i="1"/>
  <c r="W106" i="1"/>
  <c r="W86" i="1"/>
  <c r="A182" i="1" l="1"/>
  <c r="W182" i="1" s="1"/>
  <c r="W213" i="1"/>
  <c r="W183" i="1"/>
  <c r="W180" i="1"/>
  <c r="W166" i="1"/>
  <c r="W152" i="1"/>
  <c r="W107" i="1"/>
  <c r="W87" i="1"/>
  <c r="A185" i="1" l="1"/>
  <c r="W167" i="1"/>
  <c r="W153" i="1"/>
  <c r="W108" i="1"/>
  <c r="W88" i="1"/>
  <c r="A192" i="1" l="1"/>
  <c r="AD60" i="1"/>
  <c r="AD51" i="1"/>
  <c r="AD31" i="1"/>
  <c r="AD29" i="1"/>
  <c r="X216" i="1"/>
  <c r="AD215" i="1"/>
  <c r="AD196" i="1"/>
  <c r="AD188" i="1"/>
  <c r="AD24" i="1"/>
  <c r="AD147" i="1"/>
  <c r="AD155" i="1"/>
  <c r="AD162" i="1"/>
  <c r="AD168" i="1"/>
  <c r="X177" i="1"/>
  <c r="AD205" i="1"/>
  <c r="AD218" i="1"/>
  <c r="AD210" i="1"/>
  <c r="AD203" i="1"/>
  <c r="AD87" i="1"/>
  <c r="AD105" i="1"/>
  <c r="AD190" i="1"/>
  <c r="AD201" i="1"/>
  <c r="W187" i="1"/>
  <c r="W185" i="1"/>
  <c r="W154" i="1"/>
  <c r="W168" i="1"/>
  <c r="W109" i="1"/>
  <c r="W110" i="1"/>
  <c r="W89" i="1"/>
  <c r="A195" i="1" l="1"/>
  <c r="W173" i="1"/>
  <c r="W188" i="1"/>
  <c r="W169" i="1"/>
  <c r="W155" i="1"/>
  <c r="W111" i="1"/>
  <c r="W90" i="1"/>
  <c r="A197" i="1" l="1"/>
  <c r="W189" i="1"/>
  <c r="W174" i="1"/>
  <c r="W170" i="1"/>
  <c r="W156" i="1"/>
  <c r="W175" i="1"/>
  <c r="W176" i="1" s="1"/>
  <c r="W112" i="1"/>
  <c r="W91" i="1"/>
  <c r="A199" i="1" l="1"/>
  <c r="W190" i="1"/>
  <c r="W171" i="1"/>
  <c r="W157" i="1"/>
  <c r="W113" i="1"/>
  <c r="W92" i="1"/>
  <c r="A204" i="1" l="1"/>
  <c r="W202" i="1"/>
  <c r="W201" i="1"/>
  <c r="W203" i="1"/>
  <c r="W191" i="1"/>
  <c r="W172" i="1"/>
  <c r="W158" i="1"/>
  <c r="W159" i="1" s="1"/>
  <c r="W114" i="1"/>
  <c r="W93" i="1"/>
  <c r="A206" i="1" l="1"/>
  <c r="W204" i="1"/>
  <c r="W192" i="1"/>
  <c r="W115" i="1"/>
  <c r="W94" i="1"/>
  <c r="A209" i="1" l="1"/>
  <c r="W193" i="1"/>
  <c r="W205" i="1"/>
  <c r="W116" i="1"/>
  <c r="W95" i="1"/>
  <c r="A212" i="1" l="1"/>
  <c r="W194" i="1"/>
  <c r="W195" i="1"/>
  <c r="W206" i="1"/>
  <c r="W117" i="1"/>
  <c r="W96" i="1"/>
  <c r="A214" i="1" l="1"/>
  <c r="W212" i="1"/>
  <c r="W207" i="1"/>
  <c r="W208" i="1"/>
  <c r="W196" i="1"/>
  <c r="W118" i="1"/>
  <c r="W97" i="1"/>
  <c r="A217" i="1" l="1"/>
  <c r="W209" i="1"/>
  <c r="W210" i="1"/>
  <c r="W197" i="1"/>
  <c r="W214" i="1"/>
  <c r="W119" i="1"/>
  <c r="W217" i="1" l="1"/>
  <c r="A219" i="1"/>
  <c r="W198" i="1"/>
  <c r="W218" i="1"/>
  <c r="W199" i="1"/>
  <c r="W215" i="1"/>
  <c r="W211" i="1"/>
  <c r="W120" i="1"/>
  <c r="W219" i="1" l="1"/>
  <c r="A221" i="1"/>
  <c r="W200" i="1"/>
  <c r="W121" i="1"/>
  <c r="W221" i="1" l="1"/>
  <c r="A224" i="1"/>
  <c r="A227" i="1"/>
  <c r="W222" i="1"/>
  <c r="W223" i="1"/>
  <c r="W224" i="1"/>
  <c r="W122" i="1"/>
  <c r="X201" i="1" l="1"/>
  <c r="AD197" i="1"/>
  <c r="AD150" i="1"/>
  <c r="AD195" i="1"/>
  <c r="AD56" i="1"/>
  <c r="AD66" i="1"/>
  <c r="AD160" i="1"/>
  <c r="AD165" i="1"/>
  <c r="AD156" i="1"/>
  <c r="AD152" i="1"/>
  <c r="X182" i="1"/>
  <c r="AD185" i="1"/>
  <c r="AD114" i="1"/>
  <c r="X183" i="1"/>
  <c r="AD192" i="1"/>
  <c r="AD199" i="1"/>
  <c r="AD64" i="1"/>
  <c r="AD204" i="1"/>
  <c r="AD209" i="1"/>
  <c r="X212" i="1"/>
  <c r="X219" i="1"/>
  <c r="AD212" i="1"/>
  <c r="AD214" i="1"/>
  <c r="AD221" i="1"/>
  <c r="AD206" i="1"/>
  <c r="AD224" i="1"/>
  <c r="AD227" i="1"/>
  <c r="X221" i="1"/>
  <c r="AD219" i="1"/>
  <c r="W225" i="1"/>
  <c r="W123" i="1"/>
  <c r="W226" i="1" l="1"/>
  <c r="W124" i="1"/>
  <c r="W227" i="1" l="1"/>
  <c r="W125" i="1"/>
  <c r="W228" i="1" l="1"/>
  <c r="W229" i="1"/>
  <c r="W126" i="1"/>
  <c r="W230" i="1" l="1"/>
  <c r="W231" i="1" l="1"/>
  <c r="W232" i="1"/>
  <c r="W233" i="1"/>
  <c r="W234" i="1" l="1"/>
  <c r="W235" i="1" l="1"/>
  <c r="AD50" i="1" s="1"/>
  <c r="AD47" i="1" l="1"/>
  <c r="X47" i="1"/>
  <c r="AD37" i="1"/>
  <c r="AD39" i="1"/>
  <c r="AD33" i="1"/>
  <c r="AD35" i="1"/>
  <c r="AD25" i="1"/>
  <c r="X31" i="1"/>
  <c r="AD8" i="1"/>
  <c r="AD12" i="1"/>
  <c r="AD99" i="1"/>
  <c r="AD110" i="1"/>
  <c r="AD83" i="1"/>
  <c r="AD85" i="1"/>
  <c r="AD71" i="1"/>
  <c r="AD80" i="1"/>
  <c r="X42" i="1"/>
  <c r="AD69" i="1"/>
  <c r="AD46" i="1"/>
  <c r="AD49" i="1"/>
  <c r="AD44" i="1"/>
  <c r="X44" i="1"/>
  <c r="AD41" i="1"/>
  <c r="X41" i="1"/>
  <c r="AD11" i="1"/>
  <c r="AD26" i="1"/>
  <c r="X5" i="1"/>
  <c r="AD9" i="1"/>
  <c r="AD134" i="1"/>
  <c r="X134" i="1"/>
  <c r="X99" i="1"/>
  <c r="X110" i="1"/>
  <c r="X92" i="1"/>
  <c r="X90" i="1"/>
  <c r="X91" i="1"/>
  <c r="X89" i="1"/>
  <c r="AD98" i="1"/>
  <c r="AD109" i="1"/>
  <c r="AD94" i="1"/>
  <c r="AD96" i="1"/>
  <c r="X69" i="1"/>
  <c r="X83" i="1"/>
  <c r="AD65" i="1"/>
  <c r="AD68" i="1"/>
  <c r="AD54" i="1"/>
  <c r="AD62" i="1"/>
  <c r="AD48" i="1"/>
  <c r="AD52" i="1"/>
  <c r="AD38" i="1"/>
  <c r="X25" i="1"/>
  <c r="AD28" i="1"/>
  <c r="X175" i="1"/>
  <c r="X180" i="1"/>
  <c r="X169" i="1"/>
  <c r="AD174" i="1"/>
  <c r="AD161" i="1"/>
  <c r="X163" i="1"/>
  <c r="X166" i="1"/>
  <c r="AD144" i="1"/>
  <c r="X145" i="1"/>
  <c r="X157" i="1"/>
  <c r="X150" i="1"/>
  <c r="X139" i="1"/>
  <c r="AD142" i="1"/>
  <c r="AD137" i="1"/>
  <c r="AD139" i="1"/>
  <c r="AD130" i="1"/>
  <c r="X131" i="1"/>
  <c r="AD121" i="1"/>
  <c r="AD128" i="1"/>
  <c r="X116" i="1"/>
  <c r="AD118" i="1"/>
  <c r="X98" i="1"/>
  <c r="AD115" i="1"/>
  <c r="X109" i="1"/>
  <c r="X97" i="1"/>
  <c r="AD112" i="1"/>
  <c r="X105" i="1"/>
  <c r="AD107" i="1"/>
  <c r="AD101" i="1"/>
  <c r="AD104" i="1"/>
  <c r="AD95" i="1"/>
  <c r="AD97" i="1"/>
  <c r="X87" i="1"/>
  <c r="AD93" i="1"/>
  <c r="AD78" i="1"/>
  <c r="AD82" i="1"/>
  <c r="AD75" i="1"/>
  <c r="X76" i="1"/>
  <c r="X66" i="1"/>
  <c r="X72" i="1"/>
  <c r="AD61" i="1"/>
  <c r="AD63" i="1"/>
  <c r="AD58" i="1"/>
  <c r="X58" i="1"/>
  <c r="AD55" i="1"/>
  <c r="X56" i="1"/>
  <c r="X39" i="1"/>
  <c r="AD53" i="1"/>
  <c r="AD34" i="1"/>
  <c r="AD36" i="1"/>
  <c r="AD27" i="1"/>
  <c r="AD30" i="1"/>
  <c r="AD14" i="1"/>
  <c r="X235" i="1"/>
  <c r="X232" i="1"/>
  <c r="X246" i="1"/>
  <c r="X193" i="1"/>
  <c r="X205" i="1"/>
  <c r="X74" i="1"/>
  <c r="X203" i="1"/>
  <c r="X95" i="1"/>
  <c r="X78" i="1"/>
  <c r="X84" i="1"/>
  <c r="AD59" i="1"/>
  <c r="X57" i="1"/>
  <c r="X12" i="1"/>
  <c r="X192" i="1"/>
  <c r="AD73" i="1"/>
  <c r="X199" i="1"/>
  <c r="X252" i="1"/>
  <c r="X137" i="1"/>
  <c r="X119" i="1"/>
  <c r="X130" i="1"/>
  <c r="X15" i="1"/>
  <c r="X23" i="1"/>
  <c r="X111" i="1"/>
  <c r="X146" i="1"/>
  <c r="X178" i="1"/>
  <c r="AD70" i="1"/>
  <c r="X161" i="1"/>
  <c r="X127" i="1"/>
  <c r="AD213" i="1"/>
  <c r="AD77" i="1"/>
  <c r="X85" i="1"/>
  <c r="X231" i="1"/>
  <c r="X159" i="1"/>
  <c r="X255" i="1"/>
  <c r="AD57" i="1"/>
  <c r="X202" i="1"/>
  <c r="X165" i="1"/>
  <c r="X52" i="1"/>
  <c r="AD6" i="1"/>
  <c r="X196" i="1"/>
  <c r="X27" i="1"/>
  <c r="X59" i="1"/>
  <c r="X9" i="1"/>
  <c r="AD3" i="1"/>
  <c r="X32" i="1"/>
  <c r="X250" i="1"/>
  <c r="X50" i="1"/>
  <c r="AD261" i="1"/>
  <c r="X226" i="1"/>
  <c r="X70" i="1"/>
  <c r="X26" i="1"/>
  <c r="X112" i="1"/>
  <c r="X168" i="1"/>
  <c r="AD20" i="1"/>
  <c r="X126" i="1"/>
  <c r="X124" i="1"/>
  <c r="X200" i="1"/>
  <c r="X35" i="1"/>
  <c r="X54" i="1"/>
  <c r="AD182" i="1"/>
  <c r="AD217" i="1"/>
  <c r="X176" i="1"/>
  <c r="X240" i="1"/>
  <c r="X224" i="1"/>
  <c r="X6" i="1"/>
  <c r="X225" i="1"/>
  <c r="X20" i="1"/>
  <c r="X149" i="1"/>
  <c r="X217" i="1"/>
  <c r="X253" i="1"/>
  <c r="AD180" i="1"/>
  <c r="X184" i="1"/>
  <c r="X244" i="1"/>
  <c r="AD202" i="1"/>
  <c r="X61" i="1"/>
  <c r="X158" i="1"/>
  <c r="X123" i="1"/>
  <c r="X46" i="1"/>
  <c r="AD45" i="1"/>
  <c r="X30" i="1"/>
  <c r="AD222" i="1"/>
  <c r="X51" i="1"/>
  <c r="X129" i="1"/>
  <c r="AD22" i="1"/>
  <c r="X242" i="1"/>
  <c r="X247" i="1"/>
  <c r="X77" i="1"/>
  <c r="X138" i="1"/>
  <c r="X227" i="1"/>
  <c r="X204" i="1"/>
  <c r="AD32" i="1"/>
  <c r="X188" i="1"/>
  <c r="X71" i="1"/>
  <c r="X209" i="1"/>
  <c r="X96" i="1"/>
  <c r="X128" i="1"/>
  <c r="X185" i="1"/>
  <c r="AD242" i="1"/>
  <c r="X190" i="1"/>
  <c r="X210" i="1"/>
  <c r="X238" i="1"/>
  <c r="AD100" i="1"/>
  <c r="AD158" i="1"/>
  <c r="X103" i="1"/>
  <c r="X170" i="1"/>
  <c r="X213" i="1"/>
  <c r="X249" i="1"/>
  <c r="X211" i="1"/>
  <c r="X229" i="1"/>
  <c r="X187" i="1"/>
  <c r="AD67" i="1"/>
  <c r="X144" i="1"/>
  <c r="X28" i="1"/>
  <c r="X160" i="1"/>
  <c r="X167" i="1"/>
  <c r="AD187" i="1"/>
  <c r="X151" i="1"/>
  <c r="X208" i="1"/>
  <c r="X81" i="1"/>
  <c r="X234" i="1"/>
  <c r="X228" i="1"/>
  <c r="AD17" i="1"/>
  <c r="AD246" i="1"/>
  <c r="X73" i="1"/>
  <c r="X122" i="1"/>
  <c r="X108" i="1"/>
  <c r="X194" i="1"/>
  <c r="X102" i="1"/>
  <c r="X191" i="1"/>
  <c r="X49" i="1"/>
  <c r="X152" i="1"/>
  <c r="X174" i="1"/>
  <c r="X114" i="1"/>
  <c r="AD170" i="1"/>
  <c r="X164" i="1"/>
  <c r="AD244" i="1"/>
  <c r="AD220" i="1"/>
  <c r="X256" i="1"/>
  <c r="AD132" i="1"/>
  <c r="X67" i="1"/>
  <c r="X107" i="1"/>
  <c r="X214" i="1"/>
  <c r="AD40" i="1"/>
  <c r="X148" i="1"/>
  <c r="X237" i="1"/>
  <c r="AD178" i="1"/>
  <c r="X43" i="1"/>
  <c r="AD117" i="1"/>
  <c r="X113" i="1"/>
  <c r="X88" i="1"/>
  <c r="X233" i="1"/>
  <c r="X257" i="1"/>
  <c r="X121" i="1"/>
  <c r="AD43" i="1"/>
  <c r="X65" i="1"/>
  <c r="X101" i="1"/>
  <c r="X147" i="1"/>
  <c r="X37" i="1"/>
  <c r="X140" i="1"/>
  <c r="X261" i="1"/>
  <c r="X172" i="1"/>
  <c r="X189" i="1"/>
  <c r="X143" i="1"/>
  <c r="X24" i="1"/>
  <c r="AD237" i="1"/>
  <c r="X36" i="1"/>
  <c r="AD106" i="1"/>
  <c r="X218" i="1"/>
  <c r="X222" i="1"/>
  <c r="X79" i="1"/>
  <c r="X136" i="1"/>
  <c r="X254" i="1"/>
  <c r="X93" i="1"/>
  <c r="X94" i="1"/>
  <c r="AD167" i="1"/>
  <c r="X156" i="1"/>
  <c r="X155" i="1"/>
  <c r="X68" i="1"/>
  <c r="AD135" i="1"/>
  <c r="X80" i="1"/>
  <c r="X197" i="1"/>
  <c r="X262" i="1"/>
  <c r="X215" i="1"/>
  <c r="X198" i="1"/>
  <c r="X195" i="1"/>
  <c r="AD88" i="1"/>
  <c r="X142" i="1"/>
  <c r="X86" i="1"/>
  <c r="X53" i="1"/>
  <c r="X62" i="1"/>
  <c r="X22" i="1"/>
  <c r="X230" i="1"/>
  <c r="X154" i="1"/>
  <c r="AD184" i="1"/>
  <c r="X33" i="1"/>
  <c r="X259" i="1"/>
  <c r="X206" i="1"/>
  <c r="X133" i="1"/>
  <c r="AD176" i="1"/>
  <c r="X100" i="1"/>
  <c r="X55" i="1"/>
  <c r="X171" i="1"/>
  <c r="X153" i="1"/>
  <c r="X29" i="1"/>
  <c r="X38" i="1"/>
  <c r="X251" i="1"/>
  <c r="AD164" i="1"/>
  <c r="X239" i="1"/>
  <c r="AD146" i="1"/>
  <c r="X63" i="1"/>
  <c r="X115" i="1"/>
  <c r="X220" i="1"/>
  <c r="AD140" i="1"/>
  <c r="X40" i="1"/>
  <c r="X75" i="1"/>
  <c r="X173" i="1"/>
  <c r="AD84" i="1"/>
  <c r="X117" i="1"/>
  <c r="X82" i="1"/>
  <c r="X118" i="1"/>
  <c r="X106" i="1"/>
  <c r="X60" i="1"/>
  <c r="AD151" i="1"/>
  <c r="X3" i="1"/>
  <c r="X248" i="1"/>
  <c r="X258" i="1"/>
  <c r="X45" i="1"/>
  <c r="X179" i="1"/>
  <c r="X162" i="1"/>
  <c r="X120" i="1"/>
  <c r="X64" i="1"/>
  <c r="X135" i="1"/>
  <c r="X207" i="1"/>
  <c r="X104" i="1"/>
  <c r="X125" i="1"/>
  <c r="X132" i="1"/>
  <c r="X48" i="1"/>
  <c r="X34" i="1"/>
  <c r="X223" i="1"/>
  <c r="AD16" i="1" l="1"/>
  <c r="X13" i="1"/>
  <c r="X10" i="1"/>
  <c r="X8" i="1"/>
  <c r="X4" i="1"/>
  <c r="X21" i="1"/>
  <c r="AD19" i="1"/>
  <c r="AD4" i="1"/>
  <c r="X17" i="1"/>
  <c r="X16" i="1"/>
  <c r="AD7" i="1"/>
  <c r="AD21" i="1"/>
  <c r="X19" i="1"/>
  <c r="AD13" i="1"/>
  <c r="X7" i="1"/>
  <c r="X14" i="1"/>
  <c r="AD10" i="1"/>
  <c r="X11" i="1"/>
  <c r="A1" i="2"/>
  <c r="E1" i="2" l="1"/>
  <c r="D5" i="2"/>
  <c r="D7" i="2"/>
  <c r="D45" i="2" s="1"/>
  <c r="D83" i="2" s="1"/>
  <c r="E3" i="2"/>
  <c r="E41" i="2" s="1"/>
  <c r="E79" i="2" s="1"/>
  <c r="G1" i="2"/>
  <c r="D43" i="2" l="1"/>
  <c r="D81" i="2" s="1"/>
  <c r="C11" i="2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V36" i="4"/>
  <c r="W36" i="4"/>
  <c r="X36" i="4"/>
  <c r="L36" i="4" l="1"/>
  <c r="H46" i="4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G32" i="4"/>
  <c r="K32" i="4"/>
  <c r="M32" i="4" s="1"/>
  <c r="E32" i="4"/>
  <c r="F30" i="4"/>
  <c r="J30" i="4"/>
  <c r="N30" i="4"/>
  <c r="H30" i="4"/>
  <c r="I30" i="4"/>
  <c r="G30" i="4"/>
  <c r="O30" i="4"/>
  <c r="K30" i="4"/>
  <c r="M30" i="4" s="1"/>
  <c r="E30" i="4"/>
  <c r="N25" i="4"/>
  <c r="I25" i="4"/>
  <c r="O25" i="4"/>
  <c r="F25" i="4"/>
  <c r="J25" i="4"/>
  <c r="G25" i="4"/>
  <c r="H25" i="4"/>
  <c r="K25" i="4"/>
  <c r="M25" i="4" s="1"/>
  <c r="E25" i="4"/>
  <c r="F37" i="4"/>
  <c r="I37" i="4"/>
  <c r="G37" i="4"/>
  <c r="N37" i="4"/>
  <c r="J37" i="4"/>
  <c r="H37" i="4"/>
  <c r="O37" i="4"/>
  <c r="K37" i="4"/>
  <c r="M37" i="4" s="1"/>
  <c r="E37" i="4"/>
  <c r="N34" i="4"/>
  <c r="F34" i="4"/>
  <c r="H34" i="4"/>
  <c r="I34" i="4"/>
  <c r="O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I24" i="4"/>
  <c r="F24" i="4"/>
  <c r="O24" i="4"/>
  <c r="K24" i="4"/>
  <c r="M24" i="4" s="1"/>
  <c r="E24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46" i="4"/>
  <c r="T32" i="4"/>
  <c r="T43" i="4"/>
  <c r="T45" i="4"/>
  <c r="T49" i="4"/>
  <c r="T55" i="4"/>
  <c r="T19" i="4"/>
  <c r="T25" i="4"/>
  <c r="T27" i="4"/>
  <c r="T23" i="4"/>
  <c r="T44" i="4"/>
  <c r="T51" i="4"/>
  <c r="T6" i="4"/>
  <c r="T26" i="4"/>
  <c r="T40" i="4"/>
  <c r="T28" i="4"/>
  <c r="T42" i="4"/>
  <c r="T48" i="4"/>
  <c r="T20" i="4"/>
  <c r="T18" i="4"/>
  <c r="T21" i="4"/>
  <c r="T29" i="4"/>
  <c r="T50" i="4"/>
  <c r="T5" i="4"/>
  <c r="T14" i="4"/>
  <c r="T52" i="4"/>
  <c r="T47" i="4"/>
  <c r="T9" i="4"/>
  <c r="T35" i="4"/>
  <c r="T11" i="4"/>
  <c r="T53" i="4"/>
  <c r="T57" i="4"/>
  <c r="T15" i="4"/>
  <c r="T10" i="4"/>
  <c r="T38" i="4"/>
  <c r="T24" i="4"/>
  <c r="T56" i="4"/>
  <c r="T41" i="4"/>
  <c r="T17" i="4"/>
  <c r="U36" i="4"/>
  <c r="T31" i="4"/>
  <c r="T22" i="4"/>
  <c r="T7" i="4"/>
  <c r="T39" i="4"/>
  <c r="T16" i="4"/>
  <c r="T13" i="4"/>
  <c r="T37" i="4"/>
  <c r="T34" i="4"/>
  <c r="T54" i="4"/>
  <c r="T30" i="4"/>
  <c r="T8" i="4"/>
  <c r="T33" i="4"/>
  <c r="T12" i="4"/>
  <c r="L38" i="4" l="1"/>
  <c r="L37" i="4"/>
  <c r="L35" i="4"/>
  <c r="L34" i="4"/>
  <c r="L33" i="4"/>
  <c r="L32" i="4"/>
  <c r="L29" i="4"/>
  <c r="L31" i="4"/>
  <c r="L30" i="4"/>
  <c r="L28" i="4"/>
  <c r="L27" i="4"/>
  <c r="L26" i="4"/>
  <c r="L25" i="4"/>
  <c r="L24" i="4"/>
  <c r="L23" i="4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J38" i="2"/>
  <c r="J76" i="2" s="1"/>
  <c r="J114" i="2" s="1"/>
  <c r="L12" i="4"/>
  <c r="J29" i="2"/>
  <c r="J67" i="2" s="1"/>
  <c r="J105" i="2" s="1"/>
  <c r="L10" i="4"/>
  <c r="L9" i="4"/>
  <c r="K58" i="4"/>
  <c r="M5" i="4"/>
  <c r="K35" i="2" s="1"/>
  <c r="K73" i="2" s="1"/>
  <c r="K111" i="2" s="1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V10" i="4"/>
  <c r="W17" i="4"/>
  <c r="U25" i="4"/>
  <c r="X40" i="4"/>
  <c r="U48" i="4"/>
  <c r="U57" i="4"/>
  <c r="U19" i="4"/>
  <c r="W13" i="4"/>
  <c r="W32" i="4"/>
  <c r="X15" i="4"/>
  <c r="V13" i="4"/>
  <c r="U44" i="4"/>
  <c r="V26" i="4"/>
  <c r="X33" i="4"/>
  <c r="V11" i="4"/>
  <c r="V9" i="4"/>
  <c r="V17" i="4"/>
  <c r="V23" i="4"/>
  <c r="W16" i="4"/>
  <c r="X41" i="4"/>
  <c r="V53" i="4"/>
  <c r="W28" i="4"/>
  <c r="V51" i="4"/>
  <c r="W11" i="4"/>
  <c r="U55" i="4"/>
  <c r="W29" i="4"/>
  <c r="W55" i="4"/>
  <c r="U49" i="4"/>
  <c r="X35" i="4"/>
  <c r="W23" i="4"/>
  <c r="V28" i="4"/>
  <c r="U24" i="4"/>
  <c r="U10" i="4"/>
  <c r="V54" i="4"/>
  <c r="X12" i="4"/>
  <c r="W35" i="4"/>
  <c r="V55" i="4"/>
  <c r="U18" i="4"/>
  <c r="W26" i="4"/>
  <c r="U27" i="4"/>
  <c r="W41" i="4"/>
  <c r="W7" i="4"/>
  <c r="X38" i="4"/>
  <c r="X37" i="4"/>
  <c r="X49" i="4"/>
  <c r="V15" i="4"/>
  <c r="X21" i="4"/>
  <c r="X28" i="4"/>
  <c r="W20" i="4"/>
  <c r="V46" i="4"/>
  <c r="W14" i="4"/>
  <c r="U9" i="4"/>
  <c r="W47" i="4"/>
  <c r="U26" i="4"/>
  <c r="U46" i="4"/>
  <c r="W22" i="4"/>
  <c r="X14" i="4"/>
  <c r="W43" i="4"/>
  <c r="V43" i="4"/>
  <c r="V7" i="4"/>
  <c r="W8" i="4"/>
  <c r="W38" i="4"/>
  <c r="W25" i="4"/>
  <c r="W15" i="4"/>
  <c r="W44" i="4"/>
  <c r="W21" i="4"/>
  <c r="U22" i="4"/>
  <c r="X27" i="4"/>
  <c r="V14" i="4"/>
  <c r="X11" i="4"/>
  <c r="X32" i="4"/>
  <c r="U8" i="4"/>
  <c r="U42" i="4"/>
  <c r="W6" i="4"/>
  <c r="W10" i="4"/>
  <c r="U12" i="4"/>
  <c r="W5" i="4"/>
  <c r="V29" i="4"/>
  <c r="X34" i="4"/>
  <c r="W19" i="4"/>
  <c r="U13" i="4"/>
  <c r="U29" i="4"/>
  <c r="X52" i="4"/>
  <c r="X56" i="4"/>
  <c r="V6" i="4"/>
  <c r="X13" i="4"/>
  <c r="U20" i="4"/>
  <c r="X51" i="4"/>
  <c r="V56" i="4"/>
  <c r="W45" i="4"/>
  <c r="U21" i="4"/>
  <c r="X10" i="4"/>
  <c r="W42" i="4"/>
  <c r="U56" i="4"/>
  <c r="U11" i="4"/>
  <c r="V50" i="4"/>
  <c r="X45" i="4"/>
  <c r="X47" i="4"/>
  <c r="U23" i="4"/>
  <c r="U35" i="4"/>
  <c r="W50" i="4"/>
  <c r="V47" i="4"/>
  <c r="X19" i="4"/>
  <c r="V41" i="4"/>
  <c r="U43" i="4"/>
  <c r="U38" i="4"/>
  <c r="U50" i="4"/>
  <c r="X26" i="4"/>
  <c r="V21" i="4"/>
  <c r="X50" i="4"/>
  <c r="U54" i="4"/>
  <c r="X22" i="4"/>
  <c r="U37" i="4"/>
  <c r="V32" i="4"/>
  <c r="U39" i="4"/>
  <c r="V52" i="4"/>
  <c r="W12" i="4"/>
  <c r="W24" i="4"/>
  <c r="V22" i="4"/>
  <c r="U14" i="4"/>
  <c r="U53" i="4"/>
  <c r="W27" i="4"/>
  <c r="V34" i="4"/>
  <c r="W9" i="4"/>
  <c r="U15" i="4"/>
  <c r="V30" i="4"/>
  <c r="U17" i="4"/>
  <c r="W34" i="4"/>
  <c r="X39" i="4"/>
  <c r="W53" i="4"/>
  <c r="X25" i="4"/>
  <c r="U41" i="4"/>
  <c r="V39" i="4"/>
  <c r="W18" i="4"/>
  <c r="V12" i="4"/>
  <c r="V57" i="4"/>
  <c r="X24" i="4"/>
  <c r="V20" i="4"/>
  <c r="X18" i="4"/>
  <c r="X6" i="4"/>
  <c r="V18" i="4"/>
  <c r="V27" i="4"/>
  <c r="U28" i="4"/>
  <c r="U33" i="4"/>
  <c r="W30" i="4"/>
  <c r="U45" i="4"/>
  <c r="U5" i="4"/>
  <c r="X42" i="4"/>
  <c r="U6" i="4"/>
  <c r="V5" i="4"/>
  <c r="W57" i="4"/>
  <c r="V45" i="4"/>
  <c r="X9" i="4"/>
  <c r="X8" i="4"/>
  <c r="W51" i="4"/>
  <c r="X43" i="4"/>
  <c r="V19" i="4"/>
  <c r="V40" i="4"/>
  <c r="X16" i="4"/>
  <c r="V16" i="4"/>
  <c r="V38" i="4"/>
  <c r="X23" i="4"/>
  <c r="V25" i="4"/>
  <c r="W48" i="4"/>
  <c r="V33" i="4"/>
  <c r="U52" i="4"/>
  <c r="X20" i="4"/>
  <c r="X57" i="4"/>
  <c r="X48" i="4"/>
  <c r="W40" i="4"/>
  <c r="X30" i="4"/>
  <c r="W46" i="4"/>
  <c r="U51" i="4"/>
  <c r="W31" i="4"/>
  <c r="X29" i="4"/>
  <c r="V31" i="4"/>
  <c r="V35" i="4"/>
  <c r="X54" i="4"/>
  <c r="X7" i="4"/>
  <c r="U31" i="4"/>
  <c r="V8" i="4"/>
  <c r="V24" i="4"/>
  <c r="W56" i="4"/>
  <c r="X17" i="4"/>
  <c r="V48" i="4"/>
  <c r="X5" i="4"/>
  <c r="W37" i="4"/>
  <c r="V42" i="4"/>
  <c r="X53" i="4"/>
  <c r="U40" i="4"/>
  <c r="X46" i="4"/>
  <c r="V44" i="4"/>
  <c r="U30" i="4"/>
  <c r="V49" i="4"/>
  <c r="X55" i="4"/>
  <c r="W52" i="4"/>
  <c r="U47" i="4"/>
  <c r="W33" i="4"/>
  <c r="W54" i="4"/>
  <c r="U7" i="4"/>
  <c r="U32" i="4"/>
  <c r="U16" i="4"/>
  <c r="X44" i="4"/>
  <c r="U34" i="4"/>
  <c r="W49" i="4"/>
  <c r="W39" i="4"/>
  <c r="X31" i="4"/>
  <c r="V37" i="4"/>
</calcChain>
</file>

<file path=xl/sharedStrings.xml><?xml version="1.0" encoding="utf-8"?>
<sst xmlns="http://schemas.openxmlformats.org/spreadsheetml/2006/main" count="373" uniqueCount="214">
  <si>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</si>
  <si>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</si>
  <si>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</si>
  <si>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</si>
  <si>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</si>
  <si>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</si>
  <si>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</si>
  <si>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</si>
  <si>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</si>
  <si>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</si>
  <si>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</si>
  <si>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</si>
  <si>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</si>
  <si>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</si>
  <si>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</si>
  <si>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</si>
  <si>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</si>
  <si>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</si>
  <si>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</si>
  <si>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</si>
  <si>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</si>
  <si>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</si>
  <si>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</si>
  <si>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</si>
  <si>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</si>
  <si>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</si>
  <si>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</si>
  <si>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</si>
  <si>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</si>
  <si>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</si>
  <si>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</si>
  <si>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a</t>
  </si>
  <si>
    <t>listToko</t>
  </si>
  <si>
    <t>b</t>
  </si>
  <si>
    <t>c</t>
  </si>
  <si>
    <t>d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</si>
  <si>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</si>
  <si>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</si>
  <si>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</si>
  <si>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</si>
  <si>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</si>
  <si>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</si>
  <si>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</si>
  <si>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</si>
  <si>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</si>
  <si>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</si>
  <si>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</si>
  <si>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</si>
  <si>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</si>
  <si>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</si>
  <si>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</si>
  <si>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</si>
  <si>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</si>
  <si>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</si>
  <si>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</si>
  <si>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</si>
  <si>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</si>
  <si>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</si>
  <si>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</si>
  <si>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</si>
  <si>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</si>
  <si>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</si>
  <si>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</si>
  <si>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</si>
  <si>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</si>
  <si>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</si>
  <si>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</si>
  <si>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</si>
  <si>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</si>
  <si>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</si>
  <si>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</si>
  <si>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</si>
  <si>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</si>
  <si>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</si>
  <si>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</si>
  <si>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</si>
  <si>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</si>
  <si>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</si>
  <si>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</si>
  <si>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</si>
  <si>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</si>
  <si>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</si>
  <si>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</si>
  <si>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</si>
  <si>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</si>
  <si>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</si>
  <si>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</si>
  <si>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</si>
  <si>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</si>
  <si>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</si>
  <si>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</si>
  <si>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</si>
  <si>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</si>
  <si>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</si>
  <si>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</si>
  <si>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</si>
  <si>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</si>
  <si>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</si>
  <si>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</si>
  <si>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</si>
  <si>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</si>
  <si>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</si>
  <si>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</si>
  <si>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</si>
  <si>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</si>
  <si>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</si>
  <si>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</si>
  <si>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</si>
  <si>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</si>
  <si>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</si>
  <si>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</si>
  <si>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</si>
  <si>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</si>
  <si>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</si>
  <si>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</si>
  <si>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D</t>
  </si>
  <si>
    <t>E</t>
  </si>
  <si>
    <t>K</t>
  </si>
  <si>
    <t>J</t>
  </si>
  <si>
    <t>---</t>
  </si>
  <si>
    <t>4</t>
  </si>
  <si>
    <t>CV FM 90</t>
  </si>
  <si>
    <t>SIDU</t>
  </si>
  <si>
    <t>MONG SANTOSA ANDRESTA</t>
  </si>
  <si>
    <t>SALATIGA</t>
  </si>
  <si>
    <t>( SIDU )</t>
  </si>
  <si>
    <t>Column2</t>
  </si>
  <si>
    <t>Column3</t>
  </si>
  <si>
    <t>Column4</t>
  </si>
  <si>
    <t>Column5</t>
  </si>
  <si>
    <t>LSN</t>
  </si>
  <si>
    <t>NOVI / CONDRO</t>
  </si>
  <si>
    <t>ko</t>
  </si>
  <si>
    <t>GRS</t>
  </si>
  <si>
    <t>CLIKEN107</t>
  </si>
  <si>
    <t>BINDER CLIP KENKO NO. 107</t>
  </si>
  <si>
    <t>3977</t>
  </si>
  <si>
    <t>bendan</t>
  </si>
  <si>
    <t>GARKEN60CM</t>
  </si>
  <si>
    <t>GARISAN BESI (STAINLESS STEEL) KENKO 60 CM</t>
  </si>
  <si>
    <t xml:space="preserve"> </t>
  </si>
  <si>
    <t>KO</t>
  </si>
  <si>
    <t>3990</t>
  </si>
  <si>
    <t>TIPKENCT902</t>
  </si>
  <si>
    <t>CORRECTION TAPE KENKO CT-902 (12M x 5MM)</t>
  </si>
  <si>
    <t>3920</t>
  </si>
  <si>
    <t>CLIKEN155</t>
  </si>
  <si>
    <t>BINDER CLIP KENKO NO. 155</t>
  </si>
  <si>
    <t>GARKEN50CM</t>
  </si>
  <si>
    <t>GARISAN BESI (STAINLESS STEEL) KENKO 50 CM</t>
  </si>
  <si>
    <t>3921</t>
  </si>
  <si>
    <t>BOX</t>
  </si>
  <si>
    <t>LEMKEN15GR</t>
  </si>
  <si>
    <t>LEMKEN8GR</t>
  </si>
  <si>
    <t>ISIKENKECIL</t>
  </si>
  <si>
    <t>ISIKENBESAR</t>
  </si>
  <si>
    <t>PENKENEASYHITAM</t>
  </si>
  <si>
    <t>LEM STICK KENKO 15 GR (TANGGUNG) isi 20 pc</t>
  </si>
  <si>
    <t>LEM STICK KENKO 8 GR (KECIL) isi 30 pc</t>
  </si>
  <si>
    <t>GEL PEN KENKO EASY GEL HITAM</t>
  </si>
  <si>
    <t>ISI CUTTER 9 MM KENKO A-100 (KECIL)</t>
  </si>
  <si>
    <t>ISI CUTTER 18 MM KENKO L-150 (BESAR)</t>
  </si>
  <si>
    <t>G</t>
  </si>
  <si>
    <t>4000</t>
  </si>
  <si>
    <t>PCS</t>
  </si>
  <si>
    <t>PCJK0719AC36AF</t>
  </si>
  <si>
    <t>PCJK0719TV33A</t>
  </si>
  <si>
    <t>BNJKTSCLM401</t>
  </si>
  <si>
    <t>BNJKTSIMM416</t>
  </si>
  <si>
    <t>LEMJKGS104</t>
  </si>
  <si>
    <t>PENCIL CASE JOYKO PC-0719AC-36A/F (Animal Calender)</t>
  </si>
  <si>
    <t>PENCIL CASE JOYKO PC-0719TV-33A/F (TRAVEL)</t>
  </si>
  <si>
    <t>CLIJK3100</t>
  </si>
  <si>
    <t>BINDER NOTE JOYKO A5-TSCL-M-401 (COLLEGE) - U</t>
  </si>
  <si>
    <t>BINDER NOTE JOYKO A5-TSIM-M416 (IMAGE) - U</t>
  </si>
  <si>
    <t>LEM STICK JOYKO 15 GR GS-104 TG (ANIMAL KINGDOM) isi 24 pc</t>
  </si>
  <si>
    <t>PAPER CLIP WARNA JOYKO C-3100</t>
  </si>
  <si>
    <t>4612</t>
  </si>
  <si>
    <t>PUNKEN85XL</t>
  </si>
  <si>
    <t>PUNCH KENKO NO. 85XL</t>
  </si>
  <si>
    <t>CUTKENL500</t>
  </si>
  <si>
    <t>CUTTER 18 MM KENKO L-500 (BESAR)</t>
  </si>
  <si>
    <t>4615</t>
  </si>
  <si>
    <t>10-Hitung FP Keluar Oktober 2023</t>
  </si>
  <si>
    <t>s</t>
  </si>
  <si>
    <t>4616</t>
  </si>
  <si>
    <t>PENJKGP265</t>
  </si>
  <si>
    <t>GEL PEN JOYKO GP-265 Q-GEL HITAM</t>
  </si>
  <si>
    <t>4620</t>
  </si>
  <si>
    <t>TIPJKCFS225</t>
  </si>
  <si>
    <t>CORRECTION FLUID JOYKO CF-S225</t>
  </si>
  <si>
    <t>OPJK24W</t>
  </si>
  <si>
    <t>OPJK36W</t>
  </si>
  <si>
    <t>CRAYON / OIL PASTEL JOYKO OP-24S PP CASE SEA WORLD</t>
  </si>
  <si>
    <t>CRAYON / OIL PASTEL JOYKO OP-36S PP CASE SEA WORLD</t>
  </si>
  <si>
    <t>4626</t>
  </si>
  <si>
    <t>TIPKENKE107</t>
  </si>
  <si>
    <t>TIPKENKE823</t>
  </si>
  <si>
    <t>PENKENKE303</t>
  </si>
  <si>
    <t>CORRECTION FLUID KENKO KE-107M</t>
  </si>
  <si>
    <t>CORRECTION FLUID KENKO KE-823M</t>
  </si>
  <si>
    <t>GEL PEN KENKO KE-303 T-GEL TRIANGULAR HITAM</t>
  </si>
  <si>
    <t>4630</t>
  </si>
  <si>
    <t>SET</t>
  </si>
  <si>
    <t>PWJK24WPANJANG</t>
  </si>
  <si>
    <t>OPJK12W</t>
  </si>
  <si>
    <t>PENSIL WARNA JOYKO CP-24PB (PANJANG)</t>
  </si>
  <si>
    <t>CRAYON / OIL PASTEL JOYKO OP-12S PP CASE SEA WORLD</t>
  </si>
  <si>
    <t>4638</t>
  </si>
  <si>
    <t>4511</t>
  </si>
  <si>
    <t>PWJK12WPANJANG</t>
  </si>
  <si>
    <t>PWJK12WPENDEK</t>
  </si>
  <si>
    <t>PENSIL WARNA JOYKO CP-12PB (PANJANG)</t>
  </si>
  <si>
    <t>PENSIL WARNA JOYKO CP-S12 MINI (PENDEK)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</si>
</sst>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0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  <font>
      <sz val="11"/>
      <name val="Calibri"/>
      <family val="2"/>
      <scheme val="minor"/>
    </font>
    <font>
      <sz val="1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70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38" fillId="0" borderId="0" xfId="0" applyFont="1" applyFill="1" applyBorder="1" applyAlignment="1">
      <alignment horizontal="left" vertical="center"/>
    </xf>
    <xf numFmtId="0" fontId="0" fillId="4" borderId="0" xfId="0" applyFill="1"/>
    <xf numFmtId="0" fontId="0" fillId="4" borderId="0" xfId="0" applyNumberFormat="1" applyFill="1"/>
    <xf numFmtId="14" fontId="0" fillId="4" borderId="0" xfId="0" applyNumberFormat="1" applyFill="1"/>
    <xf numFmtId="43" fontId="0" fillId="4" borderId="0" xfId="0" applyNumberFormat="1" applyFill="1"/>
    <xf numFmtId="0" fontId="0" fillId="4" borderId="0" xfId="0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39" fillId="0" borderId="0" xfId="0" applyNumberFormat="1" applyFont="1" applyFill="1" applyBorder="1" applyAlignment="1">
      <alignment horizontal="left" vertical="center"/>
    </xf>
    <xf numFmtId="164" fontId="39" fillId="0" borderId="0" xfId="0" applyNumberFormat="1" applyFont="1" applyFill="1" applyBorder="1" applyAlignment="1">
      <alignment horizontal="left" vertical="center"/>
    </xf>
    <xf numFmtId="1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9" fontId="39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10" fontId="39" fillId="0" borderId="0" xfId="0" applyNumberFormat="1" applyFont="1" applyFill="1" applyBorder="1" applyAlignment="1">
      <alignment horizontal="left" vertical="center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101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0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10%20OKTOBER\KELUAR%201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17.620404629626" createdVersion="5" refreshedVersion="5" minRefreshableVersion="3" recordCount="269">
  <cacheSource type="worksheet">
    <worksheetSource name="Table1" r:id="rId2"/>
  </cacheSource>
  <cacheFields count="32">
    <cacheField name="//" numFmtId="0">
      <sharedItems containsMixedTypes="1" containsNumber="1" containsInteger="1" minValue="4" maxValue="52" count="18">
        <s v=""/>
        <n v="4"/>
        <n v="6"/>
        <n v="8"/>
        <n v="10"/>
        <n v="12"/>
        <n v="14"/>
        <n v="16"/>
        <n v="19"/>
        <n v="25"/>
        <n v="33"/>
        <n v="35"/>
        <n v="37"/>
        <n v="39"/>
        <n v="43"/>
        <n v="47"/>
        <n v="50"/>
        <n v="52"/>
      </sharedItems>
    </cacheField>
    <cacheField name="h_No. Invoice :" numFmtId="0">
      <sharedItems containsMixedTypes="1" containsNumber="1" containsInteger="1" minValue="23100001" maxValue="23100017"/>
    </cacheField>
    <cacheField name="Tgl Invoice :" numFmtId="164">
      <sharedItems containsDate="1" containsMixedTypes="1" minDate="2023-10-05T00:00:00" maxDate="2023-10-19T00:00:00"/>
    </cacheField>
    <cacheField name="Column2" numFmtId="0">
      <sharedItems containsBlank="1" containsMixedTypes="1" containsNumber="1" containsInteger="1" minValue="5" maxValue="18"/>
    </cacheField>
    <cacheField name="Column3" numFmtId="0">
      <sharedItems containsBlank="1"/>
    </cacheField>
    <cacheField name="Column4" numFmtId="49">
      <sharedItems containsBlank="1"/>
    </cacheField>
    <cacheField name="Column5" numFmtId="0">
      <sharedItems containsBlank="1"/>
    </cacheField>
    <cacheField name="No. Invoice :" numFmtId="0">
      <sharedItems/>
    </cacheField>
    <cacheField name="Kode Sales :" numFmtId="0">
      <sharedItems/>
    </cacheField>
    <cacheField name="Toko" numFmtId="0">
      <sharedItems/>
    </cacheField>
    <cacheField name="Qty" numFmtId="0">
      <sharedItems containsString="0" containsBlank="1" containsNumber="1" containsInteger="1" minValue="1" maxValue="72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3100" maxValue="252000"/>
    </cacheField>
    <cacheField name="Disc 1" numFmtId="10">
      <sharedItems containsString="0" containsBlank="1" containsNumber="1" minValue="0.1" maxValue="0.14000000000000001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108000" maxValue="1852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52"/>
    </cacheField>
    <cacheField name="h_jumlahbarang" numFmtId="0">
      <sharedItems containsMixedTypes="1" containsNumber="1" containsInteger="1" minValue="1" maxValue="7"/>
    </cacheField>
    <cacheField name="h_hargasebelumdiskon" numFmtId="43">
      <sharedItems containsMixedTypes="1" containsNumber="1" containsInteger="1" minValue="120000" maxValue="21168000"/>
    </cacheField>
    <cacheField name="h_disc 1" numFmtId="43">
      <sharedItems containsMixedTypes="1" containsNumber="1" minValue="12000" maxValue="2646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12000" maxValue="2646000"/>
    </cacheField>
    <cacheField name="h_hargasetelahdiskon" numFmtId="43">
      <sharedItems containsMixedTypes="1" containsNumber="1" containsInteger="1" minValue="108000" maxValue="18522000"/>
    </cacheField>
    <cacheField name="Total Invoice" numFmtId="43">
      <sharedItems containsMixedTypes="1" containsNumber="1" containsInteger="1" minValue="0" maxValue="27896400"/>
    </cacheField>
    <cacheField name="KETERANGAN" numFmtId="43">
      <sharedItems containsNonDate="0" containsString="0" containsBlank="1"/>
    </cacheField>
    <cacheField name="H_A1" numFmtId="43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9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100001"/>
    <d v="2023-10-05T00:00:00"/>
    <n v="5"/>
    <s v="ko"/>
    <s v="3977"/>
    <s v="bendan"/>
    <s v="AM 23100001"/>
    <s v="KO 3977"/>
    <s v="HARNOYO (BENDAN) PEKALONGAN"/>
    <n v="50"/>
    <s v="GRS"/>
    <n v="1"/>
    <s v="CLIKEN107"/>
    <s v="BINDER CLIP KENKO NO. 107"/>
    <s v="BINDER CLIP KENKO NO. 107"/>
    <n v="31800"/>
    <n v="0.14000000000000001"/>
    <m/>
    <n v="1367400"/>
    <s v="NOVI / CONDRO"/>
    <m/>
    <n v="4"/>
    <n v="2"/>
    <n v="1590000"/>
    <n v="222600.00000000003"/>
    <n v="0"/>
    <n v="222600.00000000003"/>
    <n v="1367400"/>
    <n v="1808400"/>
    <m/>
    <s v="BINDER CLIP KENKO NO. 107GRS31800"/>
  </r>
  <r>
    <x v="0"/>
    <s v=""/>
    <s v=""/>
    <m/>
    <m/>
    <m/>
    <m/>
    <s v=""/>
    <s v=" "/>
    <s v=""/>
    <n v="2"/>
    <s v="LSN"/>
    <m/>
    <s v="GARKEN60CM"/>
    <s v="GARISAN BESI (STAINLESS STEEL) KENKO 60 CM"/>
    <s v="GARISAN BESI (STAINLESS STEEL) KENKO 60 CM"/>
    <n v="252000"/>
    <n v="0.125"/>
    <m/>
    <n v="441000"/>
    <m/>
    <m/>
    <n v="4"/>
    <n v="2"/>
    <n v="504000"/>
    <n v="63000"/>
    <n v="0"/>
    <n v="63000"/>
    <n v="441000"/>
    <s v=""/>
    <m/>
    <s v="GARISAN BESI (STAINLESS STEEL) KENKO 60 CMLSN252000"/>
  </r>
  <r>
    <x v="2"/>
    <n v="23100002"/>
    <e v="#VALUE!"/>
    <s v=" "/>
    <s v=" "/>
    <s v=" "/>
    <s v=" "/>
    <s v="AM 23100002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100003"/>
    <e v="#VALUE!"/>
    <s v="`"/>
    <s v="`"/>
    <s v="`"/>
    <s v="`"/>
    <s v="AM 23100003"/>
    <s v="` `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100004"/>
    <e v="#VALUE!"/>
    <s v="`"/>
    <s v="`"/>
    <s v="`"/>
    <s v="`"/>
    <s v="AM 23100004"/>
    <s v="` `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100005"/>
    <e v="#VALUE!"/>
    <s v="`"/>
    <s v="`"/>
    <s v="`"/>
    <s v="`"/>
    <s v="AM 23100005"/>
    <s v="` `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6"/>
    <n v="23100006"/>
    <d v="2023-10-09T00:00:00"/>
    <n v="9"/>
    <s v="ko"/>
    <s v="3990"/>
    <s v="GANESHA"/>
    <s v="AM 23100006"/>
    <s v="KO 3990"/>
    <s v="CV GANESHA WONOSOBO"/>
    <n v="2"/>
    <s v="LSN"/>
    <m/>
    <s v="TIPKENCT902"/>
    <s v="CORRECTION TAPE KENKO CT-902 (12M x 5MM)"/>
    <s v="CORRECTION TAPE KENKO CT-902 (12M x 5MM)"/>
    <n v="60000"/>
    <n v="0.1"/>
    <m/>
    <n v="108000"/>
    <s v="NOVI / CONDRO"/>
    <m/>
    <n v="14"/>
    <n v="1"/>
    <n v="120000"/>
    <n v="12000"/>
    <n v="0"/>
    <n v="12000"/>
    <n v="108000"/>
    <n v="108000"/>
    <m/>
    <s v="CORRECTION TAPE KENKO CT-902 (12M x 5MM)LSN6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100007"/>
    <d v="2023-10-09T00:00:00"/>
    <n v="9"/>
    <s v="ko"/>
    <s v="3920"/>
    <s v="bendan"/>
    <s v="AM 23100007"/>
    <s v="KO 3920"/>
    <s v="HARNOYO (BENDAN) PEKALONGAN"/>
    <n v="20"/>
    <s v="GRS"/>
    <m/>
    <s v="CLIKEN155"/>
    <s v="BINDER CLIP KENKO NO. 155"/>
    <s v="BINDER CLIP KENKO NO. 155"/>
    <n v="69000"/>
    <n v="0.14000000000000001"/>
    <m/>
    <n v="1186800"/>
    <s v="NOVI / CONDRO"/>
    <m/>
    <n v="16"/>
    <n v="2"/>
    <n v="1380000"/>
    <n v="193200.00000000003"/>
    <n v="0"/>
    <n v="193200.00000000003"/>
    <n v="1186800"/>
    <n v="1563750"/>
    <m/>
    <s v="BINDER CLIP KENKO NO. 155GRS69000"/>
  </r>
  <r>
    <x v="0"/>
    <s v=""/>
    <s v=""/>
    <m/>
    <m/>
    <m/>
    <m/>
    <s v=""/>
    <s v=" "/>
    <s v=""/>
    <n v="2"/>
    <s v="LSN"/>
    <m/>
    <s v="GARKEN50CM"/>
    <s v="GARISAN BESI (STAINLESS STEEL) KENKO 50 CM"/>
    <s v="GARISAN BESI (STAINLESS STEEL) KENKO 50 CM"/>
    <n v="215400"/>
    <n v="0.125"/>
    <m/>
    <n v="376950"/>
    <m/>
    <m/>
    <n v="16"/>
    <n v="2"/>
    <n v="430800"/>
    <n v="53850"/>
    <n v="0"/>
    <n v="53850"/>
    <n v="376950"/>
    <s v=""/>
    <m/>
    <s v="GARISAN BESI (STAINLESS STEEL) KENKO 50 CMLSN215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100008"/>
    <d v="2023-10-09T00:00:00"/>
    <n v="9"/>
    <s v="ko"/>
    <s v="3921"/>
    <s v="ANUGERAH"/>
    <s v="AM 23100008"/>
    <s v="KO 3921"/>
    <s v="CV PELITA JAYA (ANUGERAH SEJAHTERA) PURWOKERTO"/>
    <n v="36"/>
    <s v="BOX"/>
    <n v="1"/>
    <s v="LEMKEN15GR"/>
    <s v="LEM STICK KENKO 15 GR (TANGGUNG) isi 20 pc"/>
    <s v="LEM STICK KENKO 15 GR (TANGGUNG) isi 20 pc"/>
    <n v="72000"/>
    <n v="0.13500000000000001"/>
    <m/>
    <n v="2242080"/>
    <s v="NOVI / CONDRO"/>
    <m/>
    <n v="19"/>
    <n v="5"/>
    <n v="2592000"/>
    <n v="349920"/>
    <n v="0"/>
    <n v="349920"/>
    <n v="2242080"/>
    <n v="24251832"/>
    <m/>
    <s v="LEM STICK KENKO 15 GR (TANGGUNG) isi 20 pcBOX72000"/>
  </r>
  <r>
    <x v="0"/>
    <s v="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19"/>
    <n v="5"/>
    <n v="2376000"/>
    <n v="320760"/>
    <n v="0"/>
    <n v="320760"/>
    <n v="2055240"/>
    <s v=""/>
    <m/>
    <s v="LEM STICK KENKO 8 GR (KECIL) isi 30 pcBOX66000"/>
  </r>
  <r>
    <x v="0"/>
    <s v=""/>
    <s v=""/>
    <m/>
    <m/>
    <m/>
    <m/>
    <s v=""/>
    <s v=" "/>
    <s v=""/>
    <n v="288"/>
    <s v="LSN"/>
    <n v="2"/>
    <s v="PENKENEASYHITAM"/>
    <s v="GEL PEN KENKO EASY GEL HITAM"/>
    <s v="GEL PEN KENKO EASY GEL HITAM"/>
    <n v="26100"/>
    <n v="0.13500000000000001"/>
    <m/>
    <n v="6502032"/>
    <m/>
    <m/>
    <n v="19"/>
    <n v="5"/>
    <n v="7516800"/>
    <n v="1014768.0000000001"/>
    <n v="0"/>
    <n v="1014768.0000000001"/>
    <n v="6502032"/>
    <s v=""/>
    <m/>
    <s v="GEL PEN KENKO EASY GEL HITAMLSN26100"/>
  </r>
  <r>
    <x v="0"/>
    <s v=""/>
    <s v=""/>
    <m/>
    <m/>
    <m/>
    <m/>
    <s v=""/>
    <s v=" "/>
    <s v=""/>
    <n v="120"/>
    <s v="LSN"/>
    <n v="1"/>
    <s v="ISIKENKECIL"/>
    <s v="ISI CUTTER 9 MM KENKO A-100 (KECIL)"/>
    <s v="ISI CUTTER 9 MM KENKO A-100 (KECIL)"/>
    <n v="32400"/>
    <n v="0.13500000000000001"/>
    <m/>
    <n v="3363120"/>
    <m/>
    <m/>
    <n v="19"/>
    <n v="5"/>
    <n v="3888000"/>
    <n v="524880"/>
    <n v="0"/>
    <n v="524880"/>
    <n v="3363120"/>
    <s v=""/>
    <m/>
    <s v="ISI CUTTER 9 MM KENKO A-100 (KECIL)LSN32400"/>
  </r>
  <r>
    <x v="0"/>
    <s v=""/>
    <s v=""/>
    <m/>
    <m/>
    <m/>
    <m/>
    <s v=""/>
    <s v=" "/>
    <s v=""/>
    <n v="180"/>
    <s v="LSN"/>
    <n v="3"/>
    <s v="ISIKENBESAR"/>
    <s v="ISI CUTTER 18 MM KENKO L-150 (BESAR)"/>
    <s v="ISI CUTTER 18 MM KENKO L-150 (BESAR)"/>
    <n v="64800"/>
    <n v="0.13500000000000001"/>
    <m/>
    <n v="10089360"/>
    <m/>
    <m/>
    <n v="19"/>
    <n v="5"/>
    <n v="11664000"/>
    <n v="1574640"/>
    <n v="0"/>
    <n v="1574640"/>
    <n v="10089360"/>
    <s v=""/>
    <m/>
    <s v="ISI CUTTER 18 MM KENKO L-150 (BESAR)LSN64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100009"/>
    <d v="2023-10-11T00:00:00"/>
    <n v="11"/>
    <s v="G"/>
    <s v="4000"/>
    <s v="REJOAGUNG"/>
    <s v="AM 23100009"/>
    <s v="G 4000"/>
    <s v="LILY JULIAWATI (REJO AGUNG) JOMBANG"/>
    <n v="288"/>
    <s v="PCS"/>
    <n v="1"/>
    <s v="PCJK0719AC36AF"/>
    <e v="#N/A"/>
    <s v="PENCIL CASE JOYKO PC-0719AC-36A/F (Animal Calender)"/>
    <n v="4800"/>
    <n v="0.125"/>
    <m/>
    <n v="1209600"/>
    <s v="NOVI / CONDRO"/>
    <m/>
    <n v="25"/>
    <n v="7"/>
    <n v="1382400"/>
    <n v="172800"/>
    <n v="0"/>
    <n v="172800"/>
    <n v="1209600"/>
    <n v="27896400"/>
    <m/>
    <s v="PENCIL CASE JOYKO PC-0719AC-36A/F (Animal Calender)PCS4800"/>
  </r>
  <r>
    <x v="0"/>
    <s v=""/>
    <s v=""/>
    <m/>
    <m/>
    <m/>
    <m/>
    <s v=""/>
    <s v=" "/>
    <s v=""/>
    <n v="288"/>
    <s v="PCS"/>
    <n v="1"/>
    <s v="PCJK0719TV33A"/>
    <e v="#N/A"/>
    <s v="PENCIL CASE JOYKO PC-0719TV-33A/F (TRAVEL)"/>
    <n v="4800"/>
    <n v="0.125"/>
    <m/>
    <n v="1209600"/>
    <m/>
    <m/>
    <n v="25"/>
    <n v="7"/>
    <n v="1382400"/>
    <n v="172800"/>
    <n v="0"/>
    <n v="172800"/>
    <n v="1209600"/>
    <s v=""/>
    <m/>
    <s v="PENCIL CASE JOYKO PC-0719TV-33A/F (TRAVEL)PCS4800"/>
  </r>
  <r>
    <x v="0"/>
    <s v=""/>
    <s v=""/>
    <m/>
    <m/>
    <m/>
    <m/>
    <s v=""/>
    <s v=" "/>
    <s v=""/>
    <n v="576"/>
    <s v="PCS"/>
    <n v="2"/>
    <s v="CLIJK3100"/>
    <s v="PAPER CLIP WARNA JOYKO C-3100"/>
    <s v="PAPER CLIP WARNA JOYKO C-3100"/>
    <n v="3100"/>
    <n v="0.125"/>
    <m/>
    <n v="1562400"/>
    <m/>
    <m/>
    <n v="25"/>
    <n v="7"/>
    <n v="1785600"/>
    <n v="223200"/>
    <n v="0"/>
    <n v="223200"/>
    <n v="1562400"/>
    <s v=""/>
    <m/>
    <s v="PAPER CLIP WARNA JOYKO C-3100PCS3100"/>
  </r>
  <r>
    <x v="0"/>
    <s v=""/>
    <s v=""/>
    <m/>
    <m/>
    <m/>
    <m/>
    <s v=""/>
    <s v=" "/>
    <s v=""/>
    <n v="72"/>
    <s v="PCS"/>
    <n v="1"/>
    <s v="BNJKTSCLM401"/>
    <e v="#N/A"/>
    <s v="BINDER NOTE JOYKO A5-TSCL-M-401 (COLLEGE) - U"/>
    <n v="15800"/>
    <n v="0.125"/>
    <m/>
    <n v="995400"/>
    <m/>
    <m/>
    <n v="25"/>
    <n v="7"/>
    <n v="1137600"/>
    <n v="142200"/>
    <n v="0"/>
    <n v="142200"/>
    <n v="995400"/>
    <s v=""/>
    <m/>
    <s v="BINDER NOTE JOYKO A5-TSCL-M-401 (COLLEGE) - UPCS15800"/>
  </r>
  <r>
    <x v="0"/>
    <s v=""/>
    <s v=""/>
    <m/>
    <m/>
    <m/>
    <m/>
    <s v=""/>
    <s v=" "/>
    <s v=""/>
    <n v="72"/>
    <s v="PCS"/>
    <n v="1"/>
    <s v="BNJKTSIMM416"/>
    <e v="#N/A"/>
    <s v="BINDER NOTE JOYKO A5-TSIM-M416 (IMAGE) - U"/>
    <n v="15800"/>
    <n v="0.125"/>
    <m/>
    <n v="995400"/>
    <m/>
    <m/>
    <n v="25"/>
    <n v="7"/>
    <n v="1137600"/>
    <n v="142200"/>
    <n v="0"/>
    <n v="142200"/>
    <n v="995400"/>
    <s v=""/>
    <m/>
    <s v="BINDER NOTE JOYKO A5-TSIM-M416 (IMAGE) - UPCS15800"/>
  </r>
  <r>
    <x v="0"/>
    <s v=""/>
    <s v=""/>
    <m/>
    <m/>
    <m/>
    <m/>
    <s v=""/>
    <s v=" "/>
    <s v=""/>
    <n v="360"/>
    <s v="BOX"/>
    <n v="10"/>
    <s v="LEMJKGS104"/>
    <s v="LEM STICK JOYKO 15 GR GS-104 TG (ANIMAL KINGDOM) isi 24 pc"/>
    <s v="LEM STICK JOYKO 15 GR GS-104 TG (ANIMAL KINGDOM) isi 24 pc"/>
    <n v="58800"/>
    <n v="0.125"/>
    <m/>
    <n v="18522000"/>
    <m/>
    <m/>
    <n v="25"/>
    <n v="7"/>
    <n v="21168000"/>
    <n v="2646000"/>
    <n v="0"/>
    <n v="2646000"/>
    <n v="18522000"/>
    <s v=""/>
    <m/>
    <s v="LEM STICK JOYKO 15 GR GS-104 TG (ANIMAL KINGDOM) isi 24 pcBOX58800"/>
  </r>
  <r>
    <x v="0"/>
    <s v=""/>
    <s v=""/>
    <m/>
    <m/>
    <m/>
    <m/>
    <s v=""/>
    <s v=" "/>
    <s v=""/>
    <n v="120"/>
    <s v="LSN"/>
    <n v="1"/>
    <s v="ISIKENKECIL"/>
    <s v="ISI CUTTER 9 MM KENKO A-100 (KECIL)"/>
    <s v="ISI CUTTER 9 MM KENKO A-100 (KECIL)"/>
    <n v="32400"/>
    <n v="0.125"/>
    <m/>
    <n v="3402000"/>
    <m/>
    <m/>
    <n v="25"/>
    <n v="7"/>
    <n v="3888000"/>
    <n v="486000"/>
    <n v="0"/>
    <n v="486000"/>
    <n v="3402000"/>
    <s v=""/>
    <m/>
    <s v="ISI CUTTER 9 MM KENKO A-100 (KECIL)LSN32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100010"/>
    <d v="2023-10-14T00:00:00"/>
    <n v="14"/>
    <s v="ko"/>
    <s v="4612"/>
    <s v="bendan"/>
    <s v="AM 23100010"/>
    <s v="KO 4612"/>
    <s v="HARNOYO (BENDAN) PEKALONGAN"/>
    <n v="24"/>
    <s v="PCS"/>
    <n v="1"/>
    <s v="PUNKEN85XL"/>
    <s v="PUNCH KENKO NO. 85XL"/>
    <s v="PUNCH KENKO NO. 85XL"/>
    <n v="59000"/>
    <n v="0.14000000000000001"/>
    <m/>
    <n v="1217760"/>
    <s v="NOVI / CONDRO"/>
    <m/>
    <n v="33"/>
    <n v="1"/>
    <n v="1416000"/>
    <n v="198240.00000000003"/>
    <n v="0"/>
    <n v="198240.00000000003"/>
    <n v="1217760"/>
    <n v="1217760"/>
    <m/>
    <s v="PUNCH KENKO NO. 85XLPCS5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100011"/>
    <d v="2023-10-14T00:00:00"/>
    <n v="14"/>
    <s v="G"/>
    <s v="4615"/>
    <s v="REJOAGUNG"/>
    <s v="AM 23100011"/>
    <s v="G 4615"/>
    <s v="LILY JULIAWATI (REJO AGUNG) JOMBANG"/>
    <n v="60"/>
    <s v="LSN"/>
    <n v="3"/>
    <s v="CUTKENL500"/>
    <s v="CUTTER 18 MM KENKO L-500 (BESAR)"/>
    <s v="CUTTER 18 MM KENKO L-500 (BESAR)"/>
    <n v="147600"/>
    <n v="0.125"/>
    <m/>
    <n v="7749000"/>
    <s v="NOVI / CONDRO"/>
    <m/>
    <n v="35"/>
    <n v="1"/>
    <n v="8856000"/>
    <n v="1107000"/>
    <n v="0"/>
    <n v="1107000"/>
    <n v="7749000"/>
    <n v="7749000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100012"/>
    <d v="2023-10-14T00:00:00"/>
    <n v="14"/>
    <s v="ko"/>
    <s v="4616"/>
    <s v="ANUGERAH"/>
    <s v="AM 23100012"/>
    <s v="KO 4616"/>
    <s v="CV PELITA JAYA (ANUGERAH SEJAHTERA) PURWOKERTO"/>
    <n v="144"/>
    <s v="LSN"/>
    <n v="1"/>
    <s v="PENJKGP265"/>
    <s v="GEL PEN JOYKO GP-265 Q-GEL"/>
    <s v="GEL PEN JOYKO GP-265 Q-GEL HITAM"/>
    <n v="28200"/>
    <n v="0.13500000000000001"/>
    <m/>
    <n v="3512592"/>
    <s v="NOVI / CONDRO"/>
    <m/>
    <n v="37"/>
    <n v="1"/>
    <n v="4060800"/>
    <n v="548208"/>
    <n v="0"/>
    <n v="548208"/>
    <n v="3512592"/>
    <n v="3512592"/>
    <m/>
    <s v="GEL PEN JOYKO GP-265 Q-GEL HITAMLSN28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100013"/>
    <d v="2023-10-16T00:00:00"/>
    <n v="16"/>
    <s v="G"/>
    <s v="4620"/>
    <s v="REJOAGUNG"/>
    <s v="AM 23100013"/>
    <s v="G 4620"/>
    <s v="LILY JULIAWATI (REJO AGUNG) JOMBANG"/>
    <n v="144"/>
    <s v="PCS"/>
    <n v="3"/>
    <s v="OPJK24W"/>
    <s v="CRAYON / OIL PASTEL JOYKO OP-24S PP CASE SEA WORLD"/>
    <s v="CRAYON / OIL PASTEL JOYKO OP-24S PP CASE SEA WORLD"/>
    <n v="29600"/>
    <n v="0.125"/>
    <m/>
    <n v="3729600"/>
    <s v="NOVI / CONDRO"/>
    <m/>
    <n v="39"/>
    <n v="3"/>
    <n v="4262400"/>
    <n v="532800"/>
    <n v="0"/>
    <n v="532800"/>
    <n v="3729600"/>
    <n v="8498700"/>
    <m/>
    <s v="CRAYON / OIL PASTEL JOYKO OP-24S PP CASE SEA WORLDPCS29600"/>
  </r>
  <r>
    <x v="0"/>
    <s v=""/>
    <s v=""/>
    <m/>
    <m/>
    <m/>
    <m/>
    <s v=""/>
    <s v=" "/>
    <s v=""/>
    <n v="72"/>
    <s v="PCS"/>
    <n v="2"/>
    <s v="OPJK36W"/>
    <s v="CRAYON / OIL PASTEL JOYKO OP-36S PP CASE SEA WORLD"/>
    <s v="CRAYON / OIL PASTEL JOYKO OP-36S PP CASE SEA WORLD"/>
    <n v="41500"/>
    <n v="0.125"/>
    <m/>
    <n v="2614500"/>
    <m/>
    <m/>
    <n v="39"/>
    <n v="3"/>
    <n v="2988000"/>
    <n v="373500"/>
    <n v="0"/>
    <n v="373500"/>
    <n v="2614500"/>
    <s v=""/>
    <m/>
    <s v="CRAYON / OIL PASTEL JOYKO OP-36S PP CASE SEA WORLDPCS41500"/>
  </r>
  <r>
    <x v="0"/>
    <s v=""/>
    <s v=""/>
    <m/>
    <m/>
    <m/>
    <m/>
    <s v=""/>
    <s v=" "/>
    <s v=""/>
    <n v="72"/>
    <s v="PCS"/>
    <n v="2"/>
    <s v="TIPJKCFS225"/>
    <s v="CORRECTION FLUID JOYKO CF-S225"/>
    <s v="CORRECTION FLUID JOYKO CF-S225"/>
    <n v="34200"/>
    <n v="0.125"/>
    <m/>
    <n v="2154600"/>
    <m/>
    <m/>
    <n v="39"/>
    <n v="3"/>
    <n v="2462400"/>
    <n v="307800"/>
    <n v="0"/>
    <n v="307800"/>
    <n v="2154600"/>
    <s v=""/>
    <m/>
    <s v="CORRECTION FLUID JOYKO CF-S225PCS34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100014"/>
    <d v="2023-10-16T00:00:00"/>
    <n v="16"/>
    <s v="ko"/>
    <s v="4626"/>
    <s v="ANUGERAH"/>
    <s v="AM 23100014"/>
    <s v="KO 4626"/>
    <s v="CV PELITA JAYA (ANUGERAH SEJAHTERA) PURWOKERTO"/>
    <n v="72"/>
    <s v="LSN"/>
    <n v="1"/>
    <s v="TIPKENKE107"/>
    <s v="CORRECTION FLUID KENKO KE-107M"/>
    <s v="CORRECTION FLUID KENKO KE-107M"/>
    <n v="55800"/>
    <n v="0.13500000000000001"/>
    <m/>
    <n v="3475224"/>
    <s v="NOVI / CONDRO"/>
    <m/>
    <n v="43"/>
    <n v="3"/>
    <n v="4017600"/>
    <n v="542376"/>
    <n v="0"/>
    <n v="542376"/>
    <n v="3475224"/>
    <n v="9715680"/>
    <m/>
    <s v="CORRECTION FLUID KENKO KE-107MLSN55800"/>
  </r>
  <r>
    <x v="0"/>
    <s v=""/>
    <s v=""/>
    <m/>
    <m/>
    <m/>
    <m/>
    <s v=""/>
    <s v=" "/>
    <s v=""/>
    <n v="72"/>
    <s v="LSN"/>
    <n v="1"/>
    <s v="TIPKENKE823"/>
    <s v="CORRECTION FLUID KENKO KE-823M"/>
    <s v="CORRECTION FLUID KENKO KE-823M"/>
    <n v="57000"/>
    <n v="0.13500000000000001"/>
    <m/>
    <n v="3549960"/>
    <m/>
    <m/>
    <n v="43"/>
    <n v="3"/>
    <n v="4104000"/>
    <n v="554040"/>
    <n v="0"/>
    <n v="554040"/>
    <n v="3549960"/>
    <s v=""/>
    <m/>
    <s v="CORRECTION FLUID KENKO KE-823MLSN57000"/>
  </r>
  <r>
    <x v="0"/>
    <s v=""/>
    <s v=""/>
    <m/>
    <m/>
    <m/>
    <m/>
    <s v=""/>
    <s v=" "/>
    <s v=""/>
    <n v="144"/>
    <s v="LSN"/>
    <n v="1"/>
    <s v="PENKENKE303"/>
    <s v="GEL PEN KENKO KE-303 T-GEL TRIANGULAR"/>
    <s v="GEL PEN KENKO KE-303 T-GEL TRIANGULAR HITAM"/>
    <n v="21600"/>
    <n v="0.13500000000000001"/>
    <m/>
    <n v="2690496"/>
    <m/>
    <m/>
    <n v="43"/>
    <n v="3"/>
    <n v="3110400"/>
    <n v="419904"/>
    <n v="0"/>
    <n v="419904"/>
    <n v="2690496"/>
    <s v=""/>
    <m/>
    <s v="GEL PEN KENKO KE-303 T-GEL TRIANGULAR HITAMLSN21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5"/>
    <n v="23100015"/>
    <d v="2023-10-17T00:00:00"/>
    <n v="17"/>
    <s v="G"/>
    <s v="4630"/>
    <s v="REJOAGUNG"/>
    <s v="AM 23100015"/>
    <s v="G 4630"/>
    <s v="LILY JULIAWATI (REJO AGUNG) JOMBANG"/>
    <n v="216"/>
    <s v="SET"/>
    <n v="3"/>
    <s v="PWJK24WPANJANG"/>
    <s v="PENSIL WARNA JOYKO CP-24PB (PANJANG)"/>
    <s v="PENSIL WARNA JOYKO CP-24PB (PANJANG)"/>
    <n v="21200"/>
    <n v="0.125"/>
    <m/>
    <n v="4006800"/>
    <s v="NOVI / CONDRO"/>
    <m/>
    <n v="47"/>
    <n v="2"/>
    <n v="4579200"/>
    <n v="572400"/>
    <n v="0"/>
    <n v="572400"/>
    <n v="4006800"/>
    <n v="11503800"/>
    <m/>
    <s v="PENSIL WARNA JOYKO CP-24PB (PANJANG)SET21200"/>
  </r>
  <r>
    <x v="0"/>
    <s v=""/>
    <s v=""/>
    <m/>
    <m/>
    <m/>
    <m/>
    <s v=""/>
    <s v=" "/>
    <s v=""/>
    <n v="720"/>
    <s v="SET"/>
    <n v="5"/>
    <s v="OPJK12W"/>
    <s v="CRAYON / OIL PASTEL JOYKO OP-12S PP CASE SEA WORLD"/>
    <s v="CRAYON / OIL PASTEL JOYKO OP-12S PP CASE SEA WORLD"/>
    <n v="11900"/>
    <n v="0.125"/>
    <m/>
    <n v="7497000"/>
    <m/>
    <m/>
    <n v="47"/>
    <n v="2"/>
    <n v="8568000"/>
    <n v="1071000"/>
    <n v="0"/>
    <n v="1071000"/>
    <n v="7497000"/>
    <s v=""/>
    <m/>
    <s v="CRAYON / OIL PASTEL JOYKO OP-12S PP CASE SEA WORLDSET119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100016"/>
    <d v="2023-10-17T00:00:00"/>
    <n v="17"/>
    <s v="ko"/>
    <s v="4638"/>
    <s v="ANUGERAH"/>
    <s v="AM 23100016"/>
    <s v="KO 4638"/>
    <s v="CV PELITA JAYA (ANUGERAH SEJAHTERA) PURWOKERTO"/>
    <n v="40"/>
    <s v="LSN"/>
    <n v="2"/>
    <s v="CUTKENL500"/>
    <s v="CUTTER 18 MM KENKO L-500 (BESAR)"/>
    <s v="CUTTER 18 MM KENKO L-500 (BESAR)"/>
    <n v="147600"/>
    <n v="0.13500000000000001"/>
    <m/>
    <n v="5106960"/>
    <s v="NOVI / CONDRO"/>
    <m/>
    <n v="50"/>
    <n v="1"/>
    <n v="5904000"/>
    <n v="797040"/>
    <n v="0"/>
    <n v="797040"/>
    <n v="5106960"/>
    <n v="5106960"/>
    <m/>
    <s v="CUTTER 18 MM KENKO L-500 (BESAR)LSN1476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100017"/>
    <d v="2023-10-18T00:00:00"/>
    <n v="18"/>
    <s v="ko"/>
    <s v="4511"/>
    <s v="LANCAR"/>
    <s v="AM 23100017"/>
    <s v="KO 4511"/>
    <s v="CV LANCAR JAYA SENTOSA MALANG"/>
    <n v="1"/>
    <s v="LSN"/>
    <m/>
    <s v="PWJK12WPANJANG"/>
    <s v="PENSIL WARNA JOYKO CP-12PB (PANJANG)"/>
    <s v="PENSIL WARNA JOYKO CP-12PB (PANJANG)"/>
    <n v="127200"/>
    <n v="0.125"/>
    <m/>
    <n v="111300"/>
    <s v="NOVI / CONDRO"/>
    <m/>
    <n v="52"/>
    <n v="2"/>
    <n v="127200"/>
    <n v="15900"/>
    <n v="0"/>
    <n v="15900"/>
    <n v="111300"/>
    <n v="744450"/>
    <m/>
    <s v="PENSIL WARNA JOYKO CP-12PB (PANJANG)LSN127200"/>
  </r>
  <r>
    <x v="0"/>
    <s v=""/>
    <s v=""/>
    <m/>
    <m/>
    <m/>
    <m/>
    <s v=""/>
    <s v=" "/>
    <s v=""/>
    <n v="9"/>
    <s v="LSN"/>
    <m/>
    <s v="PWJK12WPENDEK"/>
    <s v="PENSIL WARNA JOYKO CP-S12 MINI (PENDEK)"/>
    <s v="PENSIL WARNA JOYKO CP-S12 MINI (PENDEK)"/>
    <n v="80400"/>
    <n v="0.125"/>
    <m/>
    <n v="633150"/>
    <m/>
    <m/>
    <n v="52"/>
    <n v="2"/>
    <n v="723600"/>
    <n v="90450"/>
    <n v="0"/>
    <n v="90450"/>
    <n v="633150"/>
    <s v=""/>
    <m/>
    <s v="PENSIL WARNA JOYKO CP-S12 MINI (PENDEK)LSN804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3" firstHeaderRow="1" firstDataRow="1" firstDataCol="1"/>
  <pivotFields count="32">
    <pivotField axis="axisRow" showAll="0" sortType="ascending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t="default"/>
      </items>
    </pivotField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formats count="1">
    <format dxfId="28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72" totalsRowCount="1" headerRowDxfId="97" dataDxfId="96" totalsRowDxfId="95">
  <autoFilter ref="A2:AF271"/>
  <tableColumns count="32">
    <tableColumn id="16" name="//" dataDxfId="94" totalsRowDxfId="93">
      <calculatedColumnFormula>IF(Table1[[#This Row],[No. Invoice :]]="","",ROW())</calculatedColumnFormula>
    </tableColumn>
    <tableColumn id="18" name="h_No. Invoice :" dataDxfId="92" totalsRowDxfId="91">
      <calculatedColumnFormula>IF(Table1[Column3]="","",B$1+COUNT(INDIRECT("B$2:B"&amp;ROW()-1)))</calculatedColumnFormula>
    </tableColumn>
    <tableColumn id="2" name="Tgl Invoice :" dataDxfId="90" totalsRowDxfId="89">
      <calculatedColumnFormula>IF(Table1[[#This Row],[Column2]]="","",Table1[[#This Row],[Column2]]+C$1-1)</calculatedColumnFormula>
    </tableColumn>
    <tableColumn id="32" name="Column2" dataDxfId="88" totalsRowDxfId="87"/>
    <tableColumn id="17" name="Column3" dataDxfId="86" totalsRowDxfId="85"/>
    <tableColumn id="19" name="Column4" dataDxfId="84" totalsRowDxfId="83"/>
    <tableColumn id="20" name="Column5" dataDxfId="82" totalsRowDxfId="81"/>
    <tableColumn id="1" name="No. Invoice :" dataDxfId="80" totalsRowDxfId="79">
      <calculatedColumnFormula>IF(Table1[[#This Row],[h_No. Invoice :]]="","",CONCATENATE("AM"," ",Table1[[#This Row],[h_No. Invoice :]]))</calculatedColumnFormula>
    </tableColumn>
    <tableColumn id="3" name="Kode Sales :" dataDxfId="78" totalsRowDxfId="77">
      <calculatedColumnFormula>CONCATENATE(UPPER(Table1[[#This Row],[Column3]])," ",Table1[[#This Row],[Column4]])</calculatedColumnFormula>
    </tableColumn>
    <tableColumn id="4" name="Toko" dataDxfId="76" totalsRowDxfId="75">
      <calculatedColumnFormula>IF(Table1[[#This Row],[Column5]]="","",INDEX(Table2[e],IF(Table1[[#This Row],[Column5]]="","",MATCH(Table1[[#This Row],[Column5]],Table2[a],0)),))</calculatedColumnFormula>
    </tableColumn>
    <tableColumn id="5" name="Qty" dataDxfId="74" totalsRowDxfId="73"/>
    <tableColumn id="6" name="Unit" dataDxfId="72" totalsRowDxfId="71"/>
    <tableColumn id="7" name="C" dataDxfId="70" totalsRowDxfId="69"/>
    <tableColumn id="8" name="h_Item Description" dataDxfId="68" totalsRowDxfId="67"/>
    <tableColumn id="10" name="Column1" dataDxfId="66" totalsRowDxfId="65">
      <calculatedColumnFormula>IF(Table1[[#This Row],[h_Item Description]]="","",INDEX([1]!db[NB PAJAK],MATCH(Table1[[#This Row],[h_Item Description]],[1]!db[kode],0)))</calculatedColumnFormula>
    </tableColumn>
    <tableColumn id="9" name="Item Description" dataDxfId="64" totalsRowDxfId="63"/>
    <tableColumn id="11" name="Unit Price" dataDxfId="62" totalsRowDxfId="61"/>
    <tableColumn id="12" name="Disc 1" dataDxfId="60" totalsRowDxfId="59"/>
    <tableColumn id="13" name="Disc 2" dataDxfId="58" totalsRowDxfId="57"/>
    <tableColumn id="23" name="Amount" dataDxfId="56" totalsRowDxfId="55">
      <calculatedColumnFormula>Table1[[#This Row],[h_hargasetelahdiskon]]</calculatedColumnFormula>
    </tableColumn>
    <tableColumn id="14" name="pembuat nota :" dataDxfId="54" totalsRowDxfId="53"/>
    <tableColumn id="15" name="edited :" dataDxfId="52" totalsRowDxfId="51"/>
    <tableColumn id="21" name="h_id" dataDxfId="50" totalsRowDxfId="4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48" totalsRowDxfId="47">
      <calculatedColumnFormula>IF(Table1[[#This Row],[h_id]]="","",COUNTIF(Table1[h_id],Table1[[#This Row],[h_id]]))</calculatedColumnFormula>
    </tableColumn>
    <tableColumn id="24" name="h_hargasebelumdiskon" dataDxfId="46" totalsRowDxfId="45">
      <calculatedColumnFormula>IF(Table1[Item Description]="","",Table1[[#This Row],[Qty]]*Table1[[#This Row],[Unit Price]])</calculatedColumnFormula>
    </tableColumn>
    <tableColumn id="31" name="h_disc 1" dataDxfId="44" totalsRowDxfId="43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42" totalsRowDxfId="41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40" totalsRowDxfId="39">
      <calculatedColumnFormula>IF(Table1[Item Description]="","",Table1[[#This Row],[h_disc 1]]+Table1[[#This Row],[h_disc 2]])</calculatedColumnFormula>
    </tableColumn>
    <tableColumn id="26" name="h_hargasetelahdiskon" dataDxfId="38" totalsRowDxfId="37">
      <calculatedColumnFormula>IF(Table1[Item Description]="","",Table1[[#This Row],[h_hargasebelumdiskon]]-Table1[[#This Row],[h_diskon]])</calculatedColumnFormula>
    </tableColumn>
    <tableColumn id="27" name="Total Invoice" dataDxfId="36" totalsRowDxfId="35">
      <calculatedColumnFormula>IF(Table1[//]="","",SUMIF(Table1[h_id],Table1[h_id],Table1[h_hargasetelahdiskon]))</calculatedColumnFormula>
    </tableColumn>
    <tableColumn id="28" name="KETERANGAN" dataDxfId="34" totalsRowDxfId="33"/>
    <tableColumn id="29" name="H_A1" dataDxfId="32" totalsRowDxfId="3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27">
  <autoFilter ref="D4:P57"/>
  <tableColumns count="13">
    <tableColumn id="1" name="//" totalsRowLabel="Total" dataDxfId="26">
      <calculatedColumnFormula>IF(ROW()-(COUNTBLANK($D$1:$D$3)+1)&lt;=jNota,A5,"")</calculatedColumnFormula>
    </tableColumn>
    <tableColumn id="2" name="No. Invoice :" dataDxfId="25">
      <calculatedColumnFormula>IF(pajak[[#This Row],[//]]="","",INDEX(Table1[No. Invoice :],pajak[//]-offset))</calculatedColumnFormula>
    </tableColumn>
    <tableColumn id="3" name="Tgl Invoice :" dataDxfId="24">
      <calculatedColumnFormula>IF(pajak[[#This Row],[//]]="","",INDEX(Table1[Tgl Invoice :],pajak[//]-offset))</calculatedColumnFormula>
    </tableColumn>
    <tableColumn id="4" name="Kode Sales :" dataDxfId="23">
      <calculatedColumnFormula>IF(pajak[[#This Row],[//]]="","",INDEX(Table1[Kode Sales :],pajak[//]-offset))</calculatedColumnFormula>
    </tableColumn>
    <tableColumn id="5" name="Toko" dataDxfId="22">
      <calculatedColumnFormula>IF(pajak[[#This Row],[//]]="","",INDEX(Table1[Toko],pajak[//]-offset))</calculatedColumnFormula>
    </tableColumn>
    <tableColumn id="6" name="Total" totalsRowFunction="sum" dataDxfId="21" totalsRowDxfId="20">
      <calculatedColumnFormula>IF(pajak[[#This Row],[//]]="","",SUMIF(Table1[h_id],pajak[[#This Row],[//]],Table1[h_hargasebelumdiskon]))</calculatedColumnFormula>
    </tableColumn>
    <tableColumn id="7" name="Diskon" totalsRowFunction="sum" dataDxfId="19" totalsRowDxfId="18">
      <calculatedColumnFormula>IF(pajak[[#This Row],[//]]="","",SUMIF(Table1[h_id],pajak[[#This Row],[//]],Table1[h_diskon]))</calculatedColumnFormula>
    </tableColumn>
    <tableColumn id="8" name="Sub Total" totalsRowFunction="sum" dataDxfId="17" totalsRowDxfId="16">
      <calculatedColumnFormula>IF(pajak[[#This Row],[//]]="","",SUMIF(Table1[h_id],pajak[[#This Row],[//]],Table1[h_hargasetelahdiskon]))</calculatedColumnFormula>
    </tableColumn>
    <tableColumn id="9" name="PPN 11%" totalsRowFunction="sum" dataDxfId="15" totalsRowDxfId="14">
      <calculatedColumnFormula>IF(pajak[//]="","",pajak[[#This Row],[Sub Total]]/1.11*11%)</calculatedColumnFormula>
    </tableColumn>
    <tableColumn id="10" name="Total Invoice" totalsRowFunction="sum" dataDxfId="13" totalsRowDxfId="12">
      <calculatedColumnFormula>pajak[[#This Row],[Sub Total]]</calculatedColumnFormula>
    </tableColumn>
    <tableColumn id="14" name="pembuat nota" dataDxfId="11">
      <calculatedColumnFormula>IF(pajak[[#This Row],[//]]="","",INDEX(Table1[pembuat nota :],pajak[//]-offset))</calculatedColumnFormula>
    </tableColumn>
    <tableColumn id="15" name="edited" dataDxfId="10">
      <calculatedColumnFormula>IF(pajak[[#This Row],[//]]="","",IF(INDEX(Table1[edited :],pajak[//]-offset)="","",INDEX(Table1[edited :],pajak[//]-offset)))</calculatedColumnFormula>
    </tableColumn>
    <tableColumn id="12" name="4" dataDxfId="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8">
  <autoFilter ref="R4:X57"/>
  <tableColumns count="7">
    <tableColumn id="8" name="AM" dataDxfId="7">
      <calculatedColumnFormula>Table4[[#Headers],[AM]]</calculatedColumnFormula>
    </tableColumn>
    <tableColumn id="2" name="---" dataDxfId="6">
      <calculatedColumnFormula>S$3+ROW()-5</calculatedColumnFormula>
    </tableColumn>
    <tableColumn id="7" name="No. Invoice :" dataDxfId="5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">
      <calculatedColumnFormula>IF((INDEX(INDIRECT($3:$3),Table4[[#This Row],[No. Invoice :]]+$2:$2))=INDIRECT("pajak[@["&amp;Table4[#Headers]&amp;"]]"),1)</calculatedColumnFormula>
    </tableColumn>
    <tableColumn id="6" name="Tgl Invoice :" dataDxfId="3">
      <calculatedColumnFormula>IF((INDEX(INDIRECT($3:$3),Table4[[#This Row],[No. Invoice :]]+$2:$2))=INDIRECT("pajak[@["&amp;Table4[#Headers]&amp;"]]"),1)</calculatedColumnFormula>
    </tableColumn>
    <tableColumn id="4" name="Total Invoice" dataDxfId="2">
      <calculatedColumnFormula>IF((INDEX(INDIRECT($3:$3),Table4[[#This Row],[No. Invoice :]]+$2:$2))=INDIRECT("pajak[@["&amp;Table4[#Headers]&amp;"]]"),1)</calculatedColumnFormula>
    </tableColumn>
    <tableColumn id="3" name="pembuat nota" dataDxfId="1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2" totalsRowShown="0">
  <autoFilter ref="A2:E22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0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72"/>
  <sheetViews>
    <sheetView topLeftCell="D16" zoomScale="85" zoomScaleNormal="85" workbookViewId="0">
      <selection activeCell="O39" sqref="O39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9.8554687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32" width="9.140625" style="280"/>
  </cols>
  <sheetData>
    <row r="1" spans="1:32" x14ac:dyDescent="0.25">
      <c r="A1" s="280" t="e">
        <f>cou</f>
        <v>#NAME?</v>
      </c>
      <c r="B1" s="280">
        <v>23100001</v>
      </c>
      <c r="C1" s="281">
        <v>45200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126</v>
      </c>
      <c r="E2" s="280" t="s">
        <v>127</v>
      </c>
      <c r="F2" s="282" t="s">
        <v>128</v>
      </c>
      <c r="G2" s="280" t="s">
        <v>129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80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37</v>
      </c>
      <c r="X2" s="280" t="s">
        <v>42</v>
      </c>
      <c r="Y2" s="283" t="s">
        <v>44</v>
      </c>
      <c r="Z2" s="283" t="s">
        <v>101</v>
      </c>
      <c r="AA2" s="283" t="s">
        <v>102</v>
      </c>
      <c r="AB2" s="283" t="s">
        <v>45</v>
      </c>
      <c r="AC2" s="283" t="s">
        <v>46</v>
      </c>
      <c r="AD2" s="280" t="s">
        <v>50</v>
      </c>
      <c r="AE2" s="280" t="s">
        <v>82</v>
      </c>
      <c r="AF2" s="280" t="s">
        <v>96</v>
      </c>
    </row>
    <row r="3" spans="1:32" x14ac:dyDescent="0.25">
      <c r="A3" s="287" t="str">
        <f ca="1">IF(Table1[[#This Row],[No. Invoice :]]="","",ROW())</f>
        <v/>
      </c>
      <c r="B3" s="287" t="str">
        <f ca="1">IF(Table1[Column3]="","",B$1+COUNT(INDIRECT("B$2:B"&amp;ROW()-1)))</f>
        <v/>
      </c>
      <c r="C3" s="281" t="str">
        <f>IF(Table1[[#This Row],[Column2]]="","",Table1[[#This Row],[Column2]]+C$1-1)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Row],[Column3]])," ",Table1[[#This Row],[Column4]])</f>
        <v xml:space="preserve"> </v>
      </c>
      <c r="J3" s="287" t="str">
        <f>IF(Table1[[#This Row],[Column5]]="","",INDEX(Table2[e],IF(Table1[[#This Row],[Column5]]="","",MATCH(Table1[[#This Row],[Column5]],Table2[a],0)),))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IF(Table1[Column3]="","",B$1+COUNT(INDIRECT("B$2:B"&amp;ROW()-1)))</f>
        <v>23100001</v>
      </c>
      <c r="C4" s="281">
        <f>IF(Table1[[#This Row],[Column2]]="","",Table1[[#This Row],[Column2]]+C$1-1)</f>
        <v>45204</v>
      </c>
      <c r="D4" s="280">
        <v>5</v>
      </c>
      <c r="E4" s="280" t="s">
        <v>132</v>
      </c>
      <c r="F4" s="282" t="s">
        <v>136</v>
      </c>
      <c r="G4" s="280" t="s">
        <v>137</v>
      </c>
      <c r="H4" s="287" t="str">
        <f ca="1">IF(Table1[[#This Row],[h_No. Invoice :]]="","",CONCATENATE("AM"," ",Table1[[#This Row],[h_No. Invoice :]]))</f>
        <v>AM 23100001</v>
      </c>
      <c r="I4" s="288" t="str">
        <f>CONCATENATE(UPPER(Table1[[#This Row],[Column3]])," ",Table1[[#This Row],[Column4]])</f>
        <v>KO 3977</v>
      </c>
      <c r="J4" s="287" t="str">
        <f>IF(Table1[[#This Row],[Column5]]="","",INDEX(Table2[e],IF(Table1[[#This Row],[Column5]]="","",MATCH(Table1[[#This Row],[Column5]],Table2[a],0)),))</f>
        <v>HARNOYO (BENDAN) PEKALONGAN</v>
      </c>
      <c r="K4" s="280">
        <v>50</v>
      </c>
      <c r="L4" s="280" t="s">
        <v>133</v>
      </c>
      <c r="M4" s="280">
        <v>1</v>
      </c>
      <c r="N4" s="280" t="s">
        <v>134</v>
      </c>
      <c r="O4" s="287" t="str">
        <f>IF(Table1[[#This Row],[h_Item Description]]="","",INDEX([1]!db[NB PAJAK],MATCH(Table1[[#This Row],[h_Item Description]],[1]!db[kode],0)))</f>
        <v>BINDER CLIP KENKO NO. 107</v>
      </c>
      <c r="P4" s="287" t="s">
        <v>135</v>
      </c>
      <c r="Q4" s="283">
        <v>31800</v>
      </c>
      <c r="R4" s="284">
        <v>0.14000000000000001</v>
      </c>
      <c r="T4" s="283">
        <f>Table1[[#This Row],[h_hargasetelahdiskon]]</f>
        <v>1367400</v>
      </c>
      <c r="U4" s="283" t="s">
        <v>131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2</v>
      </c>
      <c r="Y4" s="283">
        <f>IF(Table1[Item Description]="","",Table1[[#This Row],[Qty]]*Table1[[#This Row],[Unit Price]])</f>
        <v>1590000</v>
      </c>
      <c r="Z4" s="283">
        <f>IF(Table1[[#This Row],[h_hargasebelumdiskon]]="","",IF(Table1[[#This Row],[Disc 1]]="",0,Table1[[#This Row],[h_hargasebelumdiskon]]*Table1[[#This Row],[Disc 1]]))</f>
        <v>222600.00000000003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222600.00000000003</v>
      </c>
      <c r="AC4" s="283">
        <f>IF(Table1[Item Description]="","",Table1[[#This Row],[h_hargasebelumdiskon]]-Table1[[#This Row],[h_diskon]])</f>
        <v>1367400</v>
      </c>
      <c r="AD4" s="283">
        <f ca="1">IF(Table1[//]="","",SUMIF(Table1[h_id],Table1[h_id],Table1[h_hargasetelahdiskon]))</f>
        <v>1808400</v>
      </c>
      <c r="AE4" s="283"/>
      <c r="AF4" s="283" t="str">
        <f>Table1[[#This Row],[Item Description]]&amp;Table1[[#This Row],[Unit]]&amp;Table1[[#This Row],[Unit Price]]</f>
        <v>BINDER CLIP KENKO NO. 107GRS31800</v>
      </c>
    </row>
    <row r="5" spans="1:32" x14ac:dyDescent="0.25">
      <c r="A5" s="287" t="str">
        <f ca="1">IF(Table1[[#This Row],[No. Invoice :]]="","",ROW())</f>
        <v/>
      </c>
      <c r="B5" s="287" t="str">
        <f ca="1">IF(Table1[Column3]="","",B$1+COUNT(INDIRECT("B$2:B"&amp;ROW()-1)))</f>
        <v/>
      </c>
      <c r="C5" s="281" t="str">
        <f>IF(Table1[[#This Row],[Column2]]="","",Table1[[#This Row],[Column2]]+C$1-1)</f>
        <v/>
      </c>
      <c r="D5" s="280"/>
      <c r="E5" s="297"/>
      <c r="H5" s="287" t="str">
        <f ca="1">IF(Table1[[#This Row],[h_No. Invoice :]]="","",CONCATENATE("AM"," ",Table1[[#This Row],[h_No. Invoice :]]))</f>
        <v/>
      </c>
      <c r="I5" s="288" t="str">
        <f>CONCATENATE(UPPER(Table1[[#This Row],[Column3]])," ",Table1[[#This Row],[Column4]])</f>
        <v xml:space="preserve"> </v>
      </c>
      <c r="J5" s="287" t="str">
        <f>IF(Table1[[#This Row],[Column5]]="","",INDEX(Table2[e],IF(Table1[[#This Row],[Column5]]="","",MATCH(Table1[[#This Row],[Column5]],Table2[a],0)),))</f>
        <v/>
      </c>
      <c r="K5" s="280">
        <v>2</v>
      </c>
      <c r="L5" s="280" t="s">
        <v>130</v>
      </c>
      <c r="N5" s="280" t="s">
        <v>138</v>
      </c>
      <c r="O5" s="287" t="str">
        <f>IF(Table1[[#This Row],[h_Item Description]]="","",INDEX([1]!db[NB PAJAK],MATCH(Table1[[#This Row],[h_Item Description]],[1]!db[kode],0)))</f>
        <v>GARISAN BESI (STAINLESS STEEL) KENKO 60 CM</v>
      </c>
      <c r="P5" s="287" t="s">
        <v>139</v>
      </c>
      <c r="Q5" s="283">
        <v>252000</v>
      </c>
      <c r="R5" s="284">
        <v>0.125</v>
      </c>
      <c r="T5" s="283">
        <f>Table1[[#This Row],[h_hargasetelahdiskon]]</f>
        <v>441000</v>
      </c>
      <c r="W5" s="287">
        <f ca="1">IF(Table1[[#This Row],[Item Description]]="","",IF(Table1[[#This Row],[//]]="",INDIRECT(ADDRESS(ROW()-1,COLUMN())),Table1[[#This Row],[//]]))</f>
        <v>4</v>
      </c>
      <c r="X5" s="287">
        <f ca="1">IF(Table1[[#This Row],[h_id]]="","",COUNTIF(Table1[h_id],Table1[[#This Row],[h_id]]))</f>
        <v>2</v>
      </c>
      <c r="Y5" s="283">
        <f>IF(Table1[Item Description]="","",Table1[[#This Row],[Qty]]*Table1[[#This Row],[Unit Price]])</f>
        <v>504000</v>
      </c>
      <c r="Z5" s="283">
        <f>IF(Table1[[#This Row],[h_hargasebelumdiskon]]="","",IF(Table1[[#This Row],[Disc 1]]="",0,Table1[[#This Row],[h_hargasebelumdiskon]]*Table1[[#This Row],[Disc 1]]))</f>
        <v>63000</v>
      </c>
      <c r="AA5" s="283">
        <f>IF(Table1[[#This Row],[h_hargasebelumdiskon]]="","",IF(Table1[[#This Row],[Disc 2]]="",0,(Table1[[#This Row],[h_hargasebelumdiskon]]-Table1[[#This Row],[h_disc 1]])*Table1[[#This Row],[Disc 2]]))</f>
        <v>0</v>
      </c>
      <c r="AB5" s="283">
        <f>IF(Table1[Item Description]="","",Table1[[#This Row],[h_disc 1]]+Table1[[#This Row],[h_disc 2]])</f>
        <v>63000</v>
      </c>
      <c r="AC5" s="283">
        <f>IF(Table1[Item Description]="","",Table1[[#This Row],[h_hargasebelumdiskon]]-Table1[[#This Row],[h_diskon]])</f>
        <v>441000</v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>GARISAN BESI (STAINLESS STEEL) KENKO 60 CMLSN252000</v>
      </c>
    </row>
    <row r="6" spans="1:32" x14ac:dyDescent="0.25">
      <c r="A6" s="287">
        <f ca="1">IF(Table1[[#This Row],[No. Invoice :]]="","",ROW())</f>
        <v>6</v>
      </c>
      <c r="B6" s="287">
        <f ca="1">IF(Table1[Column3]="","",B$1+COUNT(INDIRECT("B$2:B"&amp;ROW()-1)))</f>
        <v>23100002</v>
      </c>
      <c r="C6" s="281" t="e">
        <f>IF(Table1[[#This Row],[Column2]]="","",Table1[[#This Row],[Column2]]+C$1-1)</f>
        <v>#VALUE!</v>
      </c>
      <c r="D6" s="292" t="s">
        <v>140</v>
      </c>
      <c r="E6" s="280" t="s">
        <v>140</v>
      </c>
      <c r="F6" s="282" t="s">
        <v>140</v>
      </c>
      <c r="G6" s="280" t="s">
        <v>140</v>
      </c>
      <c r="H6" s="287" t="str">
        <f ca="1">IF(Table1[[#This Row],[h_No. Invoice :]]="","",CONCATENATE("AM"," ",Table1[[#This Row],[h_No. Invoice :]]))</f>
        <v>AM 23100002</v>
      </c>
      <c r="I6" s="288" t="str">
        <f>CONCATENATE(UPPER(Table1[[#This Row],[Column3]])," ",Table1[[#This Row],[Column4]])</f>
        <v xml:space="preserve">   </v>
      </c>
      <c r="J6" s="287" t="e">
        <f>IF(Table1[[#This Row],[Column5]]="","",INDEX(Table2[e],IF(Table1[[#This Row],[Column5]]="","",MATCH(Table1[[#This Row],[Column5]],Table2[a],0)),))</f>
        <v>#N/A</v>
      </c>
      <c r="O6" s="287" t="str">
        <f>IF(Table1[[#This Row],[h_Item Description]]="","",INDEX([1]!db[NB PAJAK],MATCH(Table1[[#This Row],[h_Item Description]],[1]!db[kode],0)))</f>
        <v/>
      </c>
      <c r="Q6" s="283"/>
      <c r="R6" s="284"/>
      <c r="T6" s="283" t="str">
        <f>Table1[[#This Row],[h_hargasetelahdiskon]]</f>
        <v/>
      </c>
      <c r="W6" s="287" t="str">
        <f ca="1">IF(Table1[[#This Row],[Item Description]]="","",IF(Table1[[#This Row],[//]]="",INDIRECT(ADDRESS(ROW()-1,COLUMN())),Table1[[#This Row],[//]]))</f>
        <v/>
      </c>
      <c r="X6" s="287" t="str">
        <f ca="1">IF(Table1[[#This Row],[h_id]]="","",COUNTIF(Table1[h_id],Table1[[#This Row],[h_id]]))</f>
        <v/>
      </c>
      <c r="Y6" s="283" t="str">
        <f>IF(Table1[Item Description]="","",Table1[[#This Row],[Qty]]*Table1[[#This Row],[Unit Price]])</f>
        <v/>
      </c>
      <c r="Z6" s="283" t="str">
        <f>IF(Table1[[#This Row],[h_hargasebelumdiskon]]="","",IF(Table1[[#This Row],[Disc 1]]="",0,Table1[[#This Row],[h_hargasebelumdiskon]]*Table1[[#This Row],[Disc 1]]))</f>
        <v/>
      </c>
      <c r="AA6" s="283" t="str">
        <f>IF(Table1[[#This Row],[h_hargasebelumdiskon]]="","",IF(Table1[[#This Row],[Disc 2]]="",0,(Table1[[#This Row],[h_hargasebelumdiskon]]-Table1[[#This Row],[h_disc 1]])*Table1[[#This Row],[Disc 2]]))</f>
        <v/>
      </c>
      <c r="AB6" s="283" t="str">
        <f>IF(Table1[Item Description]="","",Table1[[#This Row],[h_disc 1]]+Table1[[#This Row],[h_disc 2]])</f>
        <v/>
      </c>
      <c r="AC6" s="283" t="str">
        <f>IF(Table1[Item Description]="","",Table1[[#This Row],[h_hargasebelumdiskon]]-Table1[[#This Row],[h_diskon]])</f>
        <v/>
      </c>
      <c r="AD6" s="283">
        <f ca="1">IF(Table1[//]="","",SUMIF(Table1[h_id],Table1[h_id],Table1[h_hargasetelahdiskon]))</f>
        <v>0</v>
      </c>
      <c r="AE6" s="283"/>
      <c r="AF6" s="283" t="str">
        <f>Table1[[#This Row],[Item Description]]&amp;Table1[[#This Row],[Unit]]&amp;Table1[[#This Row],[Unit Price]]</f>
        <v/>
      </c>
    </row>
    <row r="7" spans="1:32" x14ac:dyDescent="0.25">
      <c r="A7" s="287" t="str">
        <f ca="1">IF(Table1[[#This Row],[No. Invoice :]]="","",ROW())</f>
        <v/>
      </c>
      <c r="B7" s="287" t="str">
        <f ca="1">IF(Table1[Column3]="","",B$1+COUNT(INDIRECT("B$2:B"&amp;ROW()-1)))</f>
        <v/>
      </c>
      <c r="C7" s="281" t="str">
        <f>IF(Table1[[#This Row],[Column2]]="","",Table1[[#This Row],[Column2]]+C$1-1)</f>
        <v/>
      </c>
      <c r="H7" s="287" t="str">
        <f ca="1">IF(Table1[[#This Row],[h_No. Invoice :]]="","",CONCATENATE("AM"," ",Table1[[#This Row],[h_No. Invoice :]]))</f>
        <v/>
      </c>
      <c r="I7" s="288" t="str">
        <f>CONCATENATE(UPPER(Table1[[#This Row],[Column3]])," ",Table1[[#This Row],[Column4]])</f>
        <v xml:space="preserve"> </v>
      </c>
      <c r="J7" s="287" t="str">
        <f>IF(Table1[[#This Row],[Column5]]="","",INDEX(Table2[e],IF(Table1[[#This Row],[Column5]]="","",MATCH(Table1[[#This Row],[Column5]],Table2[a],0)),))</f>
        <v/>
      </c>
      <c r="O7" s="287" t="str">
        <f>IF(Table1[[#This Row],[h_Item Description]]="","",INDEX([1]!db[NB PAJAK],MATCH(Table1[[#This Row],[h_Item Description]],[1]!db[kode],0)))</f>
        <v/>
      </c>
      <c r="Q7" s="283"/>
      <c r="R7" s="284"/>
      <c r="T7" s="283" t="str">
        <f>Table1[[#This Row],[h_hargasetelahdiskon]]</f>
        <v/>
      </c>
      <c r="W7" s="287" t="str">
        <f ca="1">IF(Table1[[#This Row],[Item Description]]="","",IF(Table1[[#This Row],[//]]="",INDIRECT(ADDRESS(ROW()-1,COLUMN())),Table1[[#This Row],[//]]))</f>
        <v/>
      </c>
      <c r="X7" s="287" t="str">
        <f ca="1">IF(Table1[[#This Row],[h_id]]="","",COUNTIF(Table1[h_id],Table1[[#This Row],[h_id]]))</f>
        <v/>
      </c>
      <c r="Y7" s="283" t="str">
        <f>IF(Table1[Item Description]="","",Table1[[#This Row],[Qty]]*Table1[[#This Row],[Unit Price]])</f>
        <v/>
      </c>
      <c r="Z7" s="283" t="str">
        <f>IF(Table1[[#This Row],[h_hargasebelumdiskon]]="","",IF(Table1[[#This Row],[Disc 1]]="",0,Table1[[#This Row],[h_hargasebelumdiskon]]*Table1[[#This Row],[Disc 1]]))</f>
        <v/>
      </c>
      <c r="AA7" s="283" t="str">
        <f>IF(Table1[[#This Row],[h_hargasebelumdiskon]]="","",IF(Table1[[#This Row],[Disc 2]]="",0,(Table1[[#This Row],[h_hargasebelumdiskon]]-Table1[[#This Row],[h_disc 1]])*Table1[[#This Row],[Disc 2]]))</f>
        <v/>
      </c>
      <c r="AB7" s="283" t="str">
        <f>IF(Table1[Item Description]="","",Table1[[#This Row],[h_disc 1]]+Table1[[#This Row],[h_disc 2]])</f>
        <v/>
      </c>
      <c r="AC7" s="283" t="str">
        <f>IF(Table1[Item Description]="","",Table1[[#This Row],[h_hargasebelumdiskon]]-Table1[[#This Row],[h_diskon]])</f>
        <v/>
      </c>
      <c r="AD7" s="283" t="str">
        <f ca="1">IF(Table1[//]="","",SUMIF(Table1[h_id],Table1[h_id],Table1[h_hargasetelahdiskon]))</f>
        <v/>
      </c>
      <c r="AE7" s="283"/>
      <c r="AF7" s="283" t="str">
        <f>Table1[[#This Row],[Item Description]]&amp;Table1[[#This Row],[Unit]]&amp;Table1[[#This Row],[Unit Price]]</f>
        <v/>
      </c>
    </row>
    <row r="8" spans="1:32" x14ac:dyDescent="0.25">
      <c r="A8" s="287">
        <f ca="1">IF(Table1[[#This Row],[No. Invoice :]]="","",ROW())</f>
        <v>8</v>
      </c>
      <c r="B8" s="287">
        <f ca="1">IF(Table1[Column3]="","",B$1+COUNT(INDIRECT("B$2:B"&amp;ROW()-1)))</f>
        <v>23100003</v>
      </c>
      <c r="C8" s="281" t="e">
        <f>IF(Table1[[#This Row],[Column2]]="","",Table1[[#This Row],[Column2]]+C$1-1)</f>
        <v>#VALUE!</v>
      </c>
      <c r="D8" s="292" t="s">
        <v>100</v>
      </c>
      <c r="E8" s="280" t="s">
        <v>100</v>
      </c>
      <c r="F8" s="282" t="s">
        <v>100</v>
      </c>
      <c r="G8" s="280" t="s">
        <v>100</v>
      </c>
      <c r="H8" s="287" t="str">
        <f ca="1">IF(Table1[[#This Row],[h_No. Invoice :]]="","",CONCATENATE("AM"," ",Table1[[#This Row],[h_No. Invoice :]]))</f>
        <v>AM 23100003</v>
      </c>
      <c r="I8" s="288" t="str">
        <f>CONCATENATE(UPPER(Table1[[#This Row],[Column3]])," ",Table1[[#This Row],[Column4]])</f>
        <v>` `</v>
      </c>
      <c r="J8" s="287" t="e">
        <f>IF(Table1[[#This Row],[Column5]]="","",INDEX(Table2[e],IF(Table1[[#This Row],[Column5]]="","",MATCH(Table1[[#This Row],[Column5]],Table2[a],0)),))</f>
        <v>#N/A</v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>
        <f ca="1">IF(Table1[//]="","",SUMIF(Table1[h_id],Table1[h_id],Table1[h_hargasetelahdiskon]))</f>
        <v>0</v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 t="str">
        <f ca="1">IF(Table1[[#This Row],[No. Invoice :]]="","",ROW())</f>
        <v/>
      </c>
      <c r="B9" s="287" t="str">
        <f ca="1">IF(Table1[Column3]="","",B$1+COUNT(INDIRECT("B$2:B"&amp;ROW()-1)))</f>
        <v/>
      </c>
      <c r="C9" s="281" t="str">
        <f>IF(Table1[[#This Row],[Column2]]="","",Table1[[#This Row],[Column2]]+C$1-1)</f>
        <v/>
      </c>
      <c r="H9" s="287" t="str">
        <f ca="1">IF(Table1[[#This Row],[h_No. Invoice :]]="","",CONCATENATE("AM"," ",Table1[[#This Row],[h_No. Invoice :]]))</f>
        <v/>
      </c>
      <c r="I9" s="288" t="str">
        <f>CONCATENATE(UPPER(Table1[[#This Row],[Column3]])," ",Table1[[#This Row],[Column4]])</f>
        <v xml:space="preserve"> </v>
      </c>
      <c r="J9" s="287" t="str">
        <f>IF(Table1[[#This Row],[Column5]]="","",INDEX(Table2[e],IF(Table1[[#This Row],[Column5]]="","",MATCH(Table1[[#This Row],[Column5]],Table2[a],0)),))</f>
        <v/>
      </c>
      <c r="O9" s="287" t="str">
        <f>IF(Table1[[#This Row],[h_Item Description]]="","",INDEX([1]!db[NB PAJAK],MATCH(Table1[[#This Row],[h_Item Description]],[1]!db[kode],0)))</f>
        <v/>
      </c>
      <c r="Q9" s="283"/>
      <c r="R9" s="284"/>
      <c r="T9" s="283" t="str">
        <f>Table1[[#This Row],[h_hargasetelahdiskon]]</f>
        <v/>
      </c>
      <c r="W9" s="287" t="str">
        <f ca="1">IF(Table1[[#This Row],[Item Description]]="","",IF(Table1[[#This Row],[//]]="",INDIRECT(ADDRESS(ROW()-1,COLUMN())),Table1[[#This Row],[//]]))</f>
        <v/>
      </c>
      <c r="X9" s="287" t="str">
        <f ca="1">IF(Table1[[#This Row],[h_id]]="","",COUNTIF(Table1[h_id],Table1[[#This Row],[h_id]]))</f>
        <v/>
      </c>
      <c r="Y9" s="283" t="str">
        <f>IF(Table1[Item Description]="","",Table1[[#This Row],[Qty]]*Table1[[#This Row],[Unit Price]])</f>
        <v/>
      </c>
      <c r="Z9" s="283" t="str">
        <f>IF(Table1[[#This Row],[h_hargasebelumdiskon]]="","",IF(Table1[[#This Row],[Disc 1]]="",0,Table1[[#This Row],[h_hargasebelumdiskon]]*Table1[[#This Row],[Disc 1]]))</f>
        <v/>
      </c>
      <c r="AA9" s="283" t="str">
        <f>IF(Table1[[#This Row],[h_hargasebelumdiskon]]="","",IF(Table1[[#This Row],[Disc 2]]="",0,(Table1[[#This Row],[h_hargasebelumdiskon]]-Table1[[#This Row],[h_disc 1]])*Table1[[#This Row],[Disc 2]]))</f>
        <v/>
      </c>
      <c r="AB9" s="283" t="str">
        <f>IF(Table1[Item Description]="","",Table1[[#This Row],[h_disc 1]]+Table1[[#This Row],[h_disc 2]])</f>
        <v/>
      </c>
      <c r="AC9" s="283" t="str">
        <f>IF(Table1[Item Description]="","",Table1[[#This Row],[h_hargasebelumdiskon]]-Table1[[#This Row],[h_diskon]])</f>
        <v/>
      </c>
      <c r="AD9" s="283" t="str">
        <f ca="1">IF(Table1[//]="","",SUMIF(Table1[h_id],Table1[h_id],Table1[h_hargasetelahdiskon]))</f>
        <v/>
      </c>
      <c r="AE9" s="283"/>
      <c r="AF9" s="283" t="str">
        <f>Table1[[#This Row],[Item Description]]&amp;Table1[[#This Row],[Unit]]&amp;Table1[[#This Row],[Unit Price]]</f>
        <v/>
      </c>
    </row>
    <row r="10" spans="1:32" x14ac:dyDescent="0.25">
      <c r="A10" s="287">
        <f ca="1">IF(Table1[[#This Row],[No. Invoice :]]="","",ROW())</f>
        <v>10</v>
      </c>
      <c r="B10" s="287">
        <f ca="1">IF(Table1[Column3]="","",B$1+COUNT(INDIRECT("B$2:B"&amp;ROW()-1)))</f>
        <v>23100004</v>
      </c>
      <c r="C10" s="281" t="e">
        <f>IF(Table1[[#This Row],[Column2]]="","",Table1[[#This Row],[Column2]]+C$1-1)</f>
        <v>#VALUE!</v>
      </c>
      <c r="D10" s="292" t="s">
        <v>100</v>
      </c>
      <c r="E10" s="280" t="s">
        <v>100</v>
      </c>
      <c r="F10" s="282" t="s">
        <v>100</v>
      </c>
      <c r="G10" s="280" t="s">
        <v>100</v>
      </c>
      <c r="H10" s="287" t="str">
        <f ca="1">IF(Table1[[#This Row],[h_No. Invoice :]]="","",CONCATENATE("AM"," ",Table1[[#This Row],[h_No. Invoice :]]))</f>
        <v>AM 23100004</v>
      </c>
      <c r="I10" s="288" t="str">
        <f>CONCATENATE(UPPER(Table1[[#This Row],[Column3]])," ",Table1[[#This Row],[Column4]])</f>
        <v>` `</v>
      </c>
      <c r="J10" s="287" t="e">
        <f>IF(Table1[[#This Row],[Column5]]="","",INDEX(Table2[e],IF(Table1[[#This Row],[Column5]]="","",MATCH(Table1[[#This Row],[Column5]],Table2[a],0)),))</f>
        <v>#N/A</v>
      </c>
      <c r="O10" s="287" t="str">
        <f>IF(Table1[[#This Row],[h_Item Description]]="","",INDEX([1]!db[NB PAJAK],MATCH(Table1[[#This Row],[h_Item Description]],[1]!db[kode],0)))</f>
        <v/>
      </c>
      <c r="Q10" s="283"/>
      <c r="R10" s="284"/>
      <c r="T10" s="283" t="str">
        <f>Table1[[#This Row],[h_hargasetelahdiskon]]</f>
        <v/>
      </c>
      <c r="W10" s="287" t="str">
        <f ca="1">IF(Table1[[#This Row],[Item Description]]="","",IF(Table1[[#This Row],[//]]="",INDIRECT(ADDRESS(ROW()-1,COLUMN())),Table1[[#This Row],[//]]))</f>
        <v/>
      </c>
      <c r="X10" s="287" t="str">
        <f ca="1">IF(Table1[[#This Row],[h_id]]="","",COUNTIF(Table1[h_id],Table1[[#This Row],[h_id]]))</f>
        <v/>
      </c>
      <c r="Y10" s="283" t="str">
        <f>IF(Table1[Item Description]="","",Table1[[#This Row],[Qty]]*Table1[[#This Row],[Unit Price]])</f>
        <v/>
      </c>
      <c r="Z10" s="283" t="str">
        <f>IF(Table1[[#This Row],[h_hargasebelumdiskon]]="","",IF(Table1[[#This Row],[Disc 1]]="",0,Table1[[#This Row],[h_hargasebelumdiskon]]*Table1[[#This Row],[Disc 1]]))</f>
        <v/>
      </c>
      <c r="AA10" s="283" t="str">
        <f>IF(Table1[[#This Row],[h_hargasebelumdiskon]]="","",IF(Table1[[#This Row],[Disc 2]]="",0,(Table1[[#This Row],[h_hargasebelumdiskon]]-Table1[[#This Row],[h_disc 1]])*Table1[[#This Row],[Disc 2]]))</f>
        <v/>
      </c>
      <c r="AB10" s="283" t="str">
        <f>IF(Table1[Item Description]="","",Table1[[#This Row],[h_disc 1]]+Table1[[#This Row],[h_disc 2]])</f>
        <v/>
      </c>
      <c r="AC10" s="283" t="str">
        <f>IF(Table1[Item Description]="","",Table1[[#This Row],[h_hargasebelumdiskon]]-Table1[[#This Row],[h_diskon]])</f>
        <v/>
      </c>
      <c r="AD10" s="283">
        <f ca="1">IF(Table1[//]="","",SUMIF(Table1[h_id],Table1[h_id],Table1[h_hargasetelahdiskon]))</f>
        <v>0</v>
      </c>
      <c r="AE10" s="283"/>
      <c r="AF10" s="283" t="str">
        <f>Table1[[#This Row],[Item Description]]&amp;Table1[[#This Row],[Unit]]&amp;Table1[[#This Row],[Unit Price]]</f>
        <v/>
      </c>
    </row>
    <row r="11" spans="1:32" x14ac:dyDescent="0.25">
      <c r="A11" s="287" t="str">
        <f ca="1">IF(Table1[[#This Row],[No. Invoice :]]="","",ROW())</f>
        <v/>
      </c>
      <c r="B11" s="287" t="str">
        <f ca="1">IF(Table1[Column3]="","",B$1+COUNT(INDIRECT("B$2:B"&amp;ROW()-1)))</f>
        <v/>
      </c>
      <c r="C11" s="281" t="str">
        <f>IF(Table1[[#This Row],[Column2]]="","",Table1[[#This Row],[Column2]]+C$1-1)</f>
        <v/>
      </c>
      <c r="H11" s="287" t="str">
        <f ca="1">IF(Table1[[#This Row],[h_No. Invoice :]]="","",CONCATENATE("AM"," ",Table1[[#This Row],[h_No. Invoice :]]))</f>
        <v/>
      </c>
      <c r="I11" s="288" t="str">
        <f>CONCATENATE(UPPER(Table1[[#This Row],[Column3]])," ",Table1[[#This Row],[Column4]])</f>
        <v xml:space="preserve"> </v>
      </c>
      <c r="J11" s="287" t="str">
        <f>IF(Table1[[#This Row],[Column5]]="","",INDEX(Table2[e],IF(Table1[[#This Row],[Column5]]="","",MATCH(Table1[[#This Row],[Column5]],Table2[a],0)),))</f>
        <v/>
      </c>
      <c r="O11" s="287" t="str">
        <f>IF(Table1[[#This Row],[h_Item Description]]="","",INDEX([1]!db[NB PAJAK],MATCH(Table1[[#This Row],[h_Item Description]],[1]!db[kode],0)))</f>
        <v/>
      </c>
      <c r="Q11" s="283"/>
      <c r="R11" s="284"/>
      <c r="T11" s="283" t="str">
        <f>Table1[[#This Row],[h_hargasetelahdiskon]]</f>
        <v/>
      </c>
      <c r="W11" s="287" t="str">
        <f ca="1">IF(Table1[[#This Row],[Item Description]]="","",IF(Table1[[#This Row],[//]]="",INDIRECT(ADDRESS(ROW()-1,COLUMN())),Table1[[#This Row],[//]]))</f>
        <v/>
      </c>
      <c r="X11" s="287" t="str">
        <f ca="1">IF(Table1[[#This Row],[h_id]]="","",COUNTIF(Table1[h_id],Table1[[#This Row],[h_id]]))</f>
        <v/>
      </c>
      <c r="Y11" s="283" t="str">
        <f>IF(Table1[Item Description]="","",Table1[[#This Row],[Qty]]*Table1[[#This Row],[Unit Price]])</f>
        <v/>
      </c>
      <c r="Z11" s="283" t="str">
        <f>IF(Table1[[#This Row],[h_hargasebelumdiskon]]="","",IF(Table1[[#This Row],[Disc 1]]="",0,Table1[[#This Row],[h_hargasebelumdiskon]]*Table1[[#This Row],[Disc 1]]))</f>
        <v/>
      </c>
      <c r="AA11" s="283" t="str">
        <f>IF(Table1[[#This Row],[h_hargasebelumdiskon]]="","",IF(Table1[[#This Row],[Disc 2]]="",0,(Table1[[#This Row],[h_hargasebelumdiskon]]-Table1[[#This Row],[h_disc 1]])*Table1[[#This Row],[Disc 2]]))</f>
        <v/>
      </c>
      <c r="AB11" s="283" t="str">
        <f>IF(Table1[Item Description]="","",Table1[[#This Row],[h_disc 1]]+Table1[[#This Row],[h_disc 2]])</f>
        <v/>
      </c>
      <c r="AC11" s="283" t="str">
        <f>IF(Table1[Item Description]="","",Table1[[#This Row],[h_hargasebelumdiskon]]-Table1[[#This Row],[h_diskon]])</f>
        <v/>
      </c>
      <c r="AD11" s="283" t="str">
        <f ca="1">IF(Table1[//]="","",SUMIF(Table1[h_id],Table1[h_id],Table1[h_hargasetelahdiskon]))</f>
        <v/>
      </c>
      <c r="AE11" s="283"/>
      <c r="AF11" s="283" t="str">
        <f>Table1[[#This Row],[Item Description]]&amp;Table1[[#This Row],[Unit]]&amp;Table1[[#This Row],[Unit Price]]</f>
        <v/>
      </c>
    </row>
    <row r="12" spans="1:32" x14ac:dyDescent="0.25">
      <c r="A12" s="287">
        <f ca="1">IF(Table1[[#This Row],[No. Invoice :]]="","",ROW())</f>
        <v>12</v>
      </c>
      <c r="B12" s="287">
        <f ca="1">IF(Table1[Column3]="","",B$1+COUNT(INDIRECT("B$2:B"&amp;ROW()-1)))</f>
        <v>23100005</v>
      </c>
      <c r="C12" s="281" t="e">
        <f>IF(Table1[[#This Row],[Column2]]="","",Table1[[#This Row],[Column2]]+C$1-1)</f>
        <v>#VALUE!</v>
      </c>
      <c r="D12" s="292" t="s">
        <v>100</v>
      </c>
      <c r="E12" s="280" t="s">
        <v>100</v>
      </c>
      <c r="F12" s="282" t="s">
        <v>100</v>
      </c>
      <c r="G12" s="280" t="s">
        <v>100</v>
      </c>
      <c r="H12" s="287" t="str">
        <f ca="1">IF(Table1[[#This Row],[h_No. Invoice :]]="","",CONCATENATE("AM"," ",Table1[[#This Row],[h_No. Invoice :]]))</f>
        <v>AM 23100005</v>
      </c>
      <c r="I12" s="288" t="str">
        <f>CONCATENATE(UPPER(Table1[[#This Row],[Column3]])," ",Table1[[#This Row],[Column4]])</f>
        <v>` `</v>
      </c>
      <c r="J12" s="287" t="e">
        <f>IF(Table1[[#This Row],[Column5]]="","",INDEX(Table2[e],IF(Table1[[#This Row],[Column5]]="","",MATCH(Table1[[#This Row],[Column5]],Table2[a],0)),))</f>
        <v>#N/A</v>
      </c>
      <c r="O12" s="287" t="str">
        <f>IF(Table1[[#This Row],[h_Item Description]]="","",INDEX([1]!db[NB PAJAK],MATCH(Table1[[#This Row],[h_Item Description]],[1]!db[kode],0)))</f>
        <v/>
      </c>
      <c r="Q12" s="283"/>
      <c r="R12" s="284"/>
      <c r="T12" s="283" t="str">
        <f>Table1[[#This Row],[h_hargasetelahdiskon]]</f>
        <v/>
      </c>
      <c r="W12" s="287" t="str">
        <f ca="1">IF(Table1[[#This Row],[Item Description]]="","",IF(Table1[[#This Row],[//]]="",INDIRECT(ADDRESS(ROW()-1,COLUMN())),Table1[[#This Row],[//]]))</f>
        <v/>
      </c>
      <c r="X12" s="287" t="str">
        <f ca="1">IF(Table1[[#This Row],[h_id]]="","",COUNTIF(Table1[h_id],Table1[[#This Row],[h_id]]))</f>
        <v/>
      </c>
      <c r="Y12" s="283" t="str">
        <f>IF(Table1[Item Description]="","",Table1[[#This Row],[Qty]]*Table1[[#This Row],[Unit Price]])</f>
        <v/>
      </c>
      <c r="Z12" s="283" t="str">
        <f>IF(Table1[[#This Row],[h_hargasebelumdiskon]]="","",IF(Table1[[#This Row],[Disc 1]]="",0,Table1[[#This Row],[h_hargasebelumdiskon]]*Table1[[#This Row],[Disc 1]]))</f>
        <v/>
      </c>
      <c r="AA12" s="283" t="str">
        <f>IF(Table1[[#This Row],[h_hargasebelumdiskon]]="","",IF(Table1[[#This Row],[Disc 2]]="",0,(Table1[[#This Row],[h_hargasebelumdiskon]]-Table1[[#This Row],[h_disc 1]])*Table1[[#This Row],[Disc 2]]))</f>
        <v/>
      </c>
      <c r="AB12" s="283" t="str">
        <f>IF(Table1[Item Description]="","",Table1[[#This Row],[h_disc 1]]+Table1[[#This Row],[h_disc 2]])</f>
        <v/>
      </c>
      <c r="AC12" s="283" t="str">
        <f>IF(Table1[Item Description]="","",Table1[[#This Row],[h_hargasebelumdiskon]]-Table1[[#This Row],[h_diskon]])</f>
        <v/>
      </c>
      <c r="AD12" s="283">
        <f ca="1">IF(Table1[//]="","",SUMIF(Table1[h_id],Table1[h_id],Table1[h_hargasetelahdiskon]))</f>
        <v>0</v>
      </c>
      <c r="AE12" s="283"/>
      <c r="AF12" s="283" t="str">
        <f>Table1[[#This Row],[Item Description]]&amp;Table1[[#This Row],[Unit]]&amp;Table1[[#This Row],[Unit Price]]</f>
        <v/>
      </c>
    </row>
    <row r="13" spans="1:32" x14ac:dyDescent="0.25">
      <c r="A13" s="287" t="str">
        <f ca="1">IF(Table1[[#This Row],[No. Invoice :]]="","",ROW())</f>
        <v/>
      </c>
      <c r="B13" s="287" t="str">
        <f ca="1">IF(Table1[Column3]="","",B$1+COUNT(INDIRECT("B$2:B"&amp;ROW()-1)))</f>
        <v/>
      </c>
      <c r="C13" s="281" t="str">
        <f>IF(Table1[[#This Row],[Column2]]="","",Table1[[#This Row],[Column2]]+C$1-1)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Row],[Column3]])," ",Table1[[#This Row],[Column4]])</f>
        <v xml:space="preserve"> </v>
      </c>
      <c r="J13" s="287" t="str">
        <f>IF(Table1[[#This Row],[Column5]]="","",INDEX(Table2[e],IF(Table1[[#This Row],[Column5]]="","",MATCH(Table1[[#This Row],[Column5]],Table2[a],0)),))</f>
        <v/>
      </c>
      <c r="O13" s="287" t="str">
        <f>IF(Table1[[#This Row],[h_Item Description]]="","",INDEX([1]!db[NB PAJAK],MATCH(Table1[[#This Row],[h_Item Description]],[1]!db[kode],0)))</f>
        <v/>
      </c>
      <c r="Q13" s="283"/>
      <c r="R13" s="284"/>
      <c r="T13" s="283" t="str">
        <f>Table1[[#This Row],[h_hargasetelahdiskon]]</f>
        <v/>
      </c>
      <c r="W13" s="287" t="str">
        <f ca="1">IF(Table1[[#This Row],[Item Description]]="","",IF(Table1[[#This Row],[//]]="",INDIRECT(ADDRESS(ROW()-1,COLUMN())),Table1[[#This Row],[//]]))</f>
        <v/>
      </c>
      <c r="X13" s="287" t="str">
        <f ca="1">IF(Table1[[#This Row],[h_id]]="","",COUNTIF(Table1[h_id],Table1[[#This Row],[h_id]]))</f>
        <v/>
      </c>
      <c r="Y13" s="283" t="str">
        <f>IF(Table1[Item Description]="","",Table1[[#This Row],[Qty]]*Table1[[#This Row],[Unit Price]])</f>
        <v/>
      </c>
      <c r="Z13" s="283" t="str">
        <f>IF(Table1[[#This Row],[h_hargasebelumdiskon]]="","",IF(Table1[[#This Row],[Disc 1]]="",0,Table1[[#This Row],[h_hargasebelumdiskon]]*Table1[[#This Row],[Disc 1]]))</f>
        <v/>
      </c>
      <c r="AA13" s="283" t="str">
        <f>IF(Table1[[#This Row],[h_hargasebelumdiskon]]="","",IF(Table1[[#This Row],[Disc 2]]="",0,(Table1[[#This Row],[h_hargasebelumdiskon]]-Table1[[#This Row],[h_disc 1]])*Table1[[#This Row],[Disc 2]]))</f>
        <v/>
      </c>
      <c r="AB13" s="283" t="str">
        <f>IF(Table1[Item Description]="","",Table1[[#This Row],[h_disc 1]]+Table1[[#This Row],[h_disc 2]])</f>
        <v/>
      </c>
      <c r="AC13" s="283" t="str">
        <f>IF(Table1[Item Description]="","",Table1[[#This Row],[h_hargasebelumdiskon]]-Table1[[#This Row],[h_diskon]])</f>
        <v/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/>
      </c>
    </row>
    <row r="14" spans="1:32" x14ac:dyDescent="0.25">
      <c r="A14" s="287">
        <f ca="1">IF(Table1[[#This Row],[No. Invoice :]]="","",ROW())</f>
        <v>14</v>
      </c>
      <c r="B14" s="287">
        <f ca="1">IF(Table1[Column3]="","",B$1+COUNT(INDIRECT("B$2:B"&amp;ROW()-1)))</f>
        <v>23100006</v>
      </c>
      <c r="C14" s="281">
        <f>IF(Table1[[#This Row],[Column2]]="","",Table1[[#This Row],[Column2]]+C$1-1)</f>
        <v>45208</v>
      </c>
      <c r="D14" s="292">
        <v>9</v>
      </c>
      <c r="E14" s="280" t="s">
        <v>141</v>
      </c>
      <c r="F14" s="282" t="s">
        <v>142</v>
      </c>
      <c r="G14" s="280" t="s">
        <v>77</v>
      </c>
      <c r="H14" s="287" t="str">
        <f ca="1">IF(Table1[[#This Row],[h_No. Invoice :]]="","",CONCATENATE("AM"," ",Table1[[#This Row],[h_No. Invoice :]]))</f>
        <v>AM 23100006</v>
      </c>
      <c r="I14" s="288" t="str">
        <f>CONCATENATE(UPPER(Table1[[#This Row],[Column3]])," ",Table1[[#This Row],[Column4]])</f>
        <v>KO 3990</v>
      </c>
      <c r="J14" s="287" t="str">
        <f>IF(Table1[[#This Row],[Column5]]="","",INDEX(Table2[e],IF(Table1[[#This Row],[Column5]]="","",MATCH(Table1[[#This Row],[Column5]],Table2[a],0)),))</f>
        <v>CV GANESHA WONOSOBO</v>
      </c>
      <c r="K14" s="280">
        <v>2</v>
      </c>
      <c r="L14" s="280" t="s">
        <v>130</v>
      </c>
      <c r="N14" s="280" t="s">
        <v>143</v>
      </c>
      <c r="O14" s="287" t="str">
        <f>IF(Table1[[#This Row],[h_Item Description]]="","",INDEX([1]!db[NB PAJAK],MATCH(Table1[[#This Row],[h_Item Description]],[1]!db[kode],0)))</f>
        <v>CORRECTION TAPE KENKO CT-902 (12M x 5MM)</v>
      </c>
      <c r="P14" s="280" t="s">
        <v>144</v>
      </c>
      <c r="Q14" s="283">
        <v>60000</v>
      </c>
      <c r="R14" s="284">
        <v>0.1</v>
      </c>
      <c r="T14" s="283">
        <f>Table1[[#This Row],[h_hargasetelahdiskon]]</f>
        <v>108000</v>
      </c>
      <c r="U14" s="283" t="s">
        <v>131</v>
      </c>
      <c r="W14" s="287">
        <f ca="1">IF(Table1[[#This Row],[Item Description]]="","",IF(Table1[[#This Row],[//]]="",INDIRECT(ADDRESS(ROW()-1,COLUMN())),Table1[[#This Row],[//]]))</f>
        <v>14</v>
      </c>
      <c r="X14" s="287">
        <f ca="1">IF(Table1[[#This Row],[h_id]]="","",COUNTIF(Table1[h_id],Table1[[#This Row],[h_id]]))</f>
        <v>1</v>
      </c>
      <c r="Y14" s="283">
        <f>IF(Table1[Item Description]="","",Table1[[#This Row],[Qty]]*Table1[[#This Row],[Unit Price]])</f>
        <v>120000</v>
      </c>
      <c r="Z14" s="283">
        <f>IF(Table1[[#This Row],[h_hargasebelumdiskon]]="","",IF(Table1[[#This Row],[Disc 1]]="",0,Table1[[#This Row],[h_hargasebelumdiskon]]*Table1[[#This Row],[Disc 1]]))</f>
        <v>12000</v>
      </c>
      <c r="AA14" s="283">
        <f>IF(Table1[[#This Row],[h_hargasebelumdiskon]]="","",IF(Table1[[#This Row],[Disc 2]]="",0,(Table1[[#This Row],[h_hargasebelumdiskon]]-Table1[[#This Row],[h_disc 1]])*Table1[[#This Row],[Disc 2]]))</f>
        <v>0</v>
      </c>
      <c r="AB14" s="283">
        <f>IF(Table1[Item Description]="","",Table1[[#This Row],[h_disc 1]]+Table1[[#This Row],[h_disc 2]])</f>
        <v>12000</v>
      </c>
      <c r="AC14" s="283">
        <f>IF(Table1[Item Description]="","",Table1[[#This Row],[h_hargasebelumdiskon]]-Table1[[#This Row],[h_diskon]])</f>
        <v>108000</v>
      </c>
      <c r="AD14" s="283">
        <f ca="1">IF(Table1[//]="","",SUMIF(Table1[h_id],Table1[h_id],Table1[h_hargasetelahdiskon]))</f>
        <v>108000</v>
      </c>
      <c r="AE14" s="283"/>
      <c r="AF14" s="283" t="str">
        <f>Table1[[#This Row],[Item Description]]&amp;Table1[[#This Row],[Unit]]&amp;Table1[[#This Row],[Unit Price]]</f>
        <v>CORRECTION TAPE KENKO CT-902 (12M x 5MM)LSN60000</v>
      </c>
    </row>
    <row r="15" spans="1:32" x14ac:dyDescent="0.25">
      <c r="A15" s="287" t="str">
        <f ca="1">IF(Table1[[#This Row],[No. Invoice :]]="","",ROW())</f>
        <v/>
      </c>
      <c r="B15" s="287" t="str">
        <f ca="1">IF(Table1[Column3]="","",B$1+COUNT(INDIRECT("B$2:B"&amp;ROW()-1)))</f>
        <v/>
      </c>
      <c r="C15" s="281" t="str">
        <f>IF(Table1[[#This Row],[Column2]]="","",Table1[[#This Row],[Column2]]+C$1-1)</f>
        <v/>
      </c>
      <c r="H15" s="287" t="str">
        <f ca="1">IF(Table1[[#This Row],[h_No. Invoice :]]="","",CONCATENATE("AM"," ",Table1[[#This Row],[h_No. Invoice :]]))</f>
        <v/>
      </c>
      <c r="I15" s="288" t="str">
        <f>CONCATENATE(UPPER(Table1[[#This Row],[Column3]])," ",Table1[[#This Row],[Column4]])</f>
        <v xml:space="preserve"> </v>
      </c>
      <c r="J15" s="287" t="str">
        <f>IF(Table1[[#This Row],[Column5]]="","",INDEX(Table2[e],IF(Table1[[#This Row],[Column5]]="","",MATCH(Table1[[#This Row],[Column5]],Table2[a],0)),))</f>
        <v/>
      </c>
      <c r="O15" s="287" t="str">
        <f>IF(Table1[[#This Row],[h_Item Description]]="","",INDEX([1]!db[NB PAJAK],MATCH(Table1[[#This Row],[h_Item Description]],[1]!db[kode],0)))</f>
        <v/>
      </c>
      <c r="Q15" s="283"/>
      <c r="R15" s="284"/>
      <c r="T15" s="283" t="str">
        <f>Table1[[#This Row],[h_hargasetelahdiskon]]</f>
        <v/>
      </c>
      <c r="W15" s="287" t="str">
        <f ca="1">IF(Table1[[#This Row],[Item Description]]="","",IF(Table1[[#This Row],[//]]="",INDIRECT(ADDRESS(ROW()-1,COLUMN())),Table1[[#This Row],[//]]))</f>
        <v/>
      </c>
      <c r="X15" s="287" t="str">
        <f ca="1">IF(Table1[[#This Row],[h_id]]="","",COUNTIF(Table1[h_id],Table1[[#This Row],[h_id]]))</f>
        <v/>
      </c>
      <c r="Y15" s="283" t="str">
        <f>IF(Table1[Item Description]="","",Table1[[#This Row],[Qty]]*Table1[[#This Row],[Unit Price]])</f>
        <v/>
      </c>
      <c r="Z15" s="283" t="str">
        <f>IF(Table1[[#This Row],[h_hargasebelumdiskon]]="","",IF(Table1[[#This Row],[Disc 1]]="",0,Table1[[#This Row],[h_hargasebelumdiskon]]*Table1[[#This Row],[Disc 1]]))</f>
        <v/>
      </c>
      <c r="AA15" s="283" t="str">
        <f>IF(Table1[[#This Row],[h_hargasebelumdiskon]]="","",IF(Table1[[#This Row],[Disc 2]]="",0,(Table1[[#This Row],[h_hargasebelumdiskon]]-Table1[[#This Row],[h_disc 1]])*Table1[[#This Row],[Disc 2]]))</f>
        <v/>
      </c>
      <c r="AB15" s="283" t="str">
        <f>IF(Table1[Item Description]="","",Table1[[#This Row],[h_disc 1]]+Table1[[#This Row],[h_disc 2]])</f>
        <v/>
      </c>
      <c r="AC15" s="283" t="str">
        <f>IF(Table1[Item Description]="","",Table1[[#This Row],[h_hargasebelumdiskon]]-Table1[[#This Row],[h_diskon]])</f>
        <v/>
      </c>
      <c r="AD15" s="283" t="str">
        <f ca="1">IF(Table1[//]="","",SUMIF(Table1[h_id],Table1[h_id],Table1[h_hargasetelahdiskon]))</f>
        <v/>
      </c>
      <c r="AE15" s="283"/>
      <c r="AF15" s="283" t="str">
        <f>Table1[[#This Row],[Item Description]]&amp;Table1[[#This Row],[Unit]]&amp;Table1[[#This Row],[Unit Price]]</f>
        <v/>
      </c>
    </row>
    <row r="16" spans="1:32" x14ac:dyDescent="0.25">
      <c r="A16" s="287">
        <f ca="1">IF(Table1[[#This Row],[No. Invoice :]]="","",ROW())</f>
        <v>16</v>
      </c>
      <c r="B16" s="287">
        <f ca="1">IF(Table1[Column3]="","",B$1+COUNT(INDIRECT("B$2:B"&amp;ROW()-1)))</f>
        <v>23100007</v>
      </c>
      <c r="C16" s="281">
        <f>IF(Table1[[#This Row],[Column2]]="","",Table1[[#This Row],[Column2]]+C$1-1)</f>
        <v>45208</v>
      </c>
      <c r="D16" s="292">
        <v>9</v>
      </c>
      <c r="E16" s="280" t="s">
        <v>141</v>
      </c>
      <c r="F16" s="282" t="s">
        <v>145</v>
      </c>
      <c r="G16" s="280" t="s">
        <v>137</v>
      </c>
      <c r="H16" s="287" t="str">
        <f ca="1">IF(Table1[[#This Row],[h_No. Invoice :]]="","",CONCATENATE("AM"," ",Table1[[#This Row],[h_No. Invoice :]]))</f>
        <v>AM 23100007</v>
      </c>
      <c r="I16" s="288" t="str">
        <f>CONCATENATE(UPPER(Table1[[#This Row],[Column3]])," ",Table1[[#This Row],[Column4]])</f>
        <v>KO 3920</v>
      </c>
      <c r="J16" s="287" t="str">
        <f>IF(Table1[[#This Row],[Column5]]="","",INDEX(Table2[e],IF(Table1[[#This Row],[Column5]]="","",MATCH(Table1[[#This Row],[Column5]],Table2[a],0)),))</f>
        <v>HARNOYO (BENDAN) PEKALONGAN</v>
      </c>
      <c r="K16" s="280">
        <v>20</v>
      </c>
      <c r="L16" s="280" t="s">
        <v>133</v>
      </c>
      <c r="N16" s="280" t="s">
        <v>146</v>
      </c>
      <c r="O16" s="287" t="str">
        <f>IF(Table1[[#This Row],[h_Item Description]]="","",INDEX([1]!db[NB PAJAK],MATCH(Table1[[#This Row],[h_Item Description]],[1]!db[kode],0)))</f>
        <v>BINDER CLIP KENKO NO. 155</v>
      </c>
      <c r="P16" s="280" t="s">
        <v>147</v>
      </c>
      <c r="Q16" s="283">
        <v>69000</v>
      </c>
      <c r="R16" s="284">
        <v>0.14000000000000001</v>
      </c>
      <c r="T16" s="283">
        <f>Table1[[#This Row],[h_hargasetelahdiskon]]</f>
        <v>1186800</v>
      </c>
      <c r="U16" s="283" t="s">
        <v>131</v>
      </c>
      <c r="W16" s="287">
        <f ca="1">IF(Table1[[#This Row],[Item Description]]="","",IF(Table1[[#This Row],[//]]="",INDIRECT(ADDRESS(ROW()-1,COLUMN())),Table1[[#This Row],[//]]))</f>
        <v>16</v>
      </c>
      <c r="X16" s="287">
        <f ca="1">IF(Table1[[#This Row],[h_id]]="","",COUNTIF(Table1[h_id],Table1[[#This Row],[h_id]]))</f>
        <v>2</v>
      </c>
      <c r="Y16" s="283">
        <f>IF(Table1[Item Description]="","",Table1[[#This Row],[Qty]]*Table1[[#This Row],[Unit Price]])</f>
        <v>1380000</v>
      </c>
      <c r="Z16" s="283">
        <f>IF(Table1[[#This Row],[h_hargasebelumdiskon]]="","",IF(Table1[[#This Row],[Disc 1]]="",0,Table1[[#This Row],[h_hargasebelumdiskon]]*Table1[[#This Row],[Disc 1]]))</f>
        <v>193200.00000000003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193200.00000000003</v>
      </c>
      <c r="AC16" s="283">
        <f>IF(Table1[Item Description]="","",Table1[[#This Row],[h_hargasebelumdiskon]]-Table1[[#This Row],[h_diskon]])</f>
        <v>1186800</v>
      </c>
      <c r="AD16" s="283">
        <f ca="1">IF(Table1[//]="","",SUMIF(Table1[h_id],Table1[h_id],Table1[h_hargasetelahdiskon]))</f>
        <v>1563750</v>
      </c>
      <c r="AE16" s="283"/>
      <c r="AF16" s="283" t="str">
        <f>Table1[[#This Row],[Item Description]]&amp;Table1[[#This Row],[Unit]]&amp;Table1[[#This Row],[Unit Price]]</f>
        <v>BINDER CLIP KENKO NO. 155GRS69000</v>
      </c>
    </row>
    <row r="17" spans="1:32" x14ac:dyDescent="0.25">
      <c r="A17" s="287" t="str">
        <f ca="1">IF(Table1[[#This Row],[No. Invoice :]]="","",ROW())</f>
        <v/>
      </c>
      <c r="B17" s="287" t="str">
        <f ca="1">IF(Table1[Column3]="","",B$1+COUNT(INDIRECT("B$2:B"&amp;ROW()-1)))</f>
        <v/>
      </c>
      <c r="C17" s="281" t="str">
        <f>IF(Table1[[#This Row],[Column2]]="","",Table1[[#This Row],[Column2]]+C$1-1)</f>
        <v/>
      </c>
      <c r="H17" s="287" t="str">
        <f ca="1">IF(Table1[[#This Row],[h_No. Invoice :]]="","",CONCATENATE("AM"," ",Table1[[#This Row],[h_No. Invoice :]]))</f>
        <v/>
      </c>
      <c r="I17" s="288" t="str">
        <f>CONCATENATE(UPPER(Table1[[#This Row],[Column3]])," ",Table1[[#This Row],[Column4]])</f>
        <v xml:space="preserve"> </v>
      </c>
      <c r="J17" s="287" t="str">
        <f>IF(Table1[[#This Row],[Column5]]="","",INDEX(Table2[e],IF(Table1[[#This Row],[Column5]]="","",MATCH(Table1[[#This Row],[Column5]],Table2[a],0)),))</f>
        <v/>
      </c>
      <c r="K17" s="280">
        <v>2</v>
      </c>
      <c r="L17" s="280" t="s">
        <v>130</v>
      </c>
      <c r="N17" s="280" t="s">
        <v>148</v>
      </c>
      <c r="O17" s="287" t="str">
        <f>IF(Table1[[#This Row],[h_Item Description]]="","",INDEX([1]!db[NB PAJAK],MATCH(Table1[[#This Row],[h_Item Description]],[1]!db[kode],0)))</f>
        <v>GARISAN BESI (STAINLESS STEEL) KENKO 50 CM</v>
      </c>
      <c r="P17" s="280" t="s">
        <v>149</v>
      </c>
      <c r="Q17" s="283">
        <v>215400</v>
      </c>
      <c r="R17" s="284">
        <v>0.125</v>
      </c>
      <c r="T17" s="283">
        <f>Table1[[#This Row],[h_hargasetelahdiskon]]</f>
        <v>376950</v>
      </c>
      <c r="W17" s="287">
        <f ca="1">IF(Table1[[#This Row],[Item Description]]="","",IF(Table1[[#This Row],[//]]="",INDIRECT(ADDRESS(ROW()-1,COLUMN())),Table1[[#This Row],[//]]))</f>
        <v>16</v>
      </c>
      <c r="X17" s="287">
        <f ca="1">IF(Table1[[#This Row],[h_id]]="","",COUNTIF(Table1[h_id],Table1[[#This Row],[h_id]]))</f>
        <v>2</v>
      </c>
      <c r="Y17" s="283">
        <f>IF(Table1[Item Description]="","",Table1[[#This Row],[Qty]]*Table1[[#This Row],[Unit Price]])</f>
        <v>430800</v>
      </c>
      <c r="Z17" s="283">
        <f>IF(Table1[[#This Row],[h_hargasebelumdiskon]]="","",IF(Table1[[#This Row],[Disc 1]]="",0,Table1[[#This Row],[h_hargasebelumdiskon]]*Table1[[#This Row],[Disc 1]]))</f>
        <v>53850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53850</v>
      </c>
      <c r="AC17" s="283">
        <f>IF(Table1[Item Description]="","",Table1[[#This Row],[h_hargasebelumdiskon]]-Table1[[#This Row],[h_diskon]])</f>
        <v>376950</v>
      </c>
      <c r="AD17" s="283" t="str">
        <f ca="1">IF(Table1[//]="","",SUMIF(Table1[h_id],Table1[h_id],Table1[h_hargasetelahdiskon]))</f>
        <v/>
      </c>
      <c r="AE17" s="283"/>
      <c r="AF17" s="283" t="str">
        <f>Table1[[#This Row],[Item Description]]&amp;Table1[[#This Row],[Unit]]&amp;Table1[[#This Row],[Unit Price]]</f>
        <v>GARISAN BESI (STAINLESS STEEL) KENKO 50 CMLSN215400</v>
      </c>
    </row>
    <row r="18" spans="1:32" x14ac:dyDescent="0.25">
      <c r="A18" s="287" t="str">
        <f ca="1">IF(Table1[[#This Row],[No. Invoice :]]="","",ROW())</f>
        <v/>
      </c>
      <c r="B18" s="287" t="str">
        <f ca="1">IF(Table1[Column3]="","",B$1+COUNT(INDIRECT("B$2:B"&amp;ROW()-1)))</f>
        <v/>
      </c>
      <c r="C18" s="281" t="str">
        <f>IF(Table1[[#This Row],[Column2]]="","",Table1[[#This Row],[Column2]]+C$1-1)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Row],[Column3]])," ",Table1[[#This Row],[Column4]])</f>
        <v xml:space="preserve"> </v>
      </c>
      <c r="J18" s="287" t="str">
        <f>IF(Table1[[#This Row],[Column5]]="","",INDEX(Table2[e],IF(Table1[[#This Row],[Column5]]="","",MATCH(Table1[[#This Row],[Column5]],Table2[a],0)),))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32" x14ac:dyDescent="0.25">
      <c r="A19" s="287">
        <f ca="1">IF(Table1[[#This Row],[No. Invoice :]]="","",ROW())</f>
        <v>19</v>
      </c>
      <c r="B19" s="287">
        <f ca="1">IF(Table1[Column3]="","",B$1+COUNT(INDIRECT("B$2:B"&amp;ROW()-1)))</f>
        <v>23100008</v>
      </c>
      <c r="C19" s="281">
        <f>IF(Table1[[#This Row],[Column2]]="","",Table1[[#This Row],[Column2]]+C$1-1)</f>
        <v>45208</v>
      </c>
      <c r="D19" s="292">
        <v>9</v>
      </c>
      <c r="E19" s="280" t="s">
        <v>141</v>
      </c>
      <c r="F19" s="282" t="s">
        <v>150</v>
      </c>
      <c r="G19" s="280" t="s">
        <v>81</v>
      </c>
      <c r="H19" s="287" t="str">
        <f ca="1">IF(Table1[[#This Row],[h_No. Invoice :]]="","",CONCATENATE("AM"," ",Table1[[#This Row],[h_No. Invoice :]]))</f>
        <v>AM 23100008</v>
      </c>
      <c r="I19" s="288" t="str">
        <f>CONCATENATE(UPPER(Table1[[#This Row],[Column3]])," ",Table1[[#This Row],[Column4]])</f>
        <v>KO 3921</v>
      </c>
      <c r="J19" s="287" t="str">
        <f>IF(Table1[[#This Row],[Column5]]="","",INDEX(Table2[e],IF(Table1[[#This Row],[Column5]]="","",MATCH(Table1[[#This Row],[Column5]],Table2[a],0)),))</f>
        <v>CV PELITA JAYA (ANUGERAH SEJAHTERA) PURWOKERTO</v>
      </c>
      <c r="K19" s="280">
        <v>36</v>
      </c>
      <c r="L19" s="280" t="s">
        <v>151</v>
      </c>
      <c r="M19" s="280">
        <v>1</v>
      </c>
      <c r="N19" s="280" t="s">
        <v>152</v>
      </c>
      <c r="O19" s="287" t="str">
        <f>IF(Table1[[#This Row],[h_Item Description]]="","",INDEX([1]!db[NB PAJAK],MATCH(Table1[[#This Row],[h_Item Description]],[1]!db[kode],0)))</f>
        <v>LEM STICK KENKO 15 GR (TANGGUNG) isi 20 pc</v>
      </c>
      <c r="P19" s="280" t="s">
        <v>157</v>
      </c>
      <c r="Q19" s="283">
        <v>72000</v>
      </c>
      <c r="R19" s="284">
        <v>0.13500000000000001</v>
      </c>
      <c r="T19" s="283">
        <f>Table1[[#This Row],[h_hargasetelahdiskon]]</f>
        <v>2242080</v>
      </c>
      <c r="U19" s="283" t="s">
        <v>131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5</v>
      </c>
      <c r="Y19" s="283">
        <f>IF(Table1[Item Description]="","",Table1[[#This Row],[Qty]]*Table1[[#This Row],[Unit Price]])</f>
        <v>2592000</v>
      </c>
      <c r="Z19" s="283">
        <f>IF(Table1[[#This Row],[h_hargasebelumdiskon]]="","",IF(Table1[[#This Row],[Disc 1]]="",0,Table1[[#This Row],[h_hargasebelumdiskon]]*Table1[[#This Row],[Disc 1]]))</f>
        <v>349920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349920</v>
      </c>
      <c r="AC19" s="283">
        <f>IF(Table1[Item Description]="","",Table1[[#This Row],[h_hargasebelumdiskon]]-Table1[[#This Row],[h_diskon]])</f>
        <v>2242080</v>
      </c>
      <c r="AD19" s="283">
        <f ca="1">IF(Table1[//]="","",SUMIF(Table1[h_id],Table1[h_id],Table1[h_hargasetelahdiskon]))</f>
        <v>24251832</v>
      </c>
      <c r="AE19" s="283"/>
      <c r="AF19" s="283" t="str">
        <f>Table1[[#This Row],[Item Description]]&amp;Table1[[#This Row],[Unit]]&amp;Table1[[#This Row],[Unit Price]]</f>
        <v>LEM STICK KENKO 15 GR (TANGGUNG) isi 20 pcBOX72000</v>
      </c>
    </row>
    <row r="20" spans="1:32" x14ac:dyDescent="0.25">
      <c r="A20" s="287" t="str">
        <f ca="1">IF(Table1[[#This Row],[No. Invoice :]]="","",ROW())</f>
        <v/>
      </c>
      <c r="B20" s="287" t="str">
        <f ca="1">IF(Table1[Column3]="","",B$1+COUNT(INDIRECT("B$2:B"&amp;ROW()-1)))</f>
        <v/>
      </c>
      <c r="C20" s="281" t="str">
        <f>IF(Table1[[#This Row],[Column2]]="","",Table1[[#This Row],[Column2]]+C$1-1)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Row],[Column3]])," ",Table1[[#This Row],[Column4]])</f>
        <v xml:space="preserve"> </v>
      </c>
      <c r="J20" s="287" t="str">
        <f>IF(Table1[[#This Row],[Column5]]="","",INDEX(Table2[e],IF(Table1[[#This Row],[Column5]]="","",MATCH(Table1[[#This Row],[Column5]],Table2[a],0)),))</f>
        <v/>
      </c>
      <c r="K20" s="280">
        <v>36</v>
      </c>
      <c r="L20" s="280" t="s">
        <v>151</v>
      </c>
      <c r="M20" s="280">
        <v>1</v>
      </c>
      <c r="N20" s="280" t="s">
        <v>153</v>
      </c>
      <c r="O20" s="287" t="str">
        <f>IF(Table1[[#This Row],[h_Item Description]]="","",INDEX([1]!db[NB PAJAK],MATCH(Table1[[#This Row],[h_Item Description]],[1]!db[kode],0)))</f>
        <v>LEM STICK KENKO 8 GR (KECIL) isi 30 pc</v>
      </c>
      <c r="P20" s="280" t="s">
        <v>158</v>
      </c>
      <c r="Q20" s="283">
        <v>66000</v>
      </c>
      <c r="R20" s="284">
        <v>0.13500000000000001</v>
      </c>
      <c r="T20" s="283">
        <f>Table1[[#This Row],[h_hargasetelahdiskon]]</f>
        <v>2055240</v>
      </c>
      <c r="W20" s="287">
        <f ca="1">IF(Table1[[#This Row],[Item Description]]="","",IF(Table1[[#This Row],[//]]="",INDIRECT(ADDRESS(ROW()-1,COLUMN())),Table1[[#This Row],[//]]))</f>
        <v>19</v>
      </c>
      <c r="X20" s="287">
        <f ca="1">IF(Table1[[#This Row],[h_id]]="","",COUNTIF(Table1[h_id],Table1[[#This Row],[h_id]]))</f>
        <v>5</v>
      </c>
      <c r="Y20" s="283">
        <f>IF(Table1[Item Description]="","",Table1[[#This Row],[Qty]]*Table1[[#This Row],[Unit Price]])</f>
        <v>2376000</v>
      </c>
      <c r="Z20" s="283">
        <f>IF(Table1[[#This Row],[h_hargasebelumdiskon]]="","",IF(Table1[[#This Row],[Disc 1]]="",0,Table1[[#This Row],[h_hargasebelumdiskon]]*Table1[[#This Row],[Disc 1]]))</f>
        <v>320760</v>
      </c>
      <c r="AA20" s="283">
        <f>IF(Table1[[#This Row],[h_hargasebelumdiskon]]="","",IF(Table1[[#This Row],[Disc 2]]="",0,(Table1[[#This Row],[h_hargasebelumdiskon]]-Table1[[#This Row],[h_disc 1]])*Table1[[#This Row],[Disc 2]]))</f>
        <v>0</v>
      </c>
      <c r="AB20" s="283">
        <f>IF(Table1[Item Description]="","",Table1[[#This Row],[h_disc 1]]+Table1[[#This Row],[h_disc 2]])</f>
        <v>320760</v>
      </c>
      <c r="AC20" s="283">
        <f>IF(Table1[Item Description]="","",Table1[[#This Row],[h_hargasebelumdiskon]]-Table1[[#This Row],[h_diskon]])</f>
        <v>2055240</v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>LEM STICK KENKO 8 GR (KECIL) isi 30 pcBOX66000</v>
      </c>
    </row>
    <row r="21" spans="1:32" x14ac:dyDescent="0.25">
      <c r="A21" s="287" t="str">
        <f ca="1">IF(Table1[[#This Row],[No. Invoice :]]="","",ROW())</f>
        <v/>
      </c>
      <c r="B21" s="287" t="str">
        <f ca="1">IF(Table1[Column3]="","",B$1+COUNT(INDIRECT("B$2:B"&amp;ROW()-1)))</f>
        <v/>
      </c>
      <c r="C21" s="281" t="str">
        <f>IF(Table1[[#This Row],[Column2]]="","",Table1[[#This Row],[Column2]]+C$1-1)</f>
        <v/>
      </c>
      <c r="H21" s="287" t="str">
        <f ca="1">IF(Table1[[#This Row],[h_No. Invoice :]]="","",CONCATENATE("AM"," ",Table1[[#This Row],[h_No. Invoice :]]))</f>
        <v/>
      </c>
      <c r="I21" s="288" t="str">
        <f>CONCATENATE(UPPER(Table1[[#This Row],[Column3]])," ",Table1[[#This Row],[Column4]])</f>
        <v xml:space="preserve"> </v>
      </c>
      <c r="J21" s="287" t="str">
        <f>IF(Table1[[#This Row],[Column5]]="","",INDEX(Table2[e],IF(Table1[[#This Row],[Column5]]="","",MATCH(Table1[[#This Row],[Column5]],Table2[a],0)),))</f>
        <v/>
      </c>
      <c r="K21" s="280">
        <v>288</v>
      </c>
      <c r="L21" s="280" t="s">
        <v>130</v>
      </c>
      <c r="M21" s="280">
        <v>2</v>
      </c>
      <c r="N21" s="280" t="s">
        <v>156</v>
      </c>
      <c r="O21" s="287" t="str">
        <f>IF(Table1[[#This Row],[h_Item Description]]="","",INDEX([1]!db[NB PAJAK],MATCH(Table1[[#This Row],[h_Item Description]],[1]!db[kode],0)))</f>
        <v>GEL PEN KENKO EASY GEL HITAM</v>
      </c>
      <c r="P21" s="280" t="s">
        <v>159</v>
      </c>
      <c r="Q21" s="283">
        <v>26100</v>
      </c>
      <c r="R21" s="284">
        <v>0.13500000000000001</v>
      </c>
      <c r="T21" s="283">
        <f>Table1[[#This Row],[h_hargasetelahdiskon]]</f>
        <v>6502032</v>
      </c>
      <c r="W21" s="287">
        <f ca="1">IF(Table1[[#This Row],[Item Description]]="","",IF(Table1[[#This Row],[//]]="",INDIRECT(ADDRESS(ROW()-1,COLUMN())),Table1[[#This Row],[//]]))</f>
        <v>19</v>
      </c>
      <c r="X21" s="287">
        <f ca="1">IF(Table1[[#This Row],[h_id]]="","",COUNTIF(Table1[h_id],Table1[[#This Row],[h_id]]))</f>
        <v>5</v>
      </c>
      <c r="Y21" s="283">
        <f>IF(Table1[Item Description]="","",Table1[[#This Row],[Qty]]*Table1[[#This Row],[Unit Price]])</f>
        <v>7516800</v>
      </c>
      <c r="Z21" s="283">
        <f>IF(Table1[[#This Row],[h_hargasebelumdiskon]]="","",IF(Table1[[#This Row],[Disc 1]]="",0,Table1[[#This Row],[h_hargasebelumdiskon]]*Table1[[#This Row],[Disc 1]]))</f>
        <v>1014768.0000000001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1014768.0000000001</v>
      </c>
      <c r="AC21" s="283">
        <f>IF(Table1[Item Description]="","",Table1[[#This Row],[h_hargasebelumdiskon]]-Table1[[#This Row],[h_diskon]])</f>
        <v>6502032</v>
      </c>
      <c r="AD21" s="283" t="str">
        <f ca="1">IF(Table1[//]="","",SUMIF(Table1[h_id],Table1[h_id],Table1[h_hargasetelahdiskon]))</f>
        <v/>
      </c>
      <c r="AE21" s="283"/>
      <c r="AF21" s="283" t="str">
        <f>Table1[[#This Row],[Item Description]]&amp;Table1[[#This Row],[Unit]]&amp;Table1[[#This Row],[Unit Price]]</f>
        <v>GEL PEN KENKO EASY GEL HITAMLSN26100</v>
      </c>
    </row>
    <row r="22" spans="1:32" x14ac:dyDescent="0.25">
      <c r="A22" s="287" t="str">
        <f ca="1">IF(Table1[[#This Row],[No. Invoice :]]="","",ROW())</f>
        <v/>
      </c>
      <c r="B22" s="287" t="str">
        <f ca="1">IF(Table1[Column3]="","",B$1+COUNT(INDIRECT("B$2:B"&amp;ROW()-1)))</f>
        <v/>
      </c>
      <c r="C22" s="281" t="str">
        <f>IF(Table1[[#This Row],[Column2]]="","",Table1[[#This Row],[Column2]]+C$1-1)</f>
        <v/>
      </c>
      <c r="H22" s="287" t="str">
        <f ca="1">IF(Table1[[#This Row],[h_No. Invoice :]]="","",CONCATENATE("AM"," ",Table1[[#This Row],[h_No. Invoice :]]))</f>
        <v/>
      </c>
      <c r="I22" s="288" t="str">
        <f>CONCATENATE(UPPER(Table1[[#This Row],[Column3]])," ",Table1[[#This Row],[Column4]])</f>
        <v xml:space="preserve"> </v>
      </c>
      <c r="J22" s="287" t="str">
        <f>IF(Table1[[#This Row],[Column5]]="","",INDEX(Table2[e],IF(Table1[[#This Row],[Column5]]="","",MATCH(Table1[[#This Row],[Column5]],Table2[a],0)),))</f>
        <v/>
      </c>
      <c r="K22" s="280">
        <v>120</v>
      </c>
      <c r="L22" s="280" t="s">
        <v>130</v>
      </c>
      <c r="M22" s="280">
        <v>1</v>
      </c>
      <c r="N22" s="280" t="s">
        <v>154</v>
      </c>
      <c r="O22" s="287" t="str">
        <f>IF(Table1[[#This Row],[h_Item Description]]="","",INDEX([1]!db[NB PAJAK],MATCH(Table1[[#This Row],[h_Item Description]],[1]!db[kode],0)))</f>
        <v>ISI CUTTER 9 MM KENKO A-100 (KECIL)</v>
      </c>
      <c r="P22" s="280" t="s">
        <v>160</v>
      </c>
      <c r="Q22" s="283">
        <v>32400</v>
      </c>
      <c r="R22" s="284">
        <v>0.13500000000000001</v>
      </c>
      <c r="T22" s="283">
        <f>Table1[[#This Row],[h_hargasetelahdiskon]]</f>
        <v>3363120</v>
      </c>
      <c r="W22" s="287">
        <f ca="1">IF(Table1[[#This Row],[Item Description]]="","",IF(Table1[[#This Row],[//]]="",INDIRECT(ADDRESS(ROW()-1,COLUMN())),Table1[[#This Row],[//]]))</f>
        <v>19</v>
      </c>
      <c r="X22" s="287">
        <f ca="1">IF(Table1[[#This Row],[h_id]]="","",COUNTIF(Table1[h_id],Table1[[#This Row],[h_id]]))</f>
        <v>5</v>
      </c>
      <c r="Y22" s="283">
        <f>IF(Table1[Item Description]="","",Table1[[#This Row],[Qty]]*Table1[[#This Row],[Unit Price]])</f>
        <v>3888000</v>
      </c>
      <c r="Z22" s="283">
        <f>IF(Table1[[#This Row],[h_hargasebelumdiskon]]="","",IF(Table1[[#This Row],[Disc 1]]="",0,Table1[[#This Row],[h_hargasebelumdiskon]]*Table1[[#This Row],[Disc 1]]))</f>
        <v>524880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524880</v>
      </c>
      <c r="AC22" s="283">
        <f>IF(Table1[Item Description]="","",Table1[[#This Row],[h_hargasebelumdiskon]]-Table1[[#This Row],[h_diskon]])</f>
        <v>3363120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ISI CUTTER 9 MM KENKO A-100 (KECIL)LSN32400</v>
      </c>
    </row>
    <row r="23" spans="1:32" x14ac:dyDescent="0.25">
      <c r="A23" s="287" t="str">
        <f ca="1">IF(Table1[[#This Row],[No. Invoice :]]="","",ROW())</f>
        <v/>
      </c>
      <c r="B23" s="287" t="str">
        <f ca="1">IF(Table1[Column3]="","",B$1+COUNT(INDIRECT("B$2:B"&amp;ROW()-1)))</f>
        <v/>
      </c>
      <c r="C23" s="281" t="str">
        <f>IF(Table1[[#This Row],[Column2]]="","",Table1[[#This Row],[Column2]]+C$1-1)</f>
        <v/>
      </c>
      <c r="H23" s="287" t="str">
        <f ca="1">IF(Table1[[#This Row],[h_No. Invoice :]]="","",CONCATENATE("AM"," ",Table1[[#This Row],[h_No. Invoice :]]))</f>
        <v/>
      </c>
      <c r="I23" s="288" t="str">
        <f>CONCATENATE(UPPER(Table1[[#This Row],[Column3]])," ",Table1[[#This Row],[Column4]])</f>
        <v xml:space="preserve"> </v>
      </c>
      <c r="J23" s="287" t="str">
        <f>IF(Table1[[#This Row],[Column5]]="","",INDEX(Table2[e],IF(Table1[[#This Row],[Column5]]="","",MATCH(Table1[[#This Row],[Column5]],Table2[a],0)),))</f>
        <v/>
      </c>
      <c r="K23" s="280">
        <v>180</v>
      </c>
      <c r="L23" s="280" t="s">
        <v>130</v>
      </c>
      <c r="M23" s="280">
        <v>3</v>
      </c>
      <c r="N23" s="280" t="s">
        <v>155</v>
      </c>
      <c r="O23" s="287" t="str">
        <f>IF(Table1[[#This Row],[h_Item Description]]="","",INDEX([1]!db[NB PAJAK],MATCH(Table1[[#This Row],[h_Item Description]],[1]!db[kode],0)))</f>
        <v>ISI CUTTER 18 MM KENKO L-150 (BESAR)</v>
      </c>
      <c r="P23" s="280" t="s">
        <v>161</v>
      </c>
      <c r="Q23" s="283">
        <v>64800</v>
      </c>
      <c r="R23" s="284">
        <v>0.13500000000000001</v>
      </c>
      <c r="T23" s="283">
        <f>Table1[[#This Row],[h_hargasetelahdiskon]]</f>
        <v>10089360</v>
      </c>
      <c r="W23" s="287">
        <f ca="1">IF(Table1[[#This Row],[Item Description]]="","",IF(Table1[[#This Row],[//]]="",INDIRECT(ADDRESS(ROW()-1,COLUMN())),Table1[[#This Row],[//]]))</f>
        <v>19</v>
      </c>
      <c r="X23" s="287">
        <f ca="1">IF(Table1[[#This Row],[h_id]]="","",COUNTIF(Table1[h_id],Table1[[#This Row],[h_id]]))</f>
        <v>5</v>
      </c>
      <c r="Y23" s="283">
        <f>IF(Table1[Item Description]="","",Table1[[#This Row],[Qty]]*Table1[[#This Row],[Unit Price]])</f>
        <v>11664000</v>
      </c>
      <c r="Z23" s="283">
        <f>IF(Table1[[#This Row],[h_hargasebelumdiskon]]="","",IF(Table1[[#This Row],[Disc 1]]="",0,Table1[[#This Row],[h_hargasebelumdiskon]]*Table1[[#This Row],[Disc 1]]))</f>
        <v>1574640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1574640</v>
      </c>
      <c r="AC23" s="283">
        <f>IF(Table1[Item Description]="","",Table1[[#This Row],[h_hargasebelumdiskon]]-Table1[[#This Row],[h_diskon]])</f>
        <v>10089360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ISI CUTTER 18 MM KENKO L-150 (BESAR)LSN64800</v>
      </c>
    </row>
    <row r="24" spans="1:32" s="287" customFormat="1" x14ac:dyDescent="0.25">
      <c r="A24" s="287" t="str">
        <f ca="1">IF(Table1[[#This Row],[No. Invoice :]]="","",ROW())</f>
        <v/>
      </c>
      <c r="B24" s="287" t="str">
        <f ca="1">IF(Table1[Column3]="","",B$1+COUNT(INDIRECT("B$2:B"&amp;ROW()-1)))</f>
        <v/>
      </c>
      <c r="C24" s="281" t="str">
        <f>IF(Table1[[#This Row],[Column2]]="","",Table1[[#This Row],[Column2]]+C$1-1)</f>
        <v/>
      </c>
      <c r="D24" s="292"/>
      <c r="E24" s="280"/>
      <c r="F24" s="282"/>
      <c r="G24" s="280"/>
      <c r="H24" s="287" t="str">
        <f ca="1">IF(Table1[[#This Row],[h_No. Invoice :]]="","",CONCATENATE("AM"," ",Table1[[#This Row],[h_No. Invoice :]]))</f>
        <v/>
      </c>
      <c r="I24" s="288" t="str">
        <f>CONCATENATE(UPPER(Table1[[#This Row],[Column3]])," ",Table1[[#This Row],[Column4]])</f>
        <v xml:space="preserve"> </v>
      </c>
      <c r="J24" s="287" t="str">
        <f>IF(Table1[[#This Row],[Column5]]="","",INDEX(Table2[e],IF(Table1[[#This Row],[Column5]]="","",MATCH(Table1[[#This Row],[Column5]],Table2[a],0)),))</f>
        <v/>
      </c>
      <c r="K24" s="280"/>
      <c r="L24" s="280"/>
      <c r="M24" s="280"/>
      <c r="N24" s="280"/>
      <c r="O24" s="287" t="str">
        <f>IF(Table1[[#This Row],[h_Item Description]]="","",INDEX([1]!db[NB PAJAK],MATCH(Table1[[#This Row],[h_Item Description]],[1]!db[kode],0)))</f>
        <v/>
      </c>
      <c r="P24" s="280"/>
      <c r="Q24" s="283"/>
      <c r="R24" s="284"/>
      <c r="S24" s="284"/>
      <c r="T24" s="283" t="str">
        <f>Table1[[#This Row],[h_hargasetelahdiskon]]</f>
        <v/>
      </c>
      <c r="U24" s="283"/>
      <c r="V24" s="280"/>
      <c r="W24" s="287" t="str">
        <f ca="1">IF(Table1[[#This Row],[Item Description]]="","",IF(Table1[[#This Row],[//]]="",INDIRECT(ADDRESS(ROW()-1,COLUMN())),Table1[[#This Row],[//]]))</f>
        <v/>
      </c>
      <c r="X24" s="287" t="str">
        <f ca="1">IF(Table1[[#This Row],[h_id]]="","",COUNTIF(Table1[h_id],Table1[[#This Row],[h_id]]))</f>
        <v/>
      </c>
      <c r="Y24" s="283" t="str">
        <f>IF(Table1[Item Description]="","",Table1[[#This Row],[Qty]]*Table1[[#This Row],[Unit Price]])</f>
        <v/>
      </c>
      <c r="Z24" s="283" t="str">
        <f>IF(Table1[[#This Row],[h_hargasebelumdiskon]]="","",IF(Table1[[#This Row],[Disc 1]]="",0,Table1[[#This Row],[h_hargasebelumdiskon]]*Table1[[#This Row],[Disc 1]]))</f>
        <v/>
      </c>
      <c r="AA24" s="283" t="str">
        <f>IF(Table1[[#This Row],[h_hargasebelumdiskon]]="","",IF(Table1[[#This Row],[Disc 2]]="",0,(Table1[[#This Row],[h_hargasebelumdiskon]]-Table1[[#This Row],[h_disc 1]])*Table1[[#This Row],[Disc 2]]))</f>
        <v/>
      </c>
      <c r="AB24" s="283" t="str">
        <f>IF(Table1[Item Description]="","",Table1[[#This Row],[h_disc 1]]+Table1[[#This Row],[h_disc 2]])</f>
        <v/>
      </c>
      <c r="AC24" s="283" t="str">
        <f>IF(Table1[Item Description]="","",Table1[[#This Row],[h_hargasebelumdiskon]]-Table1[[#This Row],[h_diskon]])</f>
        <v/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/>
      </c>
    </row>
    <row r="25" spans="1:32" s="287" customFormat="1" ht="16.5" x14ac:dyDescent="0.25">
      <c r="A25" s="287">
        <f ca="1">IF(Table1[[#This Row],[No. Invoice :]]="","",ROW())</f>
        <v>25</v>
      </c>
      <c r="B25" s="287">
        <f ca="1">IF(Table1[Column3]="","",B$1+COUNT(INDIRECT("B$2:B"&amp;ROW()-1)))</f>
        <v>23100009</v>
      </c>
      <c r="C25" s="281">
        <f>IF(Table1[[#This Row],[Column2]]="","",Table1[[#This Row],[Column2]]+C$1-1)</f>
        <v>45210</v>
      </c>
      <c r="D25" s="292">
        <v>11</v>
      </c>
      <c r="E25" s="280" t="s">
        <v>162</v>
      </c>
      <c r="F25" s="282" t="s">
        <v>163</v>
      </c>
      <c r="G25" s="280" t="s">
        <v>90</v>
      </c>
      <c r="H25" s="287" t="str">
        <f ca="1">IF(Table1[[#This Row],[h_No. Invoice :]]="","",CONCATENATE("AM"," ",Table1[[#This Row],[h_No. Invoice :]]))</f>
        <v>AM 23100009</v>
      </c>
      <c r="I25" s="288" t="str">
        <f>CONCATENATE(UPPER(Table1[[#This Row],[Column3]])," ",Table1[[#This Row],[Column4]])</f>
        <v>G 4000</v>
      </c>
      <c r="J25" s="287" t="str">
        <f>IF(Table1[[#This Row],[Column5]]="","",INDEX(Table2[e],IF(Table1[[#This Row],[Column5]]="","",MATCH(Table1[[#This Row],[Column5]],Table2[a],0)),))</f>
        <v>LILY JULIAWATI (REJO AGUNG) JOMBANG</v>
      </c>
      <c r="K25" s="280">
        <v>288</v>
      </c>
      <c r="L25" s="280" t="s">
        <v>164</v>
      </c>
      <c r="M25" s="280">
        <v>1</v>
      </c>
      <c r="N25" s="280" t="s">
        <v>165</v>
      </c>
      <c r="O25" s="287" t="e">
        <f>IF(Table1[[#This Row],[h_Item Description]]="","",INDEX([1]!db[NB PAJAK],MATCH(Table1[[#This Row],[h_Item Description]],[1]!db[kode],0)))</f>
        <v>#N/A</v>
      </c>
      <c r="P25" s="290" t="s">
        <v>170</v>
      </c>
      <c r="Q25" s="283">
        <v>4800</v>
      </c>
      <c r="R25" s="284">
        <v>0.125</v>
      </c>
      <c r="S25" s="284"/>
      <c r="T25" s="283">
        <f>Table1[[#This Row],[h_hargasetelahdiskon]]</f>
        <v>1209600</v>
      </c>
      <c r="U25" s="283" t="s">
        <v>131</v>
      </c>
      <c r="V25" s="280"/>
      <c r="W25" s="287">
        <f ca="1">IF(Table1[[#This Row],[Item Description]]="","",IF(Table1[[#This Row],[//]]="",INDIRECT(ADDRESS(ROW()-1,COLUMN())),Table1[[#This Row],[//]]))</f>
        <v>25</v>
      </c>
      <c r="X25" s="287">
        <f ca="1">IF(Table1[[#This Row],[h_id]]="","",COUNTIF(Table1[h_id],Table1[[#This Row],[h_id]]))</f>
        <v>7</v>
      </c>
      <c r="Y25" s="283">
        <f>IF(Table1[Item Description]="","",Table1[[#This Row],[Qty]]*Table1[[#This Row],[Unit Price]])</f>
        <v>1382400</v>
      </c>
      <c r="Z25" s="283">
        <f>IF(Table1[[#This Row],[h_hargasebelumdiskon]]="","",IF(Table1[[#This Row],[Disc 1]]="",0,Table1[[#This Row],[h_hargasebelumdiskon]]*Table1[[#This Row],[Disc 1]]))</f>
        <v>172800</v>
      </c>
      <c r="AA25" s="283">
        <f>IF(Table1[[#This Row],[h_hargasebelumdiskon]]="","",IF(Table1[[#This Row],[Disc 2]]="",0,(Table1[[#This Row],[h_hargasebelumdiskon]]-Table1[[#This Row],[h_disc 1]])*Table1[[#This Row],[Disc 2]]))</f>
        <v>0</v>
      </c>
      <c r="AB25" s="283">
        <f>IF(Table1[Item Description]="","",Table1[[#This Row],[h_disc 1]]+Table1[[#This Row],[h_disc 2]])</f>
        <v>172800</v>
      </c>
      <c r="AC25" s="283">
        <f>IF(Table1[Item Description]="","",Table1[[#This Row],[h_hargasebelumdiskon]]-Table1[[#This Row],[h_diskon]])</f>
        <v>1209600</v>
      </c>
      <c r="AD25" s="283">
        <f ca="1">IF(Table1[//]="","",SUMIF(Table1[h_id],Table1[h_id],Table1[h_hargasetelahdiskon]))</f>
        <v>27896400</v>
      </c>
      <c r="AE25" s="283"/>
      <c r="AF25" s="283" t="str">
        <f>Table1[[#This Row],[Item Description]]&amp;Table1[[#This Row],[Unit]]&amp;Table1[[#This Row],[Unit Price]]</f>
        <v>PENCIL CASE JOYKO PC-0719AC-36A/F (Animal Calender)PCS4800</v>
      </c>
    </row>
    <row r="26" spans="1:32" x14ac:dyDescent="0.25">
      <c r="A26" s="287" t="str">
        <f ca="1">IF(Table1[[#This Row],[No. Invoice :]]="","",ROW())</f>
        <v/>
      </c>
      <c r="B26" s="287" t="str">
        <f ca="1">IF(Table1[Column3]="","",B$1+COUNT(INDIRECT("B$2:B"&amp;ROW()-1)))</f>
        <v/>
      </c>
      <c r="C26" s="281" t="str">
        <f>IF(Table1[[#This Row],[Column2]]="","",Table1[[#This Row],[Column2]]+C$1-1)</f>
        <v/>
      </c>
      <c r="H26" s="287" t="str">
        <f ca="1">IF(Table1[[#This Row],[h_No. Invoice :]]="","",CONCATENATE("AM"," ",Table1[[#This Row],[h_No. Invoice :]]))</f>
        <v/>
      </c>
      <c r="I26" s="288" t="str">
        <f>CONCATENATE(UPPER(Table1[[#This Row],[Column3]])," ",Table1[[#This Row],[Column4]])</f>
        <v xml:space="preserve"> </v>
      </c>
      <c r="J26" s="287" t="str">
        <f>IF(Table1[[#This Row],[Column5]]="","",INDEX(Table2[e],IF(Table1[[#This Row],[Column5]]="","",MATCH(Table1[[#This Row],[Column5]],Table2[a],0)),))</f>
        <v/>
      </c>
      <c r="K26" s="280">
        <v>288</v>
      </c>
      <c r="L26" s="280" t="s">
        <v>164</v>
      </c>
      <c r="M26" s="280">
        <v>1</v>
      </c>
      <c r="N26" s="280" t="s">
        <v>166</v>
      </c>
      <c r="O26" s="287" t="e">
        <f>IF(Table1[[#This Row],[h_Item Description]]="","",INDEX([1]!db[NB PAJAK],MATCH(Table1[[#This Row],[h_Item Description]],[1]!db[kode],0)))</f>
        <v>#N/A</v>
      </c>
      <c r="P26" s="280" t="s">
        <v>171</v>
      </c>
      <c r="Q26" s="283">
        <v>4800</v>
      </c>
      <c r="R26" s="284">
        <v>0.125</v>
      </c>
      <c r="T26" s="283">
        <f>Table1[[#This Row],[h_hargasetelahdiskon]]</f>
        <v>1209600</v>
      </c>
      <c r="W26" s="287">
        <f ca="1">IF(Table1[[#This Row],[Item Description]]="","",IF(Table1[[#This Row],[//]]="",INDIRECT(ADDRESS(ROW()-1,COLUMN())),Table1[[#This Row],[//]]))</f>
        <v>25</v>
      </c>
      <c r="X26" s="287">
        <f ca="1">IF(Table1[[#This Row],[h_id]]="","",COUNTIF(Table1[h_id],Table1[[#This Row],[h_id]]))</f>
        <v>7</v>
      </c>
      <c r="Y26" s="283">
        <f>IF(Table1[Item Description]="","",Table1[[#This Row],[Qty]]*Table1[[#This Row],[Unit Price]])</f>
        <v>1382400</v>
      </c>
      <c r="Z26" s="283">
        <f>IF(Table1[[#This Row],[h_hargasebelumdiskon]]="","",IF(Table1[[#This Row],[Disc 1]]="",0,Table1[[#This Row],[h_hargasebelumdiskon]]*Table1[[#This Row],[Disc 1]]))</f>
        <v>172800</v>
      </c>
      <c r="AA26" s="283">
        <f>IF(Table1[[#This Row],[h_hargasebelumdiskon]]="","",IF(Table1[[#This Row],[Disc 2]]="",0,(Table1[[#This Row],[h_hargasebelumdiskon]]-Table1[[#This Row],[h_disc 1]])*Table1[[#This Row],[Disc 2]]))</f>
        <v>0</v>
      </c>
      <c r="AB26" s="283">
        <f>IF(Table1[Item Description]="","",Table1[[#This Row],[h_disc 1]]+Table1[[#This Row],[h_disc 2]])</f>
        <v>172800</v>
      </c>
      <c r="AC26" s="283">
        <f>IF(Table1[Item Description]="","",Table1[[#This Row],[h_hargasebelumdiskon]]-Table1[[#This Row],[h_diskon]])</f>
        <v>1209600</v>
      </c>
      <c r="AD26" s="283" t="str">
        <f ca="1">IF(Table1[//]="","",SUMIF(Table1[h_id],Table1[h_id],Table1[h_hargasetelahdiskon]))</f>
        <v/>
      </c>
      <c r="AE26" s="283"/>
      <c r="AF26" s="283" t="str">
        <f>Table1[[#This Row],[Item Description]]&amp;Table1[[#This Row],[Unit]]&amp;Table1[[#This Row],[Unit Price]]</f>
        <v>PENCIL CASE JOYKO PC-0719TV-33A/F (TRAVEL)PCS4800</v>
      </c>
    </row>
    <row r="27" spans="1:32" x14ac:dyDescent="0.25">
      <c r="A27" s="287" t="str">
        <f ca="1">IF(Table1[[#This Row],[No. Invoice :]]="","",ROW())</f>
        <v/>
      </c>
      <c r="B27" s="287" t="str">
        <f ca="1">IF(Table1[Column3]="","",B$1+COUNT(INDIRECT("B$2:B"&amp;ROW()-1)))</f>
        <v/>
      </c>
      <c r="C27" s="281" t="str">
        <f>IF(Table1[[#This Row],[Column2]]="","",Table1[[#This Row],[Column2]]+C$1-1)</f>
        <v/>
      </c>
      <c r="H27" s="287" t="str">
        <f ca="1">IF(Table1[[#This Row],[h_No. Invoice :]]="","",CONCATENATE("AM"," ",Table1[[#This Row],[h_No. Invoice :]]))</f>
        <v/>
      </c>
      <c r="I27" s="288" t="str">
        <f>CONCATENATE(UPPER(Table1[[#This Row],[Column3]])," ",Table1[[#This Row],[Column4]])</f>
        <v xml:space="preserve"> </v>
      </c>
      <c r="J27" s="287" t="str">
        <f>IF(Table1[[#This Row],[Column5]]="","",INDEX(Table2[e],IF(Table1[[#This Row],[Column5]]="","",MATCH(Table1[[#This Row],[Column5]],Table2[a],0)),))</f>
        <v/>
      </c>
      <c r="K27" s="280">
        <v>576</v>
      </c>
      <c r="L27" s="280" t="s">
        <v>164</v>
      </c>
      <c r="M27" s="280">
        <v>2</v>
      </c>
      <c r="N27" s="280" t="s">
        <v>172</v>
      </c>
      <c r="O27" s="287" t="str">
        <f>IF(Table1[[#This Row],[h_Item Description]]="","",INDEX([1]!db[NB PAJAK],MATCH(Table1[[#This Row],[h_Item Description]],[1]!db[kode],0)))</f>
        <v>PAPER CLIP WARNA JOYKO C-3100</v>
      </c>
      <c r="P27" s="280" t="s">
        <v>176</v>
      </c>
      <c r="Q27" s="283">
        <v>3100</v>
      </c>
      <c r="R27" s="284">
        <v>0.125</v>
      </c>
      <c r="T27" s="283">
        <f>Table1[[#This Row],[h_hargasetelahdiskon]]</f>
        <v>1562400</v>
      </c>
      <c r="W27" s="287">
        <f ca="1">IF(Table1[[#This Row],[Item Description]]="","",IF(Table1[[#This Row],[//]]="",INDIRECT(ADDRESS(ROW()-1,COLUMN())),Table1[[#This Row],[//]]))</f>
        <v>25</v>
      </c>
      <c r="X27" s="287">
        <f ca="1">IF(Table1[[#This Row],[h_id]]="","",COUNTIF(Table1[h_id],Table1[[#This Row],[h_id]]))</f>
        <v>7</v>
      </c>
      <c r="Y27" s="283">
        <f>IF(Table1[Item Description]="","",Table1[[#This Row],[Qty]]*Table1[[#This Row],[Unit Price]])</f>
        <v>1785600</v>
      </c>
      <c r="Z27" s="283">
        <f>IF(Table1[[#This Row],[h_hargasebelumdiskon]]="","",IF(Table1[[#This Row],[Disc 1]]="",0,Table1[[#This Row],[h_hargasebelumdiskon]]*Table1[[#This Row],[Disc 1]]))</f>
        <v>223200</v>
      </c>
      <c r="AA27" s="283">
        <f>IF(Table1[[#This Row],[h_hargasebelumdiskon]]="","",IF(Table1[[#This Row],[Disc 2]]="",0,(Table1[[#This Row],[h_hargasebelumdiskon]]-Table1[[#This Row],[h_disc 1]])*Table1[[#This Row],[Disc 2]]))</f>
        <v>0</v>
      </c>
      <c r="AB27" s="283">
        <f>IF(Table1[Item Description]="","",Table1[[#This Row],[h_disc 1]]+Table1[[#This Row],[h_disc 2]])</f>
        <v>223200</v>
      </c>
      <c r="AC27" s="283">
        <f>IF(Table1[Item Description]="","",Table1[[#This Row],[h_hargasebelumdiskon]]-Table1[[#This Row],[h_diskon]])</f>
        <v>1562400</v>
      </c>
      <c r="AD27" s="283" t="str">
        <f ca="1">IF(Table1[//]="","",SUMIF(Table1[h_id],Table1[h_id],Table1[h_hargasetelahdiskon]))</f>
        <v/>
      </c>
      <c r="AE27" s="283"/>
      <c r="AF27" s="283" t="str">
        <f>Table1[[#This Row],[Item Description]]&amp;Table1[[#This Row],[Unit]]&amp;Table1[[#This Row],[Unit Price]]</f>
        <v>PAPER CLIP WARNA JOYKO C-3100PCS3100</v>
      </c>
    </row>
    <row r="28" spans="1:32" x14ac:dyDescent="0.25">
      <c r="A28" s="287" t="str">
        <f ca="1">IF(Table1[[#This Row],[No. Invoice :]]="","",ROW())</f>
        <v/>
      </c>
      <c r="B28" s="287" t="str">
        <f ca="1">IF(Table1[Column3]="","",B$1+COUNT(INDIRECT("B$2:B"&amp;ROW()-1)))</f>
        <v/>
      </c>
      <c r="C28" s="281" t="str">
        <f>IF(Table1[[#This Row],[Column2]]="","",Table1[[#This Row],[Column2]]+C$1-1)</f>
        <v/>
      </c>
      <c r="H28" s="287" t="str">
        <f ca="1">IF(Table1[[#This Row],[h_No. Invoice :]]="","",CONCATENATE("AM"," ",Table1[[#This Row],[h_No. Invoice :]]))</f>
        <v/>
      </c>
      <c r="I28" s="288" t="str">
        <f>CONCATENATE(UPPER(Table1[[#This Row],[Column3]])," ",Table1[[#This Row],[Column4]])</f>
        <v xml:space="preserve"> </v>
      </c>
      <c r="J28" s="287" t="str">
        <f>IF(Table1[[#This Row],[Column5]]="","",INDEX(Table2[e],IF(Table1[[#This Row],[Column5]]="","",MATCH(Table1[[#This Row],[Column5]],Table2[a],0)),))</f>
        <v/>
      </c>
      <c r="K28" s="280">
        <v>72</v>
      </c>
      <c r="L28" s="280" t="s">
        <v>164</v>
      </c>
      <c r="M28" s="280">
        <v>1</v>
      </c>
      <c r="N28" s="280" t="s">
        <v>167</v>
      </c>
      <c r="O28" s="287" t="e">
        <f>IF(Table1[[#This Row],[h_Item Description]]="","",INDEX([1]!db[NB PAJAK],MATCH(Table1[[#This Row],[h_Item Description]],[1]!db[kode],0)))</f>
        <v>#N/A</v>
      </c>
      <c r="P28" s="280" t="s">
        <v>173</v>
      </c>
      <c r="Q28" s="283">
        <v>15800</v>
      </c>
      <c r="R28" s="284">
        <v>0.125</v>
      </c>
      <c r="T28" s="283">
        <f>Table1[[#This Row],[h_hargasetelahdiskon]]</f>
        <v>995400</v>
      </c>
      <c r="W28" s="287">
        <f ca="1">IF(Table1[[#This Row],[Item Description]]="","",IF(Table1[[#This Row],[//]]="",INDIRECT(ADDRESS(ROW()-1,COLUMN())),Table1[[#This Row],[//]]))</f>
        <v>25</v>
      </c>
      <c r="X28" s="287">
        <f ca="1">IF(Table1[[#This Row],[h_id]]="","",COUNTIF(Table1[h_id],Table1[[#This Row],[h_id]]))</f>
        <v>7</v>
      </c>
      <c r="Y28" s="283">
        <f>IF(Table1[Item Description]="","",Table1[[#This Row],[Qty]]*Table1[[#This Row],[Unit Price]])</f>
        <v>1137600</v>
      </c>
      <c r="Z28" s="283">
        <f>IF(Table1[[#This Row],[h_hargasebelumdiskon]]="","",IF(Table1[[#This Row],[Disc 1]]="",0,Table1[[#This Row],[h_hargasebelumdiskon]]*Table1[[#This Row],[Disc 1]]))</f>
        <v>142200</v>
      </c>
      <c r="AA28" s="283">
        <f>IF(Table1[[#This Row],[h_hargasebelumdiskon]]="","",IF(Table1[[#This Row],[Disc 2]]="",0,(Table1[[#This Row],[h_hargasebelumdiskon]]-Table1[[#This Row],[h_disc 1]])*Table1[[#This Row],[Disc 2]]))</f>
        <v>0</v>
      </c>
      <c r="AB28" s="283">
        <f>IF(Table1[Item Description]="","",Table1[[#This Row],[h_disc 1]]+Table1[[#This Row],[h_disc 2]])</f>
        <v>142200</v>
      </c>
      <c r="AC28" s="283">
        <f>IF(Table1[Item Description]="","",Table1[[#This Row],[h_hargasebelumdiskon]]-Table1[[#This Row],[h_diskon]])</f>
        <v>995400</v>
      </c>
      <c r="AD28" s="283" t="str">
        <f ca="1">IF(Table1[//]="","",SUMIF(Table1[h_id],Table1[h_id],Table1[h_hargasetelahdiskon]))</f>
        <v/>
      </c>
      <c r="AE28" s="283"/>
      <c r="AF28" s="283" t="str">
        <f>Table1[[#This Row],[Item Description]]&amp;Table1[[#This Row],[Unit]]&amp;Table1[[#This Row],[Unit Price]]</f>
        <v>BINDER NOTE JOYKO A5-TSCL-M-401 (COLLEGE) - UPCS15800</v>
      </c>
    </row>
    <row r="29" spans="1:32" x14ac:dyDescent="0.25">
      <c r="A29" s="287" t="str">
        <f ca="1">IF(Table1[[#This Row],[No. Invoice :]]="","",ROW())</f>
        <v/>
      </c>
      <c r="B29" s="287" t="str">
        <f ca="1">IF(Table1[Column3]="","",B$1+COUNT(INDIRECT("B$2:B"&amp;ROW()-1)))</f>
        <v/>
      </c>
      <c r="C29" s="281" t="str">
        <f>IF(Table1[[#This Row],[Column2]]="","",Table1[[#This Row],[Column2]]+C$1-1)</f>
        <v/>
      </c>
      <c r="H29" s="287" t="str">
        <f ca="1">IF(Table1[[#This Row],[h_No. Invoice :]]="","",CONCATENATE("AM"," ",Table1[[#This Row],[h_No. Invoice :]]))</f>
        <v/>
      </c>
      <c r="I29" s="288" t="str">
        <f>CONCATENATE(UPPER(Table1[[#This Row],[Column3]])," ",Table1[[#This Row],[Column4]])</f>
        <v xml:space="preserve"> </v>
      </c>
      <c r="J29" s="287" t="str">
        <f>IF(Table1[[#This Row],[Column5]]="","",INDEX(Table2[e],IF(Table1[[#This Row],[Column5]]="","",MATCH(Table1[[#This Row],[Column5]],Table2[a],0)),))</f>
        <v/>
      </c>
      <c r="K29" s="280">
        <v>72</v>
      </c>
      <c r="L29" s="280" t="s">
        <v>164</v>
      </c>
      <c r="M29" s="280">
        <v>1</v>
      </c>
      <c r="N29" s="280" t="s">
        <v>168</v>
      </c>
      <c r="O29" s="287" t="e">
        <f>IF(Table1[[#This Row],[h_Item Description]]="","",INDEX([1]!db[NB PAJAK],MATCH(Table1[[#This Row],[h_Item Description]],[1]!db[kode],0)))</f>
        <v>#N/A</v>
      </c>
      <c r="P29" s="280" t="s">
        <v>174</v>
      </c>
      <c r="Q29" s="283">
        <v>15800</v>
      </c>
      <c r="R29" s="284">
        <v>0.125</v>
      </c>
      <c r="T29" s="283">
        <f>Table1[[#This Row],[h_hargasetelahdiskon]]</f>
        <v>995400</v>
      </c>
      <c r="W29" s="287">
        <f ca="1">IF(Table1[[#This Row],[Item Description]]="","",IF(Table1[[#This Row],[//]]="",INDIRECT(ADDRESS(ROW()-1,COLUMN())),Table1[[#This Row],[//]]))</f>
        <v>25</v>
      </c>
      <c r="X29" s="287">
        <f ca="1">IF(Table1[[#This Row],[h_id]]="","",COUNTIF(Table1[h_id],Table1[[#This Row],[h_id]]))</f>
        <v>7</v>
      </c>
      <c r="Y29" s="283">
        <f>IF(Table1[Item Description]="","",Table1[[#This Row],[Qty]]*Table1[[#This Row],[Unit Price]])</f>
        <v>1137600</v>
      </c>
      <c r="Z29" s="283">
        <f>IF(Table1[[#This Row],[h_hargasebelumdiskon]]="","",IF(Table1[[#This Row],[Disc 1]]="",0,Table1[[#This Row],[h_hargasebelumdiskon]]*Table1[[#This Row],[Disc 1]]))</f>
        <v>142200</v>
      </c>
      <c r="AA29" s="283">
        <f>IF(Table1[[#This Row],[h_hargasebelumdiskon]]="","",IF(Table1[[#This Row],[Disc 2]]="",0,(Table1[[#This Row],[h_hargasebelumdiskon]]-Table1[[#This Row],[h_disc 1]])*Table1[[#This Row],[Disc 2]]))</f>
        <v>0</v>
      </c>
      <c r="AB29" s="283">
        <f>IF(Table1[Item Description]="","",Table1[[#This Row],[h_disc 1]]+Table1[[#This Row],[h_disc 2]])</f>
        <v>142200</v>
      </c>
      <c r="AC29" s="283">
        <f>IF(Table1[Item Description]="","",Table1[[#This Row],[h_hargasebelumdiskon]]-Table1[[#This Row],[h_diskon]])</f>
        <v>995400</v>
      </c>
      <c r="AD29" s="283" t="str">
        <f ca="1">IF(Table1[//]="","",SUMIF(Table1[h_id],Table1[h_id],Table1[h_hargasetelahdiskon]))</f>
        <v/>
      </c>
      <c r="AE29" s="283"/>
      <c r="AF29" s="283" t="str">
        <f>Table1[[#This Row],[Item Description]]&amp;Table1[[#This Row],[Unit]]&amp;Table1[[#This Row],[Unit Price]]</f>
        <v>BINDER NOTE JOYKO A5-TSIM-M416 (IMAGE) - UPCS15800</v>
      </c>
    </row>
    <row r="30" spans="1:32" x14ac:dyDescent="0.25">
      <c r="A30" s="287" t="str">
        <f ca="1">IF(Table1[[#This Row],[No. Invoice :]]="","",ROW())</f>
        <v/>
      </c>
      <c r="B30" s="287" t="str">
        <f ca="1">IF(Table1[Column3]="","",B$1+COUNT(INDIRECT("B$2:B"&amp;ROW()-1)))</f>
        <v/>
      </c>
      <c r="C30" s="281" t="str">
        <f>IF(Table1[[#This Row],[Column2]]="","",Table1[[#This Row],[Column2]]+C$1-1)</f>
        <v/>
      </c>
      <c r="H30" s="287" t="str">
        <f ca="1">IF(Table1[[#This Row],[h_No. Invoice :]]="","",CONCATENATE("AM"," ",Table1[[#This Row],[h_No. Invoice :]]))</f>
        <v/>
      </c>
      <c r="I30" s="288" t="str">
        <f>CONCATENATE(UPPER(Table1[[#This Row],[Column3]])," ",Table1[[#This Row],[Column4]])</f>
        <v xml:space="preserve"> </v>
      </c>
      <c r="J30" s="287" t="str">
        <f>IF(Table1[[#This Row],[Column5]]="","",INDEX(Table2[e],IF(Table1[[#This Row],[Column5]]="","",MATCH(Table1[[#This Row],[Column5]],Table2[a],0)),))</f>
        <v/>
      </c>
      <c r="K30" s="280">
        <v>360</v>
      </c>
      <c r="L30" s="280" t="s">
        <v>151</v>
      </c>
      <c r="M30" s="280">
        <v>10</v>
      </c>
      <c r="N30" s="280" t="s">
        <v>169</v>
      </c>
      <c r="O30" s="287" t="str">
        <f>IF(Table1[[#This Row],[h_Item Description]]="","",INDEX([1]!db[NB PAJAK],MATCH(Table1[[#This Row],[h_Item Description]],[1]!db[kode],0)))</f>
        <v>LEM STICK JOYKO 15 GR GS-104 TG (ANIMAL KINGDOM) isi 24 pc</v>
      </c>
      <c r="P30" s="280" t="s">
        <v>175</v>
      </c>
      <c r="Q30" s="283">
        <v>58800</v>
      </c>
      <c r="R30" s="284">
        <v>0.125</v>
      </c>
      <c r="T30" s="283">
        <f>Table1[[#This Row],[h_hargasetelahdiskon]]</f>
        <v>18522000</v>
      </c>
      <c r="W30" s="287">
        <f ca="1">IF(Table1[[#This Row],[Item Description]]="","",IF(Table1[[#This Row],[//]]="",INDIRECT(ADDRESS(ROW()-1,COLUMN())),Table1[[#This Row],[//]]))</f>
        <v>25</v>
      </c>
      <c r="X30" s="287">
        <f ca="1">IF(Table1[[#This Row],[h_id]]="","",COUNTIF(Table1[h_id],Table1[[#This Row],[h_id]]))</f>
        <v>7</v>
      </c>
      <c r="Y30" s="283">
        <f>IF(Table1[Item Description]="","",Table1[[#This Row],[Qty]]*Table1[[#This Row],[Unit Price]])</f>
        <v>21168000</v>
      </c>
      <c r="Z30" s="283">
        <f>IF(Table1[[#This Row],[h_hargasebelumdiskon]]="","",IF(Table1[[#This Row],[Disc 1]]="",0,Table1[[#This Row],[h_hargasebelumdiskon]]*Table1[[#This Row],[Disc 1]]))</f>
        <v>2646000</v>
      </c>
      <c r="AA30" s="283">
        <f>IF(Table1[[#This Row],[h_hargasebelumdiskon]]="","",IF(Table1[[#This Row],[Disc 2]]="",0,(Table1[[#This Row],[h_hargasebelumdiskon]]-Table1[[#This Row],[h_disc 1]])*Table1[[#This Row],[Disc 2]]))</f>
        <v>0</v>
      </c>
      <c r="AB30" s="283">
        <f>IF(Table1[Item Description]="","",Table1[[#This Row],[h_disc 1]]+Table1[[#This Row],[h_disc 2]])</f>
        <v>2646000</v>
      </c>
      <c r="AC30" s="283">
        <f>IF(Table1[Item Description]="","",Table1[[#This Row],[h_hargasebelumdiskon]]-Table1[[#This Row],[h_diskon]])</f>
        <v>18522000</v>
      </c>
      <c r="AD30" s="283" t="str">
        <f ca="1">IF(Table1[//]="","",SUMIF(Table1[h_id],Table1[h_id],Table1[h_hargasetelahdiskon]))</f>
        <v/>
      </c>
      <c r="AE30" s="283"/>
      <c r="AF30" s="283" t="str">
        <f>Table1[[#This Row],[Item Description]]&amp;Table1[[#This Row],[Unit]]&amp;Table1[[#This Row],[Unit Price]]</f>
        <v>LEM STICK JOYKO 15 GR GS-104 TG (ANIMAL KINGDOM) isi 24 pcBOX58800</v>
      </c>
    </row>
    <row r="31" spans="1:32" x14ac:dyDescent="0.25">
      <c r="A31" s="287" t="str">
        <f ca="1">IF(Table1[[#This Row],[No. Invoice :]]="","",ROW())</f>
        <v/>
      </c>
      <c r="B31" s="287" t="str">
        <f ca="1">IF(Table1[Column3]="","",B$1+COUNT(INDIRECT("B$2:B"&amp;ROW()-1)))</f>
        <v/>
      </c>
      <c r="C31" s="281" t="str">
        <f>IF(Table1[[#This Row],[Column2]]="","",Table1[[#This Row],[Column2]]+C$1-1)</f>
        <v/>
      </c>
      <c r="H31" s="287" t="str">
        <f ca="1">IF(Table1[[#This Row],[h_No. Invoice :]]="","",CONCATENATE("AM"," ",Table1[[#This Row],[h_No. Invoice :]]))</f>
        <v/>
      </c>
      <c r="I31" s="288" t="str">
        <f>CONCATENATE(UPPER(Table1[[#This Row],[Column3]])," ",Table1[[#This Row],[Column4]])</f>
        <v xml:space="preserve"> </v>
      </c>
      <c r="J31" s="287" t="str">
        <f>IF(Table1[[#This Row],[Column5]]="","",INDEX(Table2[e],IF(Table1[[#This Row],[Column5]]="","",MATCH(Table1[[#This Row],[Column5]],Table2[a],0)),))</f>
        <v/>
      </c>
      <c r="K31" s="280">
        <v>120</v>
      </c>
      <c r="L31" s="280" t="s">
        <v>130</v>
      </c>
      <c r="M31" s="280">
        <v>1</v>
      </c>
      <c r="N31" s="280" t="s">
        <v>154</v>
      </c>
      <c r="O31" s="287" t="str">
        <f>IF(Table1[[#This Row],[h_Item Description]]="","",INDEX([1]!db[NB PAJAK],MATCH(Table1[[#This Row],[h_Item Description]],[1]!db[kode],0)))</f>
        <v>ISI CUTTER 9 MM KENKO A-100 (KECIL)</v>
      </c>
      <c r="P31" s="280" t="s">
        <v>160</v>
      </c>
      <c r="Q31" s="283">
        <v>32400</v>
      </c>
      <c r="R31" s="284">
        <v>0.125</v>
      </c>
      <c r="T31" s="283">
        <f>Table1[[#This Row],[h_hargasetelahdiskon]]</f>
        <v>3402000</v>
      </c>
      <c r="W31" s="287">
        <f ca="1">IF(Table1[[#This Row],[Item Description]]="","",IF(Table1[[#This Row],[//]]="",INDIRECT(ADDRESS(ROW()-1,COLUMN())),Table1[[#This Row],[//]]))</f>
        <v>25</v>
      </c>
      <c r="X31" s="287">
        <f ca="1">IF(Table1[[#This Row],[h_id]]="","",COUNTIF(Table1[h_id],Table1[[#This Row],[h_id]]))</f>
        <v>7</v>
      </c>
      <c r="Y31" s="283">
        <f>IF(Table1[Item Description]="","",Table1[[#This Row],[Qty]]*Table1[[#This Row],[Unit Price]])</f>
        <v>3888000</v>
      </c>
      <c r="Z31" s="283">
        <f>IF(Table1[[#This Row],[h_hargasebelumdiskon]]="","",IF(Table1[[#This Row],[Disc 1]]="",0,Table1[[#This Row],[h_hargasebelumdiskon]]*Table1[[#This Row],[Disc 1]]))</f>
        <v>486000</v>
      </c>
      <c r="AA31" s="283">
        <f>IF(Table1[[#This Row],[h_hargasebelumdiskon]]="","",IF(Table1[[#This Row],[Disc 2]]="",0,(Table1[[#This Row],[h_hargasebelumdiskon]]-Table1[[#This Row],[h_disc 1]])*Table1[[#This Row],[Disc 2]]))</f>
        <v>0</v>
      </c>
      <c r="AB31" s="283">
        <f>IF(Table1[Item Description]="","",Table1[[#This Row],[h_disc 1]]+Table1[[#This Row],[h_disc 2]])</f>
        <v>486000</v>
      </c>
      <c r="AC31" s="283">
        <f>IF(Table1[Item Description]="","",Table1[[#This Row],[h_hargasebelumdiskon]]-Table1[[#This Row],[h_diskon]])</f>
        <v>3402000</v>
      </c>
      <c r="AD31" s="283" t="str">
        <f ca="1">IF(Table1[//]="","",SUMIF(Table1[h_id],Table1[h_id],Table1[h_hargasetelahdiskon]))</f>
        <v/>
      </c>
      <c r="AE31" s="283"/>
      <c r="AF31" s="283" t="str">
        <f>Table1[[#This Row],[Item Description]]&amp;Table1[[#This Row],[Unit]]&amp;Table1[[#This Row],[Unit Price]]</f>
        <v>ISI CUTTER 9 MM KENKO A-100 (KECIL)LSN32400</v>
      </c>
    </row>
    <row r="32" spans="1:32" x14ac:dyDescent="0.25">
      <c r="A32" s="287" t="str">
        <f ca="1">IF(Table1[[#This Row],[No. Invoice :]]="","",ROW())</f>
        <v/>
      </c>
      <c r="B32" s="287" t="str">
        <f ca="1">IF(Table1[Column3]="","",B$1+COUNT(INDIRECT("B$2:B"&amp;ROW()-1)))</f>
        <v/>
      </c>
      <c r="C32" s="281" t="str">
        <f>IF(Table1[[#This Row],[Column2]]="","",Table1[[#This Row],[Column2]]+C$1-1)</f>
        <v/>
      </c>
      <c r="H32" s="287" t="str">
        <f ca="1">IF(Table1[[#This Row],[h_No. Invoice :]]="","",CONCATENATE("AM"," ",Table1[[#This Row],[h_No. Invoice :]]))</f>
        <v/>
      </c>
      <c r="I32" s="288" t="str">
        <f>CONCATENATE(UPPER(Table1[[#This Row],[Column3]])," ",Table1[[#This Row],[Column4]])</f>
        <v xml:space="preserve"> </v>
      </c>
      <c r="J32" s="287" t="str">
        <f>IF(Table1[[#This Row],[Column5]]="","",INDEX(Table2[e],IF(Table1[[#This Row],[Column5]]="","",MATCH(Table1[[#This Row],[Column5]],Table2[a],0)),))</f>
        <v/>
      </c>
      <c r="O32" s="287" t="str">
        <f>IF(Table1[[#This Row],[h_Item Description]]="","",INDEX([1]!db[NB PAJAK],MATCH(Table1[[#This Row],[h_Item Description]],[1]!db[kode],0)))</f>
        <v/>
      </c>
      <c r="Q32" s="283"/>
      <c r="R32" s="284"/>
      <c r="T32" s="283" t="str">
        <f>Table1[[#This Row],[h_hargasetelahdiskon]]</f>
        <v/>
      </c>
      <c r="W32" s="287" t="str">
        <f ca="1">IF(Table1[[#This Row],[Item Description]]="","",IF(Table1[[#This Row],[//]]="",INDIRECT(ADDRESS(ROW()-1,COLUMN())),Table1[[#This Row],[//]]))</f>
        <v/>
      </c>
      <c r="X32" s="287" t="str">
        <f ca="1">IF(Table1[[#This Row],[h_id]]="","",COUNTIF(Table1[h_id],Table1[[#This Row],[h_id]]))</f>
        <v/>
      </c>
      <c r="Y32" s="283" t="str">
        <f>IF(Table1[Item Description]="","",Table1[[#This Row],[Qty]]*Table1[[#This Row],[Unit Price]])</f>
        <v/>
      </c>
      <c r="Z32" s="283" t="str">
        <f>IF(Table1[[#This Row],[h_hargasebelumdiskon]]="","",IF(Table1[[#This Row],[Disc 1]]="",0,Table1[[#This Row],[h_hargasebelumdiskon]]*Table1[[#This Row],[Disc 1]]))</f>
        <v/>
      </c>
      <c r="AA32" s="283" t="str">
        <f>IF(Table1[[#This Row],[h_hargasebelumdiskon]]="","",IF(Table1[[#This Row],[Disc 2]]="",0,(Table1[[#This Row],[h_hargasebelumdiskon]]-Table1[[#This Row],[h_disc 1]])*Table1[[#This Row],[Disc 2]]))</f>
        <v/>
      </c>
      <c r="AB32" s="283" t="str">
        <f>IF(Table1[Item Description]="","",Table1[[#This Row],[h_disc 1]]+Table1[[#This Row],[h_disc 2]])</f>
        <v/>
      </c>
      <c r="AC32" s="283" t="str">
        <f>IF(Table1[Item Description]="","",Table1[[#This Row],[h_hargasebelumdiskon]]-Table1[[#This Row],[h_diskon]])</f>
        <v/>
      </c>
      <c r="AD32" s="283" t="str">
        <f ca="1">IF(Table1[//]="","",SUMIF(Table1[h_id],Table1[h_id],Table1[h_hargasetelahdiskon]))</f>
        <v/>
      </c>
      <c r="AE32" s="283"/>
      <c r="AF32" s="283" t="str">
        <f>Table1[[#This Row],[Item Description]]&amp;Table1[[#This Row],[Unit]]&amp;Table1[[#This Row],[Unit Price]]</f>
        <v/>
      </c>
    </row>
    <row r="33" spans="1:32" x14ac:dyDescent="0.25">
      <c r="A33" s="287">
        <f ca="1">IF(Table1[[#This Row],[No. Invoice :]]="","",ROW())</f>
        <v>33</v>
      </c>
      <c r="B33" s="287">
        <f ca="1">IF(Table1[Column3]="","",B$1+COUNT(INDIRECT("B$2:B"&amp;ROW()-1)))</f>
        <v>23100010</v>
      </c>
      <c r="C33" s="281">
        <f>IF(Table1[[#This Row],[Column2]]="","",Table1[[#This Row],[Column2]]+C$1-1)</f>
        <v>45213</v>
      </c>
      <c r="D33" s="292">
        <v>14</v>
      </c>
      <c r="E33" s="280" t="s">
        <v>141</v>
      </c>
      <c r="F33" s="282" t="s">
        <v>177</v>
      </c>
      <c r="G33" s="280" t="s">
        <v>137</v>
      </c>
      <c r="H33" s="287" t="str">
        <f ca="1">IF(Table1[[#This Row],[h_No. Invoice :]]="","",CONCATENATE("AM"," ",Table1[[#This Row],[h_No. Invoice :]]))</f>
        <v>AM 23100010</v>
      </c>
      <c r="I33" s="288" t="str">
        <f>CONCATENATE(UPPER(Table1[[#This Row],[Column3]])," ",Table1[[#This Row],[Column4]])</f>
        <v>KO 4612</v>
      </c>
      <c r="J33" s="287" t="str">
        <f>IF(Table1[[#This Row],[Column5]]="","",INDEX(Table2[e],IF(Table1[[#This Row],[Column5]]="","",MATCH(Table1[[#This Row],[Column5]],Table2[a],0)),))</f>
        <v>HARNOYO (BENDAN) PEKALONGAN</v>
      </c>
      <c r="K33" s="280">
        <v>24</v>
      </c>
      <c r="L33" s="280" t="s">
        <v>164</v>
      </c>
      <c r="M33" s="280">
        <v>1</v>
      </c>
      <c r="N33" s="280" t="s">
        <v>178</v>
      </c>
      <c r="O33" s="287" t="str">
        <f>IF(Table1[[#This Row],[h_Item Description]]="","",INDEX([1]!db[NB PAJAK],MATCH(Table1[[#This Row],[h_Item Description]],[1]!db[kode],0)))</f>
        <v>PUNCH KENKO NO. 85XL</v>
      </c>
      <c r="P33" s="280" t="s">
        <v>179</v>
      </c>
      <c r="Q33" s="283">
        <v>59000</v>
      </c>
      <c r="R33" s="284">
        <v>0.14000000000000001</v>
      </c>
      <c r="T33" s="283">
        <f>Table1[[#This Row],[h_hargasetelahdiskon]]</f>
        <v>1217760</v>
      </c>
      <c r="U33" s="283" t="s">
        <v>131</v>
      </c>
      <c r="W33" s="287">
        <f ca="1">IF(Table1[[#This Row],[Item Description]]="","",IF(Table1[[#This Row],[//]]="",INDIRECT(ADDRESS(ROW()-1,COLUMN())),Table1[[#This Row],[//]]))</f>
        <v>33</v>
      </c>
      <c r="X33" s="287">
        <f ca="1">IF(Table1[[#This Row],[h_id]]="","",COUNTIF(Table1[h_id],Table1[[#This Row],[h_id]]))</f>
        <v>1</v>
      </c>
      <c r="Y33" s="283">
        <f>IF(Table1[Item Description]="","",Table1[[#This Row],[Qty]]*Table1[[#This Row],[Unit Price]])</f>
        <v>1416000</v>
      </c>
      <c r="Z33" s="283">
        <f>IF(Table1[[#This Row],[h_hargasebelumdiskon]]="","",IF(Table1[[#This Row],[Disc 1]]="",0,Table1[[#This Row],[h_hargasebelumdiskon]]*Table1[[#This Row],[Disc 1]]))</f>
        <v>198240.00000000003</v>
      </c>
      <c r="AA33" s="283">
        <f>IF(Table1[[#This Row],[h_hargasebelumdiskon]]="","",IF(Table1[[#This Row],[Disc 2]]="",0,(Table1[[#This Row],[h_hargasebelumdiskon]]-Table1[[#This Row],[h_disc 1]])*Table1[[#This Row],[Disc 2]]))</f>
        <v>0</v>
      </c>
      <c r="AB33" s="283">
        <f>IF(Table1[Item Description]="","",Table1[[#This Row],[h_disc 1]]+Table1[[#This Row],[h_disc 2]])</f>
        <v>198240.00000000003</v>
      </c>
      <c r="AC33" s="283">
        <f>IF(Table1[Item Description]="","",Table1[[#This Row],[h_hargasebelumdiskon]]-Table1[[#This Row],[h_diskon]])</f>
        <v>1217760</v>
      </c>
      <c r="AD33" s="283">
        <f ca="1">IF(Table1[//]="","",SUMIF(Table1[h_id],Table1[h_id],Table1[h_hargasetelahdiskon]))</f>
        <v>1217760</v>
      </c>
      <c r="AE33" s="283"/>
      <c r="AF33" s="283" t="str">
        <f>Table1[[#This Row],[Item Description]]&amp;Table1[[#This Row],[Unit]]&amp;Table1[[#This Row],[Unit Price]]</f>
        <v>PUNCH KENKO NO. 85XLPCS59000</v>
      </c>
    </row>
    <row r="34" spans="1:32" x14ac:dyDescent="0.25">
      <c r="A34" s="287" t="str">
        <f ca="1">IF(Table1[[#This Row],[No. Invoice :]]="","",ROW())</f>
        <v/>
      </c>
      <c r="B34" s="287" t="str">
        <f ca="1">IF(Table1[Column3]="","",B$1+COUNT(INDIRECT("B$2:B"&amp;ROW()-1)))</f>
        <v/>
      </c>
      <c r="C34" s="281" t="str">
        <f>IF(Table1[[#This Row],[Column2]]="","",Table1[[#This Row],[Column2]]+C$1-1)</f>
        <v/>
      </c>
      <c r="H34" s="287" t="str">
        <f ca="1">IF(Table1[[#This Row],[h_No. Invoice :]]="","",CONCATENATE("AM"," ",Table1[[#This Row],[h_No. Invoice :]]))</f>
        <v/>
      </c>
      <c r="I34" s="288" t="str">
        <f>CONCATENATE(UPPER(Table1[[#This Row],[Column3]])," ",Table1[[#This Row],[Column4]])</f>
        <v xml:space="preserve"> </v>
      </c>
      <c r="J34" s="287" t="str">
        <f>IF(Table1[[#This Row],[Column5]]="","",INDEX(Table2[e],IF(Table1[[#This Row],[Column5]]="","",MATCH(Table1[[#This Row],[Column5]],Table2[a],0)),))</f>
        <v/>
      </c>
      <c r="O34" s="287" t="str">
        <f>IF(Table1[[#This Row],[h_Item Description]]="","",INDEX([1]!db[NB PAJAK],MATCH(Table1[[#This Row],[h_Item Description]],[1]!db[kode],0)))</f>
        <v/>
      </c>
      <c r="Q34" s="283"/>
      <c r="R34" s="284"/>
      <c r="T34" s="283" t="str">
        <f>Table1[[#This Row],[h_hargasetelahdiskon]]</f>
        <v/>
      </c>
      <c r="W34" s="287" t="str">
        <f ca="1">IF(Table1[[#This Row],[Item Description]]="","",IF(Table1[[#This Row],[//]]="",INDIRECT(ADDRESS(ROW()-1,COLUMN())),Table1[[#This Row],[//]]))</f>
        <v/>
      </c>
      <c r="X34" s="287" t="str">
        <f ca="1">IF(Table1[[#This Row],[h_id]]="","",COUNTIF(Table1[h_id],Table1[[#This Row],[h_id]]))</f>
        <v/>
      </c>
      <c r="Y34" s="283" t="str">
        <f>IF(Table1[Item Description]="","",Table1[[#This Row],[Qty]]*Table1[[#This Row],[Unit Price]])</f>
        <v/>
      </c>
      <c r="Z34" s="283" t="str">
        <f>IF(Table1[[#This Row],[h_hargasebelumdiskon]]="","",IF(Table1[[#This Row],[Disc 1]]="",0,Table1[[#This Row],[h_hargasebelumdiskon]]*Table1[[#This Row],[Disc 1]]))</f>
        <v/>
      </c>
      <c r="AA34" s="283" t="str">
        <f>IF(Table1[[#This Row],[h_hargasebelumdiskon]]="","",IF(Table1[[#This Row],[Disc 2]]="",0,(Table1[[#This Row],[h_hargasebelumdiskon]]-Table1[[#This Row],[h_disc 1]])*Table1[[#This Row],[Disc 2]]))</f>
        <v/>
      </c>
      <c r="AB34" s="283" t="str">
        <f>IF(Table1[Item Description]="","",Table1[[#This Row],[h_disc 1]]+Table1[[#This Row],[h_disc 2]])</f>
        <v/>
      </c>
      <c r="AC34" s="283" t="str">
        <f>IF(Table1[Item Description]="","",Table1[[#This Row],[h_hargasebelumdiskon]]-Table1[[#This Row],[h_diskon]])</f>
        <v/>
      </c>
      <c r="AD34" s="283" t="str">
        <f ca="1">IF(Table1[//]="","",SUMIF(Table1[h_id],Table1[h_id],Table1[h_hargasetelahdiskon]))</f>
        <v/>
      </c>
      <c r="AE34" s="283"/>
      <c r="AF34" s="283" t="str">
        <f>Table1[[#This Row],[Item Description]]&amp;Table1[[#This Row],[Unit]]&amp;Table1[[#This Row],[Unit Price]]</f>
        <v/>
      </c>
    </row>
    <row r="35" spans="1:32" x14ac:dyDescent="0.25">
      <c r="A35" s="287">
        <f ca="1">IF(Table1[[#This Row],[No. Invoice :]]="","",ROW())</f>
        <v>35</v>
      </c>
      <c r="B35" s="287">
        <f ca="1">IF(Table1[Column3]="","",B$1+COUNT(INDIRECT("B$2:B"&amp;ROW()-1)))</f>
        <v>23100011</v>
      </c>
      <c r="C35" s="281">
        <f>IF(Table1[[#This Row],[Column2]]="","",Table1[[#This Row],[Column2]]+C$1-1)</f>
        <v>45213</v>
      </c>
      <c r="D35" s="292">
        <v>14</v>
      </c>
      <c r="E35" s="280" t="s">
        <v>162</v>
      </c>
      <c r="F35" s="282" t="s">
        <v>182</v>
      </c>
      <c r="G35" s="280" t="s">
        <v>90</v>
      </c>
      <c r="H35" s="287" t="str">
        <f ca="1">IF(Table1[[#This Row],[h_No. Invoice :]]="","",CONCATENATE("AM"," ",Table1[[#This Row],[h_No. Invoice :]]))</f>
        <v>AM 23100011</v>
      </c>
      <c r="I35" s="288" t="str">
        <f>CONCATENATE(UPPER(Table1[[#This Row],[Column3]])," ",Table1[[#This Row],[Column4]])</f>
        <v>G 4615</v>
      </c>
      <c r="J35" s="287" t="str">
        <f>IF(Table1[[#This Row],[Column5]]="","",INDEX(Table2[e],IF(Table1[[#This Row],[Column5]]="","",MATCH(Table1[[#This Row],[Column5]],Table2[a],0)),))</f>
        <v>LILY JULIAWATI (REJO AGUNG) JOMBANG</v>
      </c>
      <c r="K35" s="280">
        <v>60</v>
      </c>
      <c r="L35" s="280" t="s">
        <v>130</v>
      </c>
      <c r="M35" s="280">
        <v>3</v>
      </c>
      <c r="N35" s="280" t="s">
        <v>180</v>
      </c>
      <c r="O35" s="287" t="str">
        <f>IF(Table1[[#This Row],[h_Item Description]]="","",INDEX([1]!db[NB PAJAK],MATCH(Table1[[#This Row],[h_Item Description]],[1]!db[kode],0)))</f>
        <v>CUTTER 18 MM KENKO L-500 (BESAR)</v>
      </c>
      <c r="P35" s="280" t="s">
        <v>181</v>
      </c>
      <c r="Q35" s="283">
        <v>147600</v>
      </c>
      <c r="R35" s="284">
        <v>0.125</v>
      </c>
      <c r="T35" s="283">
        <f>Table1[[#This Row],[h_hargasetelahdiskon]]</f>
        <v>7749000</v>
      </c>
      <c r="U35" s="283" t="s">
        <v>131</v>
      </c>
      <c r="W35" s="287">
        <f ca="1">IF(Table1[[#This Row],[Item Description]]="","",IF(Table1[[#This Row],[//]]="",INDIRECT(ADDRESS(ROW()-1,COLUMN())),Table1[[#This Row],[//]]))</f>
        <v>35</v>
      </c>
      <c r="X35" s="287">
        <f ca="1">IF(Table1[[#This Row],[h_id]]="","",COUNTIF(Table1[h_id],Table1[[#This Row],[h_id]]))</f>
        <v>1</v>
      </c>
      <c r="Y35" s="283">
        <f>IF(Table1[Item Description]="","",Table1[[#This Row],[Qty]]*Table1[[#This Row],[Unit Price]])</f>
        <v>8856000</v>
      </c>
      <c r="Z35" s="283">
        <f>IF(Table1[[#This Row],[h_hargasebelumdiskon]]="","",IF(Table1[[#This Row],[Disc 1]]="",0,Table1[[#This Row],[h_hargasebelumdiskon]]*Table1[[#This Row],[Disc 1]]))</f>
        <v>1107000</v>
      </c>
      <c r="AA35" s="283">
        <f>IF(Table1[[#This Row],[h_hargasebelumdiskon]]="","",IF(Table1[[#This Row],[Disc 2]]="",0,(Table1[[#This Row],[h_hargasebelumdiskon]]-Table1[[#This Row],[h_disc 1]])*Table1[[#This Row],[Disc 2]]))</f>
        <v>0</v>
      </c>
      <c r="AB35" s="283">
        <f>IF(Table1[Item Description]="","",Table1[[#This Row],[h_disc 1]]+Table1[[#This Row],[h_disc 2]])</f>
        <v>1107000</v>
      </c>
      <c r="AC35" s="283">
        <f>IF(Table1[Item Description]="","",Table1[[#This Row],[h_hargasebelumdiskon]]-Table1[[#This Row],[h_diskon]])</f>
        <v>7749000</v>
      </c>
      <c r="AD35" s="283">
        <f ca="1">IF(Table1[//]="","",SUMIF(Table1[h_id],Table1[h_id],Table1[h_hargasetelahdiskon]))</f>
        <v>7749000</v>
      </c>
      <c r="AE35" s="283"/>
      <c r="AF35" s="283" t="str">
        <f>Table1[[#This Row],[Item Description]]&amp;Table1[[#This Row],[Unit]]&amp;Table1[[#This Row],[Unit Price]]</f>
        <v>CUTTER 18 MM KENKO L-500 (BESAR)LSN147600</v>
      </c>
    </row>
    <row r="36" spans="1:32" x14ac:dyDescent="0.25">
      <c r="A36" s="287" t="str">
        <f ca="1">IF(Table1[[#This Row],[No. Invoice :]]="","",ROW())</f>
        <v/>
      </c>
      <c r="B36" s="287" t="str">
        <f ca="1">IF(Table1[Column3]="","",B$1+COUNT(INDIRECT("B$2:B"&amp;ROW()-1)))</f>
        <v/>
      </c>
      <c r="C36" s="281" t="str">
        <f>IF(Table1[[#This Row],[Column2]]="","",Table1[[#This Row],[Column2]]+C$1-1)</f>
        <v/>
      </c>
      <c r="H36" s="287" t="str">
        <f ca="1">IF(Table1[[#This Row],[h_No. Invoice :]]="","",CONCATENATE("AM"," ",Table1[[#This Row],[h_No. Invoice :]]))</f>
        <v/>
      </c>
      <c r="I36" s="288" t="str">
        <f>CONCATENATE(UPPER(Table1[[#This Row],[Column3]])," ",Table1[[#This Row],[Column4]])</f>
        <v xml:space="preserve"> </v>
      </c>
      <c r="J36" s="287" t="str">
        <f>IF(Table1[[#This Row],[Column5]]="","",INDEX(Table2[e],IF(Table1[[#This Row],[Column5]]="","",MATCH(Table1[[#This Row],[Column5]],Table2[a],0)),))</f>
        <v/>
      </c>
      <c r="O36" s="287" t="str">
        <f>IF(Table1[[#This Row],[h_Item Description]]="","",INDEX([1]!db[NB PAJAK],MATCH(Table1[[#This Row],[h_Item Description]],[1]!db[kode],0)))</f>
        <v/>
      </c>
      <c r="Q36" s="283"/>
      <c r="R36" s="284"/>
      <c r="T36" s="283" t="str">
        <f>Table1[[#This Row],[h_hargasetelahdiskon]]</f>
        <v/>
      </c>
      <c r="W36" s="287" t="str">
        <f ca="1">IF(Table1[[#This Row],[Item Description]]="","",IF(Table1[[#This Row],[//]]="",INDIRECT(ADDRESS(ROW()-1,COLUMN())),Table1[[#This Row],[//]]))</f>
        <v/>
      </c>
      <c r="X36" s="287" t="str">
        <f ca="1">IF(Table1[[#This Row],[h_id]]="","",COUNTIF(Table1[h_id],Table1[[#This Row],[h_id]]))</f>
        <v/>
      </c>
      <c r="Y36" s="283" t="str">
        <f>IF(Table1[Item Description]="","",Table1[[#This Row],[Qty]]*Table1[[#This Row],[Unit Price]])</f>
        <v/>
      </c>
      <c r="Z36" s="283" t="str">
        <f>IF(Table1[[#This Row],[h_hargasebelumdiskon]]="","",IF(Table1[[#This Row],[Disc 1]]="",0,Table1[[#This Row],[h_hargasebelumdiskon]]*Table1[[#This Row],[Disc 1]]))</f>
        <v/>
      </c>
      <c r="AA36" s="283" t="str">
        <f>IF(Table1[[#This Row],[h_hargasebelumdiskon]]="","",IF(Table1[[#This Row],[Disc 2]]="",0,(Table1[[#This Row],[h_hargasebelumdiskon]]-Table1[[#This Row],[h_disc 1]])*Table1[[#This Row],[Disc 2]]))</f>
        <v/>
      </c>
      <c r="AB36" s="283" t="str">
        <f>IF(Table1[Item Description]="","",Table1[[#This Row],[h_disc 1]]+Table1[[#This Row],[h_disc 2]])</f>
        <v/>
      </c>
      <c r="AC36" s="283" t="str">
        <f>IF(Table1[Item Description]="","",Table1[[#This Row],[h_hargasebelumdiskon]]-Table1[[#This Row],[h_diskon]])</f>
        <v/>
      </c>
      <c r="AD36" s="283" t="str">
        <f ca="1">IF(Table1[//]="","",SUMIF(Table1[h_id],Table1[h_id],Table1[h_hargasetelahdiskon]))</f>
        <v/>
      </c>
      <c r="AE36" s="283"/>
      <c r="AF36" s="283" t="str">
        <f>Table1[[#This Row],[Item Description]]&amp;Table1[[#This Row],[Unit]]&amp;Table1[[#This Row],[Unit Price]]</f>
        <v/>
      </c>
    </row>
    <row r="37" spans="1:32" x14ac:dyDescent="0.25">
      <c r="A37" s="287">
        <f ca="1">IF(Table1[[#This Row],[No. Invoice :]]="","",ROW())</f>
        <v>37</v>
      </c>
      <c r="B37" s="287">
        <f ca="1">IF(Table1[Column3]="","",B$1+COUNT(INDIRECT("B$2:B"&amp;ROW()-1)))</f>
        <v>23100012</v>
      </c>
      <c r="C37" s="281">
        <f>IF(Table1[[#This Row],[Column2]]="","",Table1[[#This Row],[Column2]]+C$1-1)</f>
        <v>45213</v>
      </c>
      <c r="D37" s="292">
        <v>14</v>
      </c>
      <c r="E37" s="280" t="s">
        <v>141</v>
      </c>
      <c r="F37" s="282" t="s">
        <v>185</v>
      </c>
      <c r="G37" s="280" t="s">
        <v>81</v>
      </c>
      <c r="H37" s="287" t="str">
        <f ca="1">IF(Table1[[#This Row],[h_No. Invoice :]]="","",CONCATENATE("AM"," ",Table1[[#This Row],[h_No. Invoice :]]))</f>
        <v>AM 23100012</v>
      </c>
      <c r="I37" s="288" t="str">
        <f>CONCATENATE(UPPER(Table1[[#This Row],[Column3]])," ",Table1[[#This Row],[Column4]])</f>
        <v>KO 4616</v>
      </c>
      <c r="J37" s="287" t="str">
        <f>IF(Table1[[#This Row],[Column5]]="","",INDEX(Table2[e],IF(Table1[[#This Row],[Column5]]="","",MATCH(Table1[[#This Row],[Column5]],Table2[a],0)),))</f>
        <v>CV PELITA JAYA (ANUGERAH SEJAHTERA) PURWOKERTO</v>
      </c>
      <c r="K37" s="280">
        <v>144</v>
      </c>
      <c r="L37" s="280" t="s">
        <v>130</v>
      </c>
      <c r="M37" s="280">
        <v>1</v>
      </c>
      <c r="N37" s="280" t="s">
        <v>186</v>
      </c>
      <c r="O37" s="287" t="str">
        <f>IF(Table1[[#This Row],[h_Item Description]]="","",INDEX([1]!db[NB PAJAK],MATCH(Table1[[#This Row],[h_Item Description]],[1]!db[kode],0)))</f>
        <v>GEL PEN JOYKO GP-265 Q-GEL</v>
      </c>
      <c r="P37" s="280" t="s">
        <v>187</v>
      </c>
      <c r="Q37" s="283">
        <v>28200</v>
      </c>
      <c r="R37" s="284">
        <v>0.13500000000000001</v>
      </c>
      <c r="T37" s="283">
        <f>Table1[[#This Row],[h_hargasetelahdiskon]]</f>
        <v>3512592</v>
      </c>
      <c r="U37" s="283" t="s">
        <v>131</v>
      </c>
      <c r="W37" s="287">
        <f ca="1">IF(Table1[[#This Row],[Item Description]]="","",IF(Table1[[#This Row],[//]]="",INDIRECT(ADDRESS(ROW()-1,COLUMN())),Table1[[#This Row],[//]]))</f>
        <v>37</v>
      </c>
      <c r="X37" s="287">
        <f ca="1">IF(Table1[[#This Row],[h_id]]="","",COUNTIF(Table1[h_id],Table1[[#This Row],[h_id]]))</f>
        <v>1</v>
      </c>
      <c r="Y37" s="283">
        <f>IF(Table1[Item Description]="","",Table1[[#This Row],[Qty]]*Table1[[#This Row],[Unit Price]])</f>
        <v>4060800</v>
      </c>
      <c r="Z37" s="283">
        <f>IF(Table1[[#This Row],[h_hargasebelumdiskon]]="","",IF(Table1[[#This Row],[Disc 1]]="",0,Table1[[#This Row],[h_hargasebelumdiskon]]*Table1[[#This Row],[Disc 1]]))</f>
        <v>548208</v>
      </c>
      <c r="AA37" s="283">
        <f>IF(Table1[[#This Row],[h_hargasebelumdiskon]]="","",IF(Table1[[#This Row],[Disc 2]]="",0,(Table1[[#This Row],[h_hargasebelumdiskon]]-Table1[[#This Row],[h_disc 1]])*Table1[[#This Row],[Disc 2]]))</f>
        <v>0</v>
      </c>
      <c r="AB37" s="283">
        <f>IF(Table1[Item Description]="","",Table1[[#This Row],[h_disc 1]]+Table1[[#This Row],[h_disc 2]])</f>
        <v>548208</v>
      </c>
      <c r="AC37" s="283">
        <f>IF(Table1[Item Description]="","",Table1[[#This Row],[h_hargasebelumdiskon]]-Table1[[#This Row],[h_diskon]])</f>
        <v>3512592</v>
      </c>
      <c r="AD37" s="283">
        <f ca="1">IF(Table1[//]="","",SUMIF(Table1[h_id],Table1[h_id],Table1[h_hargasetelahdiskon]))</f>
        <v>3512592</v>
      </c>
      <c r="AE37" s="283"/>
      <c r="AF37" s="283" t="str">
        <f>Table1[[#This Row],[Item Description]]&amp;Table1[[#This Row],[Unit]]&amp;Table1[[#This Row],[Unit Price]]</f>
        <v>GEL PEN JOYKO GP-265 Q-GEL HITAMLSN28200</v>
      </c>
    </row>
    <row r="38" spans="1:32" x14ac:dyDescent="0.25">
      <c r="A38" s="287" t="str">
        <f ca="1">IF(Table1[[#This Row],[No. Invoice :]]="","",ROW())</f>
        <v/>
      </c>
      <c r="B38" s="287" t="str">
        <f ca="1">IF(Table1[Column3]="","",B$1+COUNT(INDIRECT("B$2:B"&amp;ROW()-1)))</f>
        <v/>
      </c>
      <c r="C38" s="281" t="str">
        <f>IF(Table1[[#This Row],[Column2]]="","",Table1[[#This Row],[Column2]]+C$1-1)</f>
        <v/>
      </c>
      <c r="H38" s="287" t="str">
        <f ca="1">IF(Table1[[#This Row],[h_No. Invoice :]]="","",CONCATENATE("AM"," ",Table1[[#This Row],[h_No. Invoice :]]))</f>
        <v/>
      </c>
      <c r="I38" s="288" t="str">
        <f>CONCATENATE(UPPER(Table1[[#This Row],[Column3]])," ",Table1[[#This Row],[Column4]])</f>
        <v xml:space="preserve"> </v>
      </c>
      <c r="J38" s="287" t="str">
        <f>IF(Table1[[#This Row],[Column5]]="","",INDEX(Table2[e],IF(Table1[[#This Row],[Column5]]="","",MATCH(Table1[[#This Row],[Column5]],Table2[a],0)),))</f>
        <v/>
      </c>
      <c r="O38" s="287" t="str">
        <f>IF(Table1[[#This Row],[h_Item Description]]="","",INDEX([1]!db[NB PAJAK],MATCH(Table1[[#This Row],[h_Item Description]],[1]!db[kode],0)))</f>
        <v/>
      </c>
      <c r="Q38" s="283"/>
      <c r="R38" s="284"/>
      <c r="T38" s="283" t="str">
        <f>Table1[[#This Row],[h_hargasetelahdiskon]]</f>
        <v/>
      </c>
      <c r="W38" s="287" t="str">
        <f ca="1">IF(Table1[[#This Row],[Item Description]]="","",IF(Table1[[#This Row],[//]]="",INDIRECT(ADDRESS(ROW()-1,COLUMN())),Table1[[#This Row],[//]]))</f>
        <v/>
      </c>
      <c r="X38" s="287" t="str">
        <f ca="1">IF(Table1[[#This Row],[h_id]]="","",COUNTIF(Table1[h_id],Table1[[#This Row],[h_id]]))</f>
        <v/>
      </c>
      <c r="Y38" s="283" t="str">
        <f>IF(Table1[Item Description]="","",Table1[[#This Row],[Qty]]*Table1[[#This Row],[Unit Price]])</f>
        <v/>
      </c>
      <c r="Z38" s="283" t="str">
        <f>IF(Table1[[#This Row],[h_hargasebelumdiskon]]="","",IF(Table1[[#This Row],[Disc 1]]="",0,Table1[[#This Row],[h_hargasebelumdiskon]]*Table1[[#This Row],[Disc 1]]))</f>
        <v/>
      </c>
      <c r="AA38" s="283" t="str">
        <f>IF(Table1[[#This Row],[h_hargasebelumdiskon]]="","",IF(Table1[[#This Row],[Disc 2]]="",0,(Table1[[#This Row],[h_hargasebelumdiskon]]-Table1[[#This Row],[h_disc 1]])*Table1[[#This Row],[Disc 2]]))</f>
        <v/>
      </c>
      <c r="AB38" s="283" t="str">
        <f>IF(Table1[Item Description]="","",Table1[[#This Row],[h_disc 1]]+Table1[[#This Row],[h_disc 2]])</f>
        <v/>
      </c>
      <c r="AC38" s="283" t="str">
        <f>IF(Table1[Item Description]="","",Table1[[#This Row],[h_hargasebelumdiskon]]-Table1[[#This Row],[h_diskon]])</f>
        <v/>
      </c>
      <c r="AD38" s="283" t="str">
        <f ca="1">IF(Table1[//]="","",SUMIF(Table1[h_id],Table1[h_id],Table1[h_hargasetelahdiskon]))</f>
        <v/>
      </c>
      <c r="AE38" s="283"/>
      <c r="AF38" s="283" t="str">
        <f>Table1[[#This Row],[Item Description]]&amp;Table1[[#This Row],[Unit]]&amp;Table1[[#This Row],[Unit Price]]</f>
        <v/>
      </c>
    </row>
    <row r="39" spans="1:32" x14ac:dyDescent="0.25">
      <c r="A39" s="287">
        <f ca="1">IF(Table1[[#This Row],[No. Invoice :]]="","",ROW())</f>
        <v>39</v>
      </c>
      <c r="B39" s="287">
        <f ca="1">IF(Table1[Column3]="","",B$1+COUNT(INDIRECT("B$2:B"&amp;ROW()-1)))</f>
        <v>23100013</v>
      </c>
      <c r="C39" s="281">
        <f>IF(Table1[[#This Row],[Column2]]="","",Table1[[#This Row],[Column2]]+C$1-1)</f>
        <v>45215</v>
      </c>
      <c r="D39" s="292">
        <v>16</v>
      </c>
      <c r="E39" s="280" t="s">
        <v>162</v>
      </c>
      <c r="F39" s="282" t="s">
        <v>188</v>
      </c>
      <c r="G39" s="280" t="s">
        <v>90</v>
      </c>
      <c r="H39" s="287" t="str">
        <f ca="1">IF(Table1[[#This Row],[h_No. Invoice :]]="","",CONCATENATE("AM"," ",Table1[[#This Row],[h_No. Invoice :]]))</f>
        <v>AM 23100013</v>
      </c>
      <c r="I39" s="288" t="str">
        <f>CONCATENATE(UPPER(Table1[[#This Row],[Column3]])," ",Table1[[#This Row],[Column4]])</f>
        <v>G 4620</v>
      </c>
      <c r="J39" s="287" t="str">
        <f>IF(Table1[[#This Row],[Column5]]="","",INDEX(Table2[e],IF(Table1[[#This Row],[Column5]]="","",MATCH(Table1[[#This Row],[Column5]],Table2[a],0)),))</f>
        <v>LILY JULIAWATI (REJO AGUNG) JOMBANG</v>
      </c>
      <c r="K39" s="280">
        <v>144</v>
      </c>
      <c r="L39" s="280" t="s">
        <v>164</v>
      </c>
      <c r="M39" s="280">
        <v>3</v>
      </c>
      <c r="N39" s="280" t="s">
        <v>191</v>
      </c>
      <c r="O39" s="287" t="str">
        <f>IF(Table1[[#This Row],[h_Item Description]]="","",INDEX([1]!db[NB PAJAK],MATCH(Table1[[#This Row],[h_Item Description]],[1]!db[kode],0)))</f>
        <v>CRAYON / OIL PASTEL JOYKO OP-24S PP CASE SEA WORLD</v>
      </c>
      <c r="P39" s="280" t="s">
        <v>193</v>
      </c>
      <c r="Q39" s="283">
        <v>29600</v>
      </c>
      <c r="R39" s="284">
        <v>0.125</v>
      </c>
      <c r="T39" s="283">
        <f>Table1[[#This Row],[h_hargasetelahdiskon]]</f>
        <v>3729600</v>
      </c>
      <c r="U39" s="283" t="s">
        <v>131</v>
      </c>
      <c r="W39" s="287">
        <f ca="1">IF(Table1[[#This Row],[Item Description]]="","",IF(Table1[[#This Row],[//]]="",INDIRECT(ADDRESS(ROW()-1,COLUMN())),Table1[[#This Row],[//]]))</f>
        <v>39</v>
      </c>
      <c r="X39" s="287">
        <f ca="1">IF(Table1[[#This Row],[h_id]]="","",COUNTIF(Table1[h_id],Table1[[#This Row],[h_id]]))</f>
        <v>3</v>
      </c>
      <c r="Y39" s="283">
        <f>IF(Table1[Item Description]="","",Table1[[#This Row],[Qty]]*Table1[[#This Row],[Unit Price]])</f>
        <v>4262400</v>
      </c>
      <c r="Z39" s="283">
        <f>IF(Table1[[#This Row],[h_hargasebelumdiskon]]="","",IF(Table1[[#This Row],[Disc 1]]="",0,Table1[[#This Row],[h_hargasebelumdiskon]]*Table1[[#This Row],[Disc 1]]))</f>
        <v>532800</v>
      </c>
      <c r="AA39" s="283">
        <f>IF(Table1[[#This Row],[h_hargasebelumdiskon]]="","",IF(Table1[[#This Row],[Disc 2]]="",0,(Table1[[#This Row],[h_hargasebelumdiskon]]-Table1[[#This Row],[h_disc 1]])*Table1[[#This Row],[Disc 2]]))</f>
        <v>0</v>
      </c>
      <c r="AB39" s="283">
        <f>IF(Table1[Item Description]="","",Table1[[#This Row],[h_disc 1]]+Table1[[#This Row],[h_disc 2]])</f>
        <v>532800</v>
      </c>
      <c r="AC39" s="283">
        <f>IF(Table1[Item Description]="","",Table1[[#This Row],[h_hargasebelumdiskon]]-Table1[[#This Row],[h_diskon]])</f>
        <v>3729600</v>
      </c>
      <c r="AD39" s="283">
        <f ca="1">IF(Table1[//]="","",SUMIF(Table1[h_id],Table1[h_id],Table1[h_hargasetelahdiskon]))</f>
        <v>8498700</v>
      </c>
      <c r="AE39" s="283"/>
      <c r="AF39" s="283" t="str">
        <f>Table1[[#This Row],[Item Description]]&amp;Table1[[#This Row],[Unit]]&amp;Table1[[#This Row],[Unit Price]]</f>
        <v>CRAYON / OIL PASTEL JOYKO OP-24S PP CASE SEA WORLDPCS29600</v>
      </c>
    </row>
    <row r="40" spans="1:32" x14ac:dyDescent="0.25">
      <c r="A40" s="287" t="str">
        <f ca="1">IF(Table1[[#This Row],[No. Invoice :]]="","",ROW())</f>
        <v/>
      </c>
      <c r="B40" s="287" t="str">
        <f ca="1">IF(Table1[Column3]="","",B$1+COUNT(INDIRECT("B$2:B"&amp;ROW()-1)))</f>
        <v/>
      </c>
      <c r="C40" s="281" t="str">
        <f>IF(Table1[[#This Row],[Column2]]="","",Table1[[#This Row],[Column2]]+C$1-1)</f>
        <v/>
      </c>
      <c r="H40" s="287" t="str">
        <f ca="1">IF(Table1[[#This Row],[h_No. Invoice :]]="","",CONCATENATE("AM"," ",Table1[[#This Row],[h_No. Invoice :]]))</f>
        <v/>
      </c>
      <c r="I40" s="288" t="str">
        <f>CONCATENATE(UPPER(Table1[[#This Row],[Column3]])," ",Table1[[#This Row],[Column4]])</f>
        <v xml:space="preserve"> </v>
      </c>
      <c r="J40" s="287" t="str">
        <f>IF(Table1[[#This Row],[Column5]]="","",INDEX(Table2[e],IF(Table1[[#This Row],[Column5]]="","",MATCH(Table1[[#This Row],[Column5]],Table2[a],0)),))</f>
        <v/>
      </c>
      <c r="K40" s="280">
        <v>72</v>
      </c>
      <c r="L40" s="280" t="s">
        <v>164</v>
      </c>
      <c r="M40" s="280">
        <v>2</v>
      </c>
      <c r="N40" s="280" t="s">
        <v>192</v>
      </c>
      <c r="O40" s="287" t="str">
        <f>IF(Table1[[#This Row],[h_Item Description]]="","",INDEX([1]!db[NB PAJAK],MATCH(Table1[[#This Row],[h_Item Description]],[1]!db[kode],0)))</f>
        <v>CRAYON / OIL PASTEL JOYKO OP-36S PP CASE SEA WORLD</v>
      </c>
      <c r="P40" s="280" t="s">
        <v>194</v>
      </c>
      <c r="Q40" s="283">
        <v>41500</v>
      </c>
      <c r="R40" s="284">
        <v>0.125</v>
      </c>
      <c r="T40" s="283">
        <f>Table1[[#This Row],[h_hargasetelahdiskon]]</f>
        <v>2614500</v>
      </c>
      <c r="W40" s="287">
        <f ca="1">IF(Table1[[#This Row],[Item Description]]="","",IF(Table1[[#This Row],[//]]="",INDIRECT(ADDRESS(ROW()-1,COLUMN())),Table1[[#This Row],[//]]))</f>
        <v>39</v>
      </c>
      <c r="X40" s="287">
        <f ca="1">IF(Table1[[#This Row],[h_id]]="","",COUNTIF(Table1[h_id],Table1[[#This Row],[h_id]]))</f>
        <v>3</v>
      </c>
      <c r="Y40" s="283">
        <f>IF(Table1[Item Description]="","",Table1[[#This Row],[Qty]]*Table1[[#This Row],[Unit Price]])</f>
        <v>2988000</v>
      </c>
      <c r="Z40" s="283">
        <f>IF(Table1[[#This Row],[h_hargasebelumdiskon]]="","",IF(Table1[[#This Row],[Disc 1]]="",0,Table1[[#This Row],[h_hargasebelumdiskon]]*Table1[[#This Row],[Disc 1]]))</f>
        <v>373500</v>
      </c>
      <c r="AA40" s="283">
        <f>IF(Table1[[#This Row],[h_hargasebelumdiskon]]="","",IF(Table1[[#This Row],[Disc 2]]="",0,(Table1[[#This Row],[h_hargasebelumdiskon]]-Table1[[#This Row],[h_disc 1]])*Table1[[#This Row],[Disc 2]]))</f>
        <v>0</v>
      </c>
      <c r="AB40" s="283">
        <f>IF(Table1[Item Description]="","",Table1[[#This Row],[h_disc 1]]+Table1[[#This Row],[h_disc 2]])</f>
        <v>373500</v>
      </c>
      <c r="AC40" s="283">
        <f>IF(Table1[Item Description]="","",Table1[[#This Row],[h_hargasebelumdiskon]]-Table1[[#This Row],[h_diskon]])</f>
        <v>2614500</v>
      </c>
      <c r="AD40" s="283" t="str">
        <f ca="1">IF(Table1[//]="","",SUMIF(Table1[h_id],Table1[h_id],Table1[h_hargasetelahdiskon]))</f>
        <v/>
      </c>
      <c r="AE40" s="283"/>
      <c r="AF40" s="283" t="str">
        <f>Table1[[#This Row],[Item Description]]&amp;Table1[[#This Row],[Unit]]&amp;Table1[[#This Row],[Unit Price]]</f>
        <v>CRAYON / OIL PASTEL JOYKO OP-36S PP CASE SEA WORLDPCS41500</v>
      </c>
    </row>
    <row r="41" spans="1:32" x14ac:dyDescent="0.25">
      <c r="A41" s="287" t="str">
        <f ca="1">IF(Table1[[#This Row],[No. Invoice :]]="","",ROW())</f>
        <v/>
      </c>
      <c r="B41" s="287" t="str">
        <f ca="1">IF(Table1[Column3]="","",B$1+COUNT(INDIRECT("B$2:B"&amp;ROW()-1)))</f>
        <v/>
      </c>
      <c r="C41" s="281" t="str">
        <f>IF(Table1[[#This Row],[Column2]]="","",Table1[[#This Row],[Column2]]+C$1-1)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Row],[Column3]])," ",Table1[[#This Row],[Column4]])</f>
        <v xml:space="preserve"> </v>
      </c>
      <c r="J41" s="287" t="str">
        <f>IF(Table1[[#This Row],[Column5]]="","",INDEX(Table2[e],IF(Table1[[#This Row],[Column5]]="","",MATCH(Table1[[#This Row],[Column5]],Table2[a],0)),))</f>
        <v/>
      </c>
      <c r="K41" s="280">
        <v>72</v>
      </c>
      <c r="L41" s="280" t="s">
        <v>164</v>
      </c>
      <c r="M41" s="280">
        <v>2</v>
      </c>
      <c r="N41" s="280" t="s">
        <v>189</v>
      </c>
      <c r="O41" s="287" t="str">
        <f>IF(Table1[[#This Row],[h_Item Description]]="","",INDEX([1]!db[NB PAJAK],MATCH(Table1[[#This Row],[h_Item Description]],[1]!db[kode],0)))</f>
        <v>CORRECTION FLUID JOYKO CF-S225</v>
      </c>
      <c r="P41" s="280" t="s">
        <v>190</v>
      </c>
      <c r="Q41" s="283">
        <v>34200</v>
      </c>
      <c r="R41" s="284">
        <v>0.125</v>
      </c>
      <c r="T41" s="283">
        <f>Table1[[#This Row],[h_hargasetelahdiskon]]</f>
        <v>2154600</v>
      </c>
      <c r="W41" s="287">
        <f ca="1">IF(Table1[[#This Row],[Item Description]]="","",IF(Table1[[#This Row],[//]]="",INDIRECT(ADDRESS(ROW()-1,COLUMN())),Table1[[#This Row],[//]]))</f>
        <v>39</v>
      </c>
      <c r="X41" s="287">
        <f ca="1">IF(Table1[[#This Row],[h_id]]="","",COUNTIF(Table1[h_id],Table1[[#This Row],[h_id]]))</f>
        <v>3</v>
      </c>
      <c r="Y41" s="283">
        <f>IF(Table1[Item Description]="","",Table1[[#This Row],[Qty]]*Table1[[#This Row],[Unit Price]])</f>
        <v>2462400</v>
      </c>
      <c r="Z41" s="283">
        <f>IF(Table1[[#This Row],[h_hargasebelumdiskon]]="","",IF(Table1[[#This Row],[Disc 1]]="",0,Table1[[#This Row],[h_hargasebelumdiskon]]*Table1[[#This Row],[Disc 1]]))</f>
        <v>307800</v>
      </c>
      <c r="AA41" s="283">
        <f>IF(Table1[[#This Row],[h_hargasebelumdiskon]]="","",IF(Table1[[#This Row],[Disc 2]]="",0,(Table1[[#This Row],[h_hargasebelumdiskon]]-Table1[[#This Row],[h_disc 1]])*Table1[[#This Row],[Disc 2]]))</f>
        <v>0</v>
      </c>
      <c r="AB41" s="283">
        <f>IF(Table1[Item Description]="","",Table1[[#This Row],[h_disc 1]]+Table1[[#This Row],[h_disc 2]])</f>
        <v>307800</v>
      </c>
      <c r="AC41" s="283">
        <f>IF(Table1[Item Description]="","",Table1[[#This Row],[h_hargasebelumdiskon]]-Table1[[#This Row],[h_diskon]])</f>
        <v>2154600</v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>CORRECTION FLUID JOYKO CF-S225PCS34200</v>
      </c>
    </row>
    <row r="42" spans="1:32" x14ac:dyDescent="0.25">
      <c r="A42" s="287" t="str">
        <f ca="1">IF(Table1[[#This Row],[No. Invoice :]]="","",ROW())</f>
        <v/>
      </c>
      <c r="B42" s="287" t="str">
        <f ca="1">IF(Table1[Column3]="","",B$1+COUNT(INDIRECT("B$2:B"&amp;ROW()-1)))</f>
        <v/>
      </c>
      <c r="C42" s="281" t="str">
        <f>IF(Table1[[#This Row],[Column2]]="","",Table1[[#This Row],[Column2]]+C$1-1)</f>
        <v/>
      </c>
      <c r="H42" s="287" t="str">
        <f ca="1">IF(Table1[[#This Row],[h_No. Invoice :]]="","",CONCATENATE("AM"," ",Table1[[#This Row],[h_No. Invoice :]]))</f>
        <v/>
      </c>
      <c r="I42" s="288" t="str">
        <f>CONCATENATE(UPPER(Table1[[#This Row],[Column3]])," ",Table1[[#This Row],[Column4]])</f>
        <v xml:space="preserve"> </v>
      </c>
      <c r="J42" s="287" t="str">
        <f>IF(Table1[[#This Row],[Column5]]="","",INDEX(Table2[e],IF(Table1[[#This Row],[Column5]]="","",MATCH(Table1[[#This Row],[Column5]],Table2[a],0)),))</f>
        <v/>
      </c>
      <c r="O42" s="287" t="str">
        <f>IF(Table1[[#This Row],[h_Item Description]]="","",INDEX([1]!db[NB PAJAK],MATCH(Table1[[#This Row],[h_Item Description]],[1]!db[kode],0)))</f>
        <v/>
      </c>
      <c r="Q42" s="283"/>
      <c r="R42" s="284"/>
      <c r="T42" s="283" t="str">
        <f>Table1[[#This Row],[h_hargasetelahdiskon]]</f>
        <v/>
      </c>
      <c r="W42" s="287" t="str">
        <f ca="1">IF(Table1[[#This Row],[Item Description]]="","",IF(Table1[[#This Row],[//]]="",INDIRECT(ADDRESS(ROW()-1,COLUMN())),Table1[[#This Row],[//]]))</f>
        <v/>
      </c>
      <c r="X42" s="287" t="str">
        <f ca="1">IF(Table1[[#This Row],[h_id]]="","",COUNTIF(Table1[h_id],Table1[[#This Row],[h_id]]))</f>
        <v/>
      </c>
      <c r="Y42" s="283" t="str">
        <f>IF(Table1[Item Description]="","",Table1[[#This Row],[Qty]]*Table1[[#This Row],[Unit Price]])</f>
        <v/>
      </c>
      <c r="Z42" s="283" t="str">
        <f>IF(Table1[[#This Row],[h_hargasebelumdiskon]]="","",IF(Table1[[#This Row],[Disc 1]]="",0,Table1[[#This Row],[h_hargasebelumdiskon]]*Table1[[#This Row],[Disc 1]]))</f>
        <v/>
      </c>
      <c r="AA42" s="283" t="str">
        <f>IF(Table1[[#This Row],[h_hargasebelumdiskon]]="","",IF(Table1[[#This Row],[Disc 2]]="",0,(Table1[[#This Row],[h_hargasebelumdiskon]]-Table1[[#This Row],[h_disc 1]])*Table1[[#This Row],[Disc 2]]))</f>
        <v/>
      </c>
      <c r="AB42" s="283" t="str">
        <f>IF(Table1[Item Description]="","",Table1[[#This Row],[h_disc 1]]+Table1[[#This Row],[h_disc 2]])</f>
        <v/>
      </c>
      <c r="AC42" s="283" t="str">
        <f>IF(Table1[Item Description]="","",Table1[[#This Row],[h_hargasebelumdiskon]]-Table1[[#This Row],[h_diskon]])</f>
        <v/>
      </c>
      <c r="AD42" s="283" t="str">
        <f ca="1">IF(Table1[//]="","",SUMIF(Table1[h_id],Table1[h_id],Table1[h_hargasetelahdiskon]))</f>
        <v/>
      </c>
      <c r="AE42" s="283"/>
      <c r="AF42" s="283" t="str">
        <f>Table1[[#This Row],[Item Description]]&amp;Table1[[#This Row],[Unit]]&amp;Table1[[#This Row],[Unit Price]]</f>
        <v/>
      </c>
    </row>
    <row r="43" spans="1:32" x14ac:dyDescent="0.25">
      <c r="A43" s="287">
        <f ca="1">IF(Table1[[#This Row],[No. Invoice :]]="","",ROW())</f>
        <v>43</v>
      </c>
      <c r="B43" s="287">
        <f ca="1">IF(Table1[Column3]="","",B$1+COUNT(INDIRECT("B$2:B"&amp;ROW()-1)))</f>
        <v>23100014</v>
      </c>
      <c r="C43" s="281">
        <f>IF(Table1[[#This Row],[Column2]]="","",Table1[[#This Row],[Column2]]+C$1-1)</f>
        <v>45215</v>
      </c>
      <c r="D43" s="292">
        <v>16</v>
      </c>
      <c r="E43" s="280" t="s">
        <v>141</v>
      </c>
      <c r="F43" s="282" t="s">
        <v>195</v>
      </c>
      <c r="G43" s="280" t="s">
        <v>81</v>
      </c>
      <c r="H43" s="287" t="str">
        <f ca="1">IF(Table1[[#This Row],[h_No. Invoice :]]="","",CONCATENATE("AM"," ",Table1[[#This Row],[h_No. Invoice :]]))</f>
        <v>AM 23100014</v>
      </c>
      <c r="I43" s="288" t="str">
        <f>CONCATENATE(UPPER(Table1[[#This Row],[Column3]])," ",Table1[[#This Row],[Column4]])</f>
        <v>KO 4626</v>
      </c>
      <c r="J43" s="287" t="str">
        <f>IF(Table1[[#This Row],[Column5]]="","",INDEX(Table2[e],IF(Table1[[#This Row],[Column5]]="","",MATCH(Table1[[#This Row],[Column5]],Table2[a],0)),))</f>
        <v>CV PELITA JAYA (ANUGERAH SEJAHTERA) PURWOKERTO</v>
      </c>
      <c r="K43" s="280">
        <v>72</v>
      </c>
      <c r="L43" s="280" t="s">
        <v>130</v>
      </c>
      <c r="M43" s="280">
        <v>1</v>
      </c>
      <c r="N43" s="280" t="s">
        <v>196</v>
      </c>
      <c r="O43" s="287" t="str">
        <f>IF(Table1[[#This Row],[h_Item Description]]="","",INDEX([1]!db[NB PAJAK],MATCH(Table1[[#This Row],[h_Item Description]],[1]!db[kode],0)))</f>
        <v>CORRECTION FLUID KENKO KE-107M</v>
      </c>
      <c r="P43" s="280" t="s">
        <v>199</v>
      </c>
      <c r="Q43" s="283">
        <v>55800</v>
      </c>
      <c r="R43" s="284">
        <v>0.13500000000000001</v>
      </c>
      <c r="T43" s="283">
        <f>Table1[[#This Row],[h_hargasetelahdiskon]]</f>
        <v>3475224</v>
      </c>
      <c r="U43" s="283" t="s">
        <v>131</v>
      </c>
      <c r="W43" s="287">
        <f ca="1">IF(Table1[[#This Row],[Item Description]]="","",IF(Table1[[#This Row],[//]]="",INDIRECT(ADDRESS(ROW()-1,COLUMN())),Table1[[#This Row],[//]]))</f>
        <v>43</v>
      </c>
      <c r="X43" s="287">
        <f ca="1">IF(Table1[[#This Row],[h_id]]="","",COUNTIF(Table1[h_id],Table1[[#This Row],[h_id]]))</f>
        <v>3</v>
      </c>
      <c r="Y43" s="283">
        <f>IF(Table1[Item Description]="","",Table1[[#This Row],[Qty]]*Table1[[#This Row],[Unit Price]])</f>
        <v>4017600</v>
      </c>
      <c r="Z43" s="283">
        <f>IF(Table1[[#This Row],[h_hargasebelumdiskon]]="","",IF(Table1[[#This Row],[Disc 1]]="",0,Table1[[#This Row],[h_hargasebelumdiskon]]*Table1[[#This Row],[Disc 1]]))</f>
        <v>542376</v>
      </c>
      <c r="AA43" s="283">
        <f>IF(Table1[[#This Row],[h_hargasebelumdiskon]]="","",IF(Table1[[#This Row],[Disc 2]]="",0,(Table1[[#This Row],[h_hargasebelumdiskon]]-Table1[[#This Row],[h_disc 1]])*Table1[[#This Row],[Disc 2]]))</f>
        <v>0</v>
      </c>
      <c r="AB43" s="283">
        <f>IF(Table1[Item Description]="","",Table1[[#This Row],[h_disc 1]]+Table1[[#This Row],[h_disc 2]])</f>
        <v>542376</v>
      </c>
      <c r="AC43" s="283">
        <f>IF(Table1[Item Description]="","",Table1[[#This Row],[h_hargasebelumdiskon]]-Table1[[#This Row],[h_diskon]])</f>
        <v>3475224</v>
      </c>
      <c r="AD43" s="283">
        <f ca="1">IF(Table1[//]="","",SUMIF(Table1[h_id],Table1[h_id],Table1[h_hargasetelahdiskon]))</f>
        <v>9715680</v>
      </c>
      <c r="AE43" s="283"/>
      <c r="AF43" s="283" t="str">
        <f>Table1[[#This Row],[Item Description]]&amp;Table1[[#This Row],[Unit]]&amp;Table1[[#This Row],[Unit Price]]</f>
        <v>CORRECTION FLUID KENKO KE-107MLSN55800</v>
      </c>
    </row>
    <row r="44" spans="1:32" x14ac:dyDescent="0.25">
      <c r="A44" s="287" t="str">
        <f ca="1">IF(Table1[[#This Row],[No. Invoice :]]="","",ROW())</f>
        <v/>
      </c>
      <c r="B44" s="287" t="str">
        <f ca="1">IF(Table1[Column3]="","",B$1+COUNT(INDIRECT("B$2:B"&amp;ROW()-1)))</f>
        <v/>
      </c>
      <c r="C44" s="281" t="str">
        <f>IF(Table1[[#This Row],[Column2]]="","",Table1[[#This Row],[Column2]]+C$1-1)</f>
        <v/>
      </c>
      <c r="H44" s="287" t="str">
        <f ca="1">IF(Table1[[#This Row],[h_No. Invoice :]]="","",CONCATENATE("AM"," ",Table1[[#This Row],[h_No. Invoice :]]))</f>
        <v/>
      </c>
      <c r="I44" s="288" t="str">
        <f>CONCATENATE(UPPER(Table1[[#This Row],[Column3]])," ",Table1[[#This Row],[Column4]])</f>
        <v xml:space="preserve"> </v>
      </c>
      <c r="J44" s="287" t="str">
        <f>IF(Table1[[#This Row],[Column5]]="","",INDEX(Table2[e],IF(Table1[[#This Row],[Column5]]="","",MATCH(Table1[[#This Row],[Column5]],Table2[a],0)),))</f>
        <v/>
      </c>
      <c r="K44" s="280">
        <v>72</v>
      </c>
      <c r="L44" s="280" t="s">
        <v>130</v>
      </c>
      <c r="M44" s="280">
        <v>1</v>
      </c>
      <c r="N44" s="280" t="s">
        <v>197</v>
      </c>
      <c r="O44" s="287" t="str">
        <f>IF(Table1[[#This Row],[h_Item Description]]="","",INDEX([1]!db[NB PAJAK],MATCH(Table1[[#This Row],[h_Item Description]],[1]!db[kode],0)))</f>
        <v>CORRECTION FLUID KENKO KE-823M</v>
      </c>
      <c r="P44" s="280" t="s">
        <v>200</v>
      </c>
      <c r="Q44" s="283">
        <v>57000</v>
      </c>
      <c r="R44" s="284">
        <v>0.13500000000000001</v>
      </c>
      <c r="T44" s="283">
        <f>Table1[[#This Row],[h_hargasetelahdiskon]]</f>
        <v>3549960</v>
      </c>
      <c r="W44" s="287">
        <f ca="1">IF(Table1[[#This Row],[Item Description]]="","",IF(Table1[[#This Row],[//]]="",INDIRECT(ADDRESS(ROW()-1,COLUMN())),Table1[[#This Row],[//]]))</f>
        <v>43</v>
      </c>
      <c r="X44" s="287">
        <f ca="1">IF(Table1[[#This Row],[h_id]]="","",COUNTIF(Table1[h_id],Table1[[#This Row],[h_id]]))</f>
        <v>3</v>
      </c>
      <c r="Y44" s="283">
        <f>IF(Table1[Item Description]="","",Table1[[#This Row],[Qty]]*Table1[[#This Row],[Unit Price]])</f>
        <v>4104000</v>
      </c>
      <c r="Z44" s="283">
        <f>IF(Table1[[#This Row],[h_hargasebelumdiskon]]="","",IF(Table1[[#This Row],[Disc 1]]="",0,Table1[[#This Row],[h_hargasebelumdiskon]]*Table1[[#This Row],[Disc 1]]))</f>
        <v>554040</v>
      </c>
      <c r="AA44" s="283">
        <f>IF(Table1[[#This Row],[h_hargasebelumdiskon]]="","",IF(Table1[[#This Row],[Disc 2]]="",0,(Table1[[#This Row],[h_hargasebelumdiskon]]-Table1[[#This Row],[h_disc 1]])*Table1[[#This Row],[Disc 2]]))</f>
        <v>0</v>
      </c>
      <c r="AB44" s="283">
        <f>IF(Table1[Item Description]="","",Table1[[#This Row],[h_disc 1]]+Table1[[#This Row],[h_disc 2]])</f>
        <v>554040</v>
      </c>
      <c r="AC44" s="283">
        <f>IF(Table1[Item Description]="","",Table1[[#This Row],[h_hargasebelumdiskon]]-Table1[[#This Row],[h_diskon]])</f>
        <v>3549960</v>
      </c>
      <c r="AD44" s="283" t="str">
        <f ca="1">IF(Table1[//]="","",SUMIF(Table1[h_id],Table1[h_id],Table1[h_hargasetelahdiskon]))</f>
        <v/>
      </c>
      <c r="AE44" s="283"/>
      <c r="AF44" s="283" t="str">
        <f>Table1[[#This Row],[Item Description]]&amp;Table1[[#This Row],[Unit]]&amp;Table1[[#This Row],[Unit Price]]</f>
        <v>CORRECTION FLUID KENKO KE-823MLSN57000</v>
      </c>
    </row>
    <row r="45" spans="1:32" x14ac:dyDescent="0.25">
      <c r="A45" s="287" t="str">
        <f ca="1">IF(Table1[[#This Row],[No. Invoice :]]="","",ROW())</f>
        <v/>
      </c>
      <c r="B45" s="287" t="str">
        <f ca="1">IF(Table1[Column3]="","",B$1+COUNT(INDIRECT("B$2:B"&amp;ROW()-1)))</f>
        <v/>
      </c>
      <c r="C45" s="281" t="str">
        <f>IF(Table1[[#This Row],[Column2]]="","",Table1[[#This Row],[Column2]]+C$1-1)</f>
        <v/>
      </c>
      <c r="H45" s="287" t="str">
        <f ca="1">IF(Table1[[#This Row],[h_No. Invoice :]]="","",CONCATENATE("AM"," ",Table1[[#This Row],[h_No. Invoice :]]))</f>
        <v/>
      </c>
      <c r="I45" s="288" t="str">
        <f>CONCATENATE(UPPER(Table1[[#This Row],[Column3]])," ",Table1[[#This Row],[Column4]])</f>
        <v xml:space="preserve"> </v>
      </c>
      <c r="J45" s="287" t="str">
        <f>IF(Table1[[#This Row],[Column5]]="","",INDEX(Table2[e],IF(Table1[[#This Row],[Column5]]="","",MATCH(Table1[[#This Row],[Column5]],Table2[a],0)),))</f>
        <v/>
      </c>
      <c r="K45" s="280">
        <v>144</v>
      </c>
      <c r="L45" s="280" t="s">
        <v>130</v>
      </c>
      <c r="M45" s="280">
        <v>1</v>
      </c>
      <c r="N45" s="280" t="s">
        <v>198</v>
      </c>
      <c r="O45" s="287" t="str">
        <f>IF(Table1[[#This Row],[h_Item Description]]="","",INDEX([1]!db[NB PAJAK],MATCH(Table1[[#This Row],[h_Item Description]],[1]!db[kode],0)))</f>
        <v>GEL PEN KENKO KE-303 T-GEL TRIANGULAR</v>
      </c>
      <c r="P45" s="280" t="s">
        <v>201</v>
      </c>
      <c r="Q45" s="283">
        <v>21600</v>
      </c>
      <c r="R45" s="284">
        <v>0.13500000000000001</v>
      </c>
      <c r="T45" s="283">
        <f>Table1[[#This Row],[h_hargasetelahdiskon]]</f>
        <v>2690496</v>
      </c>
      <c r="W45" s="287">
        <f ca="1">IF(Table1[[#This Row],[Item Description]]="","",IF(Table1[[#This Row],[//]]="",INDIRECT(ADDRESS(ROW()-1,COLUMN())),Table1[[#This Row],[//]]))</f>
        <v>43</v>
      </c>
      <c r="X45" s="287">
        <f ca="1">IF(Table1[[#This Row],[h_id]]="","",COUNTIF(Table1[h_id],Table1[[#This Row],[h_id]]))</f>
        <v>3</v>
      </c>
      <c r="Y45" s="283">
        <f>IF(Table1[Item Description]="","",Table1[[#This Row],[Qty]]*Table1[[#This Row],[Unit Price]])</f>
        <v>3110400</v>
      </c>
      <c r="Z45" s="283">
        <f>IF(Table1[[#This Row],[h_hargasebelumdiskon]]="","",IF(Table1[[#This Row],[Disc 1]]="",0,Table1[[#This Row],[h_hargasebelumdiskon]]*Table1[[#This Row],[Disc 1]]))</f>
        <v>419904</v>
      </c>
      <c r="AA45" s="283">
        <f>IF(Table1[[#This Row],[h_hargasebelumdiskon]]="","",IF(Table1[[#This Row],[Disc 2]]="",0,(Table1[[#This Row],[h_hargasebelumdiskon]]-Table1[[#This Row],[h_disc 1]])*Table1[[#This Row],[Disc 2]]))</f>
        <v>0</v>
      </c>
      <c r="AB45" s="283">
        <f>IF(Table1[Item Description]="","",Table1[[#This Row],[h_disc 1]]+Table1[[#This Row],[h_disc 2]])</f>
        <v>419904</v>
      </c>
      <c r="AC45" s="283">
        <f>IF(Table1[Item Description]="","",Table1[[#This Row],[h_hargasebelumdiskon]]-Table1[[#This Row],[h_diskon]])</f>
        <v>2690496</v>
      </c>
      <c r="AD45" s="283" t="str">
        <f ca="1">IF(Table1[//]="","",SUMIF(Table1[h_id],Table1[h_id],Table1[h_hargasetelahdiskon]))</f>
        <v/>
      </c>
      <c r="AE45" s="283"/>
      <c r="AF45" s="283" t="str">
        <f>Table1[[#This Row],[Item Description]]&amp;Table1[[#This Row],[Unit]]&amp;Table1[[#This Row],[Unit Price]]</f>
        <v>GEL PEN KENKO KE-303 T-GEL TRIANGULAR HITAMLSN21600</v>
      </c>
    </row>
    <row r="46" spans="1:32" x14ac:dyDescent="0.25">
      <c r="A46" s="287" t="str">
        <f ca="1">IF(Table1[[#This Row],[No. Invoice :]]="","",ROW())</f>
        <v/>
      </c>
      <c r="B46" s="287" t="str">
        <f ca="1">IF(Table1[Column3]="","",B$1+COUNT(INDIRECT("B$2:B"&amp;ROW()-1)))</f>
        <v/>
      </c>
      <c r="C46" s="281" t="str">
        <f>IF(Table1[[#This Row],[Column2]]="","",Table1[[#This Row],[Column2]]+C$1-1)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Row],[Column3]])," ",Table1[[#This Row],[Column4]])</f>
        <v xml:space="preserve"> </v>
      </c>
      <c r="J46" s="287" t="str">
        <f>IF(Table1[[#This Row],[Column5]]="","",INDEX(Table2[e],IF(Table1[[#This Row],[Column5]]="","",MATCH(Table1[[#This Row],[Column5]],Table2[a],0)),))</f>
        <v/>
      </c>
      <c r="O46" s="287" t="str">
        <f>IF(Table1[[#This Row],[h_Item Description]]="","",INDEX([1]!db[NB PAJAK],MATCH(Table1[[#This Row],[h_Item Description]],[1]!db[kode],0)))</f>
        <v/>
      </c>
      <c r="Q46" s="283"/>
      <c r="R46" s="284"/>
      <c r="T46" s="283" t="str">
        <f>Table1[[#This Row],[h_hargasetelahdiskon]]</f>
        <v/>
      </c>
      <c r="W46" s="287" t="str">
        <f ca="1">IF(Table1[[#This Row],[Item Description]]="","",IF(Table1[[#This Row],[//]]="",INDIRECT(ADDRESS(ROW()-1,COLUMN())),Table1[[#This Row],[//]]))</f>
        <v/>
      </c>
      <c r="X46" s="287" t="str">
        <f ca="1">IF(Table1[[#This Row],[h_id]]="","",COUNTIF(Table1[h_id],Table1[[#This Row],[h_id]]))</f>
        <v/>
      </c>
      <c r="Y46" s="283" t="str">
        <f>IF(Table1[Item Description]="","",Table1[[#This Row],[Qty]]*Table1[[#This Row],[Unit Price]])</f>
        <v/>
      </c>
      <c r="Z46" s="283" t="str">
        <f>IF(Table1[[#This Row],[h_hargasebelumdiskon]]="","",IF(Table1[[#This Row],[Disc 1]]="",0,Table1[[#This Row],[h_hargasebelumdiskon]]*Table1[[#This Row],[Disc 1]]))</f>
        <v/>
      </c>
      <c r="AA46" s="283" t="str">
        <f>IF(Table1[[#This Row],[h_hargasebelumdiskon]]="","",IF(Table1[[#This Row],[Disc 2]]="",0,(Table1[[#This Row],[h_hargasebelumdiskon]]-Table1[[#This Row],[h_disc 1]])*Table1[[#This Row],[Disc 2]]))</f>
        <v/>
      </c>
      <c r="AB46" s="283" t="str">
        <f>IF(Table1[Item Description]="","",Table1[[#This Row],[h_disc 1]]+Table1[[#This Row],[h_disc 2]])</f>
        <v/>
      </c>
      <c r="AC46" s="283" t="str">
        <f>IF(Table1[Item Description]="","",Table1[[#This Row],[h_hargasebelumdiskon]]-Table1[[#This Row],[h_diskon]])</f>
        <v/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/>
      </c>
    </row>
    <row r="47" spans="1:32" x14ac:dyDescent="0.25">
      <c r="A47" s="287">
        <f ca="1">IF(Table1[[#This Row],[No. Invoice :]]="","",ROW())</f>
        <v>47</v>
      </c>
      <c r="B47" s="287">
        <f ca="1">IF(Table1[Column3]="","",B$1+COUNT(INDIRECT("B$2:B"&amp;ROW()-1)))</f>
        <v>23100015</v>
      </c>
      <c r="C47" s="281">
        <f>IF(Table1[[#This Row],[Column2]]="","",Table1[[#This Row],[Column2]]+C$1-1)</f>
        <v>45216</v>
      </c>
      <c r="D47" s="292">
        <v>17</v>
      </c>
      <c r="E47" s="280" t="s">
        <v>162</v>
      </c>
      <c r="F47" s="282" t="s">
        <v>202</v>
      </c>
      <c r="G47" s="280" t="s">
        <v>90</v>
      </c>
      <c r="H47" s="287" t="str">
        <f ca="1">IF(Table1[[#This Row],[h_No. Invoice :]]="","",CONCATENATE("AM"," ",Table1[[#This Row],[h_No. Invoice :]]))</f>
        <v>AM 23100015</v>
      </c>
      <c r="I47" s="288" t="str">
        <f>CONCATENATE(UPPER(Table1[[#This Row],[Column3]])," ",Table1[[#This Row],[Column4]])</f>
        <v>G 4630</v>
      </c>
      <c r="J47" s="287" t="str">
        <f>IF(Table1[[#This Row],[Column5]]="","",INDEX(Table2[e],IF(Table1[[#This Row],[Column5]]="","",MATCH(Table1[[#This Row],[Column5]],Table2[a],0)),))</f>
        <v>LILY JULIAWATI (REJO AGUNG) JOMBANG</v>
      </c>
      <c r="K47" s="280">
        <v>216</v>
      </c>
      <c r="L47" s="280" t="s">
        <v>203</v>
      </c>
      <c r="M47" s="280">
        <v>3</v>
      </c>
      <c r="N47" s="280" t="s">
        <v>204</v>
      </c>
      <c r="O47" s="287" t="str">
        <f>IF(Table1[[#This Row],[h_Item Description]]="","",INDEX([1]!db[NB PAJAK],MATCH(Table1[[#This Row],[h_Item Description]],[1]!db[kode],0)))</f>
        <v>PENSIL WARNA JOYKO CP-24PB (PANJANG)</v>
      </c>
      <c r="P47" s="280" t="s">
        <v>206</v>
      </c>
      <c r="Q47" s="283">
        <v>21200</v>
      </c>
      <c r="R47" s="284">
        <v>0.125</v>
      </c>
      <c r="T47" s="283">
        <f>Table1[[#This Row],[h_hargasetelahdiskon]]</f>
        <v>4006800</v>
      </c>
      <c r="U47" s="283" t="s">
        <v>131</v>
      </c>
      <c r="W47" s="287">
        <f ca="1">IF(Table1[[#This Row],[Item Description]]="","",IF(Table1[[#This Row],[//]]="",INDIRECT(ADDRESS(ROW()-1,COLUMN())),Table1[[#This Row],[//]]))</f>
        <v>47</v>
      </c>
      <c r="X47" s="287">
        <f ca="1">IF(Table1[[#This Row],[h_id]]="","",COUNTIF(Table1[h_id],Table1[[#This Row],[h_id]]))</f>
        <v>2</v>
      </c>
      <c r="Y47" s="283">
        <f>IF(Table1[Item Description]="","",Table1[[#This Row],[Qty]]*Table1[[#This Row],[Unit Price]])</f>
        <v>4579200</v>
      </c>
      <c r="Z47" s="283">
        <f>IF(Table1[[#This Row],[h_hargasebelumdiskon]]="","",IF(Table1[[#This Row],[Disc 1]]="",0,Table1[[#This Row],[h_hargasebelumdiskon]]*Table1[[#This Row],[Disc 1]]))</f>
        <v>572400</v>
      </c>
      <c r="AA47" s="283">
        <f>IF(Table1[[#This Row],[h_hargasebelumdiskon]]="","",IF(Table1[[#This Row],[Disc 2]]="",0,(Table1[[#This Row],[h_hargasebelumdiskon]]-Table1[[#This Row],[h_disc 1]])*Table1[[#This Row],[Disc 2]]))</f>
        <v>0</v>
      </c>
      <c r="AB47" s="283">
        <f>IF(Table1[Item Description]="","",Table1[[#This Row],[h_disc 1]]+Table1[[#This Row],[h_disc 2]])</f>
        <v>572400</v>
      </c>
      <c r="AC47" s="283">
        <f>IF(Table1[Item Description]="","",Table1[[#This Row],[h_hargasebelumdiskon]]-Table1[[#This Row],[h_diskon]])</f>
        <v>4006800</v>
      </c>
      <c r="AD47" s="283">
        <f ca="1">IF(Table1[//]="","",SUMIF(Table1[h_id],Table1[h_id],Table1[h_hargasetelahdiskon]))</f>
        <v>11503800</v>
      </c>
      <c r="AE47" s="283"/>
      <c r="AF47" s="283" t="str">
        <f>Table1[[#This Row],[Item Description]]&amp;Table1[[#This Row],[Unit]]&amp;Table1[[#This Row],[Unit Price]]</f>
        <v>PENSIL WARNA JOYKO CP-24PB (PANJANG)SET21200</v>
      </c>
    </row>
    <row r="48" spans="1:32" x14ac:dyDescent="0.25">
      <c r="A48" s="287" t="str">
        <f ca="1">IF(Table1[[#This Row],[No. Invoice :]]="","",ROW())</f>
        <v/>
      </c>
      <c r="B48" s="287" t="str">
        <f ca="1">IF(Table1[Column3]="","",B$1+COUNT(INDIRECT("B$2:B"&amp;ROW()-1)))</f>
        <v/>
      </c>
      <c r="C48" s="281" t="str">
        <f>IF(Table1[[#This Row],[Column2]]="","",Table1[[#This Row],[Column2]]+C$1-1)</f>
        <v/>
      </c>
      <c r="H48" s="287" t="str">
        <f ca="1">IF(Table1[[#This Row],[h_No. Invoice :]]="","",CONCATENATE("AM"," ",Table1[[#This Row],[h_No. Invoice :]]))</f>
        <v/>
      </c>
      <c r="I48" s="288" t="str">
        <f>CONCATENATE(UPPER(Table1[[#This Row],[Column3]])," ",Table1[[#This Row],[Column4]])</f>
        <v xml:space="preserve"> </v>
      </c>
      <c r="J48" s="287" t="str">
        <f>IF(Table1[[#This Row],[Column5]]="","",INDEX(Table2[e],IF(Table1[[#This Row],[Column5]]="","",MATCH(Table1[[#This Row],[Column5]],Table2[a],0)),))</f>
        <v/>
      </c>
      <c r="K48" s="280">
        <v>720</v>
      </c>
      <c r="L48" s="280" t="s">
        <v>203</v>
      </c>
      <c r="M48" s="280">
        <v>5</v>
      </c>
      <c r="N48" s="280" t="s">
        <v>205</v>
      </c>
      <c r="O48" s="287" t="str">
        <f>IF(Table1[[#This Row],[h_Item Description]]="","",INDEX([1]!db[NB PAJAK],MATCH(Table1[[#This Row],[h_Item Description]],[1]!db[kode],0)))</f>
        <v>CRAYON / OIL PASTEL JOYKO OP-12S PP CASE SEA WORLD</v>
      </c>
      <c r="P48" s="280" t="s">
        <v>207</v>
      </c>
      <c r="Q48" s="283">
        <v>11900</v>
      </c>
      <c r="R48" s="284">
        <v>0.125</v>
      </c>
      <c r="T48" s="283">
        <f>Table1[[#This Row],[h_hargasetelahdiskon]]</f>
        <v>7497000</v>
      </c>
      <c r="W48" s="287">
        <f ca="1">IF(Table1[[#This Row],[Item Description]]="","",IF(Table1[[#This Row],[//]]="",INDIRECT(ADDRESS(ROW()-1,COLUMN())),Table1[[#This Row],[//]]))</f>
        <v>47</v>
      </c>
      <c r="X48" s="287">
        <f ca="1">IF(Table1[[#This Row],[h_id]]="","",COUNTIF(Table1[h_id],Table1[[#This Row],[h_id]]))</f>
        <v>2</v>
      </c>
      <c r="Y48" s="283">
        <f>IF(Table1[Item Description]="","",Table1[[#This Row],[Qty]]*Table1[[#This Row],[Unit Price]])</f>
        <v>8568000</v>
      </c>
      <c r="Z48" s="283">
        <f>IF(Table1[[#This Row],[h_hargasebelumdiskon]]="","",IF(Table1[[#This Row],[Disc 1]]="",0,Table1[[#This Row],[h_hargasebelumdiskon]]*Table1[[#This Row],[Disc 1]]))</f>
        <v>1071000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1071000</v>
      </c>
      <c r="AC48" s="283">
        <f>IF(Table1[Item Description]="","",Table1[[#This Row],[h_hargasebelumdiskon]]-Table1[[#This Row],[h_diskon]])</f>
        <v>7497000</v>
      </c>
      <c r="AD48" s="283" t="str">
        <f ca="1">IF(Table1[//]="","",SUMIF(Table1[h_id],Table1[h_id],Table1[h_hargasetelahdiskon]))</f>
        <v/>
      </c>
      <c r="AE48" s="283"/>
      <c r="AF48" s="283" t="str">
        <f>Table1[[#This Row],[Item Description]]&amp;Table1[[#This Row],[Unit]]&amp;Table1[[#This Row],[Unit Price]]</f>
        <v>CRAYON / OIL PASTEL JOYKO OP-12S PP CASE SEA WORLDSET11900</v>
      </c>
    </row>
    <row r="49" spans="1:32" x14ac:dyDescent="0.25">
      <c r="A49" s="287" t="str">
        <f ca="1">IF(Table1[[#This Row],[No. Invoice :]]="","",ROW())</f>
        <v/>
      </c>
      <c r="B49" s="287" t="str">
        <f ca="1">IF(Table1[Column3]="","",B$1+COUNT(INDIRECT("B$2:B"&amp;ROW()-1)))</f>
        <v/>
      </c>
      <c r="C49" s="281" t="str">
        <f>IF(Table1[[#This Row],[Column2]]="","",Table1[[#This Row],[Column2]]+C$1-1)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Row],[Column3]])," ",Table1[[#This Row],[Column4]])</f>
        <v xml:space="preserve"> </v>
      </c>
      <c r="J49" s="287" t="str">
        <f>IF(Table1[[#This Row],[Column5]]="","",INDEX(Table2[e],IF(Table1[[#This Row],[Column5]]="","",MATCH(Table1[[#This Row],[Column5]],Table2[a],0)),))</f>
        <v/>
      </c>
      <c r="O49" s="287" t="str">
        <f>IF(Table1[[#This Row],[h_Item Description]]="","",INDEX([1]!db[NB PAJAK],MATCH(Table1[[#This Row],[h_Item Description]],[1]!db[kode],0)))</f>
        <v/>
      </c>
      <c r="Q49" s="283"/>
      <c r="R49" s="284"/>
      <c r="T49" s="283" t="str">
        <f>Table1[[#This Row],[h_hargasetelahdiskon]]</f>
        <v/>
      </c>
      <c r="W49" s="287" t="str">
        <f ca="1">IF(Table1[[#This Row],[Item Description]]="","",IF(Table1[[#This Row],[//]]="",INDIRECT(ADDRESS(ROW()-1,COLUMN())),Table1[[#This Row],[//]]))</f>
        <v/>
      </c>
      <c r="X49" s="287" t="str">
        <f ca="1">IF(Table1[[#This Row],[h_id]]="","",COUNTIF(Table1[h_id],Table1[[#This Row],[h_id]]))</f>
        <v/>
      </c>
      <c r="Y49" s="283" t="str">
        <f>IF(Table1[Item Description]="","",Table1[[#This Row],[Qty]]*Table1[[#This Row],[Unit Price]])</f>
        <v/>
      </c>
      <c r="Z49" s="283" t="str">
        <f>IF(Table1[[#This Row],[h_hargasebelumdiskon]]="","",IF(Table1[[#This Row],[Disc 1]]="",0,Table1[[#This Row],[h_hargasebelumdiskon]]*Table1[[#This Row],[Disc 1]]))</f>
        <v/>
      </c>
      <c r="AA49" s="283" t="str">
        <f>IF(Table1[[#This Row],[h_hargasebelumdiskon]]="","",IF(Table1[[#This Row],[Disc 2]]="",0,(Table1[[#This Row],[h_hargasebelumdiskon]]-Table1[[#This Row],[h_disc 1]])*Table1[[#This Row],[Disc 2]]))</f>
        <v/>
      </c>
      <c r="AB49" s="283" t="str">
        <f>IF(Table1[Item Description]="","",Table1[[#This Row],[h_disc 1]]+Table1[[#This Row],[h_disc 2]])</f>
        <v/>
      </c>
      <c r="AC49" s="283" t="str">
        <f>IF(Table1[Item Description]="","",Table1[[#This Row],[h_hargasebelumdiskon]]-Table1[[#This Row],[h_diskon]])</f>
        <v/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/>
      </c>
    </row>
    <row r="50" spans="1:32" x14ac:dyDescent="0.25">
      <c r="A50" s="287">
        <f ca="1">IF(Table1[[#This Row],[No. Invoice :]]="","",ROW())</f>
        <v>50</v>
      </c>
      <c r="B50" s="287">
        <f ca="1">IF(Table1[Column3]="","",B$1+COUNT(INDIRECT("B$2:B"&amp;ROW()-1)))</f>
        <v>23100016</v>
      </c>
      <c r="C50" s="281">
        <f>IF(Table1[[#This Row],[Column2]]="","",Table1[[#This Row],[Column2]]+C$1-1)</f>
        <v>45216</v>
      </c>
      <c r="D50" s="292">
        <v>17</v>
      </c>
      <c r="E50" s="280" t="s">
        <v>132</v>
      </c>
      <c r="F50" s="282" t="s">
        <v>208</v>
      </c>
      <c r="G50" s="280" t="s">
        <v>81</v>
      </c>
      <c r="H50" s="287" t="str">
        <f ca="1">IF(Table1[[#This Row],[h_No. Invoice :]]="","",CONCATENATE("AM"," ",Table1[[#This Row],[h_No. Invoice :]]))</f>
        <v>AM 23100016</v>
      </c>
      <c r="I50" s="288" t="str">
        <f>CONCATENATE(UPPER(Table1[[#This Row],[Column3]])," ",Table1[[#This Row],[Column4]])</f>
        <v>KO 4638</v>
      </c>
      <c r="J50" s="287" t="str">
        <f>IF(Table1[[#This Row],[Column5]]="","",INDEX(Table2[e],IF(Table1[[#This Row],[Column5]]="","",MATCH(Table1[[#This Row],[Column5]],Table2[a],0)),))</f>
        <v>CV PELITA JAYA (ANUGERAH SEJAHTERA) PURWOKERTO</v>
      </c>
      <c r="K50" s="280">
        <v>40</v>
      </c>
      <c r="L50" s="280" t="s">
        <v>130</v>
      </c>
      <c r="M50" s="280">
        <v>2</v>
      </c>
      <c r="N50" s="280" t="s">
        <v>180</v>
      </c>
      <c r="O50" s="287" t="str">
        <f>IF(Table1[[#This Row],[h_Item Description]]="","",INDEX([1]!db[NB PAJAK],MATCH(Table1[[#This Row],[h_Item Description]],[1]!db[kode],0)))</f>
        <v>CUTTER 18 MM KENKO L-500 (BESAR)</v>
      </c>
      <c r="P50" s="280" t="s">
        <v>181</v>
      </c>
      <c r="Q50" s="283">
        <v>147600</v>
      </c>
      <c r="R50" s="284">
        <v>0.13500000000000001</v>
      </c>
      <c r="T50" s="283">
        <f>Table1[[#This Row],[h_hargasetelahdiskon]]</f>
        <v>5106960</v>
      </c>
      <c r="U50" s="283" t="s">
        <v>131</v>
      </c>
      <c r="W50" s="287">
        <f ca="1">IF(Table1[[#This Row],[Item Description]]="","",IF(Table1[[#This Row],[//]]="",INDIRECT(ADDRESS(ROW()-1,COLUMN())),Table1[[#This Row],[//]]))</f>
        <v>50</v>
      </c>
      <c r="X50" s="287">
        <f ca="1">IF(Table1[[#This Row],[h_id]]="","",COUNTIF(Table1[h_id],Table1[[#This Row],[h_id]]))</f>
        <v>1</v>
      </c>
      <c r="Y50" s="283">
        <f>IF(Table1[Item Description]="","",Table1[[#This Row],[Qty]]*Table1[[#This Row],[Unit Price]])</f>
        <v>5904000</v>
      </c>
      <c r="Z50" s="283">
        <f>IF(Table1[[#This Row],[h_hargasebelumdiskon]]="","",IF(Table1[[#This Row],[Disc 1]]="",0,Table1[[#This Row],[h_hargasebelumdiskon]]*Table1[[#This Row],[Disc 1]]))</f>
        <v>797040</v>
      </c>
      <c r="AA50" s="283">
        <f>IF(Table1[[#This Row],[h_hargasebelumdiskon]]="","",IF(Table1[[#This Row],[Disc 2]]="",0,(Table1[[#This Row],[h_hargasebelumdiskon]]-Table1[[#This Row],[h_disc 1]])*Table1[[#This Row],[Disc 2]]))</f>
        <v>0</v>
      </c>
      <c r="AB50" s="283">
        <f>IF(Table1[Item Description]="","",Table1[[#This Row],[h_disc 1]]+Table1[[#This Row],[h_disc 2]])</f>
        <v>797040</v>
      </c>
      <c r="AC50" s="283">
        <f>IF(Table1[Item Description]="","",Table1[[#This Row],[h_hargasebelumdiskon]]-Table1[[#This Row],[h_diskon]])</f>
        <v>5106960</v>
      </c>
      <c r="AD50" s="283">
        <f ca="1">IF(Table1[//]="","",SUMIF(Table1[h_id],Table1[h_id],Table1[h_hargasetelahdiskon]))</f>
        <v>5106960</v>
      </c>
      <c r="AE50" s="283"/>
      <c r="AF50" s="283" t="str">
        <f>Table1[[#This Row],[Item Description]]&amp;Table1[[#This Row],[Unit]]&amp;Table1[[#This Row],[Unit Price]]</f>
        <v>CUTTER 18 MM KENKO L-500 (BESAR)LSN147600</v>
      </c>
    </row>
    <row r="51" spans="1:32" x14ac:dyDescent="0.25">
      <c r="A51" s="287" t="str">
        <f ca="1">IF(Table1[[#This Row],[No. Invoice :]]="","",ROW())</f>
        <v/>
      </c>
      <c r="B51" s="287" t="str">
        <f ca="1">IF(Table1[Column3]="","",B$1+COUNT(INDIRECT("B$2:B"&amp;ROW()-1)))</f>
        <v/>
      </c>
      <c r="C51" s="281" t="str">
        <f>IF(Table1[[#This Row],[Column2]]="","",Table1[[#This Row],[Column2]]+C$1-1)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Row],[Column3]])," ",Table1[[#This Row],[Column4]])</f>
        <v xml:space="preserve"> </v>
      </c>
      <c r="J51" s="287" t="str">
        <f>IF(Table1[[#This Row],[Column5]]="","",INDEX(Table2[e],IF(Table1[[#This Row],[Column5]]="","",MATCH(Table1[[#This Row],[Column5]],Table2[a],0)),))</f>
        <v/>
      </c>
      <c r="O51" s="287" t="str">
        <f>IF(Table1[[#This Row],[h_Item Description]]="","",INDEX([1]!db[NB PAJAK],MATCH(Table1[[#This Row],[h_Item Description]],[1]!db[kode],0)))</f>
        <v/>
      </c>
      <c r="Q51" s="283"/>
      <c r="R51" s="284"/>
      <c r="T51" s="283" t="str">
        <f>Table1[[#This Row],[h_hargasetelahdiskon]]</f>
        <v/>
      </c>
      <c r="W51" s="287" t="str">
        <f ca="1">IF(Table1[[#This Row],[Item Description]]="","",IF(Table1[[#This Row],[//]]="",INDIRECT(ADDRESS(ROW()-1,COLUMN())),Table1[[#This Row],[//]]))</f>
        <v/>
      </c>
      <c r="X51" s="287" t="str">
        <f ca="1">IF(Table1[[#This Row],[h_id]]="","",COUNTIF(Table1[h_id],Table1[[#This Row],[h_id]]))</f>
        <v/>
      </c>
      <c r="Y51" s="283" t="str">
        <f>IF(Table1[Item Description]="","",Table1[[#This Row],[Qty]]*Table1[[#This Row],[Unit Price]])</f>
        <v/>
      </c>
      <c r="Z51" s="283" t="str">
        <f>IF(Table1[[#This Row],[h_hargasebelumdiskon]]="","",IF(Table1[[#This Row],[Disc 1]]="",0,Table1[[#This Row],[h_hargasebelumdiskon]]*Table1[[#This Row],[Disc 1]]))</f>
        <v/>
      </c>
      <c r="AA51" s="283" t="str">
        <f>IF(Table1[[#This Row],[h_hargasebelumdiskon]]="","",IF(Table1[[#This Row],[Disc 2]]="",0,(Table1[[#This Row],[h_hargasebelumdiskon]]-Table1[[#This Row],[h_disc 1]])*Table1[[#This Row],[Disc 2]]))</f>
        <v/>
      </c>
      <c r="AB51" s="283" t="str">
        <f>IF(Table1[Item Description]="","",Table1[[#This Row],[h_disc 1]]+Table1[[#This Row],[h_disc 2]])</f>
        <v/>
      </c>
      <c r="AC51" s="283" t="str">
        <f>IF(Table1[Item Description]="","",Table1[[#This Row],[h_hargasebelumdiskon]]-Table1[[#This Row],[h_diskon]])</f>
        <v/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/>
      </c>
    </row>
    <row r="52" spans="1:32" x14ac:dyDescent="0.25">
      <c r="A52" s="287">
        <f ca="1">IF(Table1[[#This Row],[No. Invoice :]]="","",ROW())</f>
        <v>52</v>
      </c>
      <c r="B52" s="287">
        <f ca="1">IF(Table1[Column3]="","",B$1+COUNT(INDIRECT("B$2:B"&amp;ROW()-1)))</f>
        <v>23100017</v>
      </c>
      <c r="C52" s="281">
        <f>IF(Table1[[#This Row],[Column2]]="","",Table1[[#This Row],[Column2]]+C$1-1)</f>
        <v>45217</v>
      </c>
      <c r="D52" s="292">
        <v>18</v>
      </c>
      <c r="E52" s="280" t="s">
        <v>132</v>
      </c>
      <c r="F52" s="282" t="s">
        <v>209</v>
      </c>
      <c r="G52" s="280" t="s">
        <v>91</v>
      </c>
      <c r="H52" s="287" t="str">
        <f ca="1">IF(Table1[[#This Row],[h_No. Invoice :]]="","",CONCATENATE("AM"," ",Table1[[#This Row],[h_No. Invoice :]]))</f>
        <v>AM 23100017</v>
      </c>
      <c r="I52" s="288" t="str">
        <f>CONCATENATE(UPPER(Table1[[#This Row],[Column3]])," ",Table1[[#This Row],[Column4]])</f>
        <v>KO 4511</v>
      </c>
      <c r="J52" s="287" t="str">
        <f>IF(Table1[[#This Row],[Column5]]="","",INDEX(Table2[e],IF(Table1[[#This Row],[Column5]]="","",MATCH(Table1[[#This Row],[Column5]],Table2[a],0)),))</f>
        <v>CV LANCAR JAYA SENTOSA MALANG</v>
      </c>
      <c r="K52" s="280">
        <v>1</v>
      </c>
      <c r="L52" s="280" t="s">
        <v>130</v>
      </c>
      <c r="N52" s="280" t="s">
        <v>210</v>
      </c>
      <c r="O52" s="287" t="str">
        <f>IF(Table1[[#This Row],[h_Item Description]]="","",INDEX([1]!db[NB PAJAK],MATCH(Table1[[#This Row],[h_Item Description]],[1]!db[kode],0)))</f>
        <v>PENSIL WARNA JOYKO CP-12PB (PANJANG)</v>
      </c>
      <c r="P52" s="280" t="s">
        <v>212</v>
      </c>
      <c r="Q52" s="283">
        <v>127200</v>
      </c>
      <c r="R52" s="284">
        <v>0.125</v>
      </c>
      <c r="T52" s="283">
        <f>Table1[[#This Row],[h_hargasetelahdiskon]]</f>
        <v>111300</v>
      </c>
      <c r="U52" s="283" t="s">
        <v>131</v>
      </c>
      <c r="W52" s="287">
        <f ca="1">IF(Table1[[#This Row],[Item Description]]="","",IF(Table1[[#This Row],[//]]="",INDIRECT(ADDRESS(ROW()-1,COLUMN())),Table1[[#This Row],[//]]))</f>
        <v>52</v>
      </c>
      <c r="X52" s="287">
        <f ca="1">IF(Table1[[#This Row],[h_id]]="","",COUNTIF(Table1[h_id],Table1[[#This Row],[h_id]]))</f>
        <v>2</v>
      </c>
      <c r="Y52" s="283">
        <f>IF(Table1[Item Description]="","",Table1[[#This Row],[Qty]]*Table1[[#This Row],[Unit Price]])</f>
        <v>127200</v>
      </c>
      <c r="Z52" s="283">
        <f>IF(Table1[[#This Row],[h_hargasebelumdiskon]]="","",IF(Table1[[#This Row],[Disc 1]]="",0,Table1[[#This Row],[h_hargasebelumdiskon]]*Table1[[#This Row],[Disc 1]]))</f>
        <v>15900</v>
      </c>
      <c r="AA52" s="283">
        <f>IF(Table1[[#This Row],[h_hargasebelumdiskon]]="","",IF(Table1[[#This Row],[Disc 2]]="",0,(Table1[[#This Row],[h_hargasebelumdiskon]]-Table1[[#This Row],[h_disc 1]])*Table1[[#This Row],[Disc 2]]))</f>
        <v>0</v>
      </c>
      <c r="AB52" s="283">
        <f>IF(Table1[Item Description]="","",Table1[[#This Row],[h_disc 1]]+Table1[[#This Row],[h_disc 2]])</f>
        <v>15900</v>
      </c>
      <c r="AC52" s="283">
        <f>IF(Table1[Item Description]="","",Table1[[#This Row],[h_hargasebelumdiskon]]-Table1[[#This Row],[h_diskon]])</f>
        <v>111300</v>
      </c>
      <c r="AD52" s="283">
        <f ca="1">IF(Table1[//]="","",SUMIF(Table1[h_id],Table1[h_id],Table1[h_hargasetelahdiskon]))</f>
        <v>744450</v>
      </c>
      <c r="AE52" s="283"/>
      <c r="AF52" s="283" t="str">
        <f>Table1[[#This Row],[Item Description]]&amp;Table1[[#This Row],[Unit]]&amp;Table1[[#This Row],[Unit Price]]</f>
        <v>PENSIL WARNA JOYKO CP-12PB (PANJANG)LSN127200</v>
      </c>
    </row>
    <row r="53" spans="1:32" x14ac:dyDescent="0.25">
      <c r="A53" s="287" t="str">
        <f ca="1">IF(Table1[[#This Row],[No. Invoice :]]="","",ROW())</f>
        <v/>
      </c>
      <c r="B53" s="287" t="str">
        <f ca="1">IF(Table1[Column3]="","",B$1+COUNT(INDIRECT("B$2:B"&amp;ROW()-1)))</f>
        <v/>
      </c>
      <c r="C53" s="281" t="str">
        <f>IF(Table1[[#This Row],[Column2]]="","",Table1[[#This Row],[Column2]]+C$1-1)</f>
        <v/>
      </c>
      <c r="H53" s="287" t="str">
        <f ca="1">IF(Table1[[#This Row],[h_No. Invoice :]]="","",CONCATENATE("AM"," ",Table1[[#This Row],[h_No. Invoice :]]))</f>
        <v/>
      </c>
      <c r="I53" s="288" t="str">
        <f>CONCATENATE(UPPER(Table1[[#This Row],[Column3]])," ",Table1[[#This Row],[Column4]])</f>
        <v xml:space="preserve"> </v>
      </c>
      <c r="J53" s="287" t="str">
        <f>IF(Table1[[#This Row],[Column5]]="","",INDEX(Table2[e],IF(Table1[[#This Row],[Column5]]="","",MATCH(Table1[[#This Row],[Column5]],Table2[a],0)),))</f>
        <v/>
      </c>
      <c r="K53" s="280">
        <v>9</v>
      </c>
      <c r="L53" s="280" t="s">
        <v>130</v>
      </c>
      <c r="N53" s="280" t="s">
        <v>211</v>
      </c>
      <c r="O53" s="287" t="str">
        <f>IF(Table1[[#This Row],[h_Item Description]]="","",INDEX([1]!db[NB PAJAK],MATCH(Table1[[#This Row],[h_Item Description]],[1]!db[kode],0)))</f>
        <v>PENSIL WARNA JOYKO CP-S12 MINI (PENDEK)</v>
      </c>
      <c r="P53" s="280" t="s">
        <v>213</v>
      </c>
      <c r="Q53" s="283">
        <v>80400</v>
      </c>
      <c r="R53" s="284">
        <v>0.125</v>
      </c>
      <c r="T53" s="283">
        <f>Table1[[#This Row],[h_hargasetelahdiskon]]</f>
        <v>633150</v>
      </c>
      <c r="W53" s="287">
        <f ca="1">IF(Table1[[#This Row],[Item Description]]="","",IF(Table1[[#This Row],[//]]="",INDIRECT(ADDRESS(ROW()-1,COLUMN())),Table1[[#This Row],[//]]))</f>
        <v>52</v>
      </c>
      <c r="X53" s="287">
        <f ca="1">IF(Table1[[#This Row],[h_id]]="","",COUNTIF(Table1[h_id],Table1[[#This Row],[h_id]]))</f>
        <v>2</v>
      </c>
      <c r="Y53" s="283">
        <f>IF(Table1[Item Description]="","",Table1[[#This Row],[Qty]]*Table1[[#This Row],[Unit Price]])</f>
        <v>723600</v>
      </c>
      <c r="Z53" s="283">
        <f>IF(Table1[[#This Row],[h_hargasebelumdiskon]]="","",IF(Table1[[#This Row],[Disc 1]]="",0,Table1[[#This Row],[h_hargasebelumdiskon]]*Table1[[#This Row],[Disc 1]]))</f>
        <v>90450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90450</v>
      </c>
      <c r="AC53" s="283">
        <f>IF(Table1[Item Description]="","",Table1[[#This Row],[h_hargasebelumdiskon]]-Table1[[#This Row],[h_diskon]])</f>
        <v>633150</v>
      </c>
      <c r="AD53" s="283" t="str">
        <f ca="1">IF(Table1[//]="","",SUMIF(Table1[h_id],Table1[h_id],Table1[h_hargasetelahdiskon]))</f>
        <v/>
      </c>
      <c r="AE53" s="283"/>
      <c r="AF53" s="283" t="str">
        <f>Table1[[#This Row],[Item Description]]&amp;Table1[[#This Row],[Unit]]&amp;Table1[[#This Row],[Unit Price]]</f>
        <v>PENSIL WARNA JOYKO CP-S12 MINI (PENDEK)LSN80400</v>
      </c>
    </row>
    <row r="54" spans="1:32" x14ac:dyDescent="0.25">
      <c r="A54" s="287" t="str">
        <f ca="1">IF(Table1[[#This Row],[No. Invoice :]]="","",ROW())</f>
        <v/>
      </c>
      <c r="B54" s="287" t="str">
        <f ca="1">IF(Table1[Column3]="","",B$1+COUNT(INDIRECT("B$2:B"&amp;ROW()-1)))</f>
        <v/>
      </c>
      <c r="C54" s="281" t="str">
        <f>IF(Table1[[#This Row],[Column2]]="","",Table1[[#This Row],[Column2]]+C$1-1)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Row],[Column3]])," ",Table1[[#This Row],[Column4]])</f>
        <v xml:space="preserve"> </v>
      </c>
      <c r="J54" s="287" t="str">
        <f>IF(Table1[[#This Row],[Column5]]="","",INDEX(Table2[e],IF(Table1[[#This Row],[Column5]]="","",MATCH(Table1[[#This Row],[Column5]],Table2[a],0)),))</f>
        <v/>
      </c>
      <c r="O54" s="287" t="str">
        <f>IF(Table1[[#This Row],[h_Item Description]]="","",INDEX([1]!db[NB PAJAK],MATCH(Table1[[#This Row],[h_Item Description]],[1]!db[kode],0)))</f>
        <v/>
      </c>
      <c r="Q54" s="283"/>
      <c r="R54" s="284"/>
      <c r="T54" s="283" t="str">
        <f>Table1[[#This Row],[h_hargasetelahdiskon]]</f>
        <v/>
      </c>
      <c r="W54" s="287" t="str">
        <f ca="1">IF(Table1[[#This Row],[Item Description]]="","",IF(Table1[[#This Row],[//]]="",INDIRECT(ADDRESS(ROW()-1,COLUMN())),Table1[[#This Row],[//]]))</f>
        <v/>
      </c>
      <c r="X54" s="287" t="str">
        <f ca="1">IF(Table1[[#This Row],[h_id]]="","",COUNTIF(Table1[h_id],Table1[[#This Row],[h_id]]))</f>
        <v/>
      </c>
      <c r="Y54" s="283" t="str">
        <f>IF(Table1[Item Description]="","",Table1[[#This Row],[Qty]]*Table1[[#This Row],[Unit Price]])</f>
        <v/>
      </c>
      <c r="Z54" s="283" t="str">
        <f>IF(Table1[[#This Row],[h_hargasebelumdiskon]]="","",IF(Table1[[#This Row],[Disc 1]]="",0,Table1[[#This Row],[h_hargasebelumdiskon]]*Table1[[#This Row],[Disc 1]]))</f>
        <v/>
      </c>
      <c r="AA54" s="283" t="str">
        <f>IF(Table1[[#This Row],[h_hargasebelumdiskon]]="","",IF(Table1[[#This Row],[Disc 2]]="",0,(Table1[[#This Row],[h_hargasebelumdiskon]]-Table1[[#This Row],[h_disc 1]])*Table1[[#This Row],[Disc 2]]))</f>
        <v/>
      </c>
      <c r="AB54" s="283" t="str">
        <f>IF(Table1[Item Description]="","",Table1[[#This Row],[h_disc 1]]+Table1[[#This Row],[h_disc 2]])</f>
        <v/>
      </c>
      <c r="AC54" s="283" t="str">
        <f>IF(Table1[Item Description]="","",Table1[[#This Row],[h_hargasebelumdiskon]]-Table1[[#This Row],[h_diskon]])</f>
        <v/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/>
      </c>
    </row>
    <row r="55" spans="1:32" x14ac:dyDescent="0.25">
      <c r="A55" s="287" t="str">
        <f ca="1">IF(Table1[[#This Row],[No. Invoice :]]="","",ROW())</f>
        <v/>
      </c>
      <c r="B55" s="287" t="str">
        <f ca="1">IF(Table1[Column3]="","",B$1+COUNT(INDIRECT("B$2:B"&amp;ROW()-1)))</f>
        <v/>
      </c>
      <c r="C55" s="281" t="str">
        <f>IF(Table1[[#This Row],[Column2]]="","",Table1[[#This Row],[Column2]]+C$1-1)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Row],[Column3]])," ",Table1[[#This Row],[Column4]])</f>
        <v xml:space="preserve"> </v>
      </c>
      <c r="J55" s="287" t="str">
        <f>IF(Table1[[#This Row],[Column5]]="","",INDEX(Table2[e],IF(Table1[[#This Row],[Column5]]="","",MATCH(Table1[[#This Row],[Column5]],Table2[a],0)),))</f>
        <v/>
      </c>
      <c r="O55" s="287" t="str">
        <f>IF(Table1[[#This Row],[h_Item Description]]="","",INDEX([1]!db[NB PAJAK],MATCH(Table1[[#This Row],[h_Item Description]],[1]!db[kode],0)))</f>
        <v/>
      </c>
      <c r="Q55" s="283"/>
      <c r="R55" s="284"/>
      <c r="T55" s="283" t="str">
        <f>Table1[[#This Row],[h_hargasetelahdiskon]]</f>
        <v/>
      </c>
      <c r="W55" s="287" t="str">
        <f ca="1">IF(Table1[[#This Row],[Item Description]]="","",IF(Table1[[#This Row],[//]]="",INDIRECT(ADDRESS(ROW()-1,COLUMN())),Table1[[#This Row],[//]]))</f>
        <v/>
      </c>
      <c r="X55" s="287" t="str">
        <f ca="1">IF(Table1[[#This Row],[h_id]]="","",COUNTIF(Table1[h_id],Table1[[#This Row],[h_id]]))</f>
        <v/>
      </c>
      <c r="Y55" s="283" t="str">
        <f>IF(Table1[Item Description]="","",Table1[[#This Row],[Qty]]*Table1[[#This Row],[Unit Price]])</f>
        <v/>
      </c>
      <c r="Z55" s="283" t="str">
        <f>IF(Table1[[#This Row],[h_hargasebelumdiskon]]="","",IF(Table1[[#This Row],[Disc 1]]="",0,Table1[[#This Row],[h_hargasebelumdiskon]]*Table1[[#This Row],[Disc 1]]))</f>
        <v/>
      </c>
      <c r="AA55" s="283" t="str">
        <f>IF(Table1[[#This Row],[h_hargasebelumdiskon]]="","",IF(Table1[[#This Row],[Disc 2]]="",0,(Table1[[#This Row],[h_hargasebelumdiskon]]-Table1[[#This Row],[h_disc 1]])*Table1[[#This Row],[Disc 2]]))</f>
        <v/>
      </c>
      <c r="AB55" s="283" t="str">
        <f>IF(Table1[Item Description]="","",Table1[[#This Row],[h_disc 1]]+Table1[[#This Row],[h_disc 2]])</f>
        <v/>
      </c>
      <c r="AC55" s="283" t="str">
        <f>IF(Table1[Item Description]="","",Table1[[#This Row],[h_hargasebelumdiskon]]-Table1[[#This Row],[h_diskon]])</f>
        <v/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/>
      </c>
    </row>
    <row r="56" spans="1:32" x14ac:dyDescent="0.25">
      <c r="A56" s="287" t="str">
        <f ca="1">IF(Table1[[#This Row],[No. Invoice :]]="","",ROW())</f>
        <v/>
      </c>
      <c r="B56" s="287" t="str">
        <f ca="1">IF(Table1[Column3]="","",B$1+COUNT(INDIRECT("B$2:B"&amp;ROW()-1)))</f>
        <v/>
      </c>
      <c r="C56" s="281" t="str">
        <f>IF(Table1[[#This Row],[Column2]]="","",Table1[[#This Row],[Column2]]+C$1-1)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Row],[Column3]])," ",Table1[[#This Row],[Column4]])</f>
        <v xml:space="preserve"> </v>
      </c>
      <c r="J56" s="287" t="str">
        <f>IF(Table1[[#This Row],[Column5]]="","",INDEX(Table2[e],IF(Table1[[#This Row],[Column5]]="","",MATCH(Table1[[#This Row],[Column5]],Table2[a],0)),))</f>
        <v/>
      </c>
      <c r="O56" s="287" t="str">
        <f>IF(Table1[[#This Row],[h_Item Description]]="","",INDEX([1]!db[NB PAJAK],MATCH(Table1[[#This Row],[h_Item Description]],[1]!db[kode],0)))</f>
        <v/>
      </c>
      <c r="Q56" s="283"/>
      <c r="R56" s="284"/>
      <c r="T56" s="283" t="str">
        <f>Table1[[#This Row],[h_hargasetelahdiskon]]</f>
        <v/>
      </c>
      <c r="W56" s="287" t="str">
        <f ca="1">IF(Table1[[#This Row],[Item Description]]="","",IF(Table1[[#This Row],[//]]="",INDIRECT(ADDRESS(ROW()-1,COLUMN())),Table1[[#This Row],[//]]))</f>
        <v/>
      </c>
      <c r="X56" s="287" t="str">
        <f ca="1">IF(Table1[[#This Row],[h_id]]="","",COUNTIF(Table1[h_id],Table1[[#This Row],[h_id]]))</f>
        <v/>
      </c>
      <c r="Y56" s="283" t="str">
        <f>IF(Table1[Item Description]="","",Table1[[#This Row],[Qty]]*Table1[[#This Row],[Unit Price]])</f>
        <v/>
      </c>
      <c r="Z56" s="283" t="str">
        <f>IF(Table1[[#This Row],[h_hargasebelumdiskon]]="","",IF(Table1[[#This Row],[Disc 1]]="",0,Table1[[#This Row],[h_hargasebelumdiskon]]*Table1[[#This Row],[Disc 1]]))</f>
        <v/>
      </c>
      <c r="AA56" s="283" t="str">
        <f>IF(Table1[[#This Row],[h_hargasebelumdiskon]]="","",IF(Table1[[#This Row],[Disc 2]]="",0,(Table1[[#This Row],[h_hargasebelumdiskon]]-Table1[[#This Row],[h_disc 1]])*Table1[[#This Row],[Disc 2]]))</f>
        <v/>
      </c>
      <c r="AB56" s="283" t="str">
        <f>IF(Table1[Item Description]="","",Table1[[#This Row],[h_disc 1]]+Table1[[#This Row],[h_disc 2]])</f>
        <v/>
      </c>
      <c r="AC56" s="283" t="str">
        <f>IF(Table1[Item Description]="","",Table1[[#This Row],[h_hargasebelumdiskon]]-Table1[[#This Row],[h_diskon]])</f>
        <v/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/>
      </c>
    </row>
    <row r="57" spans="1:32" x14ac:dyDescent="0.25">
      <c r="A57" s="287" t="str">
        <f ca="1">IF(Table1[[#This Row],[No. Invoice :]]="","",ROW())</f>
        <v/>
      </c>
      <c r="B57" s="287" t="str">
        <f ca="1">IF(Table1[Column3]="","",B$1+COUNT(INDIRECT("B$2:B"&amp;ROW()-1)))</f>
        <v/>
      </c>
      <c r="C57" s="281" t="str">
        <f>IF(Table1[[#This Row],[Column2]]="","",Table1[[#This Row],[Column2]]+C$1-1)</f>
        <v/>
      </c>
      <c r="H57" s="287" t="str">
        <f ca="1">IF(Table1[[#This Row],[h_No. Invoice :]]="","",CONCATENATE("AM"," ",Table1[[#This Row],[h_No. Invoice :]]))</f>
        <v/>
      </c>
      <c r="I57" s="288" t="str">
        <f>CONCATENATE(UPPER(Table1[[#This Row],[Column3]])," ",Table1[[#This Row],[Column4]])</f>
        <v xml:space="preserve"> </v>
      </c>
      <c r="J57" s="287" t="str">
        <f>IF(Table1[[#This Row],[Column5]]="","",INDEX(Table2[e],IF(Table1[[#This Row],[Column5]]="","",MATCH(Table1[[#This Row],[Column5]],Table2[a],0)),))</f>
        <v/>
      </c>
      <c r="O57" s="287" t="str">
        <f>IF(Table1[[#This Row],[h_Item Description]]="","",INDEX([1]!db[NB PAJAK],MATCH(Table1[[#This Row],[h_Item Description]],[1]!db[kode],0)))</f>
        <v/>
      </c>
      <c r="Q57" s="283"/>
      <c r="R57" s="284"/>
      <c r="T57" s="283" t="str">
        <f>Table1[[#This Row],[h_hargasetelahdiskon]]</f>
        <v/>
      </c>
      <c r="W57" s="287" t="str">
        <f ca="1">IF(Table1[[#This Row],[Item Description]]="","",IF(Table1[[#This Row],[//]]="",INDIRECT(ADDRESS(ROW()-1,COLUMN())),Table1[[#This Row],[//]]))</f>
        <v/>
      </c>
      <c r="X57" s="287" t="str">
        <f ca="1">IF(Table1[[#This Row],[h_id]]="","",COUNTIF(Table1[h_id],Table1[[#This Row],[h_id]]))</f>
        <v/>
      </c>
      <c r="Y57" s="283" t="str">
        <f>IF(Table1[Item Description]="","",Table1[[#This Row],[Qty]]*Table1[[#This Row],[Unit Price]])</f>
        <v/>
      </c>
      <c r="Z57" s="283" t="str">
        <f>IF(Table1[[#This Row],[h_hargasebelumdiskon]]="","",IF(Table1[[#This Row],[Disc 1]]="",0,Table1[[#This Row],[h_hargasebelumdiskon]]*Table1[[#This Row],[Disc 1]]))</f>
        <v/>
      </c>
      <c r="AA57" s="283" t="str">
        <f>IF(Table1[[#This Row],[h_hargasebelumdiskon]]="","",IF(Table1[[#This Row],[Disc 2]]="",0,(Table1[[#This Row],[h_hargasebelumdiskon]]-Table1[[#This Row],[h_disc 1]])*Table1[[#This Row],[Disc 2]]))</f>
        <v/>
      </c>
      <c r="AB57" s="283" t="str">
        <f>IF(Table1[Item Description]="","",Table1[[#This Row],[h_disc 1]]+Table1[[#This Row],[h_disc 2]])</f>
        <v/>
      </c>
      <c r="AC57" s="283" t="str">
        <f>IF(Table1[Item Description]="","",Table1[[#This Row],[h_hargasebelumdiskon]]-Table1[[#This Row],[h_diskon]])</f>
        <v/>
      </c>
      <c r="AD57" s="283" t="str">
        <f ca="1">IF(Table1[//]="","",SUMIF(Table1[h_id],Table1[h_id],Table1[h_hargasetelahdiskon]))</f>
        <v/>
      </c>
      <c r="AE57" s="283"/>
      <c r="AF57" s="283" t="str">
        <f>Table1[[#This Row],[Item Description]]&amp;Table1[[#This Row],[Unit]]&amp;Table1[[#This Row],[Unit Price]]</f>
        <v/>
      </c>
    </row>
    <row r="58" spans="1:32" ht="16.5" x14ac:dyDescent="0.25">
      <c r="A58" s="287" t="str">
        <f ca="1">IF(Table1[[#This Row],[No. Invoice :]]="","",ROW())</f>
        <v/>
      </c>
      <c r="B58" s="287" t="str">
        <f ca="1">IF(Table1[Column3]="","",B$1+COUNT(INDIRECT("B$2:B"&amp;ROW()-1)))</f>
        <v/>
      </c>
      <c r="C58" s="281" t="str">
        <f>IF(Table1[[#This Row],[Column2]]="","",Table1[[#This Row],[Column2]]+C$1-1)</f>
        <v/>
      </c>
      <c r="H58" s="287" t="str">
        <f ca="1">IF(Table1[[#This Row],[h_No. Invoice :]]="","",CONCATENATE("AM"," ",Table1[[#This Row],[h_No. Invoice :]]))</f>
        <v/>
      </c>
      <c r="I58" s="288" t="str">
        <f>CONCATENATE(UPPER(Table1[[#This Row],[Column3]])," ",Table1[[#This Row],[Column4]])</f>
        <v xml:space="preserve"> </v>
      </c>
      <c r="J58" s="287" t="str">
        <f>IF(Table1[[#This Row],[Column5]]="","",INDEX(Table2[e],IF(Table1[[#This Row],[Column5]]="","",MATCH(Table1[[#This Row],[Column5]],Table2[a],0)),))</f>
        <v/>
      </c>
      <c r="O58" s="287" t="str">
        <f>IF(Table1[[#This Row],[h_Item Description]]="","",INDEX([1]!db[NB PAJAK],MATCH(Table1[[#This Row],[h_Item Description]],[1]!db[kode],0)))</f>
        <v/>
      </c>
      <c r="P58" s="290"/>
      <c r="Q58" s="283"/>
      <c r="R58" s="284"/>
      <c r="T58" s="283" t="str">
        <f>Table1[[#This Row],[h_hargasetelahdiskon]]</f>
        <v/>
      </c>
      <c r="W58" s="287" t="str">
        <f ca="1">IF(Table1[[#This Row],[Item Description]]="","",IF(Table1[[#This Row],[//]]="",INDIRECT(ADDRESS(ROW()-1,COLUMN())),Table1[[#This Row],[//]]))</f>
        <v/>
      </c>
      <c r="X58" s="287" t="str">
        <f ca="1">IF(Table1[[#This Row],[h_id]]="","",COUNTIF(Table1[h_id],Table1[[#This Row],[h_id]]))</f>
        <v/>
      </c>
      <c r="Y58" s="283" t="str">
        <f>IF(Table1[Item Description]="","",Table1[[#This Row],[Qty]]*Table1[[#This Row],[Unit Price]])</f>
        <v/>
      </c>
      <c r="Z58" s="283" t="str">
        <f>IF(Table1[[#This Row],[h_hargasebelumdiskon]]="","",IF(Table1[[#This Row],[Disc 1]]="",0,Table1[[#This Row],[h_hargasebelumdiskon]]*Table1[[#This Row],[Disc 1]]))</f>
        <v/>
      </c>
      <c r="AA58" s="283" t="str">
        <f>IF(Table1[[#This Row],[h_hargasebelumdiskon]]="","",IF(Table1[[#This Row],[Disc 2]]="",0,(Table1[[#This Row],[h_hargasebelumdiskon]]-Table1[[#This Row],[h_disc 1]])*Table1[[#This Row],[Disc 2]]))</f>
        <v/>
      </c>
      <c r="AB58" s="283" t="str">
        <f>IF(Table1[Item Description]="","",Table1[[#This Row],[h_disc 1]]+Table1[[#This Row],[h_disc 2]])</f>
        <v/>
      </c>
      <c r="AC58" s="283" t="str">
        <f>IF(Table1[Item Description]="","",Table1[[#This Row],[h_hargasebelumdiskon]]-Table1[[#This Row],[h_diskon]])</f>
        <v/>
      </c>
      <c r="AD58" s="283" t="str">
        <f ca="1">IF(Table1[//]="","",SUMIF(Table1[h_id],Table1[h_id],Table1[h_hargasetelahdiskon]))</f>
        <v/>
      </c>
      <c r="AE58" s="283"/>
      <c r="AF58" s="283" t="str">
        <f>Table1[[#This Row],[Item Description]]&amp;Table1[[#This Row],[Unit]]&amp;Table1[[#This Row],[Unit Price]]</f>
        <v/>
      </c>
    </row>
    <row r="59" spans="1:32" x14ac:dyDescent="0.25">
      <c r="A59" s="287" t="str">
        <f ca="1">IF(Table1[[#This Row],[No. Invoice :]]="","",ROW())</f>
        <v/>
      </c>
      <c r="B59" s="287" t="str">
        <f ca="1">IF(Table1[Column3]="","",B$1+COUNT(INDIRECT("B$2:B"&amp;ROW()-1)))</f>
        <v/>
      </c>
      <c r="C59" s="281" t="str">
        <f>IF(Table1[[#This Row],[Column2]]="","",Table1[[#This Row],[Column2]]+C$1-1)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Row],[Column3]])," ",Table1[[#This Row],[Column4]])</f>
        <v xml:space="preserve"> </v>
      </c>
      <c r="J59" s="287" t="str">
        <f>IF(Table1[[#This Row],[Column5]]="","",INDEX(Table2[e],IF(Table1[[#This Row],[Column5]]="","",MATCH(Table1[[#This Row],[Column5]],Table2[a],0)),))</f>
        <v/>
      </c>
      <c r="O59" s="287" t="str">
        <f>IF(Table1[[#This Row],[h_Item Description]]="","",INDEX([1]!db[NB PAJAK],MATCH(Table1[[#This Row],[h_Item Description]],[1]!db[kode],0)))</f>
        <v/>
      </c>
      <c r="Q59" s="283"/>
      <c r="R59" s="284"/>
      <c r="T59" s="283" t="str">
        <f>Table1[[#This Row],[h_hargasetelahdiskon]]</f>
        <v/>
      </c>
      <c r="W59" s="287" t="str">
        <f ca="1">IF(Table1[[#This Row],[Item Description]]="","",IF(Table1[[#This Row],[//]]="",INDIRECT(ADDRESS(ROW()-1,COLUMN())),Table1[[#This Row],[//]]))</f>
        <v/>
      </c>
      <c r="X59" s="287" t="str">
        <f ca="1">IF(Table1[[#This Row],[h_id]]="","",COUNTIF(Table1[h_id],Table1[[#This Row],[h_id]]))</f>
        <v/>
      </c>
      <c r="Y59" s="283" t="str">
        <f>IF(Table1[Item Description]="","",Table1[[#This Row],[Qty]]*Table1[[#This Row],[Unit Price]])</f>
        <v/>
      </c>
      <c r="Z59" s="283" t="str">
        <f>IF(Table1[[#This Row],[h_hargasebelumdiskon]]="","",IF(Table1[[#This Row],[Disc 1]]="",0,Table1[[#This Row],[h_hargasebelumdiskon]]*Table1[[#This Row],[Disc 1]]))</f>
        <v/>
      </c>
      <c r="AA59" s="283" t="str">
        <f>IF(Table1[[#This Row],[h_hargasebelumdiskon]]="","",IF(Table1[[#This Row],[Disc 2]]="",0,(Table1[[#This Row],[h_hargasebelumdiskon]]-Table1[[#This Row],[h_disc 1]])*Table1[[#This Row],[Disc 2]]))</f>
        <v/>
      </c>
      <c r="AB59" s="283" t="str">
        <f>IF(Table1[Item Description]="","",Table1[[#This Row],[h_disc 1]]+Table1[[#This Row],[h_disc 2]])</f>
        <v/>
      </c>
      <c r="AC59" s="283" t="str">
        <f>IF(Table1[Item Description]="","",Table1[[#This Row],[h_hargasebelumdiskon]]-Table1[[#This Row],[h_diskon]])</f>
        <v/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/>
      </c>
    </row>
    <row r="60" spans="1:32" x14ac:dyDescent="0.25">
      <c r="A60" s="287" t="str">
        <f ca="1">IF(Table1[[#This Row],[No. Invoice :]]="","",ROW())</f>
        <v/>
      </c>
      <c r="B60" s="287" t="str">
        <f ca="1">IF(Table1[Column3]="","",B$1+COUNT(INDIRECT("B$2:B"&amp;ROW()-1)))</f>
        <v/>
      </c>
      <c r="C60" s="281" t="str">
        <f>IF(Table1[[#This Row],[Column2]]="","",Table1[[#This Row],[Column2]]+C$1-1)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Row],[Column3]])," ",Table1[[#This Row],[Column4]])</f>
        <v xml:space="preserve"> </v>
      </c>
      <c r="J60" s="287" t="str">
        <f>IF(Table1[[#This Row],[Column5]]="","",INDEX(Table2[e],IF(Table1[[#This Row],[Column5]]="","",MATCH(Table1[[#This Row],[Column5]],Table2[a],0)),))</f>
        <v/>
      </c>
      <c r="O60" s="287" t="str">
        <f>IF(Table1[[#This Row],[h_Item Description]]="","",INDEX([1]!db[NB PAJAK],MATCH(Table1[[#This Row],[h_Item Description]],[1]!db[kode],0)))</f>
        <v/>
      </c>
      <c r="Q60" s="283"/>
      <c r="R60" s="284"/>
      <c r="T60" s="283" t="str">
        <f>Table1[[#This Row],[h_hargasetelahdiskon]]</f>
        <v/>
      </c>
      <c r="W60" s="287" t="str">
        <f ca="1">IF(Table1[[#This Row],[Item Description]]="","",IF(Table1[[#This Row],[//]]="",INDIRECT(ADDRESS(ROW()-1,COLUMN())),Table1[[#This Row],[//]]))</f>
        <v/>
      </c>
      <c r="X60" s="287" t="str">
        <f ca="1">IF(Table1[[#This Row],[h_id]]="","",COUNTIF(Table1[h_id],Table1[[#This Row],[h_id]]))</f>
        <v/>
      </c>
      <c r="Y60" s="283" t="str">
        <f>IF(Table1[Item Description]="","",Table1[[#This Row],[Qty]]*Table1[[#This Row],[Unit Price]])</f>
        <v/>
      </c>
      <c r="Z60" s="283" t="str">
        <f>IF(Table1[[#This Row],[h_hargasebelumdiskon]]="","",IF(Table1[[#This Row],[Disc 1]]="",0,Table1[[#This Row],[h_hargasebelumdiskon]]*Table1[[#This Row],[Disc 1]]))</f>
        <v/>
      </c>
      <c r="AA60" s="283" t="str">
        <f>IF(Table1[[#This Row],[h_hargasebelumdiskon]]="","",IF(Table1[[#This Row],[Disc 2]]="",0,(Table1[[#This Row],[h_hargasebelumdiskon]]-Table1[[#This Row],[h_disc 1]])*Table1[[#This Row],[Disc 2]]))</f>
        <v/>
      </c>
      <c r="AB60" s="283" t="str">
        <f>IF(Table1[Item Description]="","",Table1[[#This Row],[h_disc 1]]+Table1[[#This Row],[h_disc 2]])</f>
        <v/>
      </c>
      <c r="AC60" s="283" t="str">
        <f>IF(Table1[Item Description]="","",Table1[[#This Row],[h_hargasebelumdiskon]]-Table1[[#This Row],[h_diskon]])</f>
        <v/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/>
      </c>
    </row>
    <row r="61" spans="1:32" x14ac:dyDescent="0.25">
      <c r="A61" s="287" t="str">
        <f ca="1">IF(Table1[[#This Row],[No. Invoice :]]="","",ROW())</f>
        <v/>
      </c>
      <c r="B61" s="287" t="str">
        <f ca="1">IF(Table1[Column3]="","",B$1+COUNT(INDIRECT("B$2:B"&amp;ROW()-1)))</f>
        <v/>
      </c>
      <c r="C61" s="281" t="str">
        <f>IF(Table1[[#This Row],[Column2]]="","",Table1[[#This Row],[Column2]]+C$1-1)</f>
        <v/>
      </c>
      <c r="H61" s="287" t="str">
        <f ca="1">IF(Table1[[#This Row],[h_No. Invoice :]]="","",CONCATENATE("AM"," ",Table1[[#This Row],[h_No. Invoice :]]))</f>
        <v/>
      </c>
      <c r="I61" s="288" t="str">
        <f>CONCATENATE(UPPER(Table1[[#This Row],[Column3]])," ",Table1[[#This Row],[Column4]])</f>
        <v xml:space="preserve"> </v>
      </c>
      <c r="J61" s="287" t="str">
        <f>IF(Table1[[#This Row],[Column5]]="","",INDEX(Table2[e],IF(Table1[[#This Row],[Column5]]="","",MATCH(Table1[[#This Row],[Column5]],Table2[a],0)),))</f>
        <v/>
      </c>
      <c r="O61" s="287" t="str">
        <f>IF(Table1[[#This Row],[h_Item Description]]="","",INDEX([1]!db[NB PAJAK],MATCH(Table1[[#This Row],[h_Item Description]],[1]!db[kode],0)))</f>
        <v/>
      </c>
      <c r="Q61" s="283"/>
      <c r="R61" s="284"/>
      <c r="T61" s="283" t="str">
        <f>Table1[[#This Row],[h_hargasetelahdiskon]]</f>
        <v/>
      </c>
      <c r="W61" s="287" t="str">
        <f ca="1">IF(Table1[[#This Row],[Item Description]]="","",IF(Table1[[#This Row],[//]]="",INDIRECT(ADDRESS(ROW()-1,COLUMN())),Table1[[#This Row],[//]]))</f>
        <v/>
      </c>
      <c r="X61" s="287" t="str">
        <f ca="1">IF(Table1[[#This Row],[h_id]]="","",COUNTIF(Table1[h_id],Table1[[#This Row],[h_id]]))</f>
        <v/>
      </c>
      <c r="Y61" s="283" t="str">
        <f>IF(Table1[Item Description]="","",Table1[[#This Row],[Qty]]*Table1[[#This Row],[Unit Price]])</f>
        <v/>
      </c>
      <c r="Z61" s="283" t="str">
        <f>IF(Table1[[#This Row],[h_hargasebelumdiskon]]="","",IF(Table1[[#This Row],[Disc 1]]="",0,Table1[[#This Row],[h_hargasebelumdiskon]]*Table1[[#This Row],[Disc 1]]))</f>
        <v/>
      </c>
      <c r="AA61" s="283" t="str">
        <f>IF(Table1[[#This Row],[h_hargasebelumdiskon]]="","",IF(Table1[[#This Row],[Disc 2]]="",0,(Table1[[#This Row],[h_hargasebelumdiskon]]-Table1[[#This Row],[h_disc 1]])*Table1[[#This Row],[Disc 2]]))</f>
        <v/>
      </c>
      <c r="AB61" s="283" t="str">
        <f>IF(Table1[Item Description]="","",Table1[[#This Row],[h_disc 1]]+Table1[[#This Row],[h_disc 2]])</f>
        <v/>
      </c>
      <c r="AC61" s="283" t="str">
        <f>IF(Table1[Item Description]="","",Table1[[#This Row],[h_hargasebelumdiskon]]-Table1[[#This Row],[h_diskon]])</f>
        <v/>
      </c>
      <c r="AD61" s="283" t="str">
        <f ca="1">IF(Table1[//]="","",SUMIF(Table1[h_id],Table1[h_id],Table1[h_hargasetelahdiskon]))</f>
        <v/>
      </c>
      <c r="AE61" s="283"/>
      <c r="AF61" s="283" t="str">
        <f>Table1[[#This Row],[Item Description]]&amp;Table1[[#This Row],[Unit]]&amp;Table1[[#This Row],[Unit Price]]</f>
        <v/>
      </c>
    </row>
    <row r="62" spans="1:32" x14ac:dyDescent="0.25">
      <c r="A62" s="287" t="str">
        <f ca="1">IF(Table1[[#This Row],[No. Invoice :]]="","",ROW())</f>
        <v/>
      </c>
      <c r="B62" s="287" t="str">
        <f ca="1">IF(Table1[Column3]="","",B$1+COUNT(INDIRECT("B$2:B"&amp;ROW()-1)))</f>
        <v/>
      </c>
      <c r="C62" s="281" t="str">
        <f>IF(Table1[[#This Row],[Column2]]="","",Table1[[#This Row],[Column2]]+C$1-1)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Row],[Column3]])," ",Table1[[#This Row],[Column4]])</f>
        <v xml:space="preserve"> </v>
      </c>
      <c r="J62" s="287" t="str">
        <f>IF(Table1[[#This Row],[Column5]]="","",INDEX(Table2[e],IF(Table1[[#This Row],[Column5]]="","",MATCH(Table1[[#This Row],[Column5]],Table2[a],0)),))</f>
        <v/>
      </c>
      <c r="O62" s="287" t="str">
        <f>IF(Table1[[#This Row],[h_Item Description]]="","",INDEX([1]!db[NB PAJAK],MATCH(Table1[[#This Row],[h_Item Description]],[1]!db[kode],0)))</f>
        <v/>
      </c>
      <c r="Q62" s="283"/>
      <c r="R62" s="284"/>
      <c r="T62" s="283" t="str">
        <f>Table1[[#This Row],[h_hargasetelahdiskon]]</f>
        <v/>
      </c>
      <c r="W62" s="287" t="str">
        <f ca="1">IF(Table1[[#This Row],[Item Description]]="","",IF(Table1[[#This Row],[//]]="",INDIRECT(ADDRESS(ROW()-1,COLUMN())),Table1[[#This Row],[//]]))</f>
        <v/>
      </c>
      <c r="X62" s="287" t="str">
        <f ca="1">IF(Table1[[#This Row],[h_id]]="","",COUNTIF(Table1[h_id],Table1[[#This Row],[h_id]]))</f>
        <v/>
      </c>
      <c r="Y62" s="283" t="str">
        <f>IF(Table1[Item Description]="","",Table1[[#This Row],[Qty]]*Table1[[#This Row],[Unit Price]])</f>
        <v/>
      </c>
      <c r="Z62" s="283" t="str">
        <f>IF(Table1[[#This Row],[h_hargasebelumdiskon]]="","",IF(Table1[[#This Row],[Disc 1]]="",0,Table1[[#This Row],[h_hargasebelumdiskon]]*Table1[[#This Row],[Disc 1]]))</f>
        <v/>
      </c>
      <c r="AA62" s="283" t="str">
        <f>IF(Table1[[#This Row],[h_hargasebelumdiskon]]="","",IF(Table1[[#This Row],[Disc 2]]="",0,(Table1[[#This Row],[h_hargasebelumdiskon]]-Table1[[#This Row],[h_disc 1]])*Table1[[#This Row],[Disc 2]]))</f>
        <v/>
      </c>
      <c r="AB62" s="283" t="str">
        <f>IF(Table1[Item Description]="","",Table1[[#This Row],[h_disc 1]]+Table1[[#This Row],[h_disc 2]])</f>
        <v/>
      </c>
      <c r="AC62" s="283" t="str">
        <f>IF(Table1[Item Description]="","",Table1[[#This Row],[h_hargasebelumdiskon]]-Table1[[#This Row],[h_diskon]])</f>
        <v/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/>
      </c>
    </row>
    <row r="63" spans="1:32" x14ac:dyDescent="0.25">
      <c r="A63" s="287" t="str">
        <f ca="1">IF(Table1[[#This Row],[No. Invoice :]]="","",ROW())</f>
        <v/>
      </c>
      <c r="B63" s="287" t="str">
        <f ca="1">IF(Table1[Column3]="","",B$1+COUNT(INDIRECT("B$2:B"&amp;ROW()-1)))</f>
        <v/>
      </c>
      <c r="C63" s="281" t="str">
        <f>IF(Table1[[#This Row],[Column2]]="","",Table1[[#This Row],[Column2]]+C$1-1)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Row],[Column3]])," ",Table1[[#This Row],[Column4]])</f>
        <v xml:space="preserve"> </v>
      </c>
      <c r="J63" s="287" t="str">
        <f>IF(Table1[[#This Row],[Column5]]="","",INDEX(Table2[e],IF(Table1[[#This Row],[Column5]]="","",MATCH(Table1[[#This Row],[Column5]],Table2[a],0)),))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 t="str">
        <f ca="1">IF(Table1[[#This Row],[No. Invoice :]]="","",ROW())</f>
        <v/>
      </c>
      <c r="B64" s="287" t="str">
        <f ca="1">IF(Table1[Column3]="","",B$1+COUNT(INDIRECT("B$2:B"&amp;ROW()-1)))</f>
        <v/>
      </c>
      <c r="C64" s="281" t="str">
        <f>IF(Table1[[#This Row],[Column2]]="","",Table1[[#This Row],[Column2]]+C$1-1)</f>
        <v/>
      </c>
      <c r="H64" s="287" t="str">
        <f ca="1">IF(Table1[[#This Row],[h_No. Invoice :]]="","",CONCATENATE("AM"," ",Table1[[#This Row],[h_No. Invoice :]]))</f>
        <v/>
      </c>
      <c r="I64" s="288" t="str">
        <f>CONCATENATE(UPPER(Table1[[#This Row],[Column3]])," ",Table1[[#This Row],[Column4]])</f>
        <v xml:space="preserve"> </v>
      </c>
      <c r="J64" s="287" t="str">
        <f>IF(Table1[[#This Row],[Column5]]="","",INDEX(Table2[e],IF(Table1[[#This Row],[Column5]]="","",MATCH(Table1[[#This Row],[Column5]],Table2[a],0)),))</f>
        <v/>
      </c>
      <c r="O64" s="287" t="str">
        <f>IF(Table1[[#This Row],[h_Item Description]]="","",INDEX([1]!db[NB PAJAK],MATCH(Table1[[#This Row],[h_Item Description]],[1]!db[kode],0)))</f>
        <v/>
      </c>
      <c r="Q64" s="283"/>
      <c r="R64" s="284"/>
      <c r="T64" s="283" t="str">
        <f>Table1[[#This Row],[h_hargasetelahdiskon]]</f>
        <v/>
      </c>
      <c r="W64" s="287" t="str">
        <f ca="1">IF(Table1[[#This Row],[Item Description]]="","",IF(Table1[[#This Row],[//]]="",INDIRECT(ADDRESS(ROW()-1,COLUMN())),Table1[[#This Row],[//]]))</f>
        <v/>
      </c>
      <c r="X64" s="287" t="str">
        <f ca="1">IF(Table1[[#This Row],[h_id]]="","",COUNTIF(Table1[h_id],Table1[[#This Row],[h_id]]))</f>
        <v/>
      </c>
      <c r="Y64" s="283" t="str">
        <f>IF(Table1[Item Description]="","",Table1[[#This Row],[Qty]]*Table1[[#This Row],[Unit Price]])</f>
        <v/>
      </c>
      <c r="Z64" s="283" t="str">
        <f>IF(Table1[[#This Row],[h_hargasebelumdiskon]]="","",IF(Table1[[#This Row],[Disc 1]]="",0,Table1[[#This Row],[h_hargasebelumdiskon]]*Table1[[#This Row],[Disc 1]]))</f>
        <v/>
      </c>
      <c r="AA64" s="283" t="str">
        <f>IF(Table1[[#This Row],[h_hargasebelumdiskon]]="","",IF(Table1[[#This Row],[Disc 2]]="",0,(Table1[[#This Row],[h_hargasebelumdiskon]]-Table1[[#This Row],[h_disc 1]])*Table1[[#This Row],[Disc 2]]))</f>
        <v/>
      </c>
      <c r="AB64" s="283" t="str">
        <f>IF(Table1[Item Description]="","",Table1[[#This Row],[h_disc 1]]+Table1[[#This Row],[h_disc 2]])</f>
        <v/>
      </c>
      <c r="AC64" s="283" t="str">
        <f>IF(Table1[Item Description]="","",Table1[[#This Row],[h_hargasebelumdiskon]]-Table1[[#This Row],[h_diskon]])</f>
        <v/>
      </c>
      <c r="AD64" s="283" t="str">
        <f ca="1">IF(Table1[//]="","",SUMIF(Table1[h_id],Table1[h_id],Table1[h_hargasetelahdiskon]))</f>
        <v/>
      </c>
      <c r="AE64" s="283"/>
      <c r="AF64" s="283" t="str">
        <f>Table1[[#This Row],[Item Description]]&amp;Table1[[#This Row],[Unit]]&amp;Table1[[#This Row],[Unit Price]]</f>
        <v/>
      </c>
    </row>
    <row r="65" spans="1:32" x14ac:dyDescent="0.25">
      <c r="A65" s="287" t="str">
        <f ca="1">IF(Table1[[#This Row],[No. Invoice :]]="","",ROW())</f>
        <v/>
      </c>
      <c r="B65" s="287" t="str">
        <f ca="1">IF(Table1[Column3]="","",B$1+COUNT(INDIRECT("B$2:B"&amp;ROW()-1)))</f>
        <v/>
      </c>
      <c r="C65" s="281" t="str">
        <f>IF(Table1[[#This Row],[Column2]]="","",Table1[[#This Row],[Column2]]+C$1-1)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Row],[Column3]])," ",Table1[[#This Row],[Column4]])</f>
        <v xml:space="preserve"> </v>
      </c>
      <c r="J65" s="287" t="str">
        <f>IF(Table1[[#This Row],[Column5]]="","",INDEX(Table2[e],IF(Table1[[#This Row],[Column5]]="","",MATCH(Table1[[#This Row],[Column5]],Table2[a],0)),))</f>
        <v/>
      </c>
      <c r="O65" s="287" t="str">
        <f>IF(Table1[[#This Row],[h_Item Description]]="","",INDEX([1]!db[NB PAJAK],MATCH(Table1[[#This Row],[h_Item Description]],[1]!db[kode],0)))</f>
        <v/>
      </c>
      <c r="Q65" s="283"/>
      <c r="R65" s="284"/>
      <c r="T65" s="283" t="str">
        <f>Table1[[#This Row],[h_hargasetelahdiskon]]</f>
        <v/>
      </c>
      <c r="W65" s="287" t="str">
        <f ca="1">IF(Table1[[#This Row],[Item Description]]="","",IF(Table1[[#This Row],[//]]="",INDIRECT(ADDRESS(ROW()-1,COLUMN())),Table1[[#This Row],[//]]))</f>
        <v/>
      </c>
      <c r="X65" s="287" t="str">
        <f ca="1">IF(Table1[[#This Row],[h_id]]="","",COUNTIF(Table1[h_id],Table1[[#This Row],[h_id]]))</f>
        <v/>
      </c>
      <c r="Y65" s="283" t="str">
        <f>IF(Table1[Item Description]="","",Table1[[#This Row],[Qty]]*Table1[[#This Row],[Unit Price]])</f>
        <v/>
      </c>
      <c r="Z65" s="283" t="str">
        <f>IF(Table1[[#This Row],[h_hargasebelumdiskon]]="","",IF(Table1[[#This Row],[Disc 1]]="",0,Table1[[#This Row],[h_hargasebelumdiskon]]*Table1[[#This Row],[Disc 1]]))</f>
        <v/>
      </c>
      <c r="AA65" s="283" t="str">
        <f>IF(Table1[[#This Row],[h_hargasebelumdiskon]]="","",IF(Table1[[#This Row],[Disc 2]]="",0,(Table1[[#This Row],[h_hargasebelumdiskon]]-Table1[[#This Row],[h_disc 1]])*Table1[[#This Row],[Disc 2]]))</f>
        <v/>
      </c>
      <c r="AB65" s="283" t="str">
        <f>IF(Table1[Item Description]="","",Table1[[#This Row],[h_disc 1]]+Table1[[#This Row],[h_disc 2]])</f>
        <v/>
      </c>
      <c r="AC65" s="283" t="str">
        <f>IF(Table1[Item Description]="","",Table1[[#This Row],[h_hargasebelumdiskon]]-Table1[[#This Row],[h_diskon]])</f>
        <v/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/>
      </c>
    </row>
    <row r="66" spans="1:32" x14ac:dyDescent="0.25">
      <c r="A66" s="287" t="str">
        <f ca="1">IF(Table1[[#This Row],[No. Invoice :]]="","",ROW())</f>
        <v/>
      </c>
      <c r="B66" s="287" t="str">
        <f ca="1">IF(Table1[Column3]="","",B$1+COUNT(INDIRECT("B$2:B"&amp;ROW()-1)))</f>
        <v/>
      </c>
      <c r="C66" s="281" t="str">
        <f>IF(Table1[[#This Row],[Column2]]="","",Table1[[#This Row],[Column2]]+C$1-1)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Row],[Column3]])," ",Table1[[#This Row],[Column4]])</f>
        <v xml:space="preserve"> </v>
      </c>
      <c r="J66" s="287" t="str">
        <f>IF(Table1[[#This Row],[Column5]]="","",INDEX(Table2[e],IF(Table1[[#This Row],[Column5]]="","",MATCH(Table1[[#This Row],[Column5]],Table2[a],0)),))</f>
        <v/>
      </c>
      <c r="O66" s="287" t="str">
        <f>IF(Table1[[#This Row],[h_Item Description]]="","",INDEX([1]!db[NB PAJAK],MATCH(Table1[[#This Row],[h_Item Description]],[1]!db[kode],0)))</f>
        <v/>
      </c>
      <c r="Q66" s="283"/>
      <c r="R66" s="284"/>
      <c r="T66" s="283" t="str">
        <f>Table1[[#This Row],[h_hargasetelahdiskon]]</f>
        <v/>
      </c>
      <c r="W66" s="287" t="str">
        <f ca="1">IF(Table1[[#This Row],[Item Description]]="","",IF(Table1[[#This Row],[//]]="",INDIRECT(ADDRESS(ROW()-1,COLUMN())),Table1[[#This Row],[//]]))</f>
        <v/>
      </c>
      <c r="X66" s="287" t="str">
        <f ca="1">IF(Table1[[#This Row],[h_id]]="","",COUNTIF(Table1[h_id],Table1[[#This Row],[h_id]]))</f>
        <v/>
      </c>
      <c r="Y66" s="283" t="str">
        <f>IF(Table1[Item Description]="","",Table1[[#This Row],[Qty]]*Table1[[#This Row],[Unit Price]])</f>
        <v/>
      </c>
      <c r="Z66" s="283" t="str">
        <f>IF(Table1[[#This Row],[h_hargasebelumdiskon]]="","",IF(Table1[[#This Row],[Disc 1]]="",0,Table1[[#This Row],[h_hargasebelumdiskon]]*Table1[[#This Row],[Disc 1]]))</f>
        <v/>
      </c>
      <c r="AA66" s="283" t="str">
        <f>IF(Table1[[#This Row],[h_hargasebelumdiskon]]="","",IF(Table1[[#This Row],[Disc 2]]="",0,(Table1[[#This Row],[h_hargasebelumdiskon]]-Table1[[#This Row],[h_disc 1]])*Table1[[#This Row],[Disc 2]]))</f>
        <v/>
      </c>
      <c r="AB66" s="283" t="str">
        <f>IF(Table1[Item Description]="","",Table1[[#This Row],[h_disc 1]]+Table1[[#This Row],[h_disc 2]])</f>
        <v/>
      </c>
      <c r="AC66" s="283" t="str">
        <f>IF(Table1[Item Description]="","",Table1[[#This Row],[h_hargasebelumdiskon]]-Table1[[#This Row],[h_diskon]])</f>
        <v/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/>
      </c>
    </row>
    <row r="67" spans="1:32" x14ac:dyDescent="0.25">
      <c r="A67" s="287" t="str">
        <f ca="1">IF(Table1[[#This Row],[No. Invoice :]]="","",ROW())</f>
        <v/>
      </c>
      <c r="B67" s="287" t="str">
        <f ca="1">IF(Table1[Column3]="","",B$1+COUNT(INDIRECT("B$2:B"&amp;ROW()-1)))</f>
        <v/>
      </c>
      <c r="C67" s="281" t="str">
        <f>IF(Table1[[#This Row],[Column2]]="","",Table1[[#This Row],[Column2]]+C$1-1)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Row],[Column3]])," ",Table1[[#This Row],[Column4]])</f>
        <v xml:space="preserve"> </v>
      </c>
      <c r="J67" s="287" t="str">
        <f>IF(Table1[[#This Row],[Column5]]="","",INDEX(Table2[e],IF(Table1[[#This Row],[Column5]]="","",MATCH(Table1[[#This Row],[Column5]],Table2[a],0)),))</f>
        <v/>
      </c>
      <c r="O67" s="287" t="str">
        <f>IF(Table1[[#This Row],[h_Item Description]]="","",INDEX([1]!db[NB PAJAK],MATCH(Table1[[#This Row],[h_Item Description]],[1]!db[kode],0)))</f>
        <v/>
      </c>
      <c r="Q67" s="283"/>
      <c r="R67" s="284"/>
      <c r="T67" s="283" t="str">
        <f>Table1[[#This Row],[h_hargasetelahdiskon]]</f>
        <v/>
      </c>
      <c r="W67" s="287" t="str">
        <f ca="1">IF(Table1[[#This Row],[Item Description]]="","",IF(Table1[[#This Row],[//]]="",INDIRECT(ADDRESS(ROW()-1,COLUMN())),Table1[[#This Row],[//]]))</f>
        <v/>
      </c>
      <c r="X67" s="287" t="str">
        <f ca="1">IF(Table1[[#This Row],[h_id]]="","",COUNTIF(Table1[h_id],Table1[[#This Row],[h_id]]))</f>
        <v/>
      </c>
      <c r="Y67" s="283" t="str">
        <f>IF(Table1[Item Description]="","",Table1[[#This Row],[Qty]]*Table1[[#This Row],[Unit Price]])</f>
        <v/>
      </c>
      <c r="Z67" s="283" t="str">
        <f>IF(Table1[[#This Row],[h_hargasebelumdiskon]]="","",IF(Table1[[#This Row],[Disc 1]]="",0,Table1[[#This Row],[h_hargasebelumdiskon]]*Table1[[#This Row],[Disc 1]]))</f>
        <v/>
      </c>
      <c r="AA67" s="283" t="str">
        <f>IF(Table1[[#This Row],[h_hargasebelumdiskon]]="","",IF(Table1[[#This Row],[Disc 2]]="",0,(Table1[[#This Row],[h_hargasebelumdiskon]]-Table1[[#This Row],[h_disc 1]])*Table1[[#This Row],[Disc 2]]))</f>
        <v/>
      </c>
      <c r="AB67" s="283" t="str">
        <f>IF(Table1[Item Description]="","",Table1[[#This Row],[h_disc 1]]+Table1[[#This Row],[h_disc 2]])</f>
        <v/>
      </c>
      <c r="AC67" s="283" t="str">
        <f>IF(Table1[Item Description]="","",Table1[[#This Row],[h_hargasebelumdiskon]]-Table1[[#This Row],[h_diskon]])</f>
        <v/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/>
      </c>
    </row>
    <row r="68" spans="1:32" x14ac:dyDescent="0.25">
      <c r="A68" s="287" t="str">
        <f ca="1">IF(Table1[[#This Row],[No. Invoice :]]="","",ROW())</f>
        <v/>
      </c>
      <c r="B68" s="287" t="str">
        <f ca="1">IF(Table1[Column3]="","",B$1+COUNT(INDIRECT("B$2:B"&amp;ROW()-1)))</f>
        <v/>
      </c>
      <c r="C68" s="281" t="str">
        <f>IF(Table1[[#This Row],[Column2]]="","",Table1[[#This Row],[Column2]]+C$1-1)</f>
        <v/>
      </c>
      <c r="H68" s="287" t="str">
        <f ca="1">IF(Table1[[#This Row],[h_No. Invoice :]]="","",CONCATENATE("AM"," ",Table1[[#This Row],[h_No. Invoice :]]))</f>
        <v/>
      </c>
      <c r="I68" s="288" t="str">
        <f>CONCATENATE(UPPER(Table1[[#This Row],[Column3]])," ",Table1[[#This Row],[Column4]])</f>
        <v xml:space="preserve"> </v>
      </c>
      <c r="J68" s="287" t="str">
        <f>IF(Table1[[#This Row],[Column5]]="","",INDEX(Table2[e],IF(Table1[[#This Row],[Column5]]="","",MATCH(Table1[[#This Row],[Column5]],Table2[a],0)),))</f>
        <v/>
      </c>
      <c r="O68" s="287" t="str">
        <f>IF(Table1[[#This Row],[h_Item Description]]="","",INDEX([1]!db[NB PAJAK],MATCH(Table1[[#This Row],[h_Item Description]],[1]!db[kode],0)))</f>
        <v/>
      </c>
      <c r="Q68" s="283"/>
      <c r="R68" s="284"/>
      <c r="T68" s="283" t="str">
        <f>Table1[[#This Row],[h_hargasetelahdiskon]]</f>
        <v/>
      </c>
      <c r="W68" s="287" t="str">
        <f ca="1">IF(Table1[[#This Row],[Item Description]]="","",IF(Table1[[#This Row],[//]]="",INDIRECT(ADDRESS(ROW()-1,COLUMN())),Table1[[#This Row],[//]]))</f>
        <v/>
      </c>
      <c r="X68" s="287" t="str">
        <f ca="1">IF(Table1[[#This Row],[h_id]]="","",COUNTIF(Table1[h_id],Table1[[#This Row],[h_id]]))</f>
        <v/>
      </c>
      <c r="Y68" s="283" t="str">
        <f>IF(Table1[Item Description]="","",Table1[[#This Row],[Qty]]*Table1[[#This Row],[Unit Price]])</f>
        <v/>
      </c>
      <c r="Z68" s="283" t="str">
        <f>IF(Table1[[#This Row],[h_hargasebelumdiskon]]="","",IF(Table1[[#This Row],[Disc 1]]="",0,Table1[[#This Row],[h_hargasebelumdiskon]]*Table1[[#This Row],[Disc 1]]))</f>
        <v/>
      </c>
      <c r="AA68" s="283" t="str">
        <f>IF(Table1[[#This Row],[h_hargasebelumdiskon]]="","",IF(Table1[[#This Row],[Disc 2]]="",0,(Table1[[#This Row],[h_hargasebelumdiskon]]-Table1[[#This Row],[h_disc 1]])*Table1[[#This Row],[Disc 2]]))</f>
        <v/>
      </c>
      <c r="AB68" s="283" t="str">
        <f>IF(Table1[Item Description]="","",Table1[[#This Row],[h_disc 1]]+Table1[[#This Row],[h_disc 2]])</f>
        <v/>
      </c>
      <c r="AC68" s="283" t="str">
        <f>IF(Table1[Item Description]="","",Table1[[#This Row],[h_hargasebelumdiskon]]-Table1[[#This Row],[h_diskon]])</f>
        <v/>
      </c>
      <c r="AD68" s="283" t="str">
        <f ca="1">IF(Table1[//]="","",SUMIF(Table1[h_id],Table1[h_id],Table1[h_hargasetelahdiskon]))</f>
        <v/>
      </c>
      <c r="AE68" s="283"/>
      <c r="AF68" s="283" t="str">
        <f>Table1[[#This Row],[Item Description]]&amp;Table1[[#This Row],[Unit]]&amp;Table1[[#This Row],[Unit Price]]</f>
        <v/>
      </c>
    </row>
    <row r="69" spans="1:32" x14ac:dyDescent="0.25">
      <c r="A69" s="287" t="str">
        <f ca="1">IF(Table1[[#This Row],[No. Invoice :]]="","",ROW())</f>
        <v/>
      </c>
      <c r="B69" s="287" t="str">
        <f ca="1">IF(Table1[Column3]="","",B$1+COUNT(INDIRECT("B$2:B"&amp;ROW()-1)))</f>
        <v/>
      </c>
      <c r="C69" s="281" t="str">
        <f>IF(Table1[[#This Row],[Column2]]="","",Table1[[#This Row],[Column2]]+C$1-1)</f>
        <v/>
      </c>
      <c r="H69" s="287" t="str">
        <f ca="1">IF(Table1[[#This Row],[h_No. Invoice :]]="","",CONCATENATE("AM"," ",Table1[[#This Row],[h_No. Invoice :]]))</f>
        <v/>
      </c>
      <c r="I69" s="288" t="str">
        <f>CONCATENATE(UPPER(Table1[[#This Row],[Column3]])," ",Table1[[#This Row],[Column4]])</f>
        <v xml:space="preserve"> </v>
      </c>
      <c r="J69" s="287" t="str">
        <f>IF(Table1[[#This Row],[Column5]]="","",INDEX(Table2[e],IF(Table1[[#This Row],[Column5]]="","",MATCH(Table1[[#This Row],[Column5]],Table2[a],0)),))</f>
        <v/>
      </c>
      <c r="O69" s="287" t="str">
        <f>IF(Table1[[#This Row],[h_Item Description]]="","",INDEX([1]!db[NB PAJAK],MATCH(Table1[[#This Row],[h_Item Description]],[1]!db[kode],0)))</f>
        <v/>
      </c>
      <c r="Q69" s="283"/>
      <c r="R69" s="284"/>
      <c r="T69" s="283" t="str">
        <f>Table1[[#This Row],[h_hargasetelahdiskon]]</f>
        <v/>
      </c>
      <c r="W69" s="287" t="str">
        <f ca="1">IF(Table1[[#This Row],[Item Description]]="","",IF(Table1[[#This Row],[//]]="",INDIRECT(ADDRESS(ROW()-1,COLUMN())),Table1[[#This Row],[//]]))</f>
        <v/>
      </c>
      <c r="X69" s="287" t="str">
        <f ca="1">IF(Table1[[#This Row],[h_id]]="","",COUNTIF(Table1[h_id],Table1[[#This Row],[h_id]]))</f>
        <v/>
      </c>
      <c r="Y69" s="283" t="str">
        <f>IF(Table1[Item Description]="","",Table1[[#This Row],[Qty]]*Table1[[#This Row],[Unit Price]])</f>
        <v/>
      </c>
      <c r="Z69" s="283" t="str">
        <f>IF(Table1[[#This Row],[h_hargasebelumdiskon]]="","",IF(Table1[[#This Row],[Disc 1]]="",0,Table1[[#This Row],[h_hargasebelumdiskon]]*Table1[[#This Row],[Disc 1]]))</f>
        <v/>
      </c>
      <c r="AA69" s="283" t="str">
        <f>IF(Table1[[#This Row],[h_hargasebelumdiskon]]="","",IF(Table1[[#This Row],[Disc 2]]="",0,(Table1[[#This Row],[h_hargasebelumdiskon]]-Table1[[#This Row],[h_disc 1]])*Table1[[#This Row],[Disc 2]]))</f>
        <v/>
      </c>
      <c r="AB69" s="283" t="str">
        <f>IF(Table1[Item Description]="","",Table1[[#This Row],[h_disc 1]]+Table1[[#This Row],[h_disc 2]])</f>
        <v/>
      </c>
      <c r="AC69" s="283" t="str">
        <f>IF(Table1[Item Description]="","",Table1[[#This Row],[h_hargasebelumdiskon]]-Table1[[#This Row],[h_diskon]])</f>
        <v/>
      </c>
      <c r="AD69" s="283" t="str">
        <f ca="1">IF(Table1[//]="","",SUMIF(Table1[h_id],Table1[h_id],Table1[h_hargasetelahdiskon]))</f>
        <v/>
      </c>
      <c r="AE69" s="283"/>
      <c r="AF69" s="283" t="str">
        <f>Table1[[#This Row],[Item Description]]&amp;Table1[[#This Row],[Unit]]&amp;Table1[[#This Row],[Unit Price]]</f>
        <v/>
      </c>
    </row>
    <row r="70" spans="1:32" x14ac:dyDescent="0.25">
      <c r="A70" s="287" t="str">
        <f ca="1">IF(Table1[[#This Row],[No. Invoice :]]="","",ROW())</f>
        <v/>
      </c>
      <c r="B70" s="287" t="str">
        <f ca="1">IF(Table1[Column3]="","",B$1+COUNT(INDIRECT("B$2:B"&amp;ROW()-1)))</f>
        <v/>
      </c>
      <c r="C70" s="281" t="str">
        <f>IF(Table1[[#This Row],[Column2]]="","",Table1[[#This Row],[Column2]]+C$1-1)</f>
        <v/>
      </c>
      <c r="H70" s="287" t="str">
        <f ca="1">IF(Table1[[#This Row],[h_No. Invoice :]]="","",CONCATENATE("AM"," ",Table1[[#This Row],[h_No. Invoice :]]))</f>
        <v/>
      </c>
      <c r="I70" s="288" t="str">
        <f>CONCATENATE(UPPER(Table1[[#This Row],[Column3]])," ",Table1[[#This Row],[Column4]])</f>
        <v xml:space="preserve"> </v>
      </c>
      <c r="J70" s="287" t="str">
        <f>IF(Table1[[#This Row],[Column5]]="","",INDEX(Table2[e],IF(Table1[[#This Row],[Column5]]="","",MATCH(Table1[[#This Row],[Column5]],Table2[a],0)),))</f>
        <v/>
      </c>
      <c r="O70" s="287" t="str">
        <f>IF(Table1[[#This Row],[h_Item Description]]="","",INDEX([1]!db[NB PAJAK],MATCH(Table1[[#This Row],[h_Item Description]],[1]!db[kode],0)))</f>
        <v/>
      </c>
      <c r="Q70" s="283"/>
      <c r="R70" s="284"/>
      <c r="T70" s="283" t="str">
        <f>Table1[[#This Row],[h_hargasetelahdiskon]]</f>
        <v/>
      </c>
      <c r="W70" s="287" t="str">
        <f ca="1">IF(Table1[[#This Row],[Item Description]]="","",IF(Table1[[#This Row],[//]]="",INDIRECT(ADDRESS(ROW()-1,COLUMN())),Table1[[#This Row],[//]]))</f>
        <v/>
      </c>
      <c r="X70" s="287" t="str">
        <f ca="1">IF(Table1[[#This Row],[h_id]]="","",COUNTIF(Table1[h_id],Table1[[#This Row],[h_id]]))</f>
        <v/>
      </c>
      <c r="Y70" s="283" t="str">
        <f>IF(Table1[Item Description]="","",Table1[[#This Row],[Qty]]*Table1[[#This Row],[Unit Price]])</f>
        <v/>
      </c>
      <c r="Z70" s="283" t="str">
        <f>IF(Table1[[#This Row],[h_hargasebelumdiskon]]="","",IF(Table1[[#This Row],[Disc 1]]="",0,Table1[[#This Row],[h_hargasebelumdiskon]]*Table1[[#This Row],[Disc 1]]))</f>
        <v/>
      </c>
      <c r="AA70" s="283" t="str">
        <f>IF(Table1[[#This Row],[h_hargasebelumdiskon]]="","",IF(Table1[[#This Row],[Disc 2]]="",0,(Table1[[#This Row],[h_hargasebelumdiskon]]-Table1[[#This Row],[h_disc 1]])*Table1[[#This Row],[Disc 2]]))</f>
        <v/>
      </c>
      <c r="AB70" s="283" t="str">
        <f>IF(Table1[Item Description]="","",Table1[[#This Row],[h_disc 1]]+Table1[[#This Row],[h_disc 2]])</f>
        <v/>
      </c>
      <c r="AC70" s="283" t="str">
        <f>IF(Table1[Item Description]="","",Table1[[#This Row],[h_hargasebelumdiskon]]-Table1[[#This Row],[h_diskon]])</f>
        <v/>
      </c>
      <c r="AD70" s="283" t="str">
        <f ca="1">IF(Table1[//]="","",SUMIF(Table1[h_id],Table1[h_id],Table1[h_hargasetelahdiskon]))</f>
        <v/>
      </c>
      <c r="AE70" s="283"/>
      <c r="AF70" s="283" t="str">
        <f>Table1[[#This Row],[Item Description]]&amp;Table1[[#This Row],[Unit]]&amp;Table1[[#This Row],[Unit Price]]</f>
        <v/>
      </c>
    </row>
    <row r="71" spans="1:32" x14ac:dyDescent="0.25">
      <c r="A71" s="287" t="str">
        <f ca="1">IF(Table1[[#This Row],[No. Invoice :]]="","",ROW())</f>
        <v/>
      </c>
      <c r="B71" s="287" t="str">
        <f ca="1">IF(Table1[Column3]="","",B$1+COUNT(INDIRECT("B$2:B"&amp;ROW()-1)))</f>
        <v/>
      </c>
      <c r="C71" s="281" t="str">
        <f>IF(Table1[[#This Row],[Column2]]="","",Table1[[#This Row],[Column2]]+C$1-1)</f>
        <v/>
      </c>
      <c r="H71" s="287" t="str">
        <f ca="1">IF(Table1[[#This Row],[h_No. Invoice :]]="","",CONCATENATE("AM"," ",Table1[[#This Row],[h_No. Invoice :]]))</f>
        <v/>
      </c>
      <c r="I71" s="288" t="str">
        <f>CONCATENATE(UPPER(Table1[[#This Row],[Column3]])," ",Table1[[#This Row],[Column4]])</f>
        <v xml:space="preserve"> </v>
      </c>
      <c r="J71" s="287" t="str">
        <f>IF(Table1[[#This Row],[Column5]]="","",INDEX(Table2[e],IF(Table1[[#This Row],[Column5]]="","",MATCH(Table1[[#This Row],[Column5]],Table2[a],0)),))</f>
        <v/>
      </c>
      <c r="O71" s="287" t="str">
        <f>IF(Table1[[#This Row],[h_Item Description]]="","",INDEX([1]!db[NB PAJAK],MATCH(Table1[[#This Row],[h_Item Description]],[1]!db[kode],0)))</f>
        <v/>
      </c>
      <c r="Q71" s="283"/>
      <c r="R71" s="284"/>
      <c r="T71" s="283" t="str">
        <f>Table1[[#This Row],[h_hargasetelahdiskon]]</f>
        <v/>
      </c>
      <c r="W71" s="287" t="str">
        <f ca="1">IF(Table1[[#This Row],[Item Description]]="","",IF(Table1[[#This Row],[//]]="",INDIRECT(ADDRESS(ROW()-1,COLUMN())),Table1[[#This Row],[//]]))</f>
        <v/>
      </c>
      <c r="X71" s="287" t="str">
        <f ca="1">IF(Table1[[#This Row],[h_id]]="","",COUNTIF(Table1[h_id],Table1[[#This Row],[h_id]]))</f>
        <v/>
      </c>
      <c r="Y71" s="283" t="str">
        <f>IF(Table1[Item Description]="","",Table1[[#This Row],[Qty]]*Table1[[#This Row],[Unit Price]])</f>
        <v/>
      </c>
      <c r="Z71" s="283" t="str">
        <f>IF(Table1[[#This Row],[h_hargasebelumdiskon]]="","",IF(Table1[[#This Row],[Disc 1]]="",0,Table1[[#This Row],[h_hargasebelumdiskon]]*Table1[[#This Row],[Disc 1]]))</f>
        <v/>
      </c>
      <c r="AA71" s="283" t="str">
        <f>IF(Table1[[#This Row],[h_hargasebelumdiskon]]="","",IF(Table1[[#This Row],[Disc 2]]="",0,(Table1[[#This Row],[h_hargasebelumdiskon]]-Table1[[#This Row],[h_disc 1]])*Table1[[#This Row],[Disc 2]]))</f>
        <v/>
      </c>
      <c r="AB71" s="283" t="str">
        <f>IF(Table1[Item Description]="","",Table1[[#This Row],[h_disc 1]]+Table1[[#This Row],[h_disc 2]])</f>
        <v/>
      </c>
      <c r="AC71" s="283" t="str">
        <f>IF(Table1[Item Description]="","",Table1[[#This Row],[h_hargasebelumdiskon]]-Table1[[#This Row],[h_diskon]])</f>
        <v/>
      </c>
      <c r="AD71" s="283" t="str">
        <f ca="1">IF(Table1[//]="","",SUMIF(Table1[h_id],Table1[h_id],Table1[h_hargasetelahdiskon]))</f>
        <v/>
      </c>
      <c r="AE71" s="283"/>
      <c r="AF71" s="283" t="str">
        <f>Table1[[#This Row],[Item Description]]&amp;Table1[[#This Row],[Unit]]&amp;Table1[[#This Row],[Unit Price]]</f>
        <v/>
      </c>
    </row>
    <row r="72" spans="1:32" x14ac:dyDescent="0.25">
      <c r="A72" s="287" t="str">
        <f ca="1">IF(Table1[[#This Row],[No. Invoice :]]="","",ROW())</f>
        <v/>
      </c>
      <c r="B72" s="287" t="str">
        <f ca="1">IF(Table1[Column3]="","",B$1+COUNT(INDIRECT("B$2:B"&amp;ROW()-1)))</f>
        <v/>
      </c>
      <c r="C72" s="281" t="str">
        <f>IF(Table1[[#This Row],[Column2]]="","",Table1[[#This Row],[Column2]]+C$1-1)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Row],[Column3]])," ",Table1[[#This Row],[Column4]])</f>
        <v xml:space="preserve"> </v>
      </c>
      <c r="J72" s="287" t="str">
        <f>IF(Table1[[#This Row],[Column5]]="","",INDEX(Table2[e],IF(Table1[[#This Row],[Column5]]="","",MATCH(Table1[[#This Row],[Column5]],Table2[a],0)),))</f>
        <v/>
      </c>
      <c r="O72" s="287" t="str">
        <f>IF(Table1[[#This Row],[h_Item Description]]="","",INDEX([1]!db[NB PAJAK],MATCH(Table1[[#This Row],[h_Item Description]],[1]!db[kode],0)))</f>
        <v/>
      </c>
      <c r="Q72" s="283"/>
      <c r="R72" s="284"/>
      <c r="T72" s="283" t="str">
        <f>Table1[[#This Row],[h_hargasetelahdiskon]]</f>
        <v/>
      </c>
      <c r="W72" s="287" t="str">
        <f ca="1">IF(Table1[[#This Row],[Item Description]]="","",IF(Table1[[#This Row],[//]]="",INDIRECT(ADDRESS(ROW()-1,COLUMN())),Table1[[#This Row],[//]]))</f>
        <v/>
      </c>
      <c r="X72" s="287" t="str">
        <f ca="1">IF(Table1[[#This Row],[h_id]]="","",COUNTIF(Table1[h_id],Table1[[#This Row],[h_id]]))</f>
        <v/>
      </c>
      <c r="Y72" s="283" t="str">
        <f>IF(Table1[Item Description]="","",Table1[[#This Row],[Qty]]*Table1[[#This Row],[Unit Price]])</f>
        <v/>
      </c>
      <c r="Z72" s="283" t="str">
        <f>IF(Table1[[#This Row],[h_hargasebelumdiskon]]="","",IF(Table1[[#This Row],[Disc 1]]="",0,Table1[[#This Row],[h_hargasebelumdiskon]]*Table1[[#This Row],[Disc 1]]))</f>
        <v/>
      </c>
      <c r="AA72" s="283" t="str">
        <f>IF(Table1[[#This Row],[h_hargasebelumdiskon]]="","",IF(Table1[[#This Row],[Disc 2]]="",0,(Table1[[#This Row],[h_hargasebelumdiskon]]-Table1[[#This Row],[h_disc 1]])*Table1[[#This Row],[Disc 2]]))</f>
        <v/>
      </c>
      <c r="AB72" s="283" t="str">
        <f>IF(Table1[Item Description]="","",Table1[[#This Row],[h_disc 1]]+Table1[[#This Row],[h_disc 2]])</f>
        <v/>
      </c>
      <c r="AC72" s="283" t="str">
        <f>IF(Table1[Item Description]="","",Table1[[#This Row],[h_hargasebelumdiskon]]-Table1[[#This Row],[h_diskon]])</f>
        <v/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/>
      </c>
    </row>
    <row r="73" spans="1:32" x14ac:dyDescent="0.25">
      <c r="A73" s="287" t="str">
        <f ca="1">IF(Table1[[#This Row],[No. Invoice :]]="","",ROW())</f>
        <v/>
      </c>
      <c r="B73" s="287" t="str">
        <f ca="1">IF(Table1[Column3]="","",B$1+COUNT(INDIRECT("B$2:B"&amp;ROW()-1)))</f>
        <v/>
      </c>
      <c r="C73" s="281" t="str">
        <f>IF(Table1[[#This Row],[Column2]]="","",Table1[[#This Row],[Column2]]+C$1-1)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Row],[Column3]])," ",Table1[[#This Row],[Column4]])</f>
        <v xml:space="preserve"> </v>
      </c>
      <c r="J73" s="287" t="str">
        <f>IF(Table1[[#This Row],[Column5]]="","",INDEX(Table2[e],IF(Table1[[#This Row],[Column5]]="","",MATCH(Table1[[#This Row],[Column5]],Table2[a],0)),))</f>
        <v/>
      </c>
      <c r="O73" s="287" t="str">
        <f>IF(Table1[[#This Row],[h_Item Description]]="","",INDEX([1]!db[NB PAJAK],MATCH(Table1[[#This Row],[h_Item Description]],[1]!db[kode],0)))</f>
        <v/>
      </c>
      <c r="Q73" s="283"/>
      <c r="R73" s="284"/>
      <c r="T73" s="283" t="str">
        <f>Table1[[#This Row],[h_hargasetelahdiskon]]</f>
        <v/>
      </c>
      <c r="W73" s="287" t="str">
        <f ca="1">IF(Table1[[#This Row],[Item Description]]="","",IF(Table1[[#This Row],[//]]="",INDIRECT(ADDRESS(ROW()-1,COLUMN())),Table1[[#This Row],[//]]))</f>
        <v/>
      </c>
      <c r="X73" s="287" t="str">
        <f ca="1">IF(Table1[[#This Row],[h_id]]="","",COUNTIF(Table1[h_id],Table1[[#This Row],[h_id]]))</f>
        <v/>
      </c>
      <c r="Y73" s="283" t="str">
        <f>IF(Table1[Item Description]="","",Table1[[#This Row],[Qty]]*Table1[[#This Row],[Unit Price]])</f>
        <v/>
      </c>
      <c r="Z73" s="283" t="str">
        <f>IF(Table1[[#This Row],[h_hargasebelumdiskon]]="","",IF(Table1[[#This Row],[Disc 1]]="",0,Table1[[#This Row],[h_hargasebelumdiskon]]*Table1[[#This Row],[Disc 1]]))</f>
        <v/>
      </c>
      <c r="AA73" s="283" t="str">
        <f>IF(Table1[[#This Row],[h_hargasebelumdiskon]]="","",IF(Table1[[#This Row],[Disc 2]]="",0,(Table1[[#This Row],[h_hargasebelumdiskon]]-Table1[[#This Row],[h_disc 1]])*Table1[[#This Row],[Disc 2]]))</f>
        <v/>
      </c>
      <c r="AB73" s="283" t="str">
        <f>IF(Table1[Item Description]="","",Table1[[#This Row],[h_disc 1]]+Table1[[#This Row],[h_disc 2]])</f>
        <v/>
      </c>
      <c r="AC73" s="283" t="str">
        <f>IF(Table1[Item Description]="","",Table1[[#This Row],[h_hargasebelumdiskon]]-Table1[[#This Row],[h_diskon]])</f>
        <v/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/>
      </c>
    </row>
    <row r="74" spans="1:32" x14ac:dyDescent="0.25">
      <c r="A74" s="287" t="str">
        <f ca="1">IF(Table1[[#This Row],[No. Invoice :]]="","",ROW())</f>
        <v/>
      </c>
      <c r="B74" s="287" t="str">
        <f ca="1">IF(Table1[Column3]="","",B$1+COUNT(INDIRECT("B$2:B"&amp;ROW()-1)))</f>
        <v/>
      </c>
      <c r="C74" s="281" t="str">
        <f>IF(Table1[[#This Row],[Column2]]="","",Table1[[#This Row],[Column2]]+C$1-1)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Row],[Column3]])," ",Table1[[#This Row],[Column4]])</f>
        <v xml:space="preserve"> </v>
      </c>
      <c r="J74" s="287" t="str">
        <f>IF(Table1[[#This Row],[Column5]]="","",INDEX(Table2[e],IF(Table1[[#This Row],[Column5]]="","",MATCH(Table1[[#This Row],[Column5]],Table2[a],0)),))</f>
        <v/>
      </c>
      <c r="O74" s="287" t="str">
        <f>IF(Table1[[#This Row],[h_Item Description]]="","",INDEX([1]!db[NB PAJAK],MATCH(Table1[[#This Row],[h_Item Description]],[1]!db[kode],0)))</f>
        <v/>
      </c>
      <c r="Q74" s="283"/>
      <c r="R74" s="284"/>
      <c r="T74" s="283" t="str">
        <f>Table1[[#This Row],[h_hargasetelahdiskon]]</f>
        <v/>
      </c>
      <c r="W74" s="287" t="str">
        <f ca="1">IF(Table1[[#This Row],[Item Description]]="","",IF(Table1[[#This Row],[//]]="",INDIRECT(ADDRESS(ROW()-1,COLUMN())),Table1[[#This Row],[//]]))</f>
        <v/>
      </c>
      <c r="X74" s="287" t="str">
        <f ca="1">IF(Table1[[#This Row],[h_id]]="","",COUNTIF(Table1[h_id],Table1[[#This Row],[h_id]]))</f>
        <v/>
      </c>
      <c r="Y74" s="283" t="str">
        <f>IF(Table1[Item Description]="","",Table1[[#This Row],[Qty]]*Table1[[#This Row],[Unit Price]])</f>
        <v/>
      </c>
      <c r="Z74" s="283" t="str">
        <f>IF(Table1[[#This Row],[h_hargasebelumdiskon]]="","",IF(Table1[[#This Row],[Disc 1]]="",0,Table1[[#This Row],[h_hargasebelumdiskon]]*Table1[[#This Row],[Disc 1]]))</f>
        <v/>
      </c>
      <c r="AA74" s="283" t="str">
        <f>IF(Table1[[#This Row],[h_hargasebelumdiskon]]="","",IF(Table1[[#This Row],[Disc 2]]="",0,(Table1[[#This Row],[h_hargasebelumdiskon]]-Table1[[#This Row],[h_disc 1]])*Table1[[#This Row],[Disc 2]]))</f>
        <v/>
      </c>
      <c r="AB74" s="283" t="str">
        <f>IF(Table1[Item Description]="","",Table1[[#This Row],[h_disc 1]]+Table1[[#This Row],[h_disc 2]])</f>
        <v/>
      </c>
      <c r="AC74" s="283" t="str">
        <f>IF(Table1[Item Description]="","",Table1[[#This Row],[h_hargasebelumdiskon]]-Table1[[#This Row],[h_diskon]])</f>
        <v/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/>
      </c>
    </row>
    <row r="75" spans="1:32" x14ac:dyDescent="0.25">
      <c r="A75" s="287" t="str">
        <f ca="1">IF(Table1[[#This Row],[No. Invoice :]]="","",ROW())</f>
        <v/>
      </c>
      <c r="B75" s="287" t="str">
        <f ca="1">IF(Table1[Column3]="","",B$1+COUNT(INDIRECT("B$2:B"&amp;ROW()-1)))</f>
        <v/>
      </c>
      <c r="C75" s="281" t="str">
        <f>IF(Table1[[#This Row],[Column2]]="","",Table1[[#This Row],[Column2]]+C$1-1)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Row],[Column3]])," ",Table1[[#This Row],[Column4]])</f>
        <v xml:space="preserve"> </v>
      </c>
      <c r="J75" s="287" t="str">
        <f>IF(Table1[[#This Row],[Column5]]="","",INDEX(Table2[e],IF(Table1[[#This Row],[Column5]]="","",MATCH(Table1[[#This Row],[Column5]],Table2[a],0)),))</f>
        <v/>
      </c>
      <c r="O75" s="287" t="str">
        <f>IF(Table1[[#This Row],[h_Item Description]]="","",INDEX([1]!db[NB PAJAK],MATCH(Table1[[#This Row],[h_Item Description]],[1]!db[kode],0)))</f>
        <v/>
      </c>
      <c r="Q75" s="283"/>
      <c r="R75" s="284"/>
      <c r="T75" s="283" t="str">
        <f>Table1[[#This Row],[h_hargasetelahdiskon]]</f>
        <v/>
      </c>
      <c r="W75" s="287" t="str">
        <f ca="1">IF(Table1[[#This Row],[Item Description]]="","",IF(Table1[[#This Row],[//]]="",INDIRECT(ADDRESS(ROW()-1,COLUMN())),Table1[[#This Row],[//]]))</f>
        <v/>
      </c>
      <c r="X75" s="287" t="str">
        <f ca="1">IF(Table1[[#This Row],[h_id]]="","",COUNTIF(Table1[h_id],Table1[[#This Row],[h_id]]))</f>
        <v/>
      </c>
      <c r="Y75" s="283" t="str">
        <f>IF(Table1[Item Description]="","",Table1[[#This Row],[Qty]]*Table1[[#This Row],[Unit Price]])</f>
        <v/>
      </c>
      <c r="Z75" s="283" t="str">
        <f>IF(Table1[[#This Row],[h_hargasebelumdiskon]]="","",IF(Table1[[#This Row],[Disc 1]]="",0,Table1[[#This Row],[h_hargasebelumdiskon]]*Table1[[#This Row],[Disc 1]]))</f>
        <v/>
      </c>
      <c r="AA75" s="283" t="str">
        <f>IF(Table1[[#This Row],[h_hargasebelumdiskon]]="","",IF(Table1[[#This Row],[Disc 2]]="",0,(Table1[[#This Row],[h_hargasebelumdiskon]]-Table1[[#This Row],[h_disc 1]])*Table1[[#This Row],[Disc 2]]))</f>
        <v/>
      </c>
      <c r="AB75" s="283" t="str">
        <f>IF(Table1[Item Description]="","",Table1[[#This Row],[h_disc 1]]+Table1[[#This Row],[h_disc 2]])</f>
        <v/>
      </c>
      <c r="AC75" s="283" t="str">
        <f>IF(Table1[Item Description]="","",Table1[[#This Row],[h_hargasebelumdiskon]]-Table1[[#This Row],[h_diskon]])</f>
        <v/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/>
      </c>
    </row>
    <row r="76" spans="1:32" x14ac:dyDescent="0.25">
      <c r="A76" s="287" t="str">
        <f ca="1">IF(Table1[[#This Row],[No. Invoice :]]="","",ROW())</f>
        <v/>
      </c>
      <c r="B76" s="287" t="str">
        <f ca="1">IF(Table1[Column3]="","",B$1+COUNT(INDIRECT("B$2:B"&amp;ROW()-1)))</f>
        <v/>
      </c>
      <c r="C76" s="281" t="str">
        <f>IF(Table1[[#This Row],[Column2]]="","",Table1[[#This Row],[Column2]]+C$1-1)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Row],[Column3]])," ",Table1[[#This Row],[Column4]])</f>
        <v xml:space="preserve"> </v>
      </c>
      <c r="J76" s="287" t="str">
        <f>IF(Table1[[#This Row],[Column5]]="","",INDEX(Table2[e],IF(Table1[[#This Row],[Column5]]="","",MATCH(Table1[[#This Row],[Column5]],Table2[a],0)),))</f>
        <v/>
      </c>
      <c r="O76" s="287" t="str">
        <f>IF(Table1[[#This Row],[h_Item Description]]="","",INDEX([1]!db[NB PAJAK],MATCH(Table1[[#This Row],[h_Item Description]],[1]!db[kode],0)))</f>
        <v/>
      </c>
      <c r="Q76" s="283"/>
      <c r="R76" s="284"/>
      <c r="T76" s="283" t="str">
        <f>Table1[[#This Row],[h_hargasetelahdiskon]]</f>
        <v/>
      </c>
      <c r="W76" s="287" t="str">
        <f ca="1">IF(Table1[[#This Row],[Item Description]]="","",IF(Table1[[#This Row],[//]]="",INDIRECT(ADDRESS(ROW()-1,COLUMN())),Table1[[#This Row],[//]]))</f>
        <v/>
      </c>
      <c r="X76" s="287" t="str">
        <f ca="1">IF(Table1[[#This Row],[h_id]]="","",COUNTIF(Table1[h_id],Table1[[#This Row],[h_id]]))</f>
        <v/>
      </c>
      <c r="Y76" s="283" t="str">
        <f>IF(Table1[Item Description]="","",Table1[[#This Row],[Qty]]*Table1[[#This Row],[Unit Price]])</f>
        <v/>
      </c>
      <c r="Z76" s="283" t="str">
        <f>IF(Table1[[#This Row],[h_hargasebelumdiskon]]="","",IF(Table1[[#This Row],[Disc 1]]="",0,Table1[[#This Row],[h_hargasebelumdiskon]]*Table1[[#This Row],[Disc 1]]))</f>
        <v/>
      </c>
      <c r="AA76" s="283" t="str">
        <f>IF(Table1[[#This Row],[h_hargasebelumdiskon]]="","",IF(Table1[[#This Row],[Disc 2]]="",0,(Table1[[#This Row],[h_hargasebelumdiskon]]-Table1[[#This Row],[h_disc 1]])*Table1[[#This Row],[Disc 2]]))</f>
        <v/>
      </c>
      <c r="AB76" s="283" t="str">
        <f>IF(Table1[Item Description]="","",Table1[[#This Row],[h_disc 1]]+Table1[[#This Row],[h_disc 2]])</f>
        <v/>
      </c>
      <c r="AC76" s="283" t="str">
        <f>IF(Table1[Item Description]="","",Table1[[#This Row],[h_hargasebelumdiskon]]-Table1[[#This Row],[h_diskon]])</f>
        <v/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/>
      </c>
    </row>
    <row r="77" spans="1:32" x14ac:dyDescent="0.25">
      <c r="A77" s="287" t="str">
        <f ca="1">IF(Table1[[#This Row],[No. Invoice :]]="","",ROW())</f>
        <v/>
      </c>
      <c r="B77" s="287" t="str">
        <f ca="1">IF(Table1[Column3]="","",B$1+COUNT(INDIRECT("B$2:B"&amp;ROW()-1)))</f>
        <v/>
      </c>
      <c r="C77" s="281" t="str">
        <f>IF(Table1[[#This Row],[Column2]]="","",Table1[[#This Row],[Column2]]+C$1-1)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Row],[Column3]])," ",Table1[[#This Row],[Column4]])</f>
        <v xml:space="preserve"> </v>
      </c>
      <c r="J77" s="287" t="str">
        <f>IF(Table1[[#This Row],[Column5]]="","",INDEX(Table2[e],IF(Table1[[#This Row],[Column5]]="","",MATCH(Table1[[#This Row],[Column5]],Table2[a],0)),))</f>
        <v/>
      </c>
      <c r="O77" s="287" t="str">
        <f>IF(Table1[[#This Row],[h_Item Description]]="","",INDEX([1]!db[NB PAJAK],MATCH(Table1[[#This Row],[h_Item Description]],[1]!db[kode],0)))</f>
        <v/>
      </c>
      <c r="Q77" s="283"/>
      <c r="R77" s="284"/>
      <c r="T77" s="283" t="str">
        <f>Table1[[#This Row],[h_hargasetelahdiskon]]</f>
        <v/>
      </c>
      <c r="W77" s="287" t="str">
        <f ca="1">IF(Table1[[#This Row],[Item Description]]="","",IF(Table1[[#This Row],[//]]="",INDIRECT(ADDRESS(ROW()-1,COLUMN())),Table1[[#This Row],[//]]))</f>
        <v/>
      </c>
      <c r="X77" s="287" t="str">
        <f ca="1">IF(Table1[[#This Row],[h_id]]="","",COUNTIF(Table1[h_id],Table1[[#This Row],[h_id]]))</f>
        <v/>
      </c>
      <c r="Y77" s="283" t="str">
        <f>IF(Table1[Item Description]="","",Table1[[#This Row],[Qty]]*Table1[[#This Row],[Unit Price]])</f>
        <v/>
      </c>
      <c r="Z77" s="283" t="str">
        <f>IF(Table1[[#This Row],[h_hargasebelumdiskon]]="","",IF(Table1[[#This Row],[Disc 1]]="",0,Table1[[#This Row],[h_hargasebelumdiskon]]*Table1[[#This Row],[Disc 1]]))</f>
        <v/>
      </c>
      <c r="AA77" s="283" t="str">
        <f>IF(Table1[[#This Row],[h_hargasebelumdiskon]]="","",IF(Table1[[#This Row],[Disc 2]]="",0,(Table1[[#This Row],[h_hargasebelumdiskon]]-Table1[[#This Row],[h_disc 1]])*Table1[[#This Row],[Disc 2]]))</f>
        <v/>
      </c>
      <c r="AB77" s="283" t="str">
        <f>IF(Table1[Item Description]="","",Table1[[#This Row],[h_disc 1]]+Table1[[#This Row],[h_disc 2]])</f>
        <v/>
      </c>
      <c r="AC77" s="283" t="str">
        <f>IF(Table1[Item Description]="","",Table1[[#This Row],[h_hargasebelumdiskon]]-Table1[[#This Row],[h_diskon]])</f>
        <v/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/>
      </c>
    </row>
    <row r="78" spans="1:32" x14ac:dyDescent="0.25">
      <c r="A78" s="287" t="str">
        <f ca="1">IF(Table1[[#This Row],[No. Invoice :]]="","",ROW())</f>
        <v/>
      </c>
      <c r="B78" s="287" t="str">
        <f ca="1">IF(Table1[Column3]="","",B$1+COUNT(INDIRECT("B$2:B"&amp;ROW()-1)))</f>
        <v/>
      </c>
      <c r="C78" s="281" t="str">
        <f>IF(Table1[[#This Row],[Column2]]="","",Table1[[#This Row],[Column2]]+C$1-1)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Row],[Column3]])," ",Table1[[#This Row],[Column4]])</f>
        <v xml:space="preserve"> </v>
      </c>
      <c r="J78" s="287" t="str">
        <f>IF(Table1[[#This Row],[Column5]]="","",INDEX(Table2[e],IF(Table1[[#This Row],[Column5]]="","",MATCH(Table1[[#This Row],[Column5]],Table2[a],0)),))</f>
        <v/>
      </c>
      <c r="O78" s="287" t="str">
        <f>IF(Table1[[#This Row],[h_Item Description]]="","",INDEX([1]!db[NB PAJAK],MATCH(Table1[[#This Row],[h_Item Description]],[1]!db[kode],0)))</f>
        <v/>
      </c>
      <c r="Q78" s="283"/>
      <c r="R78" s="284"/>
      <c r="T78" s="283" t="str">
        <f>Table1[[#This Row],[h_hargasetelahdiskon]]</f>
        <v/>
      </c>
      <c r="W78" s="287" t="str">
        <f ca="1">IF(Table1[[#This Row],[Item Description]]="","",IF(Table1[[#This Row],[//]]="",INDIRECT(ADDRESS(ROW()-1,COLUMN())),Table1[[#This Row],[//]]))</f>
        <v/>
      </c>
      <c r="X78" s="287" t="str">
        <f ca="1">IF(Table1[[#This Row],[h_id]]="","",COUNTIF(Table1[h_id],Table1[[#This Row],[h_id]]))</f>
        <v/>
      </c>
      <c r="Y78" s="283" t="str">
        <f>IF(Table1[Item Description]="","",Table1[[#This Row],[Qty]]*Table1[[#This Row],[Unit Price]])</f>
        <v/>
      </c>
      <c r="Z78" s="283" t="str">
        <f>IF(Table1[[#This Row],[h_hargasebelumdiskon]]="","",IF(Table1[[#This Row],[Disc 1]]="",0,Table1[[#This Row],[h_hargasebelumdiskon]]*Table1[[#This Row],[Disc 1]]))</f>
        <v/>
      </c>
      <c r="AA78" s="283" t="str">
        <f>IF(Table1[[#This Row],[h_hargasebelumdiskon]]="","",IF(Table1[[#This Row],[Disc 2]]="",0,(Table1[[#This Row],[h_hargasebelumdiskon]]-Table1[[#This Row],[h_disc 1]])*Table1[[#This Row],[Disc 2]]))</f>
        <v/>
      </c>
      <c r="AB78" s="283" t="str">
        <f>IF(Table1[Item Description]="","",Table1[[#This Row],[h_disc 1]]+Table1[[#This Row],[h_disc 2]])</f>
        <v/>
      </c>
      <c r="AC78" s="283" t="str">
        <f>IF(Table1[Item Description]="","",Table1[[#This Row],[h_hargasebelumdiskon]]-Table1[[#This Row],[h_diskon]])</f>
        <v/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/>
      </c>
    </row>
    <row r="79" spans="1:32" x14ac:dyDescent="0.25">
      <c r="A79" s="287" t="str">
        <f ca="1">IF(Table1[[#This Row],[No. Invoice :]]="","",ROW())</f>
        <v/>
      </c>
      <c r="B79" s="287" t="str">
        <f ca="1">IF(Table1[Column3]="","",B$1+COUNT(INDIRECT("B$2:B"&amp;ROW()-1)))</f>
        <v/>
      </c>
      <c r="C79" s="281" t="str">
        <f>IF(Table1[[#This Row],[Column2]]="","",Table1[[#This Row],[Column2]]+C$1-1)</f>
        <v/>
      </c>
      <c r="H79" s="287" t="str">
        <f ca="1">IF(Table1[[#This Row],[h_No. Invoice :]]="","",CONCATENATE("AM"," ",Table1[[#This Row],[h_No. Invoice :]]))</f>
        <v/>
      </c>
      <c r="I79" s="288" t="str">
        <f>CONCATENATE(UPPER(Table1[[#This Row],[Column3]])," ",Table1[[#This Row],[Column4]])</f>
        <v xml:space="preserve"> </v>
      </c>
      <c r="J79" s="287" t="str">
        <f>IF(Table1[[#This Row],[Column5]]="","",INDEX(Table2[e],IF(Table1[[#This Row],[Column5]]="","",MATCH(Table1[[#This Row],[Column5]],Table2[a],0)),))</f>
        <v/>
      </c>
      <c r="O79" s="287" t="str">
        <f>IF(Table1[[#This Row],[h_Item Description]]="","",INDEX([1]!db[NB PAJAK],MATCH(Table1[[#This Row],[h_Item Description]],[1]!db[kode],0)))</f>
        <v/>
      </c>
      <c r="Q79" s="283"/>
      <c r="R79" s="284"/>
      <c r="T79" s="283" t="str">
        <f>Table1[[#This Row],[h_hargasetelahdiskon]]</f>
        <v/>
      </c>
      <c r="W79" s="287" t="str">
        <f ca="1">IF(Table1[[#This Row],[Item Description]]="","",IF(Table1[[#This Row],[//]]="",INDIRECT(ADDRESS(ROW()-1,COLUMN())),Table1[[#This Row],[//]]))</f>
        <v/>
      </c>
      <c r="X79" s="287" t="str">
        <f ca="1">IF(Table1[[#This Row],[h_id]]="","",COUNTIF(Table1[h_id],Table1[[#This Row],[h_id]]))</f>
        <v/>
      </c>
      <c r="Y79" s="283" t="str">
        <f>IF(Table1[Item Description]="","",Table1[[#This Row],[Qty]]*Table1[[#This Row],[Unit Price]])</f>
        <v/>
      </c>
      <c r="Z79" s="283" t="str">
        <f>IF(Table1[[#This Row],[h_hargasebelumdiskon]]="","",IF(Table1[[#This Row],[Disc 1]]="",0,Table1[[#This Row],[h_hargasebelumdiskon]]*Table1[[#This Row],[Disc 1]]))</f>
        <v/>
      </c>
      <c r="AA79" s="283" t="str">
        <f>IF(Table1[[#This Row],[h_hargasebelumdiskon]]="","",IF(Table1[[#This Row],[Disc 2]]="",0,(Table1[[#This Row],[h_hargasebelumdiskon]]-Table1[[#This Row],[h_disc 1]])*Table1[[#This Row],[Disc 2]]))</f>
        <v/>
      </c>
      <c r="AB79" s="283" t="str">
        <f>IF(Table1[Item Description]="","",Table1[[#This Row],[h_disc 1]]+Table1[[#This Row],[h_disc 2]])</f>
        <v/>
      </c>
      <c r="AC79" s="283" t="str">
        <f>IF(Table1[Item Description]="","",Table1[[#This Row],[h_hargasebelumdiskon]]-Table1[[#This Row],[h_diskon]])</f>
        <v/>
      </c>
      <c r="AD79" s="283" t="str">
        <f ca="1">IF(Table1[//]="","",SUMIF(Table1[h_id],Table1[h_id],Table1[h_hargasetelahdiskon]))</f>
        <v/>
      </c>
      <c r="AE79" s="283"/>
      <c r="AF79" s="283" t="str">
        <f>Table1[[#This Row],[Item Description]]&amp;Table1[[#This Row],[Unit]]&amp;Table1[[#This Row],[Unit Price]]</f>
        <v/>
      </c>
    </row>
    <row r="80" spans="1:32" x14ac:dyDescent="0.25">
      <c r="A80" s="287" t="str">
        <f ca="1">IF(Table1[[#This Row],[No. Invoice :]]="","",ROW())</f>
        <v/>
      </c>
      <c r="B80" s="287" t="str">
        <f ca="1">IF(Table1[Column3]="","",B$1+COUNT(INDIRECT("B$2:B"&amp;ROW()-1)))</f>
        <v/>
      </c>
      <c r="C80" s="281" t="str">
        <f>IF(Table1[[#This Row],[Column2]]="","",Table1[[#This Row],[Column2]]+C$1-1)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Row],[Column3]])," ",Table1[[#This Row],[Column4]])</f>
        <v xml:space="preserve"> </v>
      </c>
      <c r="J80" s="287" t="str">
        <f>IF(Table1[[#This Row],[Column5]]="","",INDEX(Table2[e],IF(Table1[[#This Row],[Column5]]="","",MATCH(Table1[[#This Row],[Column5]],Table2[a],0)),))</f>
        <v/>
      </c>
      <c r="O80" s="287" t="str">
        <f>IF(Table1[[#This Row],[h_Item Description]]="","",INDEX([1]!db[NB PAJAK],MATCH(Table1[[#This Row],[h_Item Description]],[1]!db[kode],0)))</f>
        <v/>
      </c>
      <c r="Q80" s="283"/>
      <c r="R80" s="284"/>
      <c r="T80" s="283" t="str">
        <f>Table1[[#This Row],[h_hargasetelahdiskon]]</f>
        <v/>
      </c>
      <c r="W80" s="287" t="str">
        <f ca="1">IF(Table1[[#This Row],[Item Description]]="","",IF(Table1[[#This Row],[//]]="",INDIRECT(ADDRESS(ROW()-1,COLUMN())),Table1[[#This Row],[//]]))</f>
        <v/>
      </c>
      <c r="X80" s="287" t="str">
        <f ca="1">IF(Table1[[#This Row],[h_id]]="","",COUNTIF(Table1[h_id],Table1[[#This Row],[h_id]]))</f>
        <v/>
      </c>
      <c r="Y80" s="283" t="str">
        <f>IF(Table1[Item Description]="","",Table1[[#This Row],[Qty]]*Table1[[#This Row],[Unit Price]])</f>
        <v/>
      </c>
      <c r="Z80" s="283" t="str">
        <f>IF(Table1[[#This Row],[h_hargasebelumdiskon]]="","",IF(Table1[[#This Row],[Disc 1]]="",0,Table1[[#This Row],[h_hargasebelumdiskon]]*Table1[[#This Row],[Disc 1]]))</f>
        <v/>
      </c>
      <c r="AA80" s="283" t="str">
        <f>IF(Table1[[#This Row],[h_hargasebelumdiskon]]="","",IF(Table1[[#This Row],[Disc 2]]="",0,(Table1[[#This Row],[h_hargasebelumdiskon]]-Table1[[#This Row],[h_disc 1]])*Table1[[#This Row],[Disc 2]]))</f>
        <v/>
      </c>
      <c r="AB80" s="283" t="str">
        <f>IF(Table1[Item Description]="","",Table1[[#This Row],[h_disc 1]]+Table1[[#This Row],[h_disc 2]])</f>
        <v/>
      </c>
      <c r="AC80" s="283" t="str">
        <f>IF(Table1[Item Description]="","",Table1[[#This Row],[h_hargasebelumdiskon]]-Table1[[#This Row],[h_diskon]])</f>
        <v/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/>
      </c>
    </row>
    <row r="81" spans="1:32" x14ac:dyDescent="0.25">
      <c r="A81" s="287" t="str">
        <f ca="1">IF(Table1[[#This Row],[No. Invoice :]]="","",ROW())</f>
        <v/>
      </c>
      <c r="B81" s="287" t="str">
        <f ca="1">IF(Table1[Column3]="","",B$1+COUNT(INDIRECT("B$2:B"&amp;ROW()-1)))</f>
        <v/>
      </c>
      <c r="C81" s="281" t="str">
        <f>IF(Table1[[#This Row],[Column2]]="","",Table1[[#This Row],[Column2]]+C$1-1)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Row],[Column3]])," ",Table1[[#This Row],[Column4]])</f>
        <v xml:space="preserve"> </v>
      </c>
      <c r="J81" s="287" t="str">
        <f>IF(Table1[[#This Row],[Column5]]="","",INDEX(Table2[e],IF(Table1[[#This Row],[Column5]]="","",MATCH(Table1[[#This Row],[Column5]],Table2[a],0)),))</f>
        <v/>
      </c>
      <c r="O81" s="287" t="str">
        <f>IF(Table1[[#This Row],[h_Item Description]]="","",INDEX([1]!db[NB PAJAK],MATCH(Table1[[#This Row],[h_Item Description]],[1]!db[kode],0)))</f>
        <v/>
      </c>
      <c r="Q81" s="283"/>
      <c r="R81" s="284"/>
      <c r="T81" s="283" t="str">
        <f>Table1[[#This Row],[h_hargasetelahdiskon]]</f>
        <v/>
      </c>
      <c r="W81" s="287" t="str">
        <f ca="1">IF(Table1[[#This Row],[Item Description]]="","",IF(Table1[[#This Row],[//]]="",INDIRECT(ADDRESS(ROW()-1,COLUMN())),Table1[[#This Row],[//]]))</f>
        <v/>
      </c>
      <c r="X81" s="287" t="str">
        <f ca="1">IF(Table1[[#This Row],[h_id]]="","",COUNTIF(Table1[h_id],Table1[[#This Row],[h_id]]))</f>
        <v/>
      </c>
      <c r="Y81" s="283" t="str">
        <f>IF(Table1[Item Description]="","",Table1[[#This Row],[Qty]]*Table1[[#This Row],[Unit Price]])</f>
        <v/>
      </c>
      <c r="Z81" s="283" t="str">
        <f>IF(Table1[[#This Row],[h_hargasebelumdiskon]]="","",IF(Table1[[#This Row],[Disc 1]]="",0,Table1[[#This Row],[h_hargasebelumdiskon]]*Table1[[#This Row],[Disc 1]]))</f>
        <v/>
      </c>
      <c r="AA81" s="283" t="str">
        <f>IF(Table1[[#This Row],[h_hargasebelumdiskon]]="","",IF(Table1[[#This Row],[Disc 2]]="",0,(Table1[[#This Row],[h_hargasebelumdiskon]]-Table1[[#This Row],[h_disc 1]])*Table1[[#This Row],[Disc 2]]))</f>
        <v/>
      </c>
      <c r="AB81" s="283" t="str">
        <f>IF(Table1[Item Description]="","",Table1[[#This Row],[h_disc 1]]+Table1[[#This Row],[h_disc 2]])</f>
        <v/>
      </c>
      <c r="AC81" s="283" t="str">
        <f>IF(Table1[Item Description]="","",Table1[[#This Row],[h_hargasebelumdiskon]]-Table1[[#This Row],[h_diskon]])</f>
        <v/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/>
      </c>
    </row>
    <row r="82" spans="1:32" x14ac:dyDescent="0.25">
      <c r="A82" s="287" t="str">
        <f ca="1">IF(Table1[[#This Row],[No. Invoice :]]="","",ROW())</f>
        <v/>
      </c>
      <c r="B82" s="287" t="str">
        <f ca="1">IF(Table1[Column3]="","",B$1+COUNT(INDIRECT("B$2:B"&amp;ROW()-1)))</f>
        <v/>
      </c>
      <c r="C82" s="281" t="str">
        <f>IF(Table1[[#This Row],[Column2]]="","",Table1[[#This Row],[Column2]]+C$1-1)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Row],[Column3]])," ",Table1[[#This Row],[Column4]])</f>
        <v xml:space="preserve"> </v>
      </c>
      <c r="J82" s="287" t="str">
        <f>IF(Table1[[#This Row],[Column5]]="","",INDEX(Table2[e],IF(Table1[[#This Row],[Column5]]="","",MATCH(Table1[[#This Row],[Column5]],Table2[a],0)),))</f>
        <v/>
      </c>
      <c r="O82" s="287" t="str">
        <f>IF(Table1[[#This Row],[h_Item Description]]="","",INDEX([1]!db[NB PAJAK],MATCH(Table1[[#This Row],[h_Item Description]],[1]!db[kode],0)))</f>
        <v/>
      </c>
      <c r="Q82" s="283"/>
      <c r="R82" s="284"/>
      <c r="T82" s="283" t="str">
        <f>Table1[[#This Row],[h_hargasetelahdiskon]]</f>
        <v/>
      </c>
      <c r="W82" s="287" t="str">
        <f ca="1">IF(Table1[[#This Row],[Item Description]]="","",IF(Table1[[#This Row],[//]]="",INDIRECT(ADDRESS(ROW()-1,COLUMN())),Table1[[#This Row],[//]]))</f>
        <v/>
      </c>
      <c r="X82" s="287" t="str">
        <f ca="1">IF(Table1[[#This Row],[h_id]]="","",COUNTIF(Table1[h_id],Table1[[#This Row],[h_id]]))</f>
        <v/>
      </c>
      <c r="Y82" s="283" t="str">
        <f>IF(Table1[Item Description]="","",Table1[[#This Row],[Qty]]*Table1[[#This Row],[Unit Price]])</f>
        <v/>
      </c>
      <c r="Z82" s="283" t="str">
        <f>IF(Table1[[#This Row],[h_hargasebelumdiskon]]="","",IF(Table1[[#This Row],[Disc 1]]="",0,Table1[[#This Row],[h_hargasebelumdiskon]]*Table1[[#This Row],[Disc 1]]))</f>
        <v/>
      </c>
      <c r="AA82" s="283" t="str">
        <f>IF(Table1[[#This Row],[h_hargasebelumdiskon]]="","",IF(Table1[[#This Row],[Disc 2]]="",0,(Table1[[#This Row],[h_hargasebelumdiskon]]-Table1[[#This Row],[h_disc 1]])*Table1[[#This Row],[Disc 2]]))</f>
        <v/>
      </c>
      <c r="AB82" s="283" t="str">
        <f>IF(Table1[Item Description]="","",Table1[[#This Row],[h_disc 1]]+Table1[[#This Row],[h_disc 2]])</f>
        <v/>
      </c>
      <c r="AC82" s="283" t="str">
        <f>IF(Table1[Item Description]="","",Table1[[#This Row],[h_hargasebelumdiskon]]-Table1[[#This Row],[h_diskon]])</f>
        <v/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/>
      </c>
    </row>
    <row r="83" spans="1:32" x14ac:dyDescent="0.25">
      <c r="A83" s="287" t="str">
        <f ca="1">IF(Table1[[#This Row],[No. Invoice :]]="","",ROW())</f>
        <v/>
      </c>
      <c r="B83" s="287" t="str">
        <f ca="1">IF(Table1[Column3]="","",B$1+COUNT(INDIRECT("B$2:B"&amp;ROW()-1)))</f>
        <v/>
      </c>
      <c r="C83" s="281" t="str">
        <f>IF(Table1[[#This Row],[Column2]]="","",Table1[[#This Row],[Column2]]+C$1-1)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Row],[Column3]])," ",Table1[[#This Row],[Column4]])</f>
        <v xml:space="preserve"> </v>
      </c>
      <c r="J83" s="287" t="str">
        <f>IF(Table1[[#This Row],[Column5]]="","",INDEX(Table2[e],IF(Table1[[#This Row],[Column5]]="","",MATCH(Table1[[#This Row],[Column5]],Table2[a],0)),))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 t="str">
        <f ca="1">IF(Table1[[#This Row],[No. Invoice :]]="","",ROW())</f>
        <v/>
      </c>
      <c r="B84" s="287" t="str">
        <f ca="1">IF(Table1[Column3]="","",B$1+COUNT(INDIRECT("B$2:B"&amp;ROW()-1)))</f>
        <v/>
      </c>
      <c r="C84" s="281" t="str">
        <f>IF(Table1[[#This Row],[Column2]]="","",Table1[[#This Row],[Column2]]+C$1-1)</f>
        <v/>
      </c>
      <c r="H84" s="287" t="str">
        <f ca="1">IF(Table1[[#This Row],[h_No. Invoice :]]="","",CONCATENATE("AM"," ",Table1[[#This Row],[h_No. Invoice :]]))</f>
        <v/>
      </c>
      <c r="I84" s="288" t="str">
        <f>CONCATENATE(UPPER(Table1[[#This Row],[Column3]])," ",Table1[[#This Row],[Column4]])</f>
        <v xml:space="preserve"> </v>
      </c>
      <c r="J84" s="287" t="str">
        <f>IF(Table1[[#This Row],[Column5]]="","",INDEX(Table2[e],IF(Table1[[#This Row],[Column5]]="","",MATCH(Table1[[#This Row],[Column5]],Table2[a],0)),))</f>
        <v/>
      </c>
      <c r="O84" s="287" t="str">
        <f>IF(Table1[[#This Row],[h_Item Description]]="","",INDEX([1]!db[NB PAJAK],MATCH(Table1[[#This Row],[h_Item Description]],[1]!db[kode],0)))</f>
        <v/>
      </c>
      <c r="Q84" s="283"/>
      <c r="R84" s="284"/>
      <c r="T84" s="283" t="str">
        <f>Table1[[#This Row],[h_hargasetelahdiskon]]</f>
        <v/>
      </c>
      <c r="W84" s="287" t="str">
        <f ca="1">IF(Table1[[#This Row],[Item Description]]="","",IF(Table1[[#This Row],[//]]="",INDIRECT(ADDRESS(ROW()-1,COLUMN())),Table1[[#This Row],[//]]))</f>
        <v/>
      </c>
      <c r="X84" s="287" t="str">
        <f ca="1">IF(Table1[[#This Row],[h_id]]="","",COUNTIF(Table1[h_id],Table1[[#This Row],[h_id]]))</f>
        <v/>
      </c>
      <c r="Y84" s="283" t="str">
        <f>IF(Table1[Item Description]="","",Table1[[#This Row],[Qty]]*Table1[[#This Row],[Unit Price]])</f>
        <v/>
      </c>
      <c r="Z84" s="283" t="str">
        <f>IF(Table1[[#This Row],[h_hargasebelumdiskon]]="","",IF(Table1[[#This Row],[Disc 1]]="",0,Table1[[#This Row],[h_hargasebelumdiskon]]*Table1[[#This Row],[Disc 1]]))</f>
        <v/>
      </c>
      <c r="AA84" s="283" t="str">
        <f>IF(Table1[[#This Row],[h_hargasebelumdiskon]]="","",IF(Table1[[#This Row],[Disc 2]]="",0,(Table1[[#This Row],[h_hargasebelumdiskon]]-Table1[[#This Row],[h_disc 1]])*Table1[[#This Row],[Disc 2]]))</f>
        <v/>
      </c>
      <c r="AB84" s="283" t="str">
        <f>IF(Table1[Item Description]="","",Table1[[#This Row],[h_disc 1]]+Table1[[#This Row],[h_disc 2]])</f>
        <v/>
      </c>
      <c r="AC84" s="283" t="str">
        <f>IF(Table1[Item Description]="","",Table1[[#This Row],[h_hargasebelumdiskon]]-Table1[[#This Row],[h_diskon]])</f>
        <v/>
      </c>
      <c r="AD84" s="283" t="str">
        <f ca="1">IF(Table1[//]="","",SUMIF(Table1[h_id],Table1[h_id],Table1[h_hargasetelahdiskon]))</f>
        <v/>
      </c>
      <c r="AE84" s="283"/>
      <c r="AF84" s="283" t="str">
        <f>Table1[[#This Row],[Item Description]]&amp;Table1[[#This Row],[Unit]]&amp;Table1[[#This Row],[Unit Price]]</f>
        <v/>
      </c>
    </row>
    <row r="85" spans="1:32" x14ac:dyDescent="0.25">
      <c r="A85" s="287" t="str">
        <f ca="1">IF(Table1[[#This Row],[No. Invoice :]]="","",ROW())</f>
        <v/>
      </c>
      <c r="B85" s="287" t="str">
        <f ca="1">IF(Table1[Column3]="","",B$1+COUNT(INDIRECT("B$2:B"&amp;ROW()-1)))</f>
        <v/>
      </c>
      <c r="C85" s="281" t="str">
        <f>IF(Table1[[#This Row],[Column2]]="","",Table1[[#This Row],[Column2]]+C$1-1)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Row],[Column3]])," ",Table1[[#This Row],[Column4]])</f>
        <v xml:space="preserve"> </v>
      </c>
      <c r="J85" s="287" t="str">
        <f>IF(Table1[[#This Row],[Column5]]="","",INDEX(Table2[e],IF(Table1[[#This Row],[Column5]]="","",MATCH(Table1[[#This Row],[Column5]],Table2[a],0)),))</f>
        <v/>
      </c>
      <c r="O85" s="287" t="str">
        <f>IF(Table1[[#This Row],[h_Item Description]]="","",INDEX([1]!db[NB PAJAK],MATCH(Table1[[#This Row],[h_Item Description]],[1]!db[kode],0)))</f>
        <v/>
      </c>
      <c r="Q85" s="283"/>
      <c r="R85" s="284"/>
      <c r="T85" s="283" t="str">
        <f>Table1[[#This Row],[h_hargasetelahdiskon]]</f>
        <v/>
      </c>
      <c r="W85" s="287" t="str">
        <f ca="1">IF(Table1[[#This Row],[Item Description]]="","",IF(Table1[[#This Row],[//]]="",INDIRECT(ADDRESS(ROW()-1,COLUMN())),Table1[[#This Row],[//]]))</f>
        <v/>
      </c>
      <c r="X85" s="287" t="str">
        <f ca="1">IF(Table1[[#This Row],[h_id]]="","",COUNTIF(Table1[h_id],Table1[[#This Row],[h_id]]))</f>
        <v/>
      </c>
      <c r="Y85" s="283" t="str">
        <f>IF(Table1[Item Description]="","",Table1[[#This Row],[Qty]]*Table1[[#This Row],[Unit Price]])</f>
        <v/>
      </c>
      <c r="Z85" s="283" t="str">
        <f>IF(Table1[[#This Row],[h_hargasebelumdiskon]]="","",IF(Table1[[#This Row],[Disc 1]]="",0,Table1[[#This Row],[h_hargasebelumdiskon]]*Table1[[#This Row],[Disc 1]]))</f>
        <v/>
      </c>
      <c r="AA85" s="283" t="str">
        <f>IF(Table1[[#This Row],[h_hargasebelumdiskon]]="","",IF(Table1[[#This Row],[Disc 2]]="",0,(Table1[[#This Row],[h_hargasebelumdiskon]]-Table1[[#This Row],[h_disc 1]])*Table1[[#This Row],[Disc 2]]))</f>
        <v/>
      </c>
      <c r="AB85" s="283" t="str">
        <f>IF(Table1[Item Description]="","",Table1[[#This Row],[h_disc 1]]+Table1[[#This Row],[h_disc 2]])</f>
        <v/>
      </c>
      <c r="AC85" s="283" t="str">
        <f>IF(Table1[Item Description]="","",Table1[[#This Row],[h_hargasebelumdiskon]]-Table1[[#This Row],[h_diskon]])</f>
        <v/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/>
      </c>
    </row>
    <row r="86" spans="1:32" x14ac:dyDescent="0.25">
      <c r="A86" s="287" t="str">
        <f ca="1">IF(Table1[[#This Row],[No. Invoice :]]="","",ROW())</f>
        <v/>
      </c>
      <c r="B86" s="287" t="str">
        <f ca="1">IF(Table1[Column3]="","",B$1+COUNT(INDIRECT("B$2:B"&amp;ROW()-1)))</f>
        <v/>
      </c>
      <c r="C86" s="281" t="str">
        <f>IF(Table1[[#This Row],[Column2]]="","",Table1[[#This Row],[Column2]]+C$1-1)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Row],[Column3]])," ",Table1[[#This Row],[Column4]])</f>
        <v xml:space="preserve"> </v>
      </c>
      <c r="J86" s="287" t="str">
        <f>IF(Table1[[#This Row],[Column5]]="","",INDEX(Table2[e],IF(Table1[[#This Row],[Column5]]="","",MATCH(Table1[[#This Row],[Column5]],Table2[a],0)),))</f>
        <v/>
      </c>
      <c r="O86" s="287" t="str">
        <f>IF(Table1[[#This Row],[h_Item Description]]="","",INDEX([1]!db[NB PAJAK],MATCH(Table1[[#This Row],[h_Item Description]],[1]!db[kode],0)))</f>
        <v/>
      </c>
      <c r="Q86" s="283"/>
      <c r="R86" s="284"/>
      <c r="T86" s="283" t="str">
        <f>Table1[[#This Row],[h_hargasetelahdiskon]]</f>
        <v/>
      </c>
      <c r="W86" s="287" t="str">
        <f ca="1">IF(Table1[[#This Row],[Item Description]]="","",IF(Table1[[#This Row],[//]]="",INDIRECT(ADDRESS(ROW()-1,COLUMN())),Table1[[#This Row],[//]]))</f>
        <v/>
      </c>
      <c r="X86" s="287" t="str">
        <f ca="1">IF(Table1[[#This Row],[h_id]]="","",COUNTIF(Table1[h_id],Table1[[#This Row],[h_id]]))</f>
        <v/>
      </c>
      <c r="Y86" s="283" t="str">
        <f>IF(Table1[Item Description]="","",Table1[[#This Row],[Qty]]*Table1[[#This Row],[Unit Price]])</f>
        <v/>
      </c>
      <c r="Z86" s="283" t="str">
        <f>IF(Table1[[#This Row],[h_hargasebelumdiskon]]="","",IF(Table1[[#This Row],[Disc 1]]="",0,Table1[[#This Row],[h_hargasebelumdiskon]]*Table1[[#This Row],[Disc 1]]))</f>
        <v/>
      </c>
      <c r="AA86" s="283" t="str">
        <f>IF(Table1[[#This Row],[h_hargasebelumdiskon]]="","",IF(Table1[[#This Row],[Disc 2]]="",0,(Table1[[#This Row],[h_hargasebelumdiskon]]-Table1[[#This Row],[h_disc 1]])*Table1[[#This Row],[Disc 2]]))</f>
        <v/>
      </c>
      <c r="AB86" s="283" t="str">
        <f>IF(Table1[Item Description]="","",Table1[[#This Row],[h_disc 1]]+Table1[[#This Row],[h_disc 2]])</f>
        <v/>
      </c>
      <c r="AC86" s="283" t="str">
        <f>IF(Table1[Item Description]="","",Table1[[#This Row],[h_hargasebelumdiskon]]-Table1[[#This Row],[h_diskon]])</f>
        <v/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/>
      </c>
    </row>
    <row r="87" spans="1:32" x14ac:dyDescent="0.25">
      <c r="A87" s="287" t="str">
        <f ca="1">IF(Table1[[#This Row],[No. Invoice :]]="","",ROW())</f>
        <v/>
      </c>
      <c r="B87" s="287" t="str">
        <f ca="1">IF(Table1[Column3]="","",B$1+COUNT(INDIRECT("B$2:B"&amp;ROW()-1)))</f>
        <v/>
      </c>
      <c r="C87" s="281" t="str">
        <f>IF(Table1[[#This Row],[Column2]]="","",Table1[[#This Row],[Column2]]+C$1-1)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Row],[Column3]])," ",Table1[[#This Row],[Column4]])</f>
        <v xml:space="preserve"> </v>
      </c>
      <c r="J87" s="287" t="str">
        <f>IF(Table1[[#This Row],[Column5]]="","",INDEX(Table2[e],IF(Table1[[#This Row],[Column5]]="","",MATCH(Table1[[#This Row],[Column5]],Table2[a],0)),))</f>
        <v/>
      </c>
      <c r="O87" s="287" t="str">
        <f>IF(Table1[[#This Row],[h_Item Description]]="","",INDEX([1]!db[NB PAJAK],MATCH(Table1[[#This Row],[h_Item Description]],[1]!db[kode],0)))</f>
        <v/>
      </c>
      <c r="Q87" s="283"/>
      <c r="R87" s="284"/>
      <c r="T87" s="283" t="str">
        <f>Table1[[#This Row],[h_hargasetelahdiskon]]</f>
        <v/>
      </c>
      <c r="W87" s="287" t="str">
        <f ca="1">IF(Table1[[#This Row],[Item Description]]="","",IF(Table1[[#This Row],[//]]="",INDIRECT(ADDRESS(ROW()-1,COLUMN())),Table1[[#This Row],[//]]))</f>
        <v/>
      </c>
      <c r="X87" s="287" t="str">
        <f ca="1">IF(Table1[[#This Row],[h_id]]="","",COUNTIF(Table1[h_id],Table1[[#This Row],[h_id]]))</f>
        <v/>
      </c>
      <c r="Y87" s="283" t="str">
        <f>IF(Table1[Item Description]="","",Table1[[#This Row],[Qty]]*Table1[[#This Row],[Unit Price]])</f>
        <v/>
      </c>
      <c r="Z87" s="283" t="str">
        <f>IF(Table1[[#This Row],[h_hargasebelumdiskon]]="","",IF(Table1[[#This Row],[Disc 1]]="",0,Table1[[#This Row],[h_hargasebelumdiskon]]*Table1[[#This Row],[Disc 1]]))</f>
        <v/>
      </c>
      <c r="AA87" s="283" t="str">
        <f>IF(Table1[[#This Row],[h_hargasebelumdiskon]]="","",IF(Table1[[#This Row],[Disc 2]]="",0,(Table1[[#This Row],[h_hargasebelumdiskon]]-Table1[[#This Row],[h_disc 1]])*Table1[[#This Row],[Disc 2]]))</f>
        <v/>
      </c>
      <c r="AB87" s="283" t="str">
        <f>IF(Table1[Item Description]="","",Table1[[#This Row],[h_disc 1]]+Table1[[#This Row],[h_disc 2]])</f>
        <v/>
      </c>
      <c r="AC87" s="283" t="str">
        <f>IF(Table1[Item Description]="","",Table1[[#This Row],[h_hargasebelumdiskon]]-Table1[[#This Row],[h_diskon]])</f>
        <v/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/>
      </c>
    </row>
    <row r="88" spans="1:32" x14ac:dyDescent="0.25">
      <c r="A88" s="287" t="str">
        <f ca="1">IF(Table1[[#This Row],[No. Invoice :]]="","",ROW())</f>
        <v/>
      </c>
      <c r="B88" s="287" t="str">
        <f ca="1">IF(Table1[Column3]="","",B$1+COUNT(INDIRECT("B$2:B"&amp;ROW()-1)))</f>
        <v/>
      </c>
      <c r="C88" s="281" t="str">
        <f>IF(Table1[[#This Row],[Column2]]="","",Table1[[#This Row],[Column2]]+C$1-1)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Row],[Column3]])," ",Table1[[#This Row],[Column4]])</f>
        <v xml:space="preserve"> </v>
      </c>
      <c r="J88" s="287" t="str">
        <f>IF(Table1[[#This Row],[Column5]]="","",INDEX(Table2[e],IF(Table1[[#This Row],[Column5]]="","",MATCH(Table1[[#This Row],[Column5]],Table2[a],0)),))</f>
        <v/>
      </c>
      <c r="O88" s="287" t="str">
        <f>IF(Table1[[#This Row],[h_Item Description]]="","",INDEX([1]!db[NB PAJAK],MATCH(Table1[[#This Row],[h_Item Description]],[1]!db[kode],0)))</f>
        <v/>
      </c>
      <c r="Q88" s="283"/>
      <c r="R88" s="284"/>
      <c r="T88" s="283" t="str">
        <f>Table1[[#This Row],[h_hargasetelahdiskon]]</f>
        <v/>
      </c>
      <c r="W88" s="287" t="str">
        <f ca="1">IF(Table1[[#This Row],[Item Description]]="","",IF(Table1[[#This Row],[//]]="",INDIRECT(ADDRESS(ROW()-1,COLUMN())),Table1[[#This Row],[//]]))</f>
        <v/>
      </c>
      <c r="X88" s="287" t="str">
        <f ca="1">IF(Table1[[#This Row],[h_id]]="","",COUNTIF(Table1[h_id],Table1[[#This Row],[h_id]]))</f>
        <v/>
      </c>
      <c r="Y88" s="283" t="str">
        <f>IF(Table1[Item Description]="","",Table1[[#This Row],[Qty]]*Table1[[#This Row],[Unit Price]])</f>
        <v/>
      </c>
      <c r="Z88" s="283" t="str">
        <f>IF(Table1[[#This Row],[h_hargasebelumdiskon]]="","",IF(Table1[[#This Row],[Disc 1]]="",0,Table1[[#This Row],[h_hargasebelumdiskon]]*Table1[[#This Row],[Disc 1]]))</f>
        <v/>
      </c>
      <c r="AA88" s="283" t="str">
        <f>IF(Table1[[#This Row],[h_hargasebelumdiskon]]="","",IF(Table1[[#This Row],[Disc 2]]="",0,(Table1[[#This Row],[h_hargasebelumdiskon]]-Table1[[#This Row],[h_disc 1]])*Table1[[#This Row],[Disc 2]]))</f>
        <v/>
      </c>
      <c r="AB88" s="283" t="str">
        <f>IF(Table1[Item Description]="","",Table1[[#This Row],[h_disc 1]]+Table1[[#This Row],[h_disc 2]])</f>
        <v/>
      </c>
      <c r="AC88" s="283" t="str">
        <f>IF(Table1[Item Description]="","",Table1[[#This Row],[h_hargasebelumdiskon]]-Table1[[#This Row],[h_diskon]])</f>
        <v/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/>
      </c>
    </row>
    <row r="89" spans="1:32" x14ac:dyDescent="0.25">
      <c r="A89" s="287" t="str">
        <f ca="1">IF(Table1[[#This Row],[No. Invoice :]]="","",ROW())</f>
        <v/>
      </c>
      <c r="B89" s="287" t="str">
        <f ca="1">IF(Table1[Column3]="","",B$1+COUNT(INDIRECT("B$2:B"&amp;ROW()-1)))</f>
        <v/>
      </c>
      <c r="C89" s="281" t="str">
        <f>IF(Table1[[#This Row],[Column2]]="","",Table1[[#This Row],[Column2]]+C$1-1)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Row],[Column3]])," ",Table1[[#This Row],[Column4]])</f>
        <v xml:space="preserve"> </v>
      </c>
      <c r="J89" s="287" t="str">
        <f>IF(Table1[[#This Row],[Column5]]="","",INDEX(Table2[e],IF(Table1[[#This Row],[Column5]]="","",MATCH(Table1[[#This Row],[Column5]],Table2[a],0)),))</f>
        <v/>
      </c>
      <c r="O89" s="287" t="str">
        <f>IF(Table1[[#This Row],[h_Item Description]]="","",INDEX([1]!db[NB PAJAK],MATCH(Table1[[#This Row],[h_Item Description]],[1]!db[kode],0)))</f>
        <v/>
      </c>
      <c r="Q89" s="283"/>
      <c r="R89" s="284"/>
      <c r="T89" s="283" t="str">
        <f>Table1[[#This Row],[h_hargasetelahdiskon]]</f>
        <v/>
      </c>
      <c r="W89" s="287" t="str">
        <f ca="1">IF(Table1[[#This Row],[Item Description]]="","",IF(Table1[[#This Row],[//]]="",INDIRECT(ADDRESS(ROW()-1,COLUMN())),Table1[[#This Row],[//]]))</f>
        <v/>
      </c>
      <c r="X89" s="287" t="str">
        <f ca="1">IF(Table1[[#This Row],[h_id]]="","",COUNTIF(Table1[h_id],Table1[[#This Row],[h_id]]))</f>
        <v/>
      </c>
      <c r="Y89" s="283" t="str">
        <f>IF(Table1[Item Description]="","",Table1[[#This Row],[Qty]]*Table1[[#This Row],[Unit Price]])</f>
        <v/>
      </c>
      <c r="Z89" s="283" t="str">
        <f>IF(Table1[[#This Row],[h_hargasebelumdiskon]]="","",IF(Table1[[#This Row],[Disc 1]]="",0,Table1[[#This Row],[h_hargasebelumdiskon]]*Table1[[#This Row],[Disc 1]]))</f>
        <v/>
      </c>
      <c r="AA89" s="283" t="str">
        <f>IF(Table1[[#This Row],[h_hargasebelumdiskon]]="","",IF(Table1[[#This Row],[Disc 2]]="",0,(Table1[[#This Row],[h_hargasebelumdiskon]]-Table1[[#This Row],[h_disc 1]])*Table1[[#This Row],[Disc 2]]))</f>
        <v/>
      </c>
      <c r="AB89" s="283" t="str">
        <f>IF(Table1[Item Description]="","",Table1[[#This Row],[h_disc 1]]+Table1[[#This Row],[h_disc 2]])</f>
        <v/>
      </c>
      <c r="AC89" s="283" t="str">
        <f>IF(Table1[Item Description]="","",Table1[[#This Row],[h_hargasebelumdiskon]]-Table1[[#This Row],[h_diskon]])</f>
        <v/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/>
      </c>
    </row>
    <row r="90" spans="1:32" x14ac:dyDescent="0.25">
      <c r="A90" s="287" t="str">
        <f ca="1">IF(Table1[[#This Row],[No. Invoice :]]="","",ROW())</f>
        <v/>
      </c>
      <c r="B90" s="287" t="str">
        <f ca="1">IF(Table1[Column3]="","",B$1+COUNT(INDIRECT("B$2:B"&amp;ROW()-1)))</f>
        <v/>
      </c>
      <c r="C90" s="281" t="str">
        <f>IF(Table1[[#This Row],[Column2]]="","",Table1[[#This Row],[Column2]]+C$1-1)</f>
        <v/>
      </c>
      <c r="H90" s="287" t="str">
        <f ca="1">IF(Table1[[#This Row],[h_No. Invoice :]]="","",CONCATENATE("AM"," ",Table1[[#This Row],[h_No. Invoice :]]))</f>
        <v/>
      </c>
      <c r="I90" s="288" t="str">
        <f>CONCATENATE(UPPER(Table1[[#This Row],[Column3]])," ",Table1[[#This Row],[Column4]])</f>
        <v xml:space="preserve"> </v>
      </c>
      <c r="J90" s="287" t="str">
        <f>IF(Table1[[#This Row],[Column5]]="","",INDEX(Table2[e],IF(Table1[[#This Row],[Column5]]="","",MATCH(Table1[[#This Row],[Column5]],Table2[a],0)),))</f>
        <v/>
      </c>
      <c r="O90" s="287" t="str">
        <f>IF(Table1[[#This Row],[h_Item Description]]="","",INDEX([1]!db[NB PAJAK],MATCH(Table1[[#This Row],[h_Item Description]],[1]!db[kode],0)))</f>
        <v/>
      </c>
      <c r="Q90" s="283"/>
      <c r="R90" s="284"/>
      <c r="T90" s="283" t="str">
        <f>Table1[[#This Row],[h_hargasetelahdiskon]]</f>
        <v/>
      </c>
      <c r="W90" s="287" t="str">
        <f ca="1">IF(Table1[[#This Row],[Item Description]]="","",IF(Table1[[#This Row],[//]]="",INDIRECT(ADDRESS(ROW()-1,COLUMN())),Table1[[#This Row],[//]]))</f>
        <v/>
      </c>
      <c r="X90" s="287" t="str">
        <f ca="1">IF(Table1[[#This Row],[h_id]]="","",COUNTIF(Table1[h_id],Table1[[#This Row],[h_id]]))</f>
        <v/>
      </c>
      <c r="Y90" s="283" t="str">
        <f>IF(Table1[Item Description]="","",Table1[[#This Row],[Qty]]*Table1[[#This Row],[Unit Price]])</f>
        <v/>
      </c>
      <c r="Z90" s="283" t="str">
        <f>IF(Table1[[#This Row],[h_hargasebelumdiskon]]="","",IF(Table1[[#This Row],[Disc 1]]="",0,Table1[[#This Row],[h_hargasebelumdiskon]]*Table1[[#This Row],[Disc 1]]))</f>
        <v/>
      </c>
      <c r="AA90" s="283" t="str">
        <f>IF(Table1[[#This Row],[h_hargasebelumdiskon]]="","",IF(Table1[[#This Row],[Disc 2]]="",0,(Table1[[#This Row],[h_hargasebelumdiskon]]-Table1[[#This Row],[h_disc 1]])*Table1[[#This Row],[Disc 2]]))</f>
        <v/>
      </c>
      <c r="AB90" s="283" t="str">
        <f>IF(Table1[Item Description]="","",Table1[[#This Row],[h_disc 1]]+Table1[[#This Row],[h_disc 2]])</f>
        <v/>
      </c>
      <c r="AC90" s="283" t="str">
        <f>IF(Table1[Item Description]="","",Table1[[#This Row],[h_hargasebelumdiskon]]-Table1[[#This Row],[h_diskon]])</f>
        <v/>
      </c>
      <c r="AD90" s="283" t="str">
        <f ca="1">IF(Table1[//]="","",SUMIF(Table1[h_id],Table1[h_id],Table1[h_hargasetelahdiskon]))</f>
        <v/>
      </c>
      <c r="AE90" s="283"/>
      <c r="AF90" s="283" t="str">
        <f>Table1[[#This Row],[Item Description]]&amp;Table1[[#This Row],[Unit]]&amp;Table1[[#This Row],[Unit Price]]</f>
        <v/>
      </c>
    </row>
    <row r="91" spans="1:32" x14ac:dyDescent="0.25">
      <c r="A91" s="287" t="str">
        <f ca="1">IF(Table1[[#This Row],[No. Invoice :]]="","",ROW())</f>
        <v/>
      </c>
      <c r="B91" s="287" t="str">
        <f ca="1">IF(Table1[Column3]="","",B$1+COUNT(INDIRECT("B$2:B"&amp;ROW()-1)))</f>
        <v/>
      </c>
      <c r="C91" s="281" t="str">
        <f>IF(Table1[[#This Row],[Column2]]="","",Table1[[#This Row],[Column2]]+C$1-1)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Row],[Column3]])," ",Table1[[#This Row],[Column4]])</f>
        <v xml:space="preserve"> </v>
      </c>
      <c r="J91" s="287" t="str">
        <f>IF(Table1[[#This Row],[Column5]]="","",INDEX(Table2[e],IF(Table1[[#This Row],[Column5]]="","",MATCH(Table1[[#This Row],[Column5]],Table2[a],0)),))</f>
        <v/>
      </c>
      <c r="O91" s="287" t="str">
        <f>IF(Table1[[#This Row],[h_Item Description]]="","",INDEX([1]!db[NB PAJAK],MATCH(Table1[[#This Row],[h_Item Description]],[1]!db[kode],0)))</f>
        <v/>
      </c>
      <c r="Q91" s="283"/>
      <c r="R91" s="284"/>
      <c r="T91" s="283" t="str">
        <f>Table1[[#This Row],[h_hargasetelahdiskon]]</f>
        <v/>
      </c>
      <c r="W91" s="287" t="str">
        <f ca="1">IF(Table1[[#This Row],[Item Description]]="","",IF(Table1[[#This Row],[//]]="",INDIRECT(ADDRESS(ROW()-1,COLUMN())),Table1[[#This Row],[//]]))</f>
        <v/>
      </c>
      <c r="X91" s="287" t="str">
        <f ca="1">IF(Table1[[#This Row],[h_id]]="","",COUNTIF(Table1[h_id],Table1[[#This Row],[h_id]]))</f>
        <v/>
      </c>
      <c r="Y91" s="283" t="str">
        <f>IF(Table1[Item Description]="","",Table1[[#This Row],[Qty]]*Table1[[#This Row],[Unit Price]])</f>
        <v/>
      </c>
      <c r="Z91" s="283" t="str">
        <f>IF(Table1[[#This Row],[h_hargasebelumdiskon]]="","",IF(Table1[[#This Row],[Disc 1]]="",0,Table1[[#This Row],[h_hargasebelumdiskon]]*Table1[[#This Row],[Disc 1]]))</f>
        <v/>
      </c>
      <c r="AA91" s="283" t="str">
        <f>IF(Table1[[#This Row],[h_hargasebelumdiskon]]="","",IF(Table1[[#This Row],[Disc 2]]="",0,(Table1[[#This Row],[h_hargasebelumdiskon]]-Table1[[#This Row],[h_disc 1]])*Table1[[#This Row],[Disc 2]]))</f>
        <v/>
      </c>
      <c r="AB91" s="283" t="str">
        <f>IF(Table1[Item Description]="","",Table1[[#This Row],[h_disc 1]]+Table1[[#This Row],[h_disc 2]])</f>
        <v/>
      </c>
      <c r="AC91" s="283" t="str">
        <f>IF(Table1[Item Description]="","",Table1[[#This Row],[h_hargasebelumdiskon]]-Table1[[#This Row],[h_diskon]])</f>
        <v/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/>
      </c>
    </row>
    <row r="92" spans="1:32" x14ac:dyDescent="0.25">
      <c r="A92" s="287" t="str">
        <f ca="1">IF(Table1[[#This Row],[No. Invoice :]]="","",ROW())</f>
        <v/>
      </c>
      <c r="B92" s="287" t="str">
        <f ca="1">IF(Table1[Column3]="","",B$1+COUNT(INDIRECT("B$2:B"&amp;ROW()-1)))</f>
        <v/>
      </c>
      <c r="C92" s="281" t="str">
        <f>IF(Table1[[#This Row],[Column2]]="","",Table1[[#This Row],[Column2]]+C$1-1)</f>
        <v/>
      </c>
      <c r="H92" s="287" t="str">
        <f ca="1">IF(Table1[[#This Row],[h_No. Invoice :]]="","",CONCATENATE("AM"," ",Table1[[#This Row],[h_No. Invoice :]]))</f>
        <v/>
      </c>
      <c r="I92" s="288" t="str">
        <f>CONCATENATE(UPPER(Table1[[#This Row],[Column3]])," ",Table1[[#This Row],[Column4]])</f>
        <v xml:space="preserve"> </v>
      </c>
      <c r="J92" s="287" t="str">
        <f>IF(Table1[[#This Row],[Column5]]="","",INDEX(Table2[e],IF(Table1[[#This Row],[Column5]]="","",MATCH(Table1[[#This Row],[Column5]],Table2[a],0)),))</f>
        <v/>
      </c>
      <c r="O92" s="287" t="str">
        <f>IF(Table1[[#This Row],[h_Item Description]]="","",INDEX([1]!db[NB PAJAK],MATCH(Table1[[#This Row],[h_Item Description]],[1]!db[kode],0)))</f>
        <v/>
      </c>
      <c r="Q92" s="283"/>
      <c r="R92" s="284"/>
      <c r="T92" s="283" t="str">
        <f>Table1[[#This Row],[h_hargasetelahdiskon]]</f>
        <v/>
      </c>
      <c r="W92" s="287" t="str">
        <f ca="1">IF(Table1[[#This Row],[Item Description]]="","",IF(Table1[[#This Row],[//]]="",INDIRECT(ADDRESS(ROW()-1,COLUMN())),Table1[[#This Row],[//]]))</f>
        <v/>
      </c>
      <c r="X92" s="287" t="str">
        <f ca="1">IF(Table1[[#This Row],[h_id]]="","",COUNTIF(Table1[h_id],Table1[[#This Row],[h_id]]))</f>
        <v/>
      </c>
      <c r="Y92" s="283" t="str">
        <f>IF(Table1[Item Description]="","",Table1[[#This Row],[Qty]]*Table1[[#This Row],[Unit Price]])</f>
        <v/>
      </c>
      <c r="Z92" s="283" t="str">
        <f>IF(Table1[[#This Row],[h_hargasebelumdiskon]]="","",IF(Table1[[#This Row],[Disc 1]]="",0,Table1[[#This Row],[h_hargasebelumdiskon]]*Table1[[#This Row],[Disc 1]]))</f>
        <v/>
      </c>
      <c r="AA92" s="283" t="str">
        <f>IF(Table1[[#This Row],[h_hargasebelumdiskon]]="","",IF(Table1[[#This Row],[Disc 2]]="",0,(Table1[[#This Row],[h_hargasebelumdiskon]]-Table1[[#This Row],[h_disc 1]])*Table1[[#This Row],[Disc 2]]))</f>
        <v/>
      </c>
      <c r="AB92" s="283" t="str">
        <f>IF(Table1[Item Description]="","",Table1[[#This Row],[h_disc 1]]+Table1[[#This Row],[h_disc 2]])</f>
        <v/>
      </c>
      <c r="AC92" s="283" t="str">
        <f>IF(Table1[Item Description]="","",Table1[[#This Row],[h_hargasebelumdiskon]]-Table1[[#This Row],[h_diskon]])</f>
        <v/>
      </c>
      <c r="AD92" s="283" t="str">
        <f ca="1">IF(Table1[//]="","",SUMIF(Table1[h_id],Table1[h_id],Table1[h_hargasetelahdiskon]))</f>
        <v/>
      </c>
      <c r="AE92" s="283"/>
      <c r="AF92" s="283" t="str">
        <f>Table1[[#This Row],[Item Description]]&amp;Table1[[#This Row],[Unit]]&amp;Table1[[#This Row],[Unit Price]]</f>
        <v/>
      </c>
    </row>
    <row r="93" spans="1:32" x14ac:dyDescent="0.25">
      <c r="A93" s="287" t="str">
        <f ca="1">IF(Table1[[#This Row],[No. Invoice :]]="","",ROW())</f>
        <v/>
      </c>
      <c r="B93" s="287" t="str">
        <f ca="1">IF(Table1[Column3]="","",B$1+COUNT(INDIRECT("B$2:B"&amp;ROW()-1)))</f>
        <v/>
      </c>
      <c r="C93" s="281" t="str">
        <f>IF(Table1[[#This Row],[Column2]]="","",Table1[[#This Row],[Column2]]+C$1-1)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Row],[Column3]])," ",Table1[[#This Row],[Column4]])</f>
        <v xml:space="preserve"> </v>
      </c>
      <c r="J93" s="287" t="str">
        <f>IF(Table1[[#This Row],[Column5]]="","",INDEX(Table2[e],IF(Table1[[#This Row],[Column5]]="","",MATCH(Table1[[#This Row],[Column5]],Table2[a],0)),))</f>
        <v/>
      </c>
      <c r="O93" s="287" t="str">
        <f>IF(Table1[[#This Row],[h_Item Description]]="","",INDEX([1]!db[NB PAJAK],MATCH(Table1[[#This Row],[h_Item Description]],[1]!db[kode],0)))</f>
        <v/>
      </c>
      <c r="Q93" s="283"/>
      <c r="R93" s="284"/>
      <c r="T93" s="283" t="str">
        <f>Table1[[#This Row],[h_hargasetelahdiskon]]</f>
        <v/>
      </c>
      <c r="W93" s="287" t="str">
        <f ca="1">IF(Table1[[#This Row],[Item Description]]="","",IF(Table1[[#This Row],[//]]="",INDIRECT(ADDRESS(ROW()-1,COLUMN())),Table1[[#This Row],[//]]))</f>
        <v/>
      </c>
      <c r="X93" s="287" t="str">
        <f ca="1">IF(Table1[[#This Row],[h_id]]="","",COUNTIF(Table1[h_id],Table1[[#This Row],[h_id]]))</f>
        <v/>
      </c>
      <c r="Y93" s="283" t="str">
        <f>IF(Table1[Item Description]="","",Table1[[#This Row],[Qty]]*Table1[[#This Row],[Unit Price]])</f>
        <v/>
      </c>
      <c r="Z93" s="283" t="str">
        <f>IF(Table1[[#This Row],[h_hargasebelumdiskon]]="","",IF(Table1[[#This Row],[Disc 1]]="",0,Table1[[#This Row],[h_hargasebelumdiskon]]*Table1[[#This Row],[Disc 1]]))</f>
        <v/>
      </c>
      <c r="AA93" s="283" t="str">
        <f>IF(Table1[[#This Row],[h_hargasebelumdiskon]]="","",IF(Table1[[#This Row],[Disc 2]]="",0,(Table1[[#This Row],[h_hargasebelumdiskon]]-Table1[[#This Row],[h_disc 1]])*Table1[[#This Row],[Disc 2]]))</f>
        <v/>
      </c>
      <c r="AB93" s="283" t="str">
        <f>IF(Table1[Item Description]="","",Table1[[#This Row],[h_disc 1]]+Table1[[#This Row],[h_disc 2]])</f>
        <v/>
      </c>
      <c r="AC93" s="283" t="str">
        <f>IF(Table1[Item Description]="","",Table1[[#This Row],[h_hargasebelumdiskon]]-Table1[[#This Row],[h_diskon]])</f>
        <v/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/>
      </c>
    </row>
    <row r="94" spans="1:32" x14ac:dyDescent="0.25">
      <c r="A94" s="287" t="str">
        <f ca="1">IF(Table1[[#This Row],[No. Invoice :]]="","",ROW())</f>
        <v/>
      </c>
      <c r="B94" s="287" t="str">
        <f ca="1">IF(Table1[Column3]="","",B$1+COUNT(INDIRECT("B$2:B"&amp;ROW()-1)))</f>
        <v/>
      </c>
      <c r="C94" s="281" t="str">
        <f>IF(Table1[[#This Row],[Column2]]="","",Table1[[#This Row],[Column2]]+C$1-1)</f>
        <v/>
      </c>
      <c r="H94" s="287" t="str">
        <f ca="1">IF(Table1[[#This Row],[h_No. Invoice :]]="","",CONCATENATE("AM"," ",Table1[[#This Row],[h_No. Invoice :]]))</f>
        <v/>
      </c>
      <c r="I94" s="288" t="str">
        <f>CONCATENATE(UPPER(Table1[[#This Row],[Column3]])," ",Table1[[#This Row],[Column4]])</f>
        <v xml:space="preserve"> </v>
      </c>
      <c r="J94" s="287" t="str">
        <f>IF(Table1[[#This Row],[Column5]]="","",INDEX(Table2[e],IF(Table1[[#This Row],[Column5]]="","",MATCH(Table1[[#This Row],[Column5]],Table2[a],0)),))</f>
        <v/>
      </c>
      <c r="O94" s="287" t="str">
        <f>IF(Table1[[#This Row],[h_Item Description]]="","",INDEX([1]!db[NB PAJAK],MATCH(Table1[[#This Row],[h_Item Description]],[1]!db[kode],0)))</f>
        <v/>
      </c>
      <c r="Q94" s="283"/>
      <c r="R94" s="284"/>
      <c r="T94" s="283" t="str">
        <f>Table1[[#This Row],[h_hargasetelahdiskon]]</f>
        <v/>
      </c>
      <c r="W94" s="287" t="str">
        <f ca="1">IF(Table1[[#This Row],[Item Description]]="","",IF(Table1[[#This Row],[//]]="",INDIRECT(ADDRESS(ROW()-1,COLUMN())),Table1[[#This Row],[//]]))</f>
        <v/>
      </c>
      <c r="X94" s="287" t="str">
        <f ca="1">IF(Table1[[#This Row],[h_id]]="","",COUNTIF(Table1[h_id],Table1[[#This Row],[h_id]]))</f>
        <v/>
      </c>
      <c r="Y94" s="283" t="str">
        <f>IF(Table1[Item Description]="","",Table1[[#This Row],[Qty]]*Table1[[#This Row],[Unit Price]])</f>
        <v/>
      </c>
      <c r="Z94" s="283" t="str">
        <f>IF(Table1[[#This Row],[h_hargasebelumdiskon]]="","",IF(Table1[[#This Row],[Disc 1]]="",0,Table1[[#This Row],[h_hargasebelumdiskon]]*Table1[[#This Row],[Disc 1]]))</f>
        <v/>
      </c>
      <c r="AA94" s="283" t="str">
        <f>IF(Table1[[#This Row],[h_hargasebelumdiskon]]="","",IF(Table1[[#This Row],[Disc 2]]="",0,(Table1[[#This Row],[h_hargasebelumdiskon]]-Table1[[#This Row],[h_disc 1]])*Table1[[#This Row],[Disc 2]]))</f>
        <v/>
      </c>
      <c r="AB94" s="283" t="str">
        <f>IF(Table1[Item Description]="","",Table1[[#This Row],[h_disc 1]]+Table1[[#This Row],[h_disc 2]])</f>
        <v/>
      </c>
      <c r="AC94" s="283" t="str">
        <f>IF(Table1[Item Description]="","",Table1[[#This Row],[h_hargasebelumdiskon]]-Table1[[#This Row],[h_diskon]])</f>
        <v/>
      </c>
      <c r="AD94" s="283" t="str">
        <f ca="1">IF(Table1[//]="","",SUMIF(Table1[h_id],Table1[h_id],Table1[h_hargasetelahdiskon]))</f>
        <v/>
      </c>
      <c r="AE94" s="283"/>
      <c r="AF94" s="283" t="str">
        <f>Table1[[#This Row],[Item Description]]&amp;Table1[[#This Row],[Unit]]&amp;Table1[[#This Row],[Unit Price]]</f>
        <v/>
      </c>
    </row>
    <row r="95" spans="1:32" x14ac:dyDescent="0.25">
      <c r="A95" s="287" t="str">
        <f ca="1">IF(Table1[[#This Row],[No. Invoice :]]="","",ROW())</f>
        <v/>
      </c>
      <c r="B95" s="287" t="str">
        <f ca="1">IF(Table1[Column3]="","",B$1+COUNT(INDIRECT("B$2:B"&amp;ROW()-1)))</f>
        <v/>
      </c>
      <c r="C95" s="281" t="str">
        <f>IF(Table1[[#This Row],[Column2]]="","",Table1[[#This Row],[Column2]]+C$1-1)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Row],[Column3]])," ",Table1[[#This Row],[Column4]])</f>
        <v xml:space="preserve"> </v>
      </c>
      <c r="J95" s="287" t="str">
        <f>IF(Table1[[#This Row],[Column5]]="","",INDEX(Table2[e],IF(Table1[[#This Row],[Column5]]="","",MATCH(Table1[[#This Row],[Column5]],Table2[a],0)),))</f>
        <v/>
      </c>
      <c r="O95" s="287" t="str">
        <f>IF(Table1[[#This Row],[h_Item Description]]="","",INDEX([1]!db[NB PAJAK],MATCH(Table1[[#This Row],[h_Item Description]],[1]!db[kode],0)))</f>
        <v/>
      </c>
      <c r="Q95" s="283"/>
      <c r="R95" s="284"/>
      <c r="T95" s="283" t="str">
        <f>Table1[[#This Row],[h_hargasetelahdiskon]]</f>
        <v/>
      </c>
      <c r="W95" s="287" t="str">
        <f ca="1">IF(Table1[[#This Row],[Item Description]]="","",IF(Table1[[#This Row],[//]]="",INDIRECT(ADDRESS(ROW()-1,COLUMN())),Table1[[#This Row],[//]]))</f>
        <v/>
      </c>
      <c r="X95" s="287" t="str">
        <f ca="1">IF(Table1[[#This Row],[h_id]]="","",COUNTIF(Table1[h_id],Table1[[#This Row],[h_id]]))</f>
        <v/>
      </c>
      <c r="Y95" s="283" t="str">
        <f>IF(Table1[Item Description]="","",Table1[[#This Row],[Qty]]*Table1[[#This Row],[Unit Price]])</f>
        <v/>
      </c>
      <c r="Z95" s="283" t="str">
        <f>IF(Table1[[#This Row],[h_hargasebelumdiskon]]="","",IF(Table1[[#This Row],[Disc 1]]="",0,Table1[[#This Row],[h_hargasebelumdiskon]]*Table1[[#This Row],[Disc 1]]))</f>
        <v/>
      </c>
      <c r="AA95" s="283" t="str">
        <f>IF(Table1[[#This Row],[h_hargasebelumdiskon]]="","",IF(Table1[[#This Row],[Disc 2]]="",0,(Table1[[#This Row],[h_hargasebelumdiskon]]-Table1[[#This Row],[h_disc 1]])*Table1[[#This Row],[Disc 2]]))</f>
        <v/>
      </c>
      <c r="AB95" s="283" t="str">
        <f>IF(Table1[Item Description]="","",Table1[[#This Row],[h_disc 1]]+Table1[[#This Row],[h_disc 2]])</f>
        <v/>
      </c>
      <c r="AC95" s="283" t="str">
        <f>IF(Table1[Item Description]="","",Table1[[#This Row],[h_hargasebelumdiskon]]-Table1[[#This Row],[h_diskon]])</f>
        <v/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/>
      </c>
    </row>
    <row r="96" spans="1:32" x14ac:dyDescent="0.25">
      <c r="A96" s="287" t="str">
        <f ca="1">IF(Table1[[#This Row],[No. Invoice :]]="","",ROW())</f>
        <v/>
      </c>
      <c r="B96" s="287" t="str">
        <f ca="1">IF(Table1[Column3]="","",B$1+COUNT(INDIRECT("B$2:B"&amp;ROW()-1)))</f>
        <v/>
      </c>
      <c r="C96" s="281" t="str">
        <f>IF(Table1[[#This Row],[Column2]]="","",Table1[[#This Row],[Column2]]+C$1-1)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Row],[Column3]])," ",Table1[[#This Row],[Column4]])</f>
        <v xml:space="preserve"> </v>
      </c>
      <c r="J96" s="287" t="str">
        <f>IF(Table1[[#This Row],[Column5]]="","",INDEX(Table2[e],IF(Table1[[#This Row],[Column5]]="","",MATCH(Table1[[#This Row],[Column5]],Table2[a],0)),))</f>
        <v/>
      </c>
      <c r="O96" s="287" t="str">
        <f>IF(Table1[[#This Row],[h_Item Description]]="","",INDEX([1]!db[NB PAJAK],MATCH(Table1[[#This Row],[h_Item Description]],[1]!db[kode],0)))</f>
        <v/>
      </c>
      <c r="Q96" s="283"/>
      <c r="R96" s="284"/>
      <c r="T96" s="283" t="str">
        <f>Table1[[#This Row],[h_hargasetelahdiskon]]</f>
        <v/>
      </c>
      <c r="W96" s="287" t="str">
        <f ca="1">IF(Table1[[#This Row],[Item Description]]="","",IF(Table1[[#This Row],[//]]="",INDIRECT(ADDRESS(ROW()-1,COLUMN())),Table1[[#This Row],[//]]))</f>
        <v/>
      </c>
      <c r="X96" s="287" t="str">
        <f ca="1">IF(Table1[[#This Row],[h_id]]="","",COUNTIF(Table1[h_id],Table1[[#This Row],[h_id]]))</f>
        <v/>
      </c>
      <c r="Y96" s="283" t="str">
        <f>IF(Table1[Item Description]="","",Table1[[#This Row],[Qty]]*Table1[[#This Row],[Unit Price]])</f>
        <v/>
      </c>
      <c r="Z96" s="283" t="str">
        <f>IF(Table1[[#This Row],[h_hargasebelumdiskon]]="","",IF(Table1[[#This Row],[Disc 1]]="",0,Table1[[#This Row],[h_hargasebelumdiskon]]*Table1[[#This Row],[Disc 1]]))</f>
        <v/>
      </c>
      <c r="AA96" s="283" t="str">
        <f>IF(Table1[[#This Row],[h_hargasebelumdiskon]]="","",IF(Table1[[#This Row],[Disc 2]]="",0,(Table1[[#This Row],[h_hargasebelumdiskon]]-Table1[[#This Row],[h_disc 1]])*Table1[[#This Row],[Disc 2]]))</f>
        <v/>
      </c>
      <c r="AB96" s="283" t="str">
        <f>IF(Table1[Item Description]="","",Table1[[#This Row],[h_disc 1]]+Table1[[#This Row],[h_disc 2]])</f>
        <v/>
      </c>
      <c r="AC96" s="283" t="str">
        <f>IF(Table1[Item Description]="","",Table1[[#This Row],[h_hargasebelumdiskon]]-Table1[[#This Row],[h_diskon]])</f>
        <v/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/>
      </c>
    </row>
    <row r="97" spans="1:32" x14ac:dyDescent="0.25">
      <c r="A97" s="287" t="str">
        <f ca="1">IF(Table1[[#This Row],[No. Invoice :]]="","",ROW())</f>
        <v/>
      </c>
      <c r="B97" s="287" t="str">
        <f ca="1">IF(Table1[Column3]="","",B$1+COUNT(INDIRECT("B$2:B"&amp;ROW()-1)))</f>
        <v/>
      </c>
      <c r="C97" s="281" t="str">
        <f>IF(Table1[[#This Row],[Column2]]="","",Table1[[#This Row],[Column2]]+C$1-1)</f>
        <v/>
      </c>
      <c r="H97" s="287" t="str">
        <f ca="1">IF(Table1[[#This Row],[h_No. Invoice :]]="","",CONCATENATE("AM"," ",Table1[[#This Row],[h_No. Invoice :]]))</f>
        <v/>
      </c>
      <c r="I97" s="288" t="str">
        <f>CONCATENATE(UPPER(Table1[[#This Row],[Column3]])," ",Table1[[#This Row],[Column4]])</f>
        <v xml:space="preserve"> </v>
      </c>
      <c r="J97" s="287" t="str">
        <f>IF(Table1[[#This Row],[Column5]]="","",INDEX(Table2[e],IF(Table1[[#This Row],[Column5]]="","",MATCH(Table1[[#This Row],[Column5]],Table2[a],0)),))</f>
        <v/>
      </c>
      <c r="O97" s="287" t="str">
        <f>IF(Table1[[#This Row],[h_Item Description]]="","",INDEX([1]!db[NB PAJAK],MATCH(Table1[[#This Row],[h_Item Description]],[1]!db[kode],0)))</f>
        <v/>
      </c>
      <c r="Q97" s="283"/>
      <c r="R97" s="284"/>
      <c r="T97" s="283" t="str">
        <f>Table1[[#This Row],[h_hargasetelahdiskon]]</f>
        <v/>
      </c>
      <c r="W97" s="287" t="str">
        <f ca="1">IF(Table1[[#This Row],[Item Description]]="","",IF(Table1[[#This Row],[//]]="",INDIRECT(ADDRESS(ROW()-1,COLUMN())),Table1[[#This Row],[//]]))</f>
        <v/>
      </c>
      <c r="X97" s="287" t="str">
        <f ca="1">IF(Table1[[#This Row],[h_id]]="","",COUNTIF(Table1[h_id],Table1[[#This Row],[h_id]]))</f>
        <v/>
      </c>
      <c r="Y97" s="283" t="str">
        <f>IF(Table1[Item Description]="","",Table1[[#This Row],[Qty]]*Table1[[#This Row],[Unit Price]])</f>
        <v/>
      </c>
      <c r="Z97" s="283" t="str">
        <f>IF(Table1[[#This Row],[h_hargasebelumdiskon]]="","",IF(Table1[[#This Row],[Disc 1]]="",0,Table1[[#This Row],[h_hargasebelumdiskon]]*Table1[[#This Row],[Disc 1]]))</f>
        <v/>
      </c>
      <c r="AA97" s="283" t="str">
        <f>IF(Table1[[#This Row],[h_hargasebelumdiskon]]="","",IF(Table1[[#This Row],[Disc 2]]="",0,(Table1[[#This Row],[h_hargasebelumdiskon]]-Table1[[#This Row],[h_disc 1]])*Table1[[#This Row],[Disc 2]]))</f>
        <v/>
      </c>
      <c r="AB97" s="283" t="str">
        <f>IF(Table1[Item Description]="","",Table1[[#This Row],[h_disc 1]]+Table1[[#This Row],[h_disc 2]])</f>
        <v/>
      </c>
      <c r="AC97" s="283" t="str">
        <f>IF(Table1[Item Description]="","",Table1[[#This Row],[h_hargasebelumdiskon]]-Table1[[#This Row],[h_diskon]])</f>
        <v/>
      </c>
      <c r="AD97" s="283" t="str">
        <f ca="1">IF(Table1[//]="","",SUMIF(Table1[h_id],Table1[h_id],Table1[h_hargasetelahdiskon]))</f>
        <v/>
      </c>
      <c r="AE97" s="283"/>
      <c r="AF97" s="283" t="str">
        <f>Table1[[#This Row],[Item Description]]&amp;Table1[[#This Row],[Unit]]&amp;Table1[[#This Row],[Unit Price]]</f>
        <v/>
      </c>
    </row>
    <row r="98" spans="1:32" x14ac:dyDescent="0.25">
      <c r="A98" s="287" t="str">
        <f ca="1">IF(Table1[[#This Row],[No. Invoice :]]="","",ROW())</f>
        <v/>
      </c>
      <c r="B98" s="287" t="str">
        <f ca="1">IF(Table1[Column3]="","",B$1+COUNT(INDIRECT("B$2:B"&amp;ROW()-1)))</f>
        <v/>
      </c>
      <c r="C98" s="281" t="str">
        <f>IF(Table1[[#This Row],[Column2]]="","",Table1[[#This Row],[Column2]]+C$1-1)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Row],[Column3]])," ",Table1[[#This Row],[Column4]])</f>
        <v xml:space="preserve"> </v>
      </c>
      <c r="J98" s="287" t="str">
        <f>IF(Table1[[#This Row],[Column5]]="","",INDEX(Table2[e],IF(Table1[[#This Row],[Column5]]="","",MATCH(Table1[[#This Row],[Column5]],Table2[a],0)),))</f>
        <v/>
      </c>
      <c r="O98" s="287" t="str">
        <f>IF(Table1[[#This Row],[h_Item Description]]="","",INDEX([1]!db[NB PAJAK],MATCH(Table1[[#This Row],[h_Item Description]],[1]!db[kode],0)))</f>
        <v/>
      </c>
      <c r="Q98" s="283"/>
      <c r="R98" s="284"/>
      <c r="T98" s="283" t="str">
        <f>Table1[[#This Row],[h_hargasetelahdiskon]]</f>
        <v/>
      </c>
      <c r="W98" s="287" t="str">
        <f ca="1">IF(Table1[[#This Row],[Item Description]]="","",IF(Table1[[#This Row],[//]]="",INDIRECT(ADDRESS(ROW()-1,COLUMN())),Table1[[#This Row],[//]]))</f>
        <v/>
      </c>
      <c r="X98" s="287" t="str">
        <f ca="1">IF(Table1[[#This Row],[h_id]]="","",COUNTIF(Table1[h_id],Table1[[#This Row],[h_id]]))</f>
        <v/>
      </c>
      <c r="Y98" s="283" t="str">
        <f>IF(Table1[Item Description]="","",Table1[[#This Row],[Qty]]*Table1[[#This Row],[Unit Price]])</f>
        <v/>
      </c>
      <c r="Z98" s="283" t="str">
        <f>IF(Table1[[#This Row],[h_hargasebelumdiskon]]="","",IF(Table1[[#This Row],[Disc 1]]="",0,Table1[[#This Row],[h_hargasebelumdiskon]]*Table1[[#This Row],[Disc 1]]))</f>
        <v/>
      </c>
      <c r="AA98" s="283" t="str">
        <f>IF(Table1[[#This Row],[h_hargasebelumdiskon]]="","",IF(Table1[[#This Row],[Disc 2]]="",0,(Table1[[#This Row],[h_hargasebelumdiskon]]-Table1[[#This Row],[h_disc 1]])*Table1[[#This Row],[Disc 2]]))</f>
        <v/>
      </c>
      <c r="AB98" s="283" t="str">
        <f>IF(Table1[Item Description]="","",Table1[[#This Row],[h_disc 1]]+Table1[[#This Row],[h_disc 2]])</f>
        <v/>
      </c>
      <c r="AC98" s="283" t="str">
        <f>IF(Table1[Item Description]="","",Table1[[#This Row],[h_hargasebelumdiskon]]-Table1[[#This Row],[h_diskon]])</f>
        <v/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/>
      </c>
    </row>
    <row r="99" spans="1:32" x14ac:dyDescent="0.25">
      <c r="A99" s="287" t="str">
        <f ca="1">IF(Table1[[#This Row],[No. Invoice :]]="","",ROW())</f>
        <v/>
      </c>
      <c r="B99" s="287" t="str">
        <f ca="1">IF(Table1[Column3]="","",B$1+COUNT(INDIRECT("B$2:B"&amp;ROW()-1)))</f>
        <v/>
      </c>
      <c r="C99" s="281" t="str">
        <f>IF(Table1[[#This Row],[Column2]]="","",Table1[[#This Row],[Column2]]+C$1-1)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Row],[Column3]])," ",Table1[[#This Row],[Column4]])</f>
        <v xml:space="preserve"> </v>
      </c>
      <c r="J99" s="287" t="str">
        <f>IF(Table1[[#This Row],[Column5]]="","",INDEX(Table2[e],IF(Table1[[#This Row],[Column5]]="","",MATCH(Table1[[#This Row],[Column5]],Table2[a],0)),))</f>
        <v/>
      </c>
      <c r="O99" s="287" t="str">
        <f>IF(Table1[[#This Row],[h_Item Description]]="","",INDEX([1]!db[NB PAJAK],MATCH(Table1[[#This Row],[h_Item Description]],[1]!db[kode],0)))</f>
        <v/>
      </c>
      <c r="Q99" s="283"/>
      <c r="R99" s="284"/>
      <c r="T99" s="283" t="str">
        <f>Table1[[#This Row],[h_hargasetelahdiskon]]</f>
        <v/>
      </c>
      <c r="W99" s="287" t="str">
        <f ca="1">IF(Table1[[#This Row],[Item Description]]="","",IF(Table1[[#This Row],[//]]="",INDIRECT(ADDRESS(ROW()-1,COLUMN())),Table1[[#This Row],[//]]))</f>
        <v/>
      </c>
      <c r="X99" s="287" t="str">
        <f ca="1">IF(Table1[[#This Row],[h_id]]="","",COUNTIF(Table1[h_id],Table1[[#This Row],[h_id]]))</f>
        <v/>
      </c>
      <c r="Y99" s="283" t="str">
        <f>IF(Table1[Item Description]="","",Table1[[#This Row],[Qty]]*Table1[[#This Row],[Unit Price]])</f>
        <v/>
      </c>
      <c r="Z99" s="283" t="str">
        <f>IF(Table1[[#This Row],[h_hargasebelumdiskon]]="","",IF(Table1[[#This Row],[Disc 1]]="",0,Table1[[#This Row],[h_hargasebelumdiskon]]*Table1[[#This Row],[Disc 1]]))</f>
        <v/>
      </c>
      <c r="AA99" s="283" t="str">
        <f>IF(Table1[[#This Row],[h_hargasebelumdiskon]]="","",IF(Table1[[#This Row],[Disc 2]]="",0,(Table1[[#This Row],[h_hargasebelumdiskon]]-Table1[[#This Row],[h_disc 1]])*Table1[[#This Row],[Disc 2]]))</f>
        <v/>
      </c>
      <c r="AB99" s="283" t="str">
        <f>IF(Table1[Item Description]="","",Table1[[#This Row],[h_disc 1]]+Table1[[#This Row],[h_disc 2]])</f>
        <v/>
      </c>
      <c r="AC99" s="283" t="str">
        <f>IF(Table1[Item Description]="","",Table1[[#This Row],[h_hargasebelumdiskon]]-Table1[[#This Row],[h_diskon]])</f>
        <v/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/>
      </c>
    </row>
    <row r="100" spans="1:32" x14ac:dyDescent="0.25">
      <c r="A100" s="287" t="str">
        <f ca="1">IF(Table1[[#This Row],[No. Invoice :]]="","",ROW())</f>
        <v/>
      </c>
      <c r="B100" s="287" t="str">
        <f ca="1">IF(Table1[Column3]="","",B$1+COUNT(INDIRECT("B$2:B"&amp;ROW()-1)))</f>
        <v/>
      </c>
      <c r="C100" s="281" t="str">
        <f>IF(Table1[[#This Row],[Column2]]="","",Table1[[#This Row],[Column2]]+C$1-1)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Row],[Column3]])," ",Table1[[#This Row],[Column4]])</f>
        <v xml:space="preserve"> </v>
      </c>
      <c r="J100" s="287" t="str">
        <f>IF(Table1[[#This Row],[Column5]]="","",INDEX(Table2[e],IF(Table1[[#This Row],[Column5]]="","",MATCH(Table1[[#This Row],[Column5]],Table2[a],0)),))</f>
        <v/>
      </c>
      <c r="O100" s="287" t="str">
        <f>IF(Table1[[#This Row],[h_Item Description]]="","",INDEX([1]!db[NB PAJAK],MATCH(Table1[[#This Row],[h_Item Description]],[1]!db[kode],0)))</f>
        <v/>
      </c>
      <c r="Q100" s="283"/>
      <c r="R100" s="284"/>
      <c r="T100" s="283" t="str">
        <f>Table1[[#This Row],[h_hargasetelahdiskon]]</f>
        <v/>
      </c>
      <c r="W100" s="287" t="str">
        <f ca="1">IF(Table1[[#This Row],[Item Description]]="","",IF(Table1[[#This Row],[//]]="",INDIRECT(ADDRESS(ROW()-1,COLUMN())),Table1[[#This Row],[//]]))</f>
        <v/>
      </c>
      <c r="X100" s="287" t="str">
        <f ca="1">IF(Table1[[#This Row],[h_id]]="","",COUNTIF(Table1[h_id],Table1[[#This Row],[h_id]]))</f>
        <v/>
      </c>
      <c r="Y100" s="283" t="str">
        <f>IF(Table1[Item Description]="","",Table1[[#This Row],[Qty]]*Table1[[#This Row],[Unit Price]])</f>
        <v/>
      </c>
      <c r="Z100" s="283" t="str">
        <f>IF(Table1[[#This Row],[h_hargasebelumdiskon]]="","",IF(Table1[[#This Row],[Disc 1]]="",0,Table1[[#This Row],[h_hargasebelumdiskon]]*Table1[[#This Row],[Disc 1]]))</f>
        <v/>
      </c>
      <c r="AA100" s="283" t="str">
        <f>IF(Table1[[#This Row],[h_hargasebelumdiskon]]="","",IF(Table1[[#This Row],[Disc 2]]="",0,(Table1[[#This Row],[h_hargasebelumdiskon]]-Table1[[#This Row],[h_disc 1]])*Table1[[#This Row],[Disc 2]]))</f>
        <v/>
      </c>
      <c r="AB100" s="283" t="str">
        <f>IF(Table1[Item Description]="","",Table1[[#This Row],[h_disc 1]]+Table1[[#This Row],[h_disc 2]])</f>
        <v/>
      </c>
      <c r="AC100" s="283" t="str">
        <f>IF(Table1[Item Description]="","",Table1[[#This Row],[h_hargasebelumdiskon]]-Table1[[#This Row],[h_diskon]])</f>
        <v/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/>
      </c>
    </row>
    <row r="101" spans="1:32" x14ac:dyDescent="0.25">
      <c r="A101" s="287" t="str">
        <f ca="1">IF(Table1[[#This Row],[No. Invoice :]]="","",ROW())</f>
        <v/>
      </c>
      <c r="B101" s="287" t="str">
        <f ca="1">IF(Table1[Column3]="","",B$1+COUNT(INDIRECT("B$2:B"&amp;ROW()-1)))</f>
        <v/>
      </c>
      <c r="C101" s="281" t="str">
        <f>IF(Table1[[#This Row],[Column2]]="","",Table1[[#This Row],[Column2]]+C$1-1)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Row],[Column3]])," ",Table1[[#This Row],[Column4]])</f>
        <v xml:space="preserve"> </v>
      </c>
      <c r="J101" s="287" t="str">
        <f>IF(Table1[[#This Row],[Column5]]="","",INDEX(Table2[e],IF(Table1[[#This Row],[Column5]]="","",MATCH(Table1[[#This Row],[Column5]],Table2[a],0)),))</f>
        <v/>
      </c>
      <c r="O101" s="287" t="str">
        <f>IF(Table1[[#This Row],[h_Item Description]]="","",INDEX([1]!db[NB PAJAK],MATCH(Table1[[#This Row],[h_Item Description]],[1]!db[kode],0)))</f>
        <v/>
      </c>
      <c r="Q101" s="283"/>
      <c r="R101" s="284"/>
      <c r="T101" s="283" t="str">
        <f>Table1[[#This Row],[h_hargasetelahdiskon]]</f>
        <v/>
      </c>
      <c r="W101" s="287" t="str">
        <f ca="1">IF(Table1[[#This Row],[Item Description]]="","",IF(Table1[[#This Row],[//]]="",INDIRECT(ADDRESS(ROW()-1,COLUMN())),Table1[[#This Row],[//]]))</f>
        <v/>
      </c>
      <c r="X101" s="287" t="str">
        <f ca="1">IF(Table1[[#This Row],[h_id]]="","",COUNTIF(Table1[h_id],Table1[[#This Row],[h_id]]))</f>
        <v/>
      </c>
      <c r="Y101" s="283" t="str">
        <f>IF(Table1[Item Description]="","",Table1[[#This Row],[Qty]]*Table1[[#This Row],[Unit Price]])</f>
        <v/>
      </c>
      <c r="Z101" s="283" t="str">
        <f>IF(Table1[[#This Row],[h_hargasebelumdiskon]]="","",IF(Table1[[#This Row],[Disc 1]]="",0,Table1[[#This Row],[h_hargasebelumdiskon]]*Table1[[#This Row],[Disc 1]]))</f>
        <v/>
      </c>
      <c r="AA101" s="283" t="str">
        <f>IF(Table1[[#This Row],[h_hargasebelumdiskon]]="","",IF(Table1[[#This Row],[Disc 2]]="",0,(Table1[[#This Row],[h_hargasebelumdiskon]]-Table1[[#This Row],[h_disc 1]])*Table1[[#This Row],[Disc 2]]))</f>
        <v/>
      </c>
      <c r="AB101" s="283" t="str">
        <f>IF(Table1[Item Description]="","",Table1[[#This Row],[h_disc 1]]+Table1[[#This Row],[h_disc 2]])</f>
        <v/>
      </c>
      <c r="AC101" s="283" t="str">
        <f>IF(Table1[Item Description]="","",Table1[[#This Row],[h_hargasebelumdiskon]]-Table1[[#This Row],[h_diskon]])</f>
        <v/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/>
      </c>
    </row>
    <row r="102" spans="1:32" x14ac:dyDescent="0.25">
      <c r="A102" s="287" t="str">
        <f ca="1">IF(Table1[[#This Row],[No. Invoice :]]="","",ROW())</f>
        <v/>
      </c>
      <c r="B102" s="287" t="str">
        <f ca="1">IF(Table1[Column3]="","",B$1+COUNT(INDIRECT("B$2:B"&amp;ROW()-1)))</f>
        <v/>
      </c>
      <c r="C102" s="281" t="str">
        <f>IF(Table1[[#This Row],[Column2]]="","",Table1[[#This Row],[Column2]]+C$1-1)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Row],[Column3]])," ",Table1[[#This Row],[Column4]])</f>
        <v xml:space="preserve"> </v>
      </c>
      <c r="J102" s="287" t="str">
        <f>IF(Table1[[#This Row],[Column5]]="","",INDEX(Table2[e],IF(Table1[[#This Row],[Column5]]="","",MATCH(Table1[[#This Row],[Column5]],Table2[a],0)),))</f>
        <v/>
      </c>
      <c r="O102" s="287" t="str">
        <f>IF(Table1[[#This Row],[h_Item Description]]="","",INDEX([1]!db[NB PAJAK],MATCH(Table1[[#This Row],[h_Item Description]],[1]!db[kode],0)))</f>
        <v/>
      </c>
      <c r="Q102" s="283"/>
      <c r="R102" s="284"/>
      <c r="T102" s="283" t="str">
        <f>Table1[[#This Row],[h_hargasetelahdiskon]]</f>
        <v/>
      </c>
      <c r="W102" s="287" t="str">
        <f ca="1">IF(Table1[[#This Row],[Item Description]]="","",IF(Table1[[#This Row],[//]]="",INDIRECT(ADDRESS(ROW()-1,COLUMN())),Table1[[#This Row],[//]]))</f>
        <v/>
      </c>
      <c r="X102" s="287" t="str">
        <f ca="1">IF(Table1[[#This Row],[h_id]]="","",COUNTIF(Table1[h_id],Table1[[#This Row],[h_id]]))</f>
        <v/>
      </c>
      <c r="Y102" s="283" t="str">
        <f>IF(Table1[Item Description]="","",Table1[[#This Row],[Qty]]*Table1[[#This Row],[Unit Price]])</f>
        <v/>
      </c>
      <c r="Z102" s="283" t="str">
        <f>IF(Table1[[#This Row],[h_hargasebelumdiskon]]="","",IF(Table1[[#This Row],[Disc 1]]="",0,Table1[[#This Row],[h_hargasebelumdiskon]]*Table1[[#This Row],[Disc 1]]))</f>
        <v/>
      </c>
      <c r="AA102" s="283" t="str">
        <f>IF(Table1[[#This Row],[h_hargasebelumdiskon]]="","",IF(Table1[[#This Row],[Disc 2]]="",0,(Table1[[#This Row],[h_hargasebelumdiskon]]-Table1[[#This Row],[h_disc 1]])*Table1[[#This Row],[Disc 2]]))</f>
        <v/>
      </c>
      <c r="AB102" s="283" t="str">
        <f>IF(Table1[Item Description]="","",Table1[[#This Row],[h_disc 1]]+Table1[[#This Row],[h_disc 2]])</f>
        <v/>
      </c>
      <c r="AC102" s="283" t="str">
        <f>IF(Table1[Item Description]="","",Table1[[#This Row],[h_hargasebelumdiskon]]-Table1[[#This Row],[h_diskon]])</f>
        <v/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/>
      </c>
    </row>
    <row r="103" spans="1:32" x14ac:dyDescent="0.25">
      <c r="A103" s="287" t="str">
        <f ca="1">IF(Table1[[#This Row],[No. Invoice :]]="","",ROW())</f>
        <v/>
      </c>
      <c r="B103" s="287" t="str">
        <f ca="1">IF(Table1[Column3]="","",B$1+COUNT(INDIRECT("B$2:B"&amp;ROW()-1)))</f>
        <v/>
      </c>
      <c r="C103" s="281" t="str">
        <f>IF(Table1[[#This Row],[Column2]]="","",Table1[[#This Row],[Column2]]+C$1-1)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Row],[Column3]])," ",Table1[[#This Row],[Column4]])</f>
        <v xml:space="preserve"> </v>
      </c>
      <c r="J103" s="287" t="str">
        <f>IF(Table1[[#This Row],[Column5]]="","",INDEX(Table2[e],IF(Table1[[#This Row],[Column5]]="","",MATCH(Table1[[#This Row],[Column5]],Table2[a],0)),))</f>
        <v/>
      </c>
      <c r="O103" s="287" t="str">
        <f>IF(Table1[[#This Row],[h_Item Description]]="","",INDEX([1]!db[NB PAJAK],MATCH(Table1[[#This Row],[h_Item Description]],[1]!db[kode],0)))</f>
        <v/>
      </c>
      <c r="Q103" s="283"/>
      <c r="R103" s="284"/>
      <c r="T103" s="283" t="str">
        <f>Table1[[#This Row],[h_hargasetelahdiskon]]</f>
        <v/>
      </c>
      <c r="W103" s="287" t="str">
        <f ca="1">IF(Table1[[#This Row],[Item Description]]="","",IF(Table1[[#This Row],[//]]="",INDIRECT(ADDRESS(ROW()-1,COLUMN())),Table1[[#This Row],[//]]))</f>
        <v/>
      </c>
      <c r="X103" s="287" t="str">
        <f ca="1">IF(Table1[[#This Row],[h_id]]="","",COUNTIF(Table1[h_id],Table1[[#This Row],[h_id]]))</f>
        <v/>
      </c>
      <c r="Y103" s="283" t="str">
        <f>IF(Table1[Item Description]="","",Table1[[#This Row],[Qty]]*Table1[[#This Row],[Unit Price]])</f>
        <v/>
      </c>
      <c r="Z103" s="283" t="str">
        <f>IF(Table1[[#This Row],[h_hargasebelumdiskon]]="","",IF(Table1[[#This Row],[Disc 1]]="",0,Table1[[#This Row],[h_hargasebelumdiskon]]*Table1[[#This Row],[Disc 1]]))</f>
        <v/>
      </c>
      <c r="AA103" s="283" t="str">
        <f>IF(Table1[[#This Row],[h_hargasebelumdiskon]]="","",IF(Table1[[#This Row],[Disc 2]]="",0,(Table1[[#This Row],[h_hargasebelumdiskon]]-Table1[[#This Row],[h_disc 1]])*Table1[[#This Row],[Disc 2]]))</f>
        <v/>
      </c>
      <c r="AB103" s="283" t="str">
        <f>IF(Table1[Item Description]="","",Table1[[#This Row],[h_disc 1]]+Table1[[#This Row],[h_disc 2]])</f>
        <v/>
      </c>
      <c r="AC103" s="283" t="str">
        <f>IF(Table1[Item Description]="","",Table1[[#This Row],[h_hargasebelumdiskon]]-Table1[[#This Row],[h_diskon]])</f>
        <v/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/>
      </c>
    </row>
    <row r="104" spans="1:32" x14ac:dyDescent="0.25">
      <c r="A104" s="287" t="str">
        <f ca="1">IF(Table1[[#This Row],[No. Invoice :]]="","",ROW())</f>
        <v/>
      </c>
      <c r="B104" s="287" t="str">
        <f ca="1">IF(Table1[Column3]="","",B$1+COUNT(INDIRECT("B$2:B"&amp;ROW()-1)))</f>
        <v/>
      </c>
      <c r="C104" s="281" t="str">
        <f>IF(Table1[[#This Row],[Column2]]="","",Table1[[#This Row],[Column2]]+C$1-1)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Row],[Column3]])," ",Table1[[#This Row],[Column4]])</f>
        <v xml:space="preserve"> </v>
      </c>
      <c r="J104" s="287" t="str">
        <f>IF(Table1[[#This Row],[Column5]]="","",INDEX(Table2[e],IF(Table1[[#This Row],[Column5]]="","",MATCH(Table1[[#This Row],[Column5]],Table2[a],0)),))</f>
        <v/>
      </c>
      <c r="O104" s="287" t="str">
        <f>IF(Table1[[#This Row],[h_Item Description]]="","",INDEX([1]!db[NB PAJAK],MATCH(Table1[[#This Row],[h_Item Description]],[1]!db[kode],0)))</f>
        <v/>
      </c>
      <c r="Q104" s="283"/>
      <c r="R104" s="284"/>
      <c r="T104" s="283" t="str">
        <f>Table1[[#This Row],[h_hargasetelahdiskon]]</f>
        <v/>
      </c>
      <c r="W104" s="287" t="str">
        <f ca="1">IF(Table1[[#This Row],[Item Description]]="","",IF(Table1[[#This Row],[//]]="",INDIRECT(ADDRESS(ROW()-1,COLUMN())),Table1[[#This Row],[//]]))</f>
        <v/>
      </c>
      <c r="X104" s="287" t="str">
        <f ca="1">IF(Table1[[#This Row],[h_id]]="","",COUNTIF(Table1[h_id],Table1[[#This Row],[h_id]]))</f>
        <v/>
      </c>
      <c r="Y104" s="283" t="str">
        <f>IF(Table1[Item Description]="","",Table1[[#This Row],[Qty]]*Table1[[#This Row],[Unit Price]])</f>
        <v/>
      </c>
      <c r="Z104" s="283" t="str">
        <f>IF(Table1[[#This Row],[h_hargasebelumdiskon]]="","",IF(Table1[[#This Row],[Disc 1]]="",0,Table1[[#This Row],[h_hargasebelumdiskon]]*Table1[[#This Row],[Disc 1]]))</f>
        <v/>
      </c>
      <c r="AA104" s="283" t="str">
        <f>IF(Table1[[#This Row],[h_hargasebelumdiskon]]="","",IF(Table1[[#This Row],[Disc 2]]="",0,(Table1[[#This Row],[h_hargasebelumdiskon]]-Table1[[#This Row],[h_disc 1]])*Table1[[#This Row],[Disc 2]]))</f>
        <v/>
      </c>
      <c r="AB104" s="283" t="str">
        <f>IF(Table1[Item Description]="","",Table1[[#This Row],[h_disc 1]]+Table1[[#This Row],[h_disc 2]])</f>
        <v/>
      </c>
      <c r="AC104" s="283" t="str">
        <f>IF(Table1[Item Description]="","",Table1[[#This Row],[h_hargasebelumdiskon]]-Table1[[#This Row],[h_diskon]])</f>
        <v/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/>
      </c>
    </row>
    <row r="105" spans="1:32" x14ac:dyDescent="0.25">
      <c r="A105" s="287" t="str">
        <f ca="1">IF(Table1[[#This Row],[No. Invoice :]]="","",ROW())</f>
        <v/>
      </c>
      <c r="B105" s="287" t="str">
        <f ca="1">IF(Table1[Column3]="","",B$1+COUNT(INDIRECT("B$2:B"&amp;ROW()-1)))</f>
        <v/>
      </c>
      <c r="C105" s="281" t="str">
        <f>IF(Table1[[#This Row],[Column2]]="","",Table1[[#This Row],[Column2]]+C$1-1)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Row],[Column3]])," ",Table1[[#This Row],[Column4]])</f>
        <v xml:space="preserve"> </v>
      </c>
      <c r="J105" s="287" t="str">
        <f>IF(Table1[[#This Row],[Column5]]="","",INDEX(Table2[e],IF(Table1[[#This Row],[Column5]]="","",MATCH(Table1[[#This Row],[Column5]],Table2[a],0)),))</f>
        <v/>
      </c>
      <c r="O105" s="287" t="str">
        <f>IF(Table1[[#This Row],[h_Item Description]]="","",INDEX([1]!db[NB PAJAK],MATCH(Table1[[#This Row],[h_Item Description]],[1]!db[kode],0)))</f>
        <v/>
      </c>
      <c r="Q105" s="283"/>
      <c r="R105" s="284"/>
      <c r="T105" s="283" t="str">
        <f>Table1[[#This Row],[h_hargasetelahdiskon]]</f>
        <v/>
      </c>
      <c r="W105" s="287" t="str">
        <f ca="1">IF(Table1[[#This Row],[Item Description]]="","",IF(Table1[[#This Row],[//]]="",INDIRECT(ADDRESS(ROW()-1,COLUMN())),Table1[[#This Row],[//]]))</f>
        <v/>
      </c>
      <c r="X105" s="287" t="str">
        <f ca="1">IF(Table1[[#This Row],[h_id]]="","",COUNTIF(Table1[h_id],Table1[[#This Row],[h_id]]))</f>
        <v/>
      </c>
      <c r="Y105" s="283" t="str">
        <f>IF(Table1[Item Description]="","",Table1[[#This Row],[Qty]]*Table1[[#This Row],[Unit Price]])</f>
        <v/>
      </c>
      <c r="Z105" s="283" t="str">
        <f>IF(Table1[[#This Row],[h_hargasebelumdiskon]]="","",IF(Table1[[#This Row],[Disc 1]]="",0,Table1[[#This Row],[h_hargasebelumdiskon]]*Table1[[#This Row],[Disc 1]]))</f>
        <v/>
      </c>
      <c r="AA105" s="283" t="str">
        <f>IF(Table1[[#This Row],[h_hargasebelumdiskon]]="","",IF(Table1[[#This Row],[Disc 2]]="",0,(Table1[[#This Row],[h_hargasebelumdiskon]]-Table1[[#This Row],[h_disc 1]])*Table1[[#This Row],[Disc 2]]))</f>
        <v/>
      </c>
      <c r="AB105" s="283" t="str">
        <f>IF(Table1[Item Description]="","",Table1[[#This Row],[h_disc 1]]+Table1[[#This Row],[h_disc 2]])</f>
        <v/>
      </c>
      <c r="AC105" s="283" t="str">
        <f>IF(Table1[Item Description]="","",Table1[[#This Row],[h_hargasebelumdiskon]]-Table1[[#This Row],[h_diskon]])</f>
        <v/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/>
      </c>
    </row>
    <row r="106" spans="1:32" x14ac:dyDescent="0.25">
      <c r="A106" s="287" t="str">
        <f ca="1">IF(Table1[[#This Row],[No. Invoice :]]="","",ROW())</f>
        <v/>
      </c>
      <c r="B106" s="287" t="str">
        <f ca="1">IF(Table1[Column3]="","",B$1+COUNT(INDIRECT("B$2:B"&amp;ROW()-1)))</f>
        <v/>
      </c>
      <c r="C106" s="281" t="str">
        <f>IF(Table1[[#This Row],[Column2]]="","",Table1[[#This Row],[Column2]]+C$1-1)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Row],[Column3]])," ",Table1[[#This Row],[Column4]])</f>
        <v xml:space="preserve"> </v>
      </c>
      <c r="J106" s="287" t="str">
        <f>IF(Table1[[#This Row],[Column5]]="","",INDEX(Table2[e],IF(Table1[[#This Row],[Column5]]="","",MATCH(Table1[[#This Row],[Column5]],Table2[a],0)),))</f>
        <v/>
      </c>
      <c r="O106" s="287" t="str">
        <f>IF(Table1[[#This Row],[h_Item Description]]="","",INDEX([1]!db[NB PAJAK],MATCH(Table1[[#This Row],[h_Item Description]],[1]!db[kode],0)))</f>
        <v/>
      </c>
      <c r="Q106" s="283"/>
      <c r="R106" s="284"/>
      <c r="T106" s="283" t="str">
        <f>Table1[[#This Row],[h_hargasetelahdiskon]]</f>
        <v/>
      </c>
      <c r="W106" s="287" t="str">
        <f ca="1">IF(Table1[[#This Row],[Item Description]]="","",IF(Table1[[#This Row],[//]]="",INDIRECT(ADDRESS(ROW()-1,COLUMN())),Table1[[#This Row],[//]]))</f>
        <v/>
      </c>
      <c r="X106" s="287" t="str">
        <f ca="1">IF(Table1[[#This Row],[h_id]]="","",COUNTIF(Table1[h_id],Table1[[#This Row],[h_id]]))</f>
        <v/>
      </c>
      <c r="Y106" s="283" t="str">
        <f>IF(Table1[Item Description]="","",Table1[[#This Row],[Qty]]*Table1[[#This Row],[Unit Price]])</f>
        <v/>
      </c>
      <c r="Z106" s="283" t="str">
        <f>IF(Table1[[#This Row],[h_hargasebelumdiskon]]="","",IF(Table1[[#This Row],[Disc 1]]="",0,Table1[[#This Row],[h_hargasebelumdiskon]]*Table1[[#This Row],[Disc 1]]))</f>
        <v/>
      </c>
      <c r="AA106" s="283" t="str">
        <f>IF(Table1[[#This Row],[h_hargasebelumdiskon]]="","",IF(Table1[[#This Row],[Disc 2]]="",0,(Table1[[#This Row],[h_hargasebelumdiskon]]-Table1[[#This Row],[h_disc 1]])*Table1[[#This Row],[Disc 2]]))</f>
        <v/>
      </c>
      <c r="AB106" s="283" t="str">
        <f>IF(Table1[Item Description]="","",Table1[[#This Row],[h_disc 1]]+Table1[[#This Row],[h_disc 2]])</f>
        <v/>
      </c>
      <c r="AC106" s="283" t="str">
        <f>IF(Table1[Item Description]="","",Table1[[#This Row],[h_hargasebelumdiskon]]-Table1[[#This Row],[h_diskon]])</f>
        <v/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/>
      </c>
    </row>
    <row r="107" spans="1:32" x14ac:dyDescent="0.25">
      <c r="A107" s="287" t="str">
        <f ca="1">IF(Table1[[#This Row],[No. Invoice :]]="","",ROW())</f>
        <v/>
      </c>
      <c r="B107" s="287" t="str">
        <f ca="1">IF(Table1[Column3]="","",B$1+COUNT(INDIRECT("B$2:B"&amp;ROW()-1)))</f>
        <v/>
      </c>
      <c r="C107" s="281" t="str">
        <f>IF(Table1[[#This Row],[Column2]]="","",Table1[[#This Row],[Column2]]+C$1-1)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Row],[Column3]])," ",Table1[[#This Row],[Column4]])</f>
        <v xml:space="preserve"> </v>
      </c>
      <c r="J107" s="287" t="str">
        <f>IF(Table1[[#This Row],[Column5]]="","",INDEX(Table2[e],IF(Table1[[#This Row],[Column5]]="","",MATCH(Table1[[#This Row],[Column5]],Table2[a],0)),))</f>
        <v/>
      </c>
      <c r="O107" s="287" t="str">
        <f>IF(Table1[[#This Row],[h_Item Description]]="","",INDEX([1]!db[NB PAJAK],MATCH(Table1[[#This Row],[h_Item Description]],[1]!db[kode],0)))</f>
        <v/>
      </c>
      <c r="Q107" s="283"/>
      <c r="R107" s="284"/>
      <c r="T107" s="283" t="str">
        <f>Table1[[#This Row],[h_hargasetelahdiskon]]</f>
        <v/>
      </c>
      <c r="W107" s="287" t="str">
        <f ca="1">IF(Table1[[#This Row],[Item Description]]="","",IF(Table1[[#This Row],[//]]="",INDIRECT(ADDRESS(ROW()-1,COLUMN())),Table1[[#This Row],[//]]))</f>
        <v/>
      </c>
      <c r="X107" s="287" t="str">
        <f ca="1">IF(Table1[[#This Row],[h_id]]="","",COUNTIF(Table1[h_id],Table1[[#This Row],[h_id]]))</f>
        <v/>
      </c>
      <c r="Y107" s="283" t="str">
        <f>IF(Table1[Item Description]="","",Table1[[#This Row],[Qty]]*Table1[[#This Row],[Unit Price]])</f>
        <v/>
      </c>
      <c r="Z107" s="283" t="str">
        <f>IF(Table1[[#This Row],[h_hargasebelumdiskon]]="","",IF(Table1[[#This Row],[Disc 1]]="",0,Table1[[#This Row],[h_hargasebelumdiskon]]*Table1[[#This Row],[Disc 1]]))</f>
        <v/>
      </c>
      <c r="AA107" s="283" t="str">
        <f>IF(Table1[[#This Row],[h_hargasebelumdiskon]]="","",IF(Table1[[#This Row],[Disc 2]]="",0,(Table1[[#This Row],[h_hargasebelumdiskon]]-Table1[[#This Row],[h_disc 1]])*Table1[[#This Row],[Disc 2]]))</f>
        <v/>
      </c>
      <c r="AB107" s="283" t="str">
        <f>IF(Table1[Item Description]="","",Table1[[#This Row],[h_disc 1]]+Table1[[#This Row],[h_disc 2]])</f>
        <v/>
      </c>
      <c r="AC107" s="283" t="str">
        <f>IF(Table1[Item Description]="","",Table1[[#This Row],[h_hargasebelumdiskon]]-Table1[[#This Row],[h_diskon]])</f>
        <v/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/>
      </c>
    </row>
    <row r="108" spans="1:32" x14ac:dyDescent="0.25">
      <c r="A108" s="287" t="str">
        <f ca="1">IF(Table1[[#This Row],[No. Invoice :]]="","",ROW())</f>
        <v/>
      </c>
      <c r="B108" s="287" t="str">
        <f ca="1">IF(Table1[Column3]="","",B$1+COUNT(INDIRECT("B$2:B"&amp;ROW()-1)))</f>
        <v/>
      </c>
      <c r="C108" s="281" t="str">
        <f>IF(Table1[[#This Row],[Column2]]="","",Table1[[#This Row],[Column2]]+C$1-1)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Row],[Column3]])," ",Table1[[#This Row],[Column4]])</f>
        <v xml:space="preserve"> </v>
      </c>
      <c r="J108" s="287" t="str">
        <f>IF(Table1[[#This Row],[Column5]]="","",INDEX(Table2[e],IF(Table1[[#This Row],[Column5]]="","",MATCH(Table1[[#This Row],[Column5]],Table2[a],0)),))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 t="str">
        <f ca="1">IF(Table1[[#This Row],[No. Invoice :]]="","",ROW())</f>
        <v/>
      </c>
      <c r="B109" s="287" t="str">
        <f ca="1">IF(Table1[Column3]="","",B$1+COUNT(INDIRECT("B$2:B"&amp;ROW()-1)))</f>
        <v/>
      </c>
      <c r="C109" s="281" t="str">
        <f>IF(Table1[[#This Row],[Column2]]="","",Table1[[#This Row],[Column2]]+C$1-1)</f>
        <v/>
      </c>
      <c r="H109" s="287" t="str">
        <f ca="1">IF(Table1[[#This Row],[h_No. Invoice :]]="","",CONCATENATE("AM"," ",Table1[[#This Row],[h_No. Invoice :]]))</f>
        <v/>
      </c>
      <c r="I109" s="288" t="str">
        <f>CONCATENATE(UPPER(Table1[[#This Row],[Column3]])," ",Table1[[#This Row],[Column4]])</f>
        <v xml:space="preserve"> </v>
      </c>
      <c r="J109" s="287" t="str">
        <f>IF(Table1[[#This Row],[Column5]]="","",INDEX(Table2[e],IF(Table1[[#This Row],[Column5]]="","",MATCH(Table1[[#This Row],[Column5]],Table2[a],0)),))</f>
        <v/>
      </c>
      <c r="O109" s="287" t="str">
        <f>IF(Table1[[#This Row],[h_Item Description]]="","",INDEX([1]!db[NB PAJAK],MATCH(Table1[[#This Row],[h_Item Description]],[1]!db[kode],0)))</f>
        <v/>
      </c>
      <c r="Q109" s="283"/>
      <c r="R109" s="284"/>
      <c r="T109" s="283" t="str">
        <f>Table1[[#This Row],[h_hargasetelahdiskon]]</f>
        <v/>
      </c>
      <c r="W109" s="287" t="str">
        <f ca="1">IF(Table1[[#This Row],[Item Description]]="","",IF(Table1[[#This Row],[//]]="",INDIRECT(ADDRESS(ROW()-1,COLUMN())),Table1[[#This Row],[//]]))</f>
        <v/>
      </c>
      <c r="X109" s="287" t="str">
        <f ca="1">IF(Table1[[#This Row],[h_id]]="","",COUNTIF(Table1[h_id],Table1[[#This Row],[h_id]]))</f>
        <v/>
      </c>
      <c r="Y109" s="283" t="str">
        <f>IF(Table1[Item Description]="","",Table1[[#This Row],[Qty]]*Table1[[#This Row],[Unit Price]])</f>
        <v/>
      </c>
      <c r="Z109" s="283" t="str">
        <f>IF(Table1[[#This Row],[h_hargasebelumdiskon]]="","",IF(Table1[[#This Row],[Disc 1]]="",0,Table1[[#This Row],[h_hargasebelumdiskon]]*Table1[[#This Row],[Disc 1]]))</f>
        <v/>
      </c>
      <c r="AA109" s="283" t="str">
        <f>IF(Table1[[#This Row],[h_hargasebelumdiskon]]="","",IF(Table1[[#This Row],[Disc 2]]="",0,(Table1[[#This Row],[h_hargasebelumdiskon]]-Table1[[#This Row],[h_disc 1]])*Table1[[#This Row],[Disc 2]]))</f>
        <v/>
      </c>
      <c r="AB109" s="283" t="str">
        <f>IF(Table1[Item Description]="","",Table1[[#This Row],[h_disc 1]]+Table1[[#This Row],[h_disc 2]])</f>
        <v/>
      </c>
      <c r="AC109" s="283" t="str">
        <f>IF(Table1[Item Description]="","",Table1[[#This Row],[h_hargasebelumdiskon]]-Table1[[#This Row],[h_diskon]])</f>
        <v/>
      </c>
      <c r="AD109" s="283" t="str">
        <f ca="1">IF(Table1[//]="","",SUMIF(Table1[h_id],Table1[h_id],Table1[h_hargasetelahdiskon]))</f>
        <v/>
      </c>
      <c r="AE109" s="283"/>
      <c r="AF109" s="283" t="str">
        <f>Table1[[#This Row],[Item Description]]&amp;Table1[[#This Row],[Unit]]&amp;Table1[[#This Row],[Unit Price]]</f>
        <v/>
      </c>
    </row>
    <row r="110" spans="1:32" x14ac:dyDescent="0.25">
      <c r="A110" s="287" t="str">
        <f ca="1">IF(Table1[[#This Row],[No. Invoice :]]="","",ROW())</f>
        <v/>
      </c>
      <c r="B110" s="287" t="str">
        <f ca="1">IF(Table1[Column3]="","",B$1+COUNT(INDIRECT("B$2:B"&amp;ROW()-1)))</f>
        <v/>
      </c>
      <c r="C110" s="281" t="str">
        <f>IF(Table1[[#This Row],[Column2]]="","",Table1[[#This Row],[Column2]]+C$1-1)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Row],[Column3]])," ",Table1[[#This Row],[Column4]])</f>
        <v xml:space="preserve"> </v>
      </c>
      <c r="J110" s="287" t="str">
        <f>IF(Table1[[#This Row],[Column5]]="","",INDEX(Table2[e],IF(Table1[[#This Row],[Column5]]="","",MATCH(Table1[[#This Row],[Column5]],Table2[a],0)),))</f>
        <v/>
      </c>
      <c r="O110" s="287" t="str">
        <f>IF(Table1[[#This Row],[h_Item Description]]="","",INDEX([1]!db[NB PAJAK],MATCH(Table1[[#This Row],[h_Item Description]],[1]!db[kode],0)))</f>
        <v/>
      </c>
      <c r="Q110" s="283"/>
      <c r="R110" s="284"/>
      <c r="T110" s="283" t="str">
        <f>Table1[[#This Row],[h_hargasetelahdiskon]]</f>
        <v/>
      </c>
      <c r="W110" s="287" t="str">
        <f ca="1">IF(Table1[[#This Row],[Item Description]]="","",IF(Table1[[#This Row],[//]]="",INDIRECT(ADDRESS(ROW()-1,COLUMN())),Table1[[#This Row],[//]]))</f>
        <v/>
      </c>
      <c r="X110" s="287" t="str">
        <f ca="1">IF(Table1[[#This Row],[h_id]]="","",COUNTIF(Table1[h_id],Table1[[#This Row],[h_id]]))</f>
        <v/>
      </c>
      <c r="Y110" s="283" t="str">
        <f>IF(Table1[Item Description]="","",Table1[[#This Row],[Qty]]*Table1[[#This Row],[Unit Price]])</f>
        <v/>
      </c>
      <c r="Z110" s="283" t="str">
        <f>IF(Table1[[#This Row],[h_hargasebelumdiskon]]="","",IF(Table1[[#This Row],[Disc 1]]="",0,Table1[[#This Row],[h_hargasebelumdiskon]]*Table1[[#This Row],[Disc 1]]))</f>
        <v/>
      </c>
      <c r="AA110" s="283" t="str">
        <f>IF(Table1[[#This Row],[h_hargasebelumdiskon]]="","",IF(Table1[[#This Row],[Disc 2]]="",0,(Table1[[#This Row],[h_hargasebelumdiskon]]-Table1[[#This Row],[h_disc 1]])*Table1[[#This Row],[Disc 2]]))</f>
        <v/>
      </c>
      <c r="AB110" s="283" t="str">
        <f>IF(Table1[Item Description]="","",Table1[[#This Row],[h_disc 1]]+Table1[[#This Row],[h_disc 2]])</f>
        <v/>
      </c>
      <c r="AC110" s="283" t="str">
        <f>IF(Table1[Item Description]="","",Table1[[#This Row],[h_hargasebelumdiskon]]-Table1[[#This Row],[h_diskon]])</f>
        <v/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/>
      </c>
    </row>
    <row r="111" spans="1:32" x14ac:dyDescent="0.25">
      <c r="A111" s="287" t="str">
        <f ca="1">IF(Table1[[#This Row],[No. Invoice :]]="","",ROW())</f>
        <v/>
      </c>
      <c r="B111" s="287" t="str">
        <f ca="1">IF(Table1[Column3]="","",B$1+COUNT(INDIRECT("B$2:B"&amp;ROW()-1)))</f>
        <v/>
      </c>
      <c r="C111" s="281" t="str">
        <f>IF(Table1[[#This Row],[Column2]]="","",Table1[[#This Row],[Column2]]+C$1-1)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Row],[Column3]])," ",Table1[[#This Row],[Column4]])</f>
        <v xml:space="preserve"> </v>
      </c>
      <c r="J111" s="287" t="str">
        <f>IF(Table1[[#This Row],[Column5]]="","",INDEX(Table2[e],IF(Table1[[#This Row],[Column5]]="","",MATCH(Table1[[#This Row],[Column5]],Table2[a],0)),))</f>
        <v/>
      </c>
      <c r="O111" s="287" t="str">
        <f>IF(Table1[[#This Row],[h_Item Description]]="","",INDEX([1]!db[NB PAJAK],MATCH(Table1[[#This Row],[h_Item Description]],[1]!db[kode],0)))</f>
        <v/>
      </c>
      <c r="Q111" s="283"/>
      <c r="R111" s="284"/>
      <c r="T111" s="283" t="str">
        <f>Table1[[#This Row],[h_hargasetelahdiskon]]</f>
        <v/>
      </c>
      <c r="W111" s="287" t="str">
        <f ca="1">IF(Table1[[#This Row],[Item Description]]="","",IF(Table1[[#This Row],[//]]="",INDIRECT(ADDRESS(ROW()-1,COLUMN())),Table1[[#This Row],[//]]))</f>
        <v/>
      </c>
      <c r="X111" s="287" t="str">
        <f ca="1">IF(Table1[[#This Row],[h_id]]="","",COUNTIF(Table1[h_id],Table1[[#This Row],[h_id]]))</f>
        <v/>
      </c>
      <c r="Y111" s="283" t="str">
        <f>IF(Table1[Item Description]="","",Table1[[#This Row],[Qty]]*Table1[[#This Row],[Unit Price]])</f>
        <v/>
      </c>
      <c r="Z111" s="283" t="str">
        <f>IF(Table1[[#This Row],[h_hargasebelumdiskon]]="","",IF(Table1[[#This Row],[Disc 1]]="",0,Table1[[#This Row],[h_hargasebelumdiskon]]*Table1[[#This Row],[Disc 1]]))</f>
        <v/>
      </c>
      <c r="AA111" s="283" t="str">
        <f>IF(Table1[[#This Row],[h_hargasebelumdiskon]]="","",IF(Table1[[#This Row],[Disc 2]]="",0,(Table1[[#This Row],[h_hargasebelumdiskon]]-Table1[[#This Row],[h_disc 1]])*Table1[[#This Row],[Disc 2]]))</f>
        <v/>
      </c>
      <c r="AB111" s="283" t="str">
        <f>IF(Table1[Item Description]="","",Table1[[#This Row],[h_disc 1]]+Table1[[#This Row],[h_disc 2]])</f>
        <v/>
      </c>
      <c r="AC111" s="283" t="str">
        <f>IF(Table1[Item Description]="","",Table1[[#This Row],[h_hargasebelumdiskon]]-Table1[[#This Row],[h_diskon]])</f>
        <v/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/>
      </c>
    </row>
    <row r="112" spans="1:32" x14ac:dyDescent="0.25">
      <c r="A112" s="287" t="str">
        <f ca="1">IF(Table1[[#This Row],[No. Invoice :]]="","",ROW())</f>
        <v/>
      </c>
      <c r="B112" s="287" t="str">
        <f ca="1">IF(Table1[Column3]="","",B$1+COUNT(INDIRECT("B$2:B"&amp;ROW()-1)))</f>
        <v/>
      </c>
      <c r="C112" s="281" t="str">
        <f>IF(Table1[[#This Row],[Column2]]="","",Table1[[#This Row],[Column2]]+C$1-1)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Row],[Column3]])," ",Table1[[#This Row],[Column4]])</f>
        <v xml:space="preserve"> </v>
      </c>
      <c r="J112" s="287" t="str">
        <f>IF(Table1[[#This Row],[Column5]]="","",INDEX(Table2[e],IF(Table1[[#This Row],[Column5]]="","",MATCH(Table1[[#This Row],[Column5]],Table2[a],0)),))</f>
        <v/>
      </c>
      <c r="O112" s="287" t="str">
        <f>IF(Table1[[#This Row],[h_Item Description]]="","",INDEX([1]!db[NB PAJAK],MATCH(Table1[[#This Row],[h_Item Description]],[1]!db[kode],0)))</f>
        <v/>
      </c>
      <c r="Q112" s="283"/>
      <c r="R112" s="284"/>
      <c r="T112" s="283" t="str">
        <f>Table1[[#This Row],[h_hargasetelahdiskon]]</f>
        <v/>
      </c>
      <c r="W112" s="287" t="str">
        <f ca="1">IF(Table1[[#This Row],[Item Description]]="","",IF(Table1[[#This Row],[//]]="",INDIRECT(ADDRESS(ROW()-1,COLUMN())),Table1[[#This Row],[//]]))</f>
        <v/>
      </c>
      <c r="X112" s="287" t="str">
        <f ca="1">IF(Table1[[#This Row],[h_id]]="","",COUNTIF(Table1[h_id],Table1[[#This Row],[h_id]]))</f>
        <v/>
      </c>
      <c r="Y112" s="283" t="str">
        <f>IF(Table1[Item Description]="","",Table1[[#This Row],[Qty]]*Table1[[#This Row],[Unit Price]])</f>
        <v/>
      </c>
      <c r="Z112" s="283" t="str">
        <f>IF(Table1[[#This Row],[h_hargasebelumdiskon]]="","",IF(Table1[[#This Row],[Disc 1]]="",0,Table1[[#This Row],[h_hargasebelumdiskon]]*Table1[[#This Row],[Disc 1]]))</f>
        <v/>
      </c>
      <c r="AA112" s="283" t="str">
        <f>IF(Table1[[#This Row],[h_hargasebelumdiskon]]="","",IF(Table1[[#This Row],[Disc 2]]="",0,(Table1[[#This Row],[h_hargasebelumdiskon]]-Table1[[#This Row],[h_disc 1]])*Table1[[#This Row],[Disc 2]]))</f>
        <v/>
      </c>
      <c r="AB112" s="283" t="str">
        <f>IF(Table1[Item Description]="","",Table1[[#This Row],[h_disc 1]]+Table1[[#This Row],[h_disc 2]])</f>
        <v/>
      </c>
      <c r="AC112" s="283" t="str">
        <f>IF(Table1[Item Description]="","",Table1[[#This Row],[h_hargasebelumdiskon]]-Table1[[#This Row],[h_diskon]])</f>
        <v/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/>
      </c>
    </row>
    <row r="113" spans="1:32" x14ac:dyDescent="0.25">
      <c r="A113" s="287" t="str">
        <f ca="1">IF(Table1[[#This Row],[No. Invoice :]]="","",ROW())</f>
        <v/>
      </c>
      <c r="B113" s="287" t="str">
        <f ca="1">IF(Table1[Column3]="","",B$1+COUNT(INDIRECT("B$2:B"&amp;ROW()-1)))</f>
        <v/>
      </c>
      <c r="C113" s="281" t="str">
        <f>IF(Table1[[#This Row],[Column2]]="","",Table1[[#This Row],[Column2]]+C$1-1)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Row],[Column3]])," ",Table1[[#This Row],[Column4]])</f>
        <v xml:space="preserve"> </v>
      </c>
      <c r="J113" s="287" t="str">
        <f>IF(Table1[[#This Row],[Column5]]="","",INDEX(Table2[e],IF(Table1[[#This Row],[Column5]]="","",MATCH(Table1[[#This Row],[Column5]],Table2[a],0)),))</f>
        <v/>
      </c>
      <c r="O113" s="287" t="str">
        <f>IF(Table1[[#This Row],[h_Item Description]]="","",INDEX([1]!db[NB PAJAK],MATCH(Table1[[#This Row],[h_Item Description]],[1]!db[kode],0)))</f>
        <v/>
      </c>
      <c r="P113" s="287"/>
      <c r="Q113" s="283"/>
      <c r="R113" s="284"/>
      <c r="T113" s="283" t="str">
        <f>Table1[[#This Row],[h_hargasetelahdiskon]]</f>
        <v/>
      </c>
      <c r="W113" s="287" t="str">
        <f ca="1">IF(Table1[[#This Row],[Item Description]]="","",IF(Table1[[#This Row],[//]]="",INDIRECT(ADDRESS(ROW()-1,COLUMN())),Table1[[#This Row],[//]]))</f>
        <v/>
      </c>
      <c r="X113" s="287" t="str">
        <f ca="1">IF(Table1[[#This Row],[h_id]]="","",COUNTIF(Table1[h_id],Table1[[#This Row],[h_id]]))</f>
        <v/>
      </c>
      <c r="Y113" s="283" t="str">
        <f>IF(Table1[Item Description]="","",Table1[[#This Row],[Qty]]*Table1[[#This Row],[Unit Price]])</f>
        <v/>
      </c>
      <c r="Z113" s="283" t="str">
        <f>IF(Table1[[#This Row],[h_hargasebelumdiskon]]="","",IF(Table1[[#This Row],[Disc 1]]="",0,Table1[[#This Row],[h_hargasebelumdiskon]]*Table1[[#This Row],[Disc 1]]))</f>
        <v/>
      </c>
      <c r="AA113" s="283" t="str">
        <f>IF(Table1[[#This Row],[h_hargasebelumdiskon]]="","",IF(Table1[[#This Row],[Disc 2]]="",0,(Table1[[#This Row],[h_hargasebelumdiskon]]-Table1[[#This Row],[h_disc 1]])*Table1[[#This Row],[Disc 2]]))</f>
        <v/>
      </c>
      <c r="AB113" s="283" t="str">
        <f>IF(Table1[Item Description]="","",Table1[[#This Row],[h_disc 1]]+Table1[[#This Row],[h_disc 2]])</f>
        <v/>
      </c>
      <c r="AC113" s="283" t="str">
        <f>IF(Table1[Item Description]="","",Table1[[#This Row],[h_hargasebelumdiskon]]-Table1[[#This Row],[h_diskon]])</f>
        <v/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/>
      </c>
    </row>
    <row r="114" spans="1:32" x14ac:dyDescent="0.25">
      <c r="A114" s="287" t="str">
        <f ca="1">IF(Table1[[#This Row],[No. Invoice :]]="","",ROW())</f>
        <v/>
      </c>
      <c r="B114" s="287" t="str">
        <f ca="1">IF(Table1[Column3]="","",B$1+COUNT(INDIRECT("B$2:B"&amp;ROW()-1)))</f>
        <v/>
      </c>
      <c r="C114" s="281" t="str">
        <f>IF(Table1[[#This Row],[Column2]]="","",Table1[[#This Row],[Column2]]+C$1-1)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Row],[Column3]])," ",Table1[[#This Row],[Column4]])</f>
        <v xml:space="preserve"> </v>
      </c>
      <c r="J114" s="287" t="str">
        <f>IF(Table1[[#This Row],[Column5]]="","",INDEX(Table2[e],IF(Table1[[#This Row],[Column5]]="","",MATCH(Table1[[#This Row],[Column5]],Table2[a],0)),))</f>
        <v/>
      </c>
      <c r="O114" s="287" t="str">
        <f>IF(Table1[[#This Row],[h_Item Description]]="","",INDEX([1]!db[NB PAJAK],MATCH(Table1[[#This Row],[h_Item Description]],[1]!db[kode],0)))</f>
        <v/>
      </c>
      <c r="Q114" s="283"/>
      <c r="R114" s="284"/>
      <c r="T114" s="283" t="str">
        <f>Table1[[#This Row],[h_hargasetelahdiskon]]</f>
        <v/>
      </c>
      <c r="W114" s="287" t="str">
        <f ca="1">IF(Table1[[#This Row],[Item Description]]="","",IF(Table1[[#This Row],[//]]="",INDIRECT(ADDRESS(ROW()-1,COLUMN())),Table1[[#This Row],[//]]))</f>
        <v/>
      </c>
      <c r="X114" s="287" t="str">
        <f ca="1">IF(Table1[[#This Row],[h_id]]="","",COUNTIF(Table1[h_id],Table1[[#This Row],[h_id]]))</f>
        <v/>
      </c>
      <c r="Y114" s="283" t="str">
        <f>IF(Table1[Item Description]="","",Table1[[#This Row],[Qty]]*Table1[[#This Row],[Unit Price]])</f>
        <v/>
      </c>
      <c r="Z114" s="283" t="str">
        <f>IF(Table1[[#This Row],[h_hargasebelumdiskon]]="","",IF(Table1[[#This Row],[Disc 1]]="",0,Table1[[#This Row],[h_hargasebelumdiskon]]*Table1[[#This Row],[Disc 1]]))</f>
        <v/>
      </c>
      <c r="AA114" s="283" t="str">
        <f>IF(Table1[[#This Row],[h_hargasebelumdiskon]]="","",IF(Table1[[#This Row],[Disc 2]]="",0,(Table1[[#This Row],[h_hargasebelumdiskon]]-Table1[[#This Row],[h_disc 1]])*Table1[[#This Row],[Disc 2]]))</f>
        <v/>
      </c>
      <c r="AB114" s="283" t="str">
        <f>IF(Table1[Item Description]="","",Table1[[#This Row],[h_disc 1]]+Table1[[#This Row],[h_disc 2]])</f>
        <v/>
      </c>
      <c r="AC114" s="283" t="str">
        <f>IF(Table1[Item Description]="","",Table1[[#This Row],[h_hargasebelumdiskon]]-Table1[[#This Row],[h_diskon]])</f>
        <v/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/>
      </c>
    </row>
    <row r="115" spans="1:32" x14ac:dyDescent="0.25">
      <c r="A115" s="287" t="str">
        <f ca="1">IF(Table1[[#This Row],[No. Invoice :]]="","",ROW())</f>
        <v/>
      </c>
      <c r="B115" s="287" t="str">
        <f ca="1">IF(Table1[Column3]="","",B$1+COUNT(INDIRECT("B$2:B"&amp;ROW()-1)))</f>
        <v/>
      </c>
      <c r="C115" s="281" t="str">
        <f>IF(Table1[[#This Row],[Column2]]="","",Table1[[#This Row],[Column2]]+C$1-1)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Row],[Column3]])," ",Table1[[#This Row],[Column4]])</f>
        <v xml:space="preserve"> </v>
      </c>
      <c r="J115" s="287" t="str">
        <f>IF(Table1[[#This Row],[Column5]]="","",INDEX(Table2[e],IF(Table1[[#This Row],[Column5]]="","",MATCH(Table1[[#This Row],[Column5]],Table2[a],0)),))</f>
        <v/>
      </c>
      <c r="O115" s="287" t="str">
        <f>IF(Table1[[#This Row],[h_Item Description]]="","",INDEX([1]!db[NB PAJAK],MATCH(Table1[[#This Row],[h_Item Description]],[1]!db[kode],0)))</f>
        <v/>
      </c>
      <c r="Q115" s="283"/>
      <c r="R115" s="284"/>
      <c r="T115" s="283" t="str">
        <f>Table1[[#This Row],[h_hargasetelahdiskon]]</f>
        <v/>
      </c>
      <c r="W115" s="287" t="str">
        <f ca="1">IF(Table1[[#This Row],[Item Description]]="","",IF(Table1[[#This Row],[//]]="",INDIRECT(ADDRESS(ROW()-1,COLUMN())),Table1[[#This Row],[//]]))</f>
        <v/>
      </c>
      <c r="X115" s="287" t="str">
        <f ca="1">IF(Table1[[#This Row],[h_id]]="","",COUNTIF(Table1[h_id],Table1[[#This Row],[h_id]]))</f>
        <v/>
      </c>
      <c r="Y115" s="283" t="str">
        <f>IF(Table1[Item Description]="","",Table1[[#This Row],[Qty]]*Table1[[#This Row],[Unit Price]])</f>
        <v/>
      </c>
      <c r="Z115" s="283" t="str">
        <f>IF(Table1[[#This Row],[h_hargasebelumdiskon]]="","",IF(Table1[[#This Row],[Disc 1]]="",0,Table1[[#This Row],[h_hargasebelumdiskon]]*Table1[[#This Row],[Disc 1]]))</f>
        <v/>
      </c>
      <c r="AA115" s="283" t="str">
        <f>IF(Table1[[#This Row],[h_hargasebelumdiskon]]="","",IF(Table1[[#This Row],[Disc 2]]="",0,(Table1[[#This Row],[h_hargasebelumdiskon]]-Table1[[#This Row],[h_disc 1]])*Table1[[#This Row],[Disc 2]]))</f>
        <v/>
      </c>
      <c r="AB115" s="283" t="str">
        <f>IF(Table1[Item Description]="","",Table1[[#This Row],[h_disc 1]]+Table1[[#This Row],[h_disc 2]])</f>
        <v/>
      </c>
      <c r="AC115" s="283" t="str">
        <f>IF(Table1[Item Description]="","",Table1[[#This Row],[h_hargasebelumdiskon]]-Table1[[#This Row],[h_diskon]])</f>
        <v/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/>
      </c>
    </row>
    <row r="116" spans="1:32" x14ac:dyDescent="0.25">
      <c r="A116" s="287" t="str">
        <f ca="1">IF(Table1[[#This Row],[No. Invoice :]]="","",ROW())</f>
        <v/>
      </c>
      <c r="B116" s="287" t="str">
        <f ca="1">IF(Table1[Column3]="","",B$1+COUNT(INDIRECT("B$2:B"&amp;ROW()-1)))</f>
        <v/>
      </c>
      <c r="C116" s="281" t="str">
        <f>IF(Table1[[#This Row],[Column2]]="","",Table1[[#This Row],[Column2]]+C$1-1)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Row],[Column3]])," ",Table1[[#This Row],[Column4]])</f>
        <v xml:space="preserve"> </v>
      </c>
      <c r="J116" s="287" t="str">
        <f>IF(Table1[[#This Row],[Column5]]="","",INDEX(Table2[e],IF(Table1[[#This Row],[Column5]]="","",MATCH(Table1[[#This Row],[Column5]],Table2[a],0)),))</f>
        <v/>
      </c>
      <c r="O116" s="287" t="str">
        <f>IF(Table1[[#This Row],[h_Item Description]]="","",INDEX([1]!db[NB PAJAK],MATCH(Table1[[#This Row],[h_Item Description]],[1]!db[kode],0)))</f>
        <v/>
      </c>
      <c r="Q116" s="283"/>
      <c r="R116" s="284"/>
      <c r="T116" s="283" t="str">
        <f>Table1[[#This Row],[h_hargasetelahdiskon]]</f>
        <v/>
      </c>
      <c r="W116" s="287" t="str">
        <f ca="1">IF(Table1[[#This Row],[Item Description]]="","",IF(Table1[[#This Row],[//]]="",INDIRECT(ADDRESS(ROW()-1,COLUMN())),Table1[[#This Row],[//]]))</f>
        <v/>
      </c>
      <c r="X116" s="287" t="str">
        <f ca="1">IF(Table1[[#This Row],[h_id]]="","",COUNTIF(Table1[h_id],Table1[[#This Row],[h_id]]))</f>
        <v/>
      </c>
      <c r="Y116" s="283" t="str">
        <f>IF(Table1[Item Description]="","",Table1[[#This Row],[Qty]]*Table1[[#This Row],[Unit Price]])</f>
        <v/>
      </c>
      <c r="Z116" s="283" t="str">
        <f>IF(Table1[[#This Row],[h_hargasebelumdiskon]]="","",IF(Table1[[#This Row],[Disc 1]]="",0,Table1[[#This Row],[h_hargasebelumdiskon]]*Table1[[#This Row],[Disc 1]]))</f>
        <v/>
      </c>
      <c r="AA116" s="283" t="str">
        <f>IF(Table1[[#This Row],[h_hargasebelumdiskon]]="","",IF(Table1[[#This Row],[Disc 2]]="",0,(Table1[[#This Row],[h_hargasebelumdiskon]]-Table1[[#This Row],[h_disc 1]])*Table1[[#This Row],[Disc 2]]))</f>
        <v/>
      </c>
      <c r="AB116" s="283" t="str">
        <f>IF(Table1[Item Description]="","",Table1[[#This Row],[h_disc 1]]+Table1[[#This Row],[h_disc 2]])</f>
        <v/>
      </c>
      <c r="AC116" s="283" t="str">
        <f>IF(Table1[Item Description]="","",Table1[[#This Row],[h_hargasebelumdiskon]]-Table1[[#This Row],[h_diskon]])</f>
        <v/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/>
      </c>
    </row>
    <row r="117" spans="1:32" x14ac:dyDescent="0.25">
      <c r="A117" s="287" t="str">
        <f ca="1">IF(Table1[[#This Row],[No. Invoice :]]="","",ROW())</f>
        <v/>
      </c>
      <c r="B117" s="287" t="str">
        <f ca="1">IF(Table1[Column3]="","",B$1+COUNT(INDIRECT("B$2:B"&amp;ROW()-1)))</f>
        <v/>
      </c>
      <c r="C117" s="281" t="str">
        <f>IF(Table1[[#This Row],[Column2]]="","",Table1[[#This Row],[Column2]]+C$1-1)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Row],[Column3]])," ",Table1[[#This Row],[Column4]])</f>
        <v xml:space="preserve"> </v>
      </c>
      <c r="J117" s="287" t="str">
        <f>IF(Table1[[#This Row],[Column5]]="","",INDEX(Table2[e],IF(Table1[[#This Row],[Column5]]="","",MATCH(Table1[[#This Row],[Column5]],Table2[a],0)),))</f>
        <v/>
      </c>
      <c r="O117" s="287" t="str">
        <f>IF(Table1[[#This Row],[h_Item Description]]="","",INDEX([1]!db[NB PAJAK],MATCH(Table1[[#This Row],[h_Item Description]],[1]!db[kode],0)))</f>
        <v/>
      </c>
      <c r="Q117" s="283"/>
      <c r="R117" s="284"/>
      <c r="T117" s="283" t="str">
        <f>Table1[[#This Row],[h_hargasetelahdiskon]]</f>
        <v/>
      </c>
      <c r="W117" s="287" t="str">
        <f ca="1">IF(Table1[[#This Row],[Item Description]]="","",IF(Table1[[#This Row],[//]]="",INDIRECT(ADDRESS(ROW()-1,COLUMN())),Table1[[#This Row],[//]]))</f>
        <v/>
      </c>
      <c r="X117" s="287" t="str">
        <f ca="1">IF(Table1[[#This Row],[h_id]]="","",COUNTIF(Table1[h_id],Table1[[#This Row],[h_id]]))</f>
        <v/>
      </c>
      <c r="Y117" s="283" t="str">
        <f>IF(Table1[Item Description]="","",Table1[[#This Row],[Qty]]*Table1[[#This Row],[Unit Price]])</f>
        <v/>
      </c>
      <c r="Z117" s="283" t="str">
        <f>IF(Table1[[#This Row],[h_hargasebelumdiskon]]="","",IF(Table1[[#This Row],[Disc 1]]="",0,Table1[[#This Row],[h_hargasebelumdiskon]]*Table1[[#This Row],[Disc 1]]))</f>
        <v/>
      </c>
      <c r="AA117" s="283" t="str">
        <f>IF(Table1[[#This Row],[h_hargasebelumdiskon]]="","",IF(Table1[[#This Row],[Disc 2]]="",0,(Table1[[#This Row],[h_hargasebelumdiskon]]-Table1[[#This Row],[h_disc 1]])*Table1[[#This Row],[Disc 2]]))</f>
        <v/>
      </c>
      <c r="AB117" s="283" t="str">
        <f>IF(Table1[Item Description]="","",Table1[[#This Row],[h_disc 1]]+Table1[[#This Row],[h_disc 2]])</f>
        <v/>
      </c>
      <c r="AC117" s="283" t="str">
        <f>IF(Table1[Item Description]="","",Table1[[#This Row],[h_hargasebelumdiskon]]-Table1[[#This Row],[h_diskon]])</f>
        <v/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/>
      </c>
    </row>
    <row r="118" spans="1:32" x14ac:dyDescent="0.25">
      <c r="A118" s="287" t="str">
        <f ca="1">IF(Table1[[#This Row],[No. Invoice :]]="","",ROW())</f>
        <v/>
      </c>
      <c r="B118" s="287" t="str">
        <f ca="1">IF(Table1[Column3]="","",B$1+COUNT(INDIRECT("B$2:B"&amp;ROW()-1)))</f>
        <v/>
      </c>
      <c r="C118" s="281" t="str">
        <f>IF(Table1[[#This Row],[Column2]]="","",Table1[[#This Row],[Column2]]+C$1-1)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Row],[Column3]])," ",Table1[[#This Row],[Column4]])</f>
        <v xml:space="preserve"> </v>
      </c>
      <c r="J118" s="287" t="str">
        <f>IF(Table1[[#This Row],[Column5]]="","",INDEX(Table2[e],IF(Table1[[#This Row],[Column5]]="","",MATCH(Table1[[#This Row],[Column5]],Table2[a],0)),))</f>
        <v/>
      </c>
      <c r="O118" s="287" t="str">
        <f>IF(Table1[[#This Row],[h_Item Description]]="","",INDEX([1]!db[NB PAJAK],MATCH(Table1[[#This Row],[h_Item Description]],[1]!db[kode],0)))</f>
        <v/>
      </c>
      <c r="Q118" s="283"/>
      <c r="R118" s="284"/>
      <c r="T118" s="283" t="str">
        <f>Table1[[#This Row],[h_hargasetelahdiskon]]</f>
        <v/>
      </c>
      <c r="W118" s="287" t="str">
        <f ca="1">IF(Table1[[#This Row],[Item Description]]="","",IF(Table1[[#This Row],[//]]="",INDIRECT(ADDRESS(ROW()-1,COLUMN())),Table1[[#This Row],[//]]))</f>
        <v/>
      </c>
      <c r="X118" s="287" t="str">
        <f ca="1">IF(Table1[[#This Row],[h_id]]="","",COUNTIF(Table1[h_id],Table1[[#This Row],[h_id]]))</f>
        <v/>
      </c>
      <c r="Y118" s="283" t="str">
        <f>IF(Table1[Item Description]="","",Table1[[#This Row],[Qty]]*Table1[[#This Row],[Unit Price]])</f>
        <v/>
      </c>
      <c r="Z118" s="283" t="str">
        <f>IF(Table1[[#This Row],[h_hargasebelumdiskon]]="","",IF(Table1[[#This Row],[Disc 1]]="",0,Table1[[#This Row],[h_hargasebelumdiskon]]*Table1[[#This Row],[Disc 1]]))</f>
        <v/>
      </c>
      <c r="AA118" s="283" t="str">
        <f>IF(Table1[[#This Row],[h_hargasebelumdiskon]]="","",IF(Table1[[#This Row],[Disc 2]]="",0,(Table1[[#This Row],[h_hargasebelumdiskon]]-Table1[[#This Row],[h_disc 1]])*Table1[[#This Row],[Disc 2]]))</f>
        <v/>
      </c>
      <c r="AB118" s="283" t="str">
        <f>IF(Table1[Item Description]="","",Table1[[#This Row],[h_disc 1]]+Table1[[#This Row],[h_disc 2]])</f>
        <v/>
      </c>
      <c r="AC118" s="283" t="str">
        <f>IF(Table1[Item Description]="","",Table1[[#This Row],[h_hargasebelumdiskon]]-Table1[[#This Row],[h_diskon]])</f>
        <v/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/>
      </c>
    </row>
    <row r="119" spans="1:32" x14ac:dyDescent="0.25">
      <c r="A119" s="287" t="str">
        <f ca="1">IF(Table1[[#This Row],[No. Invoice :]]="","",ROW())</f>
        <v/>
      </c>
      <c r="B119" s="287" t="str">
        <f ca="1">IF(Table1[Column3]="","",B$1+COUNT(INDIRECT("B$2:B"&amp;ROW()-1)))</f>
        <v/>
      </c>
      <c r="C119" s="281" t="str">
        <f>IF(Table1[[#This Row],[Column2]]="","",Table1[[#This Row],[Column2]]+C$1-1)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Row],[Column3]])," ",Table1[[#This Row],[Column4]])</f>
        <v xml:space="preserve"> </v>
      </c>
      <c r="J119" s="287" t="str">
        <f>IF(Table1[[#This Row],[Column5]]="","",INDEX(Table2[e],IF(Table1[[#This Row],[Column5]]="","",MATCH(Table1[[#This Row],[Column5]],Table2[a],0)),))</f>
        <v/>
      </c>
      <c r="O119" s="287" t="str">
        <f>IF(Table1[[#This Row],[h_Item Description]]="","",INDEX([1]!db[NB PAJAK],MATCH(Table1[[#This Row],[h_Item Description]],[1]!db[kode],0)))</f>
        <v/>
      </c>
      <c r="Q119" s="283"/>
      <c r="R119" s="284"/>
      <c r="T119" s="283" t="str">
        <f>Table1[[#This Row],[h_hargasetelahdiskon]]</f>
        <v/>
      </c>
      <c r="W119" s="287" t="str">
        <f ca="1">IF(Table1[[#This Row],[Item Description]]="","",IF(Table1[[#This Row],[//]]="",INDIRECT(ADDRESS(ROW()-1,COLUMN())),Table1[[#This Row],[//]]))</f>
        <v/>
      </c>
      <c r="X119" s="287" t="str">
        <f ca="1">IF(Table1[[#This Row],[h_id]]="","",COUNTIF(Table1[h_id],Table1[[#This Row],[h_id]]))</f>
        <v/>
      </c>
      <c r="Y119" s="283" t="str">
        <f>IF(Table1[Item Description]="","",Table1[[#This Row],[Qty]]*Table1[[#This Row],[Unit Price]])</f>
        <v/>
      </c>
      <c r="Z119" s="283" t="str">
        <f>IF(Table1[[#This Row],[h_hargasebelumdiskon]]="","",IF(Table1[[#This Row],[Disc 1]]="",0,Table1[[#This Row],[h_hargasebelumdiskon]]*Table1[[#This Row],[Disc 1]]))</f>
        <v/>
      </c>
      <c r="AA119" s="283" t="str">
        <f>IF(Table1[[#This Row],[h_hargasebelumdiskon]]="","",IF(Table1[[#This Row],[Disc 2]]="",0,(Table1[[#This Row],[h_hargasebelumdiskon]]-Table1[[#This Row],[h_disc 1]])*Table1[[#This Row],[Disc 2]]))</f>
        <v/>
      </c>
      <c r="AB119" s="283" t="str">
        <f>IF(Table1[Item Description]="","",Table1[[#This Row],[h_disc 1]]+Table1[[#This Row],[h_disc 2]])</f>
        <v/>
      </c>
      <c r="AC119" s="283" t="str">
        <f>IF(Table1[Item Description]="","",Table1[[#This Row],[h_hargasebelumdiskon]]-Table1[[#This Row],[h_diskon]])</f>
        <v/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/>
      </c>
    </row>
    <row r="120" spans="1:32" x14ac:dyDescent="0.25">
      <c r="A120" s="287" t="str">
        <f ca="1">IF(Table1[[#This Row],[No. Invoice :]]="","",ROW())</f>
        <v/>
      </c>
      <c r="B120" s="287" t="str">
        <f ca="1">IF(Table1[Column3]="","",B$1+COUNT(INDIRECT("B$2:B"&amp;ROW()-1)))</f>
        <v/>
      </c>
      <c r="C120" s="281" t="str">
        <f>IF(Table1[[#This Row],[Column2]]="","",Table1[[#This Row],[Column2]]+C$1-1)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Row],[Column3]])," ",Table1[[#This Row],[Column4]])</f>
        <v xml:space="preserve"> </v>
      </c>
      <c r="J120" s="287" t="str">
        <f>IF(Table1[[#This Row],[Column5]]="","",INDEX(Table2[e],IF(Table1[[#This Row],[Column5]]="","",MATCH(Table1[[#This Row],[Column5]],Table2[a],0)),))</f>
        <v/>
      </c>
      <c r="O120" s="287" t="str">
        <f>IF(Table1[[#This Row],[h_Item Description]]="","",INDEX([1]!db[NB PAJAK],MATCH(Table1[[#This Row],[h_Item Description]],[1]!db[kode],0)))</f>
        <v/>
      </c>
      <c r="Q120" s="283"/>
      <c r="R120" s="284"/>
      <c r="T120" s="283" t="str">
        <f>Table1[[#This Row],[h_hargasetelahdiskon]]</f>
        <v/>
      </c>
      <c r="W120" s="287" t="str">
        <f ca="1">IF(Table1[[#This Row],[Item Description]]="","",IF(Table1[[#This Row],[//]]="",INDIRECT(ADDRESS(ROW()-1,COLUMN())),Table1[[#This Row],[//]]))</f>
        <v/>
      </c>
      <c r="X120" s="287" t="str">
        <f ca="1">IF(Table1[[#This Row],[h_id]]="","",COUNTIF(Table1[h_id],Table1[[#This Row],[h_id]]))</f>
        <v/>
      </c>
      <c r="Y120" s="283" t="str">
        <f>IF(Table1[Item Description]="","",Table1[[#This Row],[Qty]]*Table1[[#This Row],[Unit Price]])</f>
        <v/>
      </c>
      <c r="Z120" s="283" t="str">
        <f>IF(Table1[[#This Row],[h_hargasebelumdiskon]]="","",IF(Table1[[#This Row],[Disc 1]]="",0,Table1[[#This Row],[h_hargasebelumdiskon]]*Table1[[#This Row],[Disc 1]]))</f>
        <v/>
      </c>
      <c r="AA120" s="283" t="str">
        <f>IF(Table1[[#This Row],[h_hargasebelumdiskon]]="","",IF(Table1[[#This Row],[Disc 2]]="",0,(Table1[[#This Row],[h_hargasebelumdiskon]]-Table1[[#This Row],[h_disc 1]])*Table1[[#This Row],[Disc 2]]))</f>
        <v/>
      </c>
      <c r="AB120" s="283" t="str">
        <f>IF(Table1[Item Description]="","",Table1[[#This Row],[h_disc 1]]+Table1[[#This Row],[h_disc 2]])</f>
        <v/>
      </c>
      <c r="AC120" s="283" t="str">
        <f>IF(Table1[Item Description]="","",Table1[[#This Row],[h_hargasebelumdiskon]]-Table1[[#This Row],[h_diskon]])</f>
        <v/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/>
      </c>
    </row>
    <row r="121" spans="1:32" x14ac:dyDescent="0.25">
      <c r="A121" s="287" t="str">
        <f ca="1">IF(Table1[[#This Row],[No. Invoice :]]="","",ROW())</f>
        <v/>
      </c>
      <c r="B121" s="287" t="str">
        <f ca="1">IF(Table1[Column3]="","",B$1+COUNT(INDIRECT("B$2:B"&amp;ROW()-1)))</f>
        <v/>
      </c>
      <c r="C121" s="281" t="str">
        <f>IF(Table1[[#This Row],[Column2]]="","",Table1[[#This Row],[Column2]]+C$1-1)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Row],[Column3]])," ",Table1[[#This Row],[Column4]])</f>
        <v xml:space="preserve"> </v>
      </c>
      <c r="J121" s="287" t="str">
        <f>IF(Table1[[#This Row],[Column5]]="","",INDEX(Table2[e],IF(Table1[[#This Row],[Column5]]="","",MATCH(Table1[[#This Row],[Column5]],Table2[a],0)),))</f>
        <v/>
      </c>
      <c r="O121" s="287" t="str">
        <f>IF(Table1[[#This Row],[h_Item Description]]="","",INDEX([1]!db[NB PAJAK],MATCH(Table1[[#This Row],[h_Item Description]],[1]!db[kode],0)))</f>
        <v/>
      </c>
      <c r="Q121" s="283"/>
      <c r="R121" s="284"/>
      <c r="T121" s="283" t="str">
        <f>Table1[[#This Row],[h_hargasetelahdiskon]]</f>
        <v/>
      </c>
      <c r="W121" s="287" t="str">
        <f ca="1">IF(Table1[[#This Row],[Item Description]]="","",IF(Table1[[#This Row],[//]]="",INDIRECT(ADDRESS(ROW()-1,COLUMN())),Table1[[#This Row],[//]]))</f>
        <v/>
      </c>
      <c r="X121" s="287" t="str">
        <f ca="1">IF(Table1[[#This Row],[h_id]]="","",COUNTIF(Table1[h_id],Table1[[#This Row],[h_id]]))</f>
        <v/>
      </c>
      <c r="Y121" s="283" t="str">
        <f>IF(Table1[Item Description]="","",Table1[[#This Row],[Qty]]*Table1[[#This Row],[Unit Price]])</f>
        <v/>
      </c>
      <c r="Z121" s="283" t="str">
        <f>IF(Table1[[#This Row],[h_hargasebelumdiskon]]="","",IF(Table1[[#This Row],[Disc 1]]="",0,Table1[[#This Row],[h_hargasebelumdiskon]]*Table1[[#This Row],[Disc 1]]))</f>
        <v/>
      </c>
      <c r="AA121" s="283" t="str">
        <f>IF(Table1[[#This Row],[h_hargasebelumdiskon]]="","",IF(Table1[[#This Row],[Disc 2]]="",0,(Table1[[#This Row],[h_hargasebelumdiskon]]-Table1[[#This Row],[h_disc 1]])*Table1[[#This Row],[Disc 2]]))</f>
        <v/>
      </c>
      <c r="AB121" s="283" t="str">
        <f>IF(Table1[Item Description]="","",Table1[[#This Row],[h_disc 1]]+Table1[[#This Row],[h_disc 2]])</f>
        <v/>
      </c>
      <c r="AC121" s="283" t="str">
        <f>IF(Table1[Item Description]="","",Table1[[#This Row],[h_hargasebelumdiskon]]-Table1[[#This Row],[h_diskon]])</f>
        <v/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/>
      </c>
    </row>
    <row r="122" spans="1:32" x14ac:dyDescent="0.25">
      <c r="A122" s="287" t="str">
        <f ca="1">IF(Table1[[#This Row],[No. Invoice :]]="","",ROW())</f>
        <v/>
      </c>
      <c r="B122" s="287" t="str">
        <f ca="1">IF(Table1[Column3]="","",B$1+COUNT(INDIRECT("B$2:B"&amp;ROW()-1)))</f>
        <v/>
      </c>
      <c r="C122" s="281" t="str">
        <f>IF(Table1[[#This Row],[Column2]]="","",Table1[[#This Row],[Column2]]+C$1-1)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Row],[Column3]])," ",Table1[[#This Row],[Column4]])</f>
        <v xml:space="preserve"> </v>
      </c>
      <c r="J122" s="287" t="str">
        <f>IF(Table1[[#This Row],[Column5]]="","",INDEX(Table2[e],IF(Table1[[#This Row],[Column5]]="","",MATCH(Table1[[#This Row],[Column5]],Table2[a],0)),))</f>
        <v/>
      </c>
      <c r="O122" s="287" t="str">
        <f>IF(Table1[[#This Row],[h_Item Description]]="","",INDEX([1]!db[NB PAJAK],MATCH(Table1[[#This Row],[h_Item Description]],[1]!db[kode],0)))</f>
        <v/>
      </c>
      <c r="Q122" s="283"/>
      <c r="R122" s="284"/>
      <c r="T122" s="283" t="str">
        <f>Table1[[#This Row],[h_hargasetelahdiskon]]</f>
        <v/>
      </c>
      <c r="W122" s="287" t="str">
        <f ca="1">IF(Table1[[#This Row],[Item Description]]="","",IF(Table1[[#This Row],[//]]="",INDIRECT(ADDRESS(ROW()-1,COLUMN())),Table1[[#This Row],[//]]))</f>
        <v/>
      </c>
      <c r="X122" s="287" t="str">
        <f ca="1">IF(Table1[[#This Row],[h_id]]="","",COUNTIF(Table1[h_id],Table1[[#This Row],[h_id]]))</f>
        <v/>
      </c>
      <c r="Y122" s="283" t="str">
        <f>IF(Table1[Item Description]="","",Table1[[#This Row],[Qty]]*Table1[[#This Row],[Unit Price]])</f>
        <v/>
      </c>
      <c r="Z122" s="283" t="str">
        <f>IF(Table1[[#This Row],[h_hargasebelumdiskon]]="","",IF(Table1[[#This Row],[Disc 1]]="",0,Table1[[#This Row],[h_hargasebelumdiskon]]*Table1[[#This Row],[Disc 1]]))</f>
        <v/>
      </c>
      <c r="AA122" s="283" t="str">
        <f>IF(Table1[[#This Row],[h_hargasebelumdiskon]]="","",IF(Table1[[#This Row],[Disc 2]]="",0,(Table1[[#This Row],[h_hargasebelumdiskon]]-Table1[[#This Row],[h_disc 1]])*Table1[[#This Row],[Disc 2]]))</f>
        <v/>
      </c>
      <c r="AB122" s="283" t="str">
        <f>IF(Table1[Item Description]="","",Table1[[#This Row],[h_disc 1]]+Table1[[#This Row],[h_disc 2]])</f>
        <v/>
      </c>
      <c r="AC122" s="283" t="str">
        <f>IF(Table1[Item Description]="","",Table1[[#This Row],[h_hargasebelumdiskon]]-Table1[[#This Row],[h_diskon]])</f>
        <v/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/>
      </c>
    </row>
    <row r="123" spans="1:32" x14ac:dyDescent="0.25">
      <c r="A123" s="287" t="str">
        <f ca="1">IF(Table1[[#This Row],[No. Invoice :]]="","",ROW())</f>
        <v/>
      </c>
      <c r="B123" s="287" t="str">
        <f ca="1">IF(Table1[Column3]="","",B$1+COUNT(INDIRECT("B$2:B"&amp;ROW()-1)))</f>
        <v/>
      </c>
      <c r="C123" s="281" t="str">
        <f>IF(Table1[[#This Row],[Column2]]="","",Table1[[#This Row],[Column2]]+C$1-1)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Row],[Column3]])," ",Table1[[#This Row],[Column4]])</f>
        <v xml:space="preserve"> </v>
      </c>
      <c r="J123" s="287" t="str">
        <f>IF(Table1[[#This Row],[Column5]]="","",INDEX(Table2[e],IF(Table1[[#This Row],[Column5]]="","",MATCH(Table1[[#This Row],[Column5]],Table2[a],0)),))</f>
        <v/>
      </c>
      <c r="O123" s="287" t="str">
        <f>IF(Table1[[#This Row],[h_Item Description]]="","",INDEX([1]!db[NB PAJAK],MATCH(Table1[[#This Row],[h_Item Description]],[1]!db[kode],0)))</f>
        <v/>
      </c>
      <c r="Q123" s="283"/>
      <c r="R123" s="284"/>
      <c r="T123" s="283" t="str">
        <f>Table1[[#This Row],[h_hargasetelahdiskon]]</f>
        <v/>
      </c>
      <c r="W123" s="287" t="str">
        <f ca="1">IF(Table1[[#This Row],[Item Description]]="","",IF(Table1[[#This Row],[//]]="",INDIRECT(ADDRESS(ROW()-1,COLUMN())),Table1[[#This Row],[//]]))</f>
        <v/>
      </c>
      <c r="X123" s="287" t="str">
        <f ca="1">IF(Table1[[#This Row],[h_id]]="","",COUNTIF(Table1[h_id],Table1[[#This Row],[h_id]]))</f>
        <v/>
      </c>
      <c r="Y123" s="283" t="str">
        <f>IF(Table1[Item Description]="","",Table1[[#This Row],[Qty]]*Table1[[#This Row],[Unit Price]])</f>
        <v/>
      </c>
      <c r="Z123" s="283" t="str">
        <f>IF(Table1[[#This Row],[h_hargasebelumdiskon]]="","",IF(Table1[[#This Row],[Disc 1]]="",0,Table1[[#This Row],[h_hargasebelumdiskon]]*Table1[[#This Row],[Disc 1]]))</f>
        <v/>
      </c>
      <c r="AA123" s="283" t="str">
        <f>IF(Table1[[#This Row],[h_hargasebelumdiskon]]="","",IF(Table1[[#This Row],[Disc 2]]="",0,(Table1[[#This Row],[h_hargasebelumdiskon]]-Table1[[#This Row],[h_disc 1]])*Table1[[#This Row],[Disc 2]]))</f>
        <v/>
      </c>
      <c r="AB123" s="283" t="str">
        <f>IF(Table1[Item Description]="","",Table1[[#This Row],[h_disc 1]]+Table1[[#This Row],[h_disc 2]])</f>
        <v/>
      </c>
      <c r="AC123" s="283" t="str">
        <f>IF(Table1[Item Description]="","",Table1[[#This Row],[h_hargasebelumdiskon]]-Table1[[#This Row],[h_diskon]])</f>
        <v/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/>
      </c>
    </row>
    <row r="124" spans="1:32" x14ac:dyDescent="0.25">
      <c r="A124" s="287" t="str">
        <f ca="1">IF(Table1[[#This Row],[No. Invoice :]]="","",ROW())</f>
        <v/>
      </c>
      <c r="B124" s="287" t="str">
        <f ca="1">IF(Table1[Column3]="","",B$1+COUNT(INDIRECT("B$2:B"&amp;ROW()-1)))</f>
        <v/>
      </c>
      <c r="C124" s="281" t="str">
        <f>IF(Table1[[#This Row],[Column2]]="","",Table1[[#This Row],[Column2]]+C$1-1)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Row],[Column3]])," ",Table1[[#This Row],[Column4]])</f>
        <v xml:space="preserve"> </v>
      </c>
      <c r="J124" s="287" t="str">
        <f>IF(Table1[[#This Row],[Column5]]="","",INDEX(Table2[e],IF(Table1[[#This Row],[Column5]]="","",MATCH(Table1[[#This Row],[Column5]],Table2[a],0)),))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 t="str">
        <f ca="1">IF(Table1[[#This Row],[No. Invoice :]]="","",ROW())</f>
        <v/>
      </c>
      <c r="B125" s="287" t="str">
        <f ca="1">IF(Table1[Column3]="","",B$1+COUNT(INDIRECT("B$2:B"&amp;ROW()-1)))</f>
        <v/>
      </c>
      <c r="C125" s="281" t="str">
        <f>IF(Table1[[#This Row],[Column2]]="","",Table1[[#This Row],[Column2]]+C$1-1)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Row],[Column3]])," ",Table1[[#This Row],[Column4]])</f>
        <v xml:space="preserve"> </v>
      </c>
      <c r="J125" s="287" t="str">
        <f>IF(Table1[[#This Row],[Column5]]="","",INDEX(Table2[e],IF(Table1[[#This Row],[Column5]]="","",MATCH(Table1[[#This Row],[Column5]],Table2[a],0)),))</f>
        <v/>
      </c>
      <c r="O125" s="287" t="str">
        <f>IF(Table1[[#This Row],[h_Item Description]]="","",INDEX([1]!db[NB PAJAK],MATCH(Table1[[#This Row],[h_Item Description]],[1]!db[kode],0)))</f>
        <v/>
      </c>
      <c r="Q125" s="283"/>
      <c r="R125" s="284"/>
      <c r="T125" s="283" t="str">
        <f>Table1[[#This Row],[h_hargasetelahdiskon]]</f>
        <v/>
      </c>
      <c r="W125" s="287" t="str">
        <f ca="1">IF(Table1[[#This Row],[Item Description]]="","",IF(Table1[[#This Row],[//]]="",INDIRECT(ADDRESS(ROW()-1,COLUMN())),Table1[[#This Row],[//]]))</f>
        <v/>
      </c>
      <c r="X125" s="287" t="str">
        <f ca="1">IF(Table1[[#This Row],[h_id]]="","",COUNTIF(Table1[h_id],Table1[[#This Row],[h_id]]))</f>
        <v/>
      </c>
      <c r="Y125" s="283" t="str">
        <f>IF(Table1[Item Description]="","",Table1[[#This Row],[Qty]]*Table1[[#This Row],[Unit Price]])</f>
        <v/>
      </c>
      <c r="Z125" s="283" t="str">
        <f>IF(Table1[[#This Row],[h_hargasebelumdiskon]]="","",IF(Table1[[#This Row],[Disc 1]]="",0,Table1[[#This Row],[h_hargasebelumdiskon]]*Table1[[#This Row],[Disc 1]]))</f>
        <v/>
      </c>
      <c r="AA125" s="283" t="str">
        <f>IF(Table1[[#This Row],[h_hargasebelumdiskon]]="","",IF(Table1[[#This Row],[Disc 2]]="",0,(Table1[[#This Row],[h_hargasebelumdiskon]]-Table1[[#This Row],[h_disc 1]])*Table1[[#This Row],[Disc 2]]))</f>
        <v/>
      </c>
      <c r="AB125" s="283" t="str">
        <f>IF(Table1[Item Description]="","",Table1[[#This Row],[h_disc 1]]+Table1[[#This Row],[h_disc 2]])</f>
        <v/>
      </c>
      <c r="AC125" s="283" t="str">
        <f>IF(Table1[Item Description]="","",Table1[[#This Row],[h_hargasebelumdiskon]]-Table1[[#This Row],[h_diskon]])</f>
        <v/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/>
      </c>
    </row>
    <row r="126" spans="1:32" x14ac:dyDescent="0.25">
      <c r="A126" s="287" t="str">
        <f ca="1">IF(Table1[[#This Row],[No. Invoice :]]="","",ROW())</f>
        <v/>
      </c>
      <c r="B126" s="287" t="str">
        <f ca="1">IF(Table1[Column3]="","",B$1+COUNT(INDIRECT("B$2:B"&amp;ROW()-1)))</f>
        <v/>
      </c>
      <c r="C126" s="281" t="str">
        <f>IF(Table1[[#This Row],[Column2]]="","",Table1[[#This Row],[Column2]]+C$1-1)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Row],[Column3]])," ",Table1[[#This Row],[Column4]])</f>
        <v xml:space="preserve"> </v>
      </c>
      <c r="J126" s="287" t="str">
        <f>IF(Table1[[#This Row],[Column5]]="","",INDEX(Table2[e],IF(Table1[[#This Row],[Column5]]="","",MATCH(Table1[[#This Row],[Column5]],Table2[a],0)),))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 t="str">
        <f ca="1">IF(Table1[[#This Row],[No. Invoice :]]="","",ROW())</f>
        <v/>
      </c>
      <c r="B127" s="287" t="str">
        <f ca="1">IF(Table1[Column3]="","",B$1+COUNT(INDIRECT("B$2:B"&amp;ROW()-1)))</f>
        <v/>
      </c>
      <c r="C127" s="281" t="str">
        <f>IF(Table1[[#This Row],[Column2]]="","",Table1[[#This Row],[Column2]]+C$1-1)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Row],[Column3]])," ",Table1[[#This Row],[Column4]])</f>
        <v xml:space="preserve"> </v>
      </c>
      <c r="J127" s="287" t="str">
        <f>IF(Table1[[#This Row],[Column5]]="","",INDEX(Table2[e],IF(Table1[[#This Row],[Column5]]="","",MATCH(Table1[[#This Row],[Column5]],Table2[a],0)),))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 t="str">
        <f ca="1">IF(Table1[[#This Row],[No. Invoice :]]="","",ROW())</f>
        <v/>
      </c>
      <c r="B128" s="287" t="str">
        <f ca="1">IF(Table1[Column3]="","",B$1+COUNT(INDIRECT("B$2:B"&amp;ROW()-1)))</f>
        <v/>
      </c>
      <c r="C128" s="281" t="str">
        <f>IF(Table1[[#This Row],[Column2]]="","",Table1[[#This Row],[Column2]]+C$1-1)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Row],[Column3]])," ",Table1[[#This Row],[Column4]])</f>
        <v xml:space="preserve"> </v>
      </c>
      <c r="J128" s="287" t="str">
        <f>IF(Table1[[#This Row],[Column5]]="","",INDEX(Table2[e],IF(Table1[[#This Row],[Column5]]="","",MATCH(Table1[[#This Row],[Column5]],Table2[a],0)),))</f>
        <v/>
      </c>
      <c r="O128" s="287" t="str">
        <f>IF(Table1[[#This Row],[h_Item Description]]="","",INDEX([1]!db[NB PAJAK],MATCH(Table1[[#This Row],[h_Item Description]],[1]!db[kode],0)))</f>
        <v/>
      </c>
      <c r="Q128" s="283"/>
      <c r="R128" s="284"/>
      <c r="T128" s="283" t="str">
        <f>Table1[[#This Row],[h_hargasetelahdiskon]]</f>
        <v/>
      </c>
      <c r="W128" s="287" t="str">
        <f ca="1">IF(Table1[[#This Row],[Item Description]]="","",IF(Table1[[#This Row],[//]]="",INDIRECT(ADDRESS(ROW()-1,COLUMN())),Table1[[#This Row],[//]]))</f>
        <v/>
      </c>
      <c r="X128" s="287" t="str">
        <f ca="1">IF(Table1[[#This Row],[h_id]]="","",COUNTIF(Table1[h_id],Table1[[#This Row],[h_id]]))</f>
        <v/>
      </c>
      <c r="Y128" s="283" t="str">
        <f>IF(Table1[Item Description]="","",Table1[[#This Row],[Qty]]*Table1[[#This Row],[Unit Price]])</f>
        <v/>
      </c>
      <c r="Z128" s="283" t="str">
        <f>IF(Table1[[#This Row],[h_hargasebelumdiskon]]="","",IF(Table1[[#This Row],[Disc 1]]="",0,Table1[[#This Row],[h_hargasebelumdiskon]]*Table1[[#This Row],[Disc 1]]))</f>
        <v/>
      </c>
      <c r="AA128" s="283" t="str">
        <f>IF(Table1[[#This Row],[h_hargasebelumdiskon]]="","",IF(Table1[[#This Row],[Disc 2]]="",0,(Table1[[#This Row],[h_hargasebelumdiskon]]-Table1[[#This Row],[h_disc 1]])*Table1[[#This Row],[Disc 2]]))</f>
        <v/>
      </c>
      <c r="AB128" s="283" t="str">
        <f>IF(Table1[Item Description]="","",Table1[[#This Row],[h_disc 1]]+Table1[[#This Row],[h_disc 2]])</f>
        <v/>
      </c>
      <c r="AC128" s="283" t="str">
        <f>IF(Table1[Item Description]="","",Table1[[#This Row],[h_hargasebelumdiskon]]-Table1[[#This Row],[h_diskon]])</f>
        <v/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/>
      </c>
    </row>
    <row r="129" spans="1:32" x14ac:dyDescent="0.25">
      <c r="A129" s="287" t="str">
        <f ca="1">IF(Table1[[#This Row],[No. Invoice :]]="","",ROW())</f>
        <v/>
      </c>
      <c r="B129" s="287" t="str">
        <f ca="1">IF(Table1[Column3]="","",B$1+COUNT(INDIRECT("B$2:B"&amp;ROW()-1)))</f>
        <v/>
      </c>
      <c r="C129" s="281" t="str">
        <f>IF(Table1[[#This Row],[Column2]]="","",Table1[[#This Row],[Column2]]+C$1-1)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Row],[Column3]])," ",Table1[[#This Row],[Column4]])</f>
        <v xml:space="preserve"> </v>
      </c>
      <c r="J129" s="287" t="str">
        <f>IF(Table1[[#This Row],[Column5]]="","",INDEX(Table2[e],IF(Table1[[#This Row],[Column5]]="","",MATCH(Table1[[#This Row],[Column5]],Table2[a],0)),))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 t="str">
        <f ca="1">IF(Table1[[#This Row],[No. Invoice :]]="","",ROW())</f>
        <v/>
      </c>
      <c r="B130" s="287" t="str">
        <f ca="1">IF(Table1[Column3]="","",B$1+COUNT(INDIRECT("B$2:B"&amp;ROW()-1)))</f>
        <v/>
      </c>
      <c r="C130" s="281" t="str">
        <f>IF(Table1[[#This Row],[Column2]]="","",Table1[[#This Row],[Column2]]+C$1-1)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Row],[Column3]])," ",Table1[[#This Row],[Column4]])</f>
        <v xml:space="preserve"> </v>
      </c>
      <c r="J130" s="287" t="str">
        <f>IF(Table1[[#This Row],[Column5]]="","",INDEX(Table2[e],IF(Table1[[#This Row],[Column5]]="","",MATCH(Table1[[#This Row],[Column5]],Table2[a],0)),))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IF(Table1[Column3]="","",B$1+COUNT(INDIRECT("B$2:B"&amp;ROW()-1)))</f>
        <v/>
      </c>
      <c r="C131" s="281" t="str">
        <f>IF(Table1[[#This Row],[Column2]]="","",Table1[[#This Row],[Column2]]+C$1-1)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Row],[Column3]])," ",Table1[[#This Row],[Column4]])</f>
        <v xml:space="preserve"> </v>
      </c>
      <c r="J131" s="287" t="str">
        <f>IF(Table1[[#This Row],[Column5]]="","",INDEX(Table2[e],IF(Table1[[#This Row],[Column5]]="","",MATCH(Table1[[#This Row],[Column5]],Table2[a],0)),))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IF(Table1[Column3]="","",B$1+COUNT(INDIRECT("B$2:B"&amp;ROW()-1)))</f>
        <v/>
      </c>
      <c r="C132" s="281" t="str">
        <f>IF(Table1[[#This Row],[Column2]]="","",Table1[[#This Row],[Column2]]+C$1-1)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Row],[Column3]])," ",Table1[[#This Row],[Column4]])</f>
        <v xml:space="preserve"> </v>
      </c>
      <c r="J132" s="287" t="str">
        <f>IF(Table1[[#This Row],[Column5]]="","",INDEX(Table2[e],IF(Table1[[#This Row],[Column5]]="","",MATCH(Table1[[#This Row],[Column5]],Table2[a],0)),))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IF(Table1[Column3]="","",B$1+COUNT(INDIRECT("B$2:B"&amp;ROW()-1)))</f>
        <v/>
      </c>
      <c r="C133" s="281" t="str">
        <f>IF(Table1[[#This Row],[Column2]]="","",Table1[[#This Row],[Column2]]+C$1-1)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Row],[Column3]])," ",Table1[[#This Row],[Column4]])</f>
        <v xml:space="preserve"> </v>
      </c>
      <c r="J133" s="287" t="str">
        <f>IF(Table1[[#This Row],[Column5]]="","",INDEX(Table2[e],IF(Table1[[#This Row],[Column5]]="","",MATCH(Table1[[#This Row],[Column5]],Table2[a],0)),))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IF(Table1[Column3]="","",B$1+COUNT(INDIRECT("B$2:B"&amp;ROW()-1)))</f>
        <v/>
      </c>
      <c r="C134" s="281" t="str">
        <f>IF(Table1[[#This Row],[Column2]]="","",Table1[[#This Row],[Column2]]+C$1-1)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Row],[Column3]])," ",Table1[[#This Row],[Column4]])</f>
        <v xml:space="preserve"> </v>
      </c>
      <c r="J134" s="287" t="str">
        <f>IF(Table1[[#This Row],[Column5]]="","",INDEX(Table2[e],IF(Table1[[#This Row],[Column5]]="","",MATCH(Table1[[#This Row],[Column5]],Table2[a],0)),))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IF(Table1[Column3]="","",B$1+COUNT(INDIRECT("B$2:B"&amp;ROW()-1)))</f>
        <v/>
      </c>
      <c r="C135" s="281" t="str">
        <f>IF(Table1[[#This Row],[Column2]]="","",Table1[[#This Row],[Column2]]+C$1-1)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Row],[Column3]])," ",Table1[[#This Row],[Column4]])</f>
        <v xml:space="preserve"> </v>
      </c>
      <c r="J135" s="287" t="str">
        <f>IF(Table1[[#This Row],[Column5]]="","",INDEX(Table2[e],IF(Table1[[#This Row],[Column5]]="","",MATCH(Table1[[#This Row],[Column5]],Table2[a],0)),))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IF(Table1[Column3]="","",B$1+COUNT(INDIRECT("B$2:B"&amp;ROW()-1)))</f>
        <v/>
      </c>
      <c r="C136" s="281" t="str">
        <f>IF(Table1[[#This Row],[Column2]]="","",Table1[[#This Row],[Column2]]+C$1-1)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Row],[Column3]])," ",Table1[[#This Row],[Column4]])</f>
        <v xml:space="preserve"> </v>
      </c>
      <c r="J136" s="287" t="str">
        <f>IF(Table1[[#This Row],[Column5]]="","",INDEX(Table2[e],IF(Table1[[#This Row],[Column5]]="","",MATCH(Table1[[#This Row],[Column5]],Table2[a],0)),))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IF(Table1[Column3]="","",B$1+COUNT(INDIRECT("B$2:B"&amp;ROW()-1)))</f>
        <v/>
      </c>
      <c r="C137" s="281" t="str">
        <f>IF(Table1[[#This Row],[Column2]]="","",Table1[[#This Row],[Column2]]+C$1-1)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Row],[Column3]])," ",Table1[[#This Row],[Column4]])</f>
        <v xml:space="preserve"> </v>
      </c>
      <c r="J137" s="287" t="str">
        <f>IF(Table1[[#This Row],[Column5]]="","",INDEX(Table2[e],IF(Table1[[#This Row],[Column5]]="","",MATCH(Table1[[#This Row],[Column5]],Table2[a],0)),))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IF(Table1[Column3]="","",B$1+COUNT(INDIRECT("B$2:B"&amp;ROW()-1)))</f>
        <v/>
      </c>
      <c r="C138" s="281" t="str">
        <f>IF(Table1[[#This Row],[Column2]]="","",Table1[[#This Row],[Column2]]+C$1-1)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Row],[Column3]])," ",Table1[[#This Row],[Column4]])</f>
        <v xml:space="preserve"> </v>
      </c>
      <c r="J138" s="287" t="str">
        <f>IF(Table1[[#This Row],[Column5]]="","",INDEX(Table2[e],IF(Table1[[#This Row],[Column5]]="","",MATCH(Table1[[#This Row],[Column5]],Table2[a],0)),))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IF(Table1[Column3]="","",B$1+COUNT(INDIRECT("B$2:B"&amp;ROW()-1)))</f>
        <v/>
      </c>
      <c r="C139" s="281" t="str">
        <f>IF(Table1[[#This Row],[Column2]]="","",Table1[[#This Row],[Column2]]+C$1-1)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Row],[Column3]])," ",Table1[[#This Row],[Column4]])</f>
        <v xml:space="preserve"> </v>
      </c>
      <c r="J139" s="287" t="str">
        <f>IF(Table1[[#This Row],[Column5]]="","",INDEX(Table2[e],IF(Table1[[#This Row],[Column5]]="","",MATCH(Table1[[#This Row],[Column5]],Table2[a],0)),))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IF(Table1[Column3]="","",B$1+COUNT(INDIRECT("B$2:B"&amp;ROW()-1)))</f>
        <v/>
      </c>
      <c r="C140" s="281" t="str">
        <f>IF(Table1[[#This Row],[Column2]]="","",Table1[[#This Row],[Column2]]+C$1-1)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Row],[Column3]])," ",Table1[[#This Row],[Column4]])</f>
        <v xml:space="preserve"> </v>
      </c>
      <c r="J140" s="287" t="str">
        <f>IF(Table1[[#This Row],[Column5]]="","",INDEX(Table2[e],IF(Table1[[#This Row],[Column5]]="","",MATCH(Table1[[#This Row],[Column5]],Table2[a],0)),))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IF(Table1[Column3]="","",B$1+COUNT(INDIRECT("B$2:B"&amp;ROW()-1)))</f>
        <v/>
      </c>
      <c r="C141" s="281" t="str">
        <f>IF(Table1[[#This Row],[Column2]]="","",Table1[[#This Row],[Column2]]+C$1-1)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Row],[Column3]])," ",Table1[[#This Row],[Column4]])</f>
        <v xml:space="preserve"> </v>
      </c>
      <c r="J141" s="287" t="str">
        <f>IF(Table1[[#This Row],[Column5]]="","",INDEX(Table2[e],IF(Table1[[#This Row],[Column5]]="","",MATCH(Table1[[#This Row],[Column5]],Table2[a],0)),))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IF(Table1[Column3]="","",B$1+COUNT(INDIRECT("B$2:B"&amp;ROW()-1)))</f>
        <v/>
      </c>
      <c r="C142" s="281" t="str">
        <f>IF(Table1[[#This Row],[Column2]]="","",Table1[[#This Row],[Column2]]+C$1-1)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Row],[Column3]])," ",Table1[[#This Row],[Column4]])</f>
        <v xml:space="preserve"> </v>
      </c>
      <c r="J142" s="287" t="str">
        <f>IF(Table1[[#This Row],[Column5]]="","",INDEX(Table2[e],IF(Table1[[#This Row],[Column5]]="","",MATCH(Table1[[#This Row],[Column5]],Table2[a],0)),))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IF(Table1[Column3]="","",B$1+COUNT(INDIRECT("B$2:B"&amp;ROW()-1)))</f>
        <v/>
      </c>
      <c r="C143" s="281" t="str">
        <f>IF(Table1[[#This Row],[Column2]]="","",Table1[[#This Row],[Column2]]+C$1-1)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Row],[Column3]])," ",Table1[[#This Row],[Column4]])</f>
        <v xml:space="preserve"> </v>
      </c>
      <c r="J143" s="287" t="str">
        <f>IF(Table1[[#This Row],[Column5]]="","",INDEX(Table2[e],IF(Table1[[#This Row],[Column5]]="","",MATCH(Table1[[#This Row],[Column5]],Table2[a],0)),))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IF(Table1[Column3]="","",B$1+COUNT(INDIRECT("B$2:B"&amp;ROW()-1)))</f>
        <v/>
      </c>
      <c r="C144" s="281" t="str">
        <f>IF(Table1[[#This Row],[Column2]]="","",Table1[[#This Row],[Column2]]+C$1-1)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Row],[Column3]])," ",Table1[[#This Row],[Column4]])</f>
        <v xml:space="preserve"> </v>
      </c>
      <c r="J144" s="287" t="str">
        <f>IF(Table1[[#This Row],[Column5]]="","",INDEX(Table2[e],IF(Table1[[#This Row],[Column5]]="","",MATCH(Table1[[#This Row],[Column5]],Table2[a],0)),))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IF(Table1[Column3]="","",B$1+COUNT(INDIRECT("B$2:B"&amp;ROW()-1)))</f>
        <v/>
      </c>
      <c r="C145" s="281" t="str">
        <f>IF(Table1[[#This Row],[Column2]]="","",Table1[[#This Row],[Column2]]+C$1-1)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Row],[Column3]])," ",Table1[[#This Row],[Column4]])</f>
        <v xml:space="preserve"> </v>
      </c>
      <c r="J145" s="287" t="str">
        <f>IF(Table1[[#This Row],[Column5]]="","",INDEX(Table2[e],IF(Table1[[#This Row],[Column5]]="","",MATCH(Table1[[#This Row],[Column5]],Table2[a],0)),))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IF(Table1[Column3]="","",B$1+COUNT(INDIRECT("B$2:B"&amp;ROW()-1)))</f>
        <v/>
      </c>
      <c r="C146" s="281" t="str">
        <f>IF(Table1[[#This Row],[Column2]]="","",Table1[[#This Row],[Column2]]+C$1-1)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Row],[Column3]])," ",Table1[[#This Row],[Column4]])</f>
        <v xml:space="preserve"> </v>
      </c>
      <c r="J146" s="287" t="str">
        <f>IF(Table1[[#This Row],[Column5]]="","",INDEX(Table2[e],IF(Table1[[#This Row],[Column5]]="","",MATCH(Table1[[#This Row],[Column5]],Table2[a],0)),))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IF(Table1[Column3]="","",B$1+COUNT(INDIRECT("B$2:B"&amp;ROW()-1)))</f>
        <v/>
      </c>
      <c r="C147" s="281" t="str">
        <f>IF(Table1[[#This Row],[Column2]]="","",Table1[[#This Row],[Column2]]+C$1-1)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Row],[Column3]])," ",Table1[[#This Row],[Column4]])</f>
        <v xml:space="preserve"> </v>
      </c>
      <c r="J147" s="287" t="str">
        <f>IF(Table1[[#This Row],[Column5]]="","",INDEX(Table2[e],IF(Table1[[#This Row],[Column5]]="","",MATCH(Table1[[#This Row],[Column5]],Table2[a],0)),))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IF(Table1[Column3]="","",B$1+COUNT(INDIRECT("B$2:B"&amp;ROW()-1)))</f>
        <v/>
      </c>
      <c r="C148" s="281" t="str">
        <f>IF(Table1[[#This Row],[Column2]]="","",Table1[[#This Row],[Column2]]+C$1-1)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Row],[Column3]])," ",Table1[[#This Row],[Column4]])</f>
        <v xml:space="preserve"> </v>
      </c>
      <c r="J148" s="287" t="str">
        <f>IF(Table1[[#This Row],[Column5]]="","",INDEX(Table2[e],IF(Table1[[#This Row],[Column5]]="","",MATCH(Table1[[#This Row],[Column5]],Table2[a],0)),))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IF(Table1[Column3]="","",B$1+COUNT(INDIRECT("B$2:B"&amp;ROW()-1)))</f>
        <v/>
      </c>
      <c r="C149" s="281" t="str">
        <f>IF(Table1[[#This Row],[Column2]]="","",Table1[[#This Row],[Column2]]+C$1-1)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Row],[Column3]])," ",Table1[[#This Row],[Column4]])</f>
        <v xml:space="preserve"> </v>
      </c>
      <c r="J149" s="287" t="str">
        <f>IF(Table1[[#This Row],[Column5]]="","",INDEX(Table2[e],IF(Table1[[#This Row],[Column5]]="","",MATCH(Table1[[#This Row],[Column5]],Table2[a],0)),))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IF(Table1[Column3]="","",B$1+COUNT(INDIRECT("B$2:B"&amp;ROW()-1)))</f>
        <v/>
      </c>
      <c r="C150" s="281" t="str">
        <f>IF(Table1[[#This Row],[Column2]]="","",Table1[[#This Row],[Column2]]+C$1-1)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Row],[Column3]])," ",Table1[[#This Row],[Column4]])</f>
        <v xml:space="preserve"> </v>
      </c>
      <c r="J150" s="287" t="str">
        <f>IF(Table1[[#This Row],[Column5]]="","",INDEX(Table2[e],IF(Table1[[#This Row],[Column5]]="","",MATCH(Table1[[#This Row],[Column5]],Table2[a],0)),))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IF(Table1[Column3]="","",B$1+COUNT(INDIRECT("B$2:B"&amp;ROW()-1)))</f>
        <v/>
      </c>
      <c r="C151" s="281" t="str">
        <f>IF(Table1[[#This Row],[Column2]]="","",Table1[[#This Row],[Column2]]+C$1-1)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Row],[Column3]])," ",Table1[[#This Row],[Column4]])</f>
        <v xml:space="preserve"> </v>
      </c>
      <c r="J151" s="287" t="str">
        <f>IF(Table1[[#This Row],[Column5]]="","",INDEX(Table2[e],IF(Table1[[#This Row],[Column5]]="","",MATCH(Table1[[#This Row],[Column5]],Table2[a],0)),))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IF(Table1[Column3]="","",B$1+COUNT(INDIRECT("B$2:B"&amp;ROW()-1)))</f>
        <v/>
      </c>
      <c r="C152" s="281" t="str">
        <f>IF(Table1[[#This Row],[Column2]]="","",Table1[[#This Row],[Column2]]+C$1-1)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Row],[Column3]])," ",Table1[[#This Row],[Column4]])</f>
        <v xml:space="preserve"> </v>
      </c>
      <c r="J152" s="287" t="str">
        <f>IF(Table1[[#This Row],[Column5]]="","",INDEX(Table2[e],IF(Table1[[#This Row],[Column5]]="","",MATCH(Table1[[#This Row],[Column5]],Table2[a],0)),))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IF(Table1[Column3]="","",B$1+COUNT(INDIRECT("B$2:B"&amp;ROW()-1)))</f>
        <v/>
      </c>
      <c r="C153" s="281" t="str">
        <f>IF(Table1[[#This Row],[Column2]]="","",Table1[[#This Row],[Column2]]+C$1-1)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Row],[Column3]])," ",Table1[[#This Row],[Column4]])</f>
        <v xml:space="preserve"> </v>
      </c>
      <c r="J153" s="287" t="str">
        <f>IF(Table1[[#This Row],[Column5]]="","",INDEX(Table2[e],IF(Table1[[#This Row],[Column5]]="","",MATCH(Table1[[#This Row],[Column5]],Table2[a],0)),))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IF(Table1[Column3]="","",B$1+COUNT(INDIRECT("B$2:B"&amp;ROW()-1)))</f>
        <v/>
      </c>
      <c r="C154" s="281" t="str">
        <f>IF(Table1[[#This Row],[Column2]]="","",Table1[[#This Row],[Column2]]+C$1-1)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Row],[Column3]])," ",Table1[[#This Row],[Column4]])</f>
        <v xml:space="preserve"> </v>
      </c>
      <c r="J154" s="287" t="str">
        <f>IF(Table1[[#This Row],[Column5]]="","",INDEX(Table2[e],IF(Table1[[#This Row],[Column5]]="","",MATCH(Table1[[#This Row],[Column5]],Table2[a],0)),))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IF(Table1[Column3]="","",B$1+COUNT(INDIRECT("B$2:B"&amp;ROW()-1)))</f>
        <v/>
      </c>
      <c r="C155" s="281" t="str">
        <f>IF(Table1[[#This Row],[Column2]]="","",Table1[[#This Row],[Column2]]+C$1-1)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Row],[Column3]])," ",Table1[[#This Row],[Column4]])</f>
        <v xml:space="preserve"> </v>
      </c>
      <c r="J155" s="287" t="str">
        <f>IF(Table1[[#This Row],[Column5]]="","",INDEX(Table2[e],IF(Table1[[#This Row],[Column5]]="","",MATCH(Table1[[#This Row],[Column5]],Table2[a],0)),))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IF(Table1[Column3]="","",B$1+COUNT(INDIRECT("B$2:B"&amp;ROW()-1)))</f>
        <v/>
      </c>
      <c r="C156" s="281" t="str">
        <f>IF(Table1[[#This Row],[Column2]]="","",Table1[[#This Row],[Column2]]+C$1-1)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Row],[Column3]])," ",Table1[[#This Row],[Column4]])</f>
        <v xml:space="preserve"> </v>
      </c>
      <c r="J156" s="287" t="str">
        <f>IF(Table1[[#This Row],[Column5]]="","",INDEX(Table2[e],IF(Table1[[#This Row],[Column5]]="","",MATCH(Table1[[#This Row],[Column5]],Table2[a],0)),))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IF(Table1[Column3]="","",B$1+COUNT(INDIRECT("B$2:B"&amp;ROW()-1)))</f>
        <v/>
      </c>
      <c r="C157" s="281" t="str">
        <f>IF(Table1[[#This Row],[Column2]]="","",Table1[[#This Row],[Column2]]+C$1-1)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Row],[Column3]])," ",Table1[[#This Row],[Column4]])</f>
        <v xml:space="preserve"> </v>
      </c>
      <c r="J157" s="287" t="str">
        <f>IF(Table1[[#This Row],[Column5]]="","",INDEX(Table2[e],IF(Table1[[#This Row],[Column5]]="","",MATCH(Table1[[#This Row],[Column5]],Table2[a],0)),))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IF(Table1[Column3]="","",B$1+COUNT(INDIRECT("B$2:B"&amp;ROW()-1)))</f>
        <v/>
      </c>
      <c r="C158" s="281" t="str">
        <f>IF(Table1[[#This Row],[Column2]]="","",Table1[[#This Row],[Column2]]+C$1-1)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Row],[Column3]])," ",Table1[[#This Row],[Column4]])</f>
        <v xml:space="preserve"> </v>
      </c>
      <c r="J158" s="287" t="str">
        <f>IF(Table1[[#This Row],[Column5]]="","",INDEX(Table2[e],IF(Table1[[#This Row],[Column5]]="","",MATCH(Table1[[#This Row],[Column5]],Table2[a],0)),))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IF(Table1[Column3]="","",B$1+COUNT(INDIRECT("B$2:B"&amp;ROW()-1)))</f>
        <v/>
      </c>
      <c r="C159" s="281" t="str">
        <f>IF(Table1[[#This Row],[Column2]]="","",Table1[[#This Row],[Column2]]+C$1-1)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Row],[Column3]])," ",Table1[[#This Row],[Column4]])</f>
        <v xml:space="preserve"> </v>
      </c>
      <c r="J159" s="287" t="str">
        <f>IF(Table1[[#This Row],[Column5]]="","",INDEX(Table2[e],IF(Table1[[#This Row],[Column5]]="","",MATCH(Table1[[#This Row],[Column5]],Table2[a],0)),))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IF(Table1[Column3]="","",B$1+COUNT(INDIRECT("B$2:B"&amp;ROW()-1)))</f>
        <v/>
      </c>
      <c r="C160" s="281" t="str">
        <f>IF(Table1[[#This Row],[Column2]]="","",Table1[[#This Row],[Column2]]+C$1-1)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Row],[Column3]])," ",Table1[[#This Row],[Column4]])</f>
        <v xml:space="preserve"> </v>
      </c>
      <c r="J160" s="287" t="str">
        <f>IF(Table1[[#This Row],[Column5]]="","",INDEX(Table2[e],IF(Table1[[#This Row],[Column5]]="","",MATCH(Table1[[#This Row],[Column5]],Table2[a],0)),))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IF(Table1[Column3]="","",B$1+COUNT(INDIRECT("B$2:B"&amp;ROW()-1)))</f>
        <v/>
      </c>
      <c r="C161" s="281" t="str">
        <f>IF(Table1[[#This Row],[Column2]]="","",Table1[[#This Row],[Column2]]+C$1-1)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Row],[Column3]])," ",Table1[[#This Row],[Column4]])</f>
        <v xml:space="preserve"> </v>
      </c>
      <c r="J161" s="287" t="str">
        <f>IF(Table1[[#This Row],[Column5]]="","",INDEX(Table2[e],IF(Table1[[#This Row],[Column5]]="","",MATCH(Table1[[#This Row],[Column5]],Table2[a],0)),))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IF(Table1[Column3]="","",B$1+COUNT(INDIRECT("B$2:B"&amp;ROW()-1)))</f>
        <v/>
      </c>
      <c r="C162" s="281" t="str">
        <f>IF(Table1[[#This Row],[Column2]]="","",Table1[[#This Row],[Column2]]+C$1-1)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Row],[Column3]])," ",Table1[[#This Row],[Column4]])</f>
        <v xml:space="preserve"> </v>
      </c>
      <c r="J162" s="287" t="str">
        <f>IF(Table1[[#This Row],[Column5]]="","",INDEX(Table2[e],IF(Table1[[#This Row],[Column5]]="","",MATCH(Table1[[#This Row],[Column5]],Table2[a],0)),))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IF(Table1[Column3]="","",B$1+COUNT(INDIRECT("B$2:B"&amp;ROW()-1)))</f>
        <v/>
      </c>
      <c r="C163" s="281" t="str">
        <f>IF(Table1[[#This Row],[Column2]]="","",Table1[[#This Row],[Column2]]+C$1-1)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Row],[Column3]])," ",Table1[[#This Row],[Column4]])</f>
        <v xml:space="preserve"> </v>
      </c>
      <c r="J163" s="287" t="str">
        <f>IF(Table1[[#This Row],[Column5]]="","",INDEX(Table2[e],IF(Table1[[#This Row],[Column5]]="","",MATCH(Table1[[#This Row],[Column5]],Table2[a],0)),))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IF(Table1[Column3]="","",B$1+COUNT(INDIRECT("B$2:B"&amp;ROW()-1)))</f>
        <v/>
      </c>
      <c r="C164" s="281" t="str">
        <f>IF(Table1[[#This Row],[Column2]]="","",Table1[[#This Row],[Column2]]+C$1-1)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Row],[Column3]])," ",Table1[[#This Row],[Column4]])</f>
        <v xml:space="preserve"> </v>
      </c>
      <c r="J164" s="287" t="str">
        <f>IF(Table1[[#This Row],[Column5]]="","",INDEX(Table2[e],IF(Table1[[#This Row],[Column5]]="","",MATCH(Table1[[#This Row],[Column5]],Table2[a],0)),))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IF(Table1[Column3]="","",B$1+COUNT(INDIRECT("B$2:B"&amp;ROW()-1)))</f>
        <v/>
      </c>
      <c r="C165" s="281" t="str">
        <f>IF(Table1[[#This Row],[Column2]]="","",Table1[[#This Row],[Column2]]+C$1-1)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Row],[Column3]])," ",Table1[[#This Row],[Column4]])</f>
        <v xml:space="preserve"> </v>
      </c>
      <c r="J165" s="287" t="str">
        <f>IF(Table1[[#This Row],[Column5]]="","",INDEX(Table2[e],IF(Table1[[#This Row],[Column5]]="","",MATCH(Table1[[#This Row],[Column5]],Table2[a],0)),))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IF(Table1[Column3]="","",B$1+COUNT(INDIRECT("B$2:B"&amp;ROW()-1)))</f>
        <v/>
      </c>
      <c r="C166" s="281" t="str">
        <f>IF(Table1[[#This Row],[Column2]]="","",Table1[[#This Row],[Column2]]+C$1-1)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Row],[Column3]])," ",Table1[[#This Row],[Column4]])</f>
        <v xml:space="preserve"> </v>
      </c>
      <c r="J166" s="287" t="str">
        <f>IF(Table1[[#This Row],[Column5]]="","",INDEX(Table2[e],IF(Table1[[#This Row],[Column5]]="","",MATCH(Table1[[#This Row],[Column5]],Table2[a],0)),))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IF(Table1[Column3]="","",B$1+COUNT(INDIRECT("B$2:B"&amp;ROW()-1)))</f>
        <v/>
      </c>
      <c r="C167" s="281" t="str">
        <f>IF(Table1[[#This Row],[Column2]]="","",Table1[[#This Row],[Column2]]+C$1-1)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Row],[Column3]])," ",Table1[[#This Row],[Column4]])</f>
        <v xml:space="preserve"> </v>
      </c>
      <c r="J167" s="287" t="str">
        <f>IF(Table1[[#This Row],[Column5]]="","",INDEX(Table2[e],IF(Table1[[#This Row],[Column5]]="","",MATCH(Table1[[#This Row],[Column5]],Table2[a],0)),))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x14ac:dyDescent="0.25">
      <c r="A168" s="287" t="str">
        <f ca="1">IF(Table1[[#This Row],[No. Invoice :]]="","",ROW())</f>
        <v/>
      </c>
      <c r="B168" s="287" t="str">
        <f ca="1">IF(Table1[Column3]="","",B$1+COUNT(INDIRECT("B$2:B"&amp;ROW()-1)))</f>
        <v/>
      </c>
      <c r="C168" s="281" t="str">
        <f>IF(Table1[[#This Row],[Column2]]="","",Table1[[#This Row],[Column2]]+C$1-1)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Row],[Column3]])," ",Table1[[#This Row],[Column4]])</f>
        <v xml:space="preserve"> </v>
      </c>
      <c r="J168" s="287" t="str">
        <f>IF(Table1[[#This Row],[Column5]]="","",INDEX(Table2[e],IF(Table1[[#This Row],[Column5]]="","",MATCH(Table1[[#This Row],[Column5]],Table2[a],0)),))</f>
        <v/>
      </c>
      <c r="O168" s="287" t="str">
        <f>IF(Table1[[#This Row],[h_Item Description]]="","",INDEX([1]!db[NB PAJAK],MATCH(Table1[[#This Row],[h_Item Description]],[1]!db[kode],0)))</f>
        <v/>
      </c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IF(Table1[Column3]="","",B$1+COUNT(INDIRECT("B$2:B"&amp;ROW()-1)))</f>
        <v/>
      </c>
      <c r="C169" s="281" t="str">
        <f>IF(Table1[[#This Row],[Column2]]="","",Table1[[#This Row],[Column2]]+C$1-1)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Row],[Column3]])," ",Table1[[#This Row],[Column4]])</f>
        <v xml:space="preserve"> </v>
      </c>
      <c r="J169" s="287" t="str">
        <f>IF(Table1[[#This Row],[Column5]]="","",INDEX(Table2[e],IF(Table1[[#This Row],[Column5]]="","",MATCH(Table1[[#This Row],[Column5]],Table2[a],0)),))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IF(Table1[Column3]="","",B$1+COUNT(INDIRECT("B$2:B"&amp;ROW()-1)))</f>
        <v/>
      </c>
      <c r="C170" s="281" t="str">
        <f>IF(Table1[[#This Row],[Column2]]="","",Table1[[#This Row],[Column2]]+C$1-1)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Row],[Column3]])," ",Table1[[#This Row],[Column4]])</f>
        <v xml:space="preserve"> </v>
      </c>
      <c r="J170" s="287" t="str">
        <f>IF(Table1[[#This Row],[Column5]]="","",INDEX(Table2[e],IF(Table1[[#This Row],[Column5]]="","",MATCH(Table1[[#This Row],[Column5]],Table2[a],0)),))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IF(Table1[Column3]="","",B$1+COUNT(INDIRECT("B$2:B"&amp;ROW()-1)))</f>
        <v/>
      </c>
      <c r="C171" s="281" t="str">
        <f>IF(Table1[[#This Row],[Column2]]="","",Table1[[#This Row],[Column2]]+C$1-1)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Row],[Column3]])," ",Table1[[#This Row],[Column4]])</f>
        <v xml:space="preserve"> </v>
      </c>
      <c r="J171" s="287" t="str">
        <f>IF(Table1[[#This Row],[Column5]]="","",INDEX(Table2[e],IF(Table1[[#This Row],[Column5]]="","",MATCH(Table1[[#This Row],[Column5]],Table2[a],0)),))</f>
        <v/>
      </c>
      <c r="O171" s="287" t="str">
        <f>IF(Table1[[#This Row],[h_Item Description]]="","",INDEX([1]!db[NB PAJAK],MATCH(Table1[[#This Row],[h_Item Description]],[1]!db[kode],0)))</f>
        <v/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IF(Table1[Column3]="","",B$1+COUNT(INDIRECT("B$2:B"&amp;ROW()-1)))</f>
        <v/>
      </c>
      <c r="C172" s="281" t="str">
        <f>IF(Table1[[#This Row],[Column2]]="","",Table1[[#This Row],[Column2]]+C$1-1)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Row],[Column3]])," ",Table1[[#This Row],[Column4]])</f>
        <v xml:space="preserve"> </v>
      </c>
      <c r="J172" s="287" t="str">
        <f>IF(Table1[[#This Row],[Column5]]="","",INDEX(Table2[e],IF(Table1[[#This Row],[Column5]]="","",MATCH(Table1[[#This Row],[Column5]],Table2[a],0)),))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IF(Table1[Column3]="","",B$1+COUNT(INDIRECT("B$2:B"&amp;ROW()-1)))</f>
        <v/>
      </c>
      <c r="C173" s="281" t="str">
        <f>IF(Table1[[#This Row],[Column2]]="","",Table1[[#This Row],[Column2]]+C$1-1)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Row],[Column3]])," ",Table1[[#This Row],[Column4]])</f>
        <v xml:space="preserve"> </v>
      </c>
      <c r="J173" s="287" t="str">
        <f>IF(Table1[[#This Row],[Column5]]="","",INDEX(Table2[e],IF(Table1[[#This Row],[Column5]]="","",MATCH(Table1[[#This Row],[Column5]],Table2[a],0)),))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IF(Table1[Column3]="","",B$1+COUNT(INDIRECT("B$2:B"&amp;ROW()-1)))</f>
        <v/>
      </c>
      <c r="C174" s="281" t="str">
        <f>IF(Table1[[#This Row],[Column2]]="","",Table1[[#This Row],[Column2]]+C$1-1)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Row],[Column3]])," ",Table1[[#This Row],[Column4]])</f>
        <v xml:space="preserve"> </v>
      </c>
      <c r="J174" s="287" t="str">
        <f>IF(Table1[[#This Row],[Column5]]="","",INDEX(Table2[e],IF(Table1[[#This Row],[Column5]]="","",MATCH(Table1[[#This Row],[Column5]],Table2[a],0)),))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IF(Table1[Column3]="","",B$1+COUNT(INDIRECT("B$2:B"&amp;ROW()-1)))</f>
        <v/>
      </c>
      <c r="C175" s="281" t="str">
        <f>IF(Table1[[#This Row],[Column2]]="","",Table1[[#This Row],[Column2]]+C$1-1)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Row],[Column3]])," ",Table1[[#This Row],[Column4]])</f>
        <v xml:space="preserve"> </v>
      </c>
      <c r="J175" s="287" t="str">
        <f>IF(Table1[[#This Row],[Column5]]="","",INDEX(Table2[e],IF(Table1[[#This Row],[Column5]]="","",MATCH(Table1[[#This Row],[Column5]],Table2[a],0)),))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ht="16.5" x14ac:dyDescent="0.25">
      <c r="A176" s="287" t="str">
        <f ca="1">IF(Table1[[#This Row],[No. Invoice :]]="","",ROW())</f>
        <v/>
      </c>
      <c r="B176" s="287" t="str">
        <f ca="1">IF(Table1[Column3]="","",B$1+COUNT(INDIRECT("B$2:B"&amp;ROW()-1)))</f>
        <v/>
      </c>
      <c r="C176" s="281" t="str">
        <f>IF(Table1[[#This Row],[Column2]]="","",Table1[[#This Row],[Column2]]+C$1-1)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Row],[Column3]])," ",Table1[[#This Row],[Column4]])</f>
        <v xml:space="preserve"> </v>
      </c>
      <c r="J176" s="287" t="str">
        <f>IF(Table1[[#This Row],[Column5]]="","",INDEX(Table2[e],IF(Table1[[#This Row],[Column5]]="","",MATCH(Table1[[#This Row],[Column5]],Table2[a],0)),))</f>
        <v/>
      </c>
      <c r="O176" s="287" t="str">
        <f>IF(Table1[[#This Row],[h_Item Description]]="","",INDEX([1]!db[NB PAJAK],MATCH(Table1[[#This Row],[h_Item Description]],[1]!db[kode],0)))</f>
        <v/>
      </c>
      <c r="P176" s="290"/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IF(Table1[Column3]="","",B$1+COUNT(INDIRECT("B$2:B"&amp;ROW()-1)))</f>
        <v/>
      </c>
      <c r="C177" s="281" t="str">
        <f>IF(Table1[[#This Row],[Column2]]="","",Table1[[#This Row],[Column2]]+C$1-1)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Row],[Column3]])," ",Table1[[#This Row],[Column4]])</f>
        <v xml:space="preserve"> </v>
      </c>
      <c r="J177" s="287" t="str">
        <f>IF(Table1[[#This Row],[Column5]]="","",INDEX(Table2[e],IF(Table1[[#This Row],[Column5]]="","",MATCH(Table1[[#This Row],[Column5]],Table2[a],0)),))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IF(Table1[Column3]="","",B$1+COUNT(INDIRECT("B$2:B"&amp;ROW()-1)))</f>
        <v/>
      </c>
      <c r="C178" s="281" t="str">
        <f>IF(Table1[[#This Row],[Column2]]="","",Table1[[#This Row],[Column2]]+C$1-1)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Row],[Column3]])," ",Table1[[#This Row],[Column4]])</f>
        <v xml:space="preserve"> </v>
      </c>
      <c r="J178" s="287" t="str">
        <f>IF(Table1[[#This Row],[Column5]]="","",INDEX(Table2[e],IF(Table1[[#This Row],[Column5]]="","",MATCH(Table1[[#This Row],[Column5]],Table2[a],0)),))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IF(Table1[Column3]="","",B$1+COUNT(INDIRECT("B$2:B"&amp;ROW()-1)))</f>
        <v/>
      </c>
      <c r="C179" s="281" t="str">
        <f>IF(Table1[[#This Row],[Column2]]="","",Table1[[#This Row],[Column2]]+C$1-1)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Row],[Column3]])," ",Table1[[#This Row],[Column4]])</f>
        <v xml:space="preserve"> </v>
      </c>
      <c r="J179" s="287" t="str">
        <f>IF(Table1[[#This Row],[Column5]]="","",INDEX(Table2[e],IF(Table1[[#This Row],[Column5]]="","",MATCH(Table1[[#This Row],[Column5]],Table2[a],0)),))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IF(Table1[Column3]="","",B$1+COUNT(INDIRECT("B$2:B"&amp;ROW()-1)))</f>
        <v/>
      </c>
      <c r="C180" s="281" t="str">
        <f>IF(Table1[[#This Row],[Column2]]="","",Table1[[#This Row],[Column2]]+C$1-1)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Row],[Column3]])," ",Table1[[#This Row],[Column4]])</f>
        <v xml:space="preserve"> </v>
      </c>
      <c r="J180" s="287" t="str">
        <f>IF(Table1[[#This Row],[Column5]]="","",INDEX(Table2[e],IF(Table1[[#This Row],[Column5]]="","",MATCH(Table1[[#This Row],[Column5]],Table2[a],0)),))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IF(Table1[Column3]="","",B$1+COUNT(INDIRECT("B$2:B"&amp;ROW()-1)))</f>
        <v/>
      </c>
      <c r="C181" s="281" t="str">
        <f>IF(Table1[[#This Row],[Column2]]="","",Table1[[#This Row],[Column2]]+C$1-1)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Row],[Column3]])," ",Table1[[#This Row],[Column4]])</f>
        <v xml:space="preserve"> </v>
      </c>
      <c r="J181" s="287" t="str">
        <f>IF(Table1[[#This Row],[Column5]]="","",INDEX(Table2[e],IF(Table1[[#This Row],[Column5]]="","",MATCH(Table1[[#This Row],[Column5]],Table2[a],0)),))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IF(Table1[Column3]="","",B$1+COUNT(INDIRECT("B$2:B"&amp;ROW()-1)))</f>
        <v/>
      </c>
      <c r="C182" s="281" t="str">
        <f>IF(Table1[[#This Row],[Column2]]="","",Table1[[#This Row],[Column2]]+C$1-1)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Row],[Column3]])," ",Table1[[#This Row],[Column4]])</f>
        <v xml:space="preserve"> </v>
      </c>
      <c r="J182" s="287" t="str">
        <f>IF(Table1[[#This Row],[Column5]]="","",INDEX(Table2[e],IF(Table1[[#This Row],[Column5]]="","",MATCH(Table1[[#This Row],[Column5]],Table2[a],0)),))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IF(Table1[Column3]="","",B$1+COUNT(INDIRECT("B$2:B"&amp;ROW()-1)))</f>
        <v/>
      </c>
      <c r="C183" s="281" t="str">
        <f>IF(Table1[[#This Row],[Column2]]="","",Table1[[#This Row],[Column2]]+C$1-1)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Row],[Column3]])," ",Table1[[#This Row],[Column4]])</f>
        <v xml:space="preserve"> </v>
      </c>
      <c r="J183" s="287" t="str">
        <f>IF(Table1[[#This Row],[Column5]]="","",INDEX(Table2[e],IF(Table1[[#This Row],[Column5]]="","",MATCH(Table1[[#This Row],[Column5]],Table2[a],0)),))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IF(Table1[Column3]="","",B$1+COUNT(INDIRECT("B$2:B"&amp;ROW()-1)))</f>
        <v/>
      </c>
      <c r="C184" s="281" t="str">
        <f>IF(Table1[[#This Row],[Column2]]="","",Table1[[#This Row],[Column2]]+C$1-1)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Row],[Column3]])," ",Table1[[#This Row],[Column4]])</f>
        <v xml:space="preserve"> </v>
      </c>
      <c r="J184" s="287" t="str">
        <f>IF(Table1[[#This Row],[Column5]]="","",INDEX(Table2[e],IF(Table1[[#This Row],[Column5]]="","",MATCH(Table1[[#This Row],[Column5]],Table2[a],0)),))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IF(Table1[Column3]="","",B$1+COUNT(INDIRECT("B$2:B"&amp;ROW()-1)))</f>
        <v/>
      </c>
      <c r="C185" s="281" t="str">
        <f>IF(Table1[[#This Row],[Column2]]="","",Table1[[#This Row],[Column2]]+C$1-1)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Row],[Column3]])," ",Table1[[#This Row],[Column4]])</f>
        <v xml:space="preserve"> </v>
      </c>
      <c r="J185" s="287" t="str">
        <f>IF(Table1[[#This Row],[Column5]]="","",INDEX(Table2[e],IF(Table1[[#This Row],[Column5]]="","",MATCH(Table1[[#This Row],[Column5]],Table2[a],0)),))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IF(Table1[Column3]="","",B$1+COUNT(INDIRECT("B$2:B"&amp;ROW()-1)))</f>
        <v/>
      </c>
      <c r="C186" s="281" t="str">
        <f>IF(Table1[[#This Row],[Column2]]="","",Table1[[#This Row],[Column2]]+C$1-1)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Row],[Column3]])," ",Table1[[#This Row],[Column4]])</f>
        <v xml:space="preserve"> </v>
      </c>
      <c r="J186" s="287" t="str">
        <f>IF(Table1[[#This Row],[Column5]]="","",INDEX(Table2[e],IF(Table1[[#This Row],[Column5]]="","",MATCH(Table1[[#This Row],[Column5]],Table2[a],0)),))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IF(Table1[Column3]="","",B$1+COUNT(INDIRECT("B$2:B"&amp;ROW()-1)))</f>
        <v/>
      </c>
      <c r="C187" s="281" t="str">
        <f>IF(Table1[[#This Row],[Column2]]="","",Table1[[#This Row],[Column2]]+C$1-1)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Row],[Column3]])," ",Table1[[#This Row],[Column4]])</f>
        <v xml:space="preserve"> </v>
      </c>
      <c r="J187" s="287" t="str">
        <f>IF(Table1[[#This Row],[Column5]]="","",INDEX(Table2[e],IF(Table1[[#This Row],[Column5]]="","",MATCH(Table1[[#This Row],[Column5]],Table2[a],0)),))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IF(Table1[Column3]="","",B$1+COUNT(INDIRECT("B$2:B"&amp;ROW()-1)))</f>
        <v/>
      </c>
      <c r="C188" s="281" t="str">
        <f>IF(Table1[[#This Row],[Column2]]="","",Table1[[#This Row],[Column2]]+C$1-1)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Row],[Column3]])," ",Table1[[#This Row],[Column4]])</f>
        <v xml:space="preserve"> </v>
      </c>
      <c r="J188" s="287" t="str">
        <f>IF(Table1[[#This Row],[Column5]]="","",INDEX(Table2[e],IF(Table1[[#This Row],[Column5]]="","",MATCH(Table1[[#This Row],[Column5]],Table2[a],0)),))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IF(Table1[Column3]="","",B$1+COUNT(INDIRECT("B$2:B"&amp;ROW()-1)))</f>
        <v/>
      </c>
      <c r="C189" s="281" t="str">
        <f>IF(Table1[[#This Row],[Column2]]="","",Table1[[#This Row],[Column2]]+C$1-1)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Row],[Column3]])," ",Table1[[#This Row],[Column4]])</f>
        <v xml:space="preserve"> </v>
      </c>
      <c r="J189" s="287" t="str">
        <f>IF(Table1[[#This Row],[Column5]]="","",INDEX(Table2[e],IF(Table1[[#This Row],[Column5]]="","",MATCH(Table1[[#This Row],[Column5]],Table2[a],0)),))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IF(Table1[Column3]="","",B$1+COUNT(INDIRECT("B$2:B"&amp;ROW()-1)))</f>
        <v/>
      </c>
      <c r="C190" s="281" t="str">
        <f>IF(Table1[[#This Row],[Column2]]="","",Table1[[#This Row],[Column2]]+C$1-1)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Row],[Column3]])," ",Table1[[#This Row],[Column4]])</f>
        <v xml:space="preserve"> </v>
      </c>
      <c r="J190" s="287" t="str">
        <f>IF(Table1[[#This Row],[Column5]]="","",INDEX(Table2[e],IF(Table1[[#This Row],[Column5]]="","",MATCH(Table1[[#This Row],[Column5]],Table2[a],0)),))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IF(Table1[Column3]="","",B$1+COUNT(INDIRECT("B$2:B"&amp;ROW()-1)))</f>
        <v/>
      </c>
      <c r="C191" s="281" t="str">
        <f>IF(Table1[[#This Row],[Column2]]="","",Table1[[#This Row],[Column2]]+C$1-1)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Row],[Column3]])," ",Table1[[#This Row],[Column4]])</f>
        <v xml:space="preserve"> </v>
      </c>
      <c r="J191" s="287" t="str">
        <f>IF(Table1[[#This Row],[Column5]]="","",INDEX(Table2[e],IF(Table1[[#This Row],[Column5]]="","",MATCH(Table1[[#This Row],[Column5]],Table2[a],0)),))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IF(Table1[Column3]="","",B$1+COUNT(INDIRECT("B$2:B"&amp;ROW()-1)))</f>
        <v/>
      </c>
      <c r="C192" s="281" t="str">
        <f>IF(Table1[[#This Row],[Column2]]="","",Table1[[#This Row],[Column2]]+C$1-1)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Row],[Column3]])," ",Table1[[#This Row],[Column4]])</f>
        <v xml:space="preserve"> </v>
      </c>
      <c r="J192" s="287" t="str">
        <f>IF(Table1[[#This Row],[Column5]]="","",INDEX(Table2[e],IF(Table1[[#This Row],[Column5]]="","",MATCH(Table1[[#This Row],[Column5]],Table2[a],0)),))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IF(Table1[Column3]="","",B$1+COUNT(INDIRECT("B$2:B"&amp;ROW()-1)))</f>
        <v/>
      </c>
      <c r="C193" s="281" t="str">
        <f>IF(Table1[[#This Row],[Column2]]="","",Table1[[#This Row],[Column2]]+C$1-1)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Row],[Column3]])," ",Table1[[#This Row],[Column4]])</f>
        <v xml:space="preserve"> </v>
      </c>
      <c r="J193" s="287" t="str">
        <f>IF(Table1[[#This Row],[Column5]]="","",INDEX(Table2[e],IF(Table1[[#This Row],[Column5]]="","",MATCH(Table1[[#This Row],[Column5]],Table2[a],0)),))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IF(Table1[Column3]="","",B$1+COUNT(INDIRECT("B$2:B"&amp;ROW()-1)))</f>
        <v/>
      </c>
      <c r="C194" s="281" t="str">
        <f>IF(Table1[[#This Row],[Column2]]="","",Table1[[#This Row],[Column2]]+C$1-1)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Row],[Column3]])," ",Table1[[#This Row],[Column4]])</f>
        <v xml:space="preserve"> </v>
      </c>
      <c r="J194" s="287" t="str">
        <f>IF(Table1[[#This Row],[Column5]]="","",INDEX(Table2[e],IF(Table1[[#This Row],[Column5]]="","",MATCH(Table1[[#This Row],[Column5]],Table2[a],0)),))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IF(Table1[Column3]="","",B$1+COUNT(INDIRECT("B$2:B"&amp;ROW()-1)))</f>
        <v/>
      </c>
      <c r="C195" s="281" t="str">
        <f>IF(Table1[[#This Row],[Column2]]="","",Table1[[#This Row],[Column2]]+C$1-1)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Row],[Column3]])," ",Table1[[#This Row],[Column4]])</f>
        <v xml:space="preserve"> </v>
      </c>
      <c r="J195" s="287" t="str">
        <f>IF(Table1[[#This Row],[Column5]]="","",INDEX(Table2[e],IF(Table1[[#This Row],[Column5]]="","",MATCH(Table1[[#This Row],[Column5]],Table2[a],0)),))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IF(Table1[Column3]="","",B$1+COUNT(INDIRECT("B$2:B"&amp;ROW()-1)))</f>
        <v/>
      </c>
      <c r="C196" s="281" t="str">
        <f>IF(Table1[[#This Row],[Column2]]="","",Table1[[#This Row],[Column2]]+C$1-1)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Row],[Column3]])," ",Table1[[#This Row],[Column4]])</f>
        <v xml:space="preserve"> </v>
      </c>
      <c r="J196" s="287" t="str">
        <f>IF(Table1[[#This Row],[Column5]]="","",INDEX(Table2[e],IF(Table1[[#This Row],[Column5]]="","",MATCH(Table1[[#This Row],[Column5]],Table2[a],0)),))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IF(Table1[Column3]="","",B$1+COUNT(INDIRECT("B$2:B"&amp;ROW()-1)))</f>
        <v/>
      </c>
      <c r="C197" s="281" t="str">
        <f>IF(Table1[[#This Row],[Column2]]="","",Table1[[#This Row],[Column2]]+C$1-1)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Row],[Column3]])," ",Table1[[#This Row],[Column4]])</f>
        <v xml:space="preserve"> </v>
      </c>
      <c r="J197" s="287" t="str">
        <f>IF(Table1[[#This Row],[Column5]]="","",INDEX(Table2[e],IF(Table1[[#This Row],[Column5]]="","",MATCH(Table1[[#This Row],[Column5]],Table2[a],0)),))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IF(Table1[Column3]="","",B$1+COUNT(INDIRECT("B$2:B"&amp;ROW()-1)))</f>
        <v/>
      </c>
      <c r="C198" s="281" t="str">
        <f>IF(Table1[[#This Row],[Column2]]="","",Table1[[#This Row],[Column2]]+C$1-1)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Row],[Column3]])," ",Table1[[#This Row],[Column4]])</f>
        <v xml:space="preserve"> </v>
      </c>
      <c r="J198" s="287" t="str">
        <f>IF(Table1[[#This Row],[Column5]]="","",INDEX(Table2[e],IF(Table1[[#This Row],[Column5]]="","",MATCH(Table1[[#This Row],[Column5]],Table2[a],0)),))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IF(Table1[Column3]="","",B$1+COUNT(INDIRECT("B$2:B"&amp;ROW()-1)))</f>
        <v/>
      </c>
      <c r="C199" s="281" t="str">
        <f>IF(Table1[[#This Row],[Column2]]="","",Table1[[#This Row],[Column2]]+C$1-1)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Row],[Column3]])," ",Table1[[#This Row],[Column4]])</f>
        <v xml:space="preserve"> </v>
      </c>
      <c r="J199" s="287" t="str">
        <f>IF(Table1[[#This Row],[Column5]]="","",INDEX(Table2[e],IF(Table1[[#This Row],[Column5]]="","",MATCH(Table1[[#This Row],[Column5]],Table2[a],0)),))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IF(Table1[Column3]="","",B$1+COUNT(INDIRECT("B$2:B"&amp;ROW()-1)))</f>
        <v/>
      </c>
      <c r="C200" s="281" t="str">
        <f>IF(Table1[[#This Row],[Column2]]="","",Table1[[#This Row],[Column2]]+C$1-1)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Row],[Column3]])," ",Table1[[#This Row],[Column4]])</f>
        <v xml:space="preserve"> </v>
      </c>
      <c r="J200" s="287" t="str">
        <f>IF(Table1[[#This Row],[Column5]]="","",INDEX(Table2[e],IF(Table1[[#This Row],[Column5]]="","",MATCH(Table1[[#This Row],[Column5]],Table2[a],0)),))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IF(Table1[Column3]="","",B$1+COUNT(INDIRECT("B$2:B"&amp;ROW()-1)))</f>
        <v/>
      </c>
      <c r="C201" s="281" t="str">
        <f>IF(Table1[[#This Row],[Column2]]="","",Table1[[#This Row],[Column2]]+C$1-1)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Row],[Column3]])," ",Table1[[#This Row],[Column4]])</f>
        <v xml:space="preserve"> </v>
      </c>
      <c r="J201" s="287" t="str">
        <f>IF(Table1[[#This Row],[Column5]]="","",INDEX(Table2[e],IF(Table1[[#This Row],[Column5]]="","",MATCH(Table1[[#This Row],[Column5]],Table2[a],0)),))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IF(Table1[Column3]="","",B$1+COUNT(INDIRECT("B$2:B"&amp;ROW()-1)))</f>
        <v/>
      </c>
      <c r="C202" s="281" t="str">
        <f>IF(Table1[[#This Row],[Column2]]="","",Table1[[#This Row],[Column2]]+C$1-1)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Row],[Column3]])," ",Table1[[#This Row],[Column4]])</f>
        <v xml:space="preserve"> </v>
      </c>
      <c r="J202" s="287" t="str">
        <f>IF(Table1[[#This Row],[Column5]]="","",INDEX(Table2[e],IF(Table1[[#This Row],[Column5]]="","",MATCH(Table1[[#This Row],[Column5]],Table2[a],0)),))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IF(Table1[Column3]="","",B$1+COUNT(INDIRECT("B$2:B"&amp;ROW()-1)))</f>
        <v/>
      </c>
      <c r="C203" s="281" t="str">
        <f>IF(Table1[[#This Row],[Column2]]="","",Table1[[#This Row],[Column2]]+C$1-1)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Row],[Column3]])," ",Table1[[#This Row],[Column4]])</f>
        <v xml:space="preserve"> </v>
      </c>
      <c r="J203" s="287" t="str">
        <f>IF(Table1[[#This Row],[Column5]]="","",INDEX(Table2[e],IF(Table1[[#This Row],[Column5]]="","",MATCH(Table1[[#This Row],[Column5]],Table2[a],0)),))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IF(Table1[Column3]="","",B$1+COUNT(INDIRECT("B$2:B"&amp;ROW()-1)))</f>
        <v/>
      </c>
      <c r="C204" s="281" t="str">
        <f>IF(Table1[[#This Row],[Column2]]="","",Table1[[#This Row],[Column2]]+C$1-1)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Row],[Column3]])," ",Table1[[#This Row],[Column4]])</f>
        <v xml:space="preserve"> </v>
      </c>
      <c r="J204" s="287" t="str">
        <f>IF(Table1[[#This Row],[Column5]]="","",INDEX(Table2[e],IF(Table1[[#This Row],[Column5]]="","",MATCH(Table1[[#This Row],[Column5]],Table2[a],0)),))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IF(Table1[Column3]="","",B$1+COUNT(INDIRECT("B$2:B"&amp;ROW()-1)))</f>
        <v/>
      </c>
      <c r="C205" s="281" t="str">
        <f>IF(Table1[[#This Row],[Column2]]="","",Table1[[#This Row],[Column2]]+C$1-1)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Row],[Column3]])," ",Table1[[#This Row],[Column4]])</f>
        <v xml:space="preserve"> </v>
      </c>
      <c r="J205" s="287" t="str">
        <f>IF(Table1[[#This Row],[Column5]]="","",INDEX(Table2[e],IF(Table1[[#This Row],[Column5]]="","",MATCH(Table1[[#This Row],[Column5]],Table2[a],0)),))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IF(Table1[Column3]="","",B$1+COUNT(INDIRECT("B$2:B"&amp;ROW()-1)))</f>
        <v/>
      </c>
      <c r="C206" s="281" t="str">
        <f>IF(Table1[[#This Row],[Column2]]="","",Table1[[#This Row],[Column2]]+C$1-1)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Row],[Column3]])," ",Table1[[#This Row],[Column4]])</f>
        <v xml:space="preserve"> </v>
      </c>
      <c r="J206" s="287" t="str">
        <f>IF(Table1[[#This Row],[Column5]]="","",INDEX(Table2[e],IF(Table1[[#This Row],[Column5]]="","",MATCH(Table1[[#This Row],[Column5]],Table2[a],0)),))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IF(Table1[Column3]="","",B$1+COUNT(INDIRECT("B$2:B"&amp;ROW()-1)))</f>
        <v/>
      </c>
      <c r="C207" s="281" t="str">
        <f>IF(Table1[[#This Row],[Column2]]="","",Table1[[#This Row],[Column2]]+C$1-1)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Row],[Column3]])," ",Table1[[#This Row],[Column4]])</f>
        <v xml:space="preserve"> </v>
      </c>
      <c r="J207" s="287" t="str">
        <f>IF(Table1[[#This Row],[Column5]]="","",INDEX(Table2[e],IF(Table1[[#This Row],[Column5]]="","",MATCH(Table1[[#This Row],[Column5]],Table2[a],0)),))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IF(Table1[Column3]="","",B$1+COUNT(INDIRECT("B$2:B"&amp;ROW()-1)))</f>
        <v/>
      </c>
      <c r="C208" s="281" t="str">
        <f>IF(Table1[[#This Row],[Column2]]="","",Table1[[#This Row],[Column2]]+C$1-1)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Row],[Column3]])," ",Table1[[#This Row],[Column4]])</f>
        <v xml:space="preserve"> </v>
      </c>
      <c r="J208" s="287" t="str">
        <f>IF(Table1[[#This Row],[Column5]]="","",INDEX(Table2[e],IF(Table1[[#This Row],[Column5]]="","",MATCH(Table1[[#This Row],[Column5]],Table2[a],0)),))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IF(Table1[Column3]="","",B$1+COUNT(INDIRECT("B$2:B"&amp;ROW()-1)))</f>
        <v/>
      </c>
      <c r="C209" s="281" t="str">
        <f>IF(Table1[[#This Row],[Column2]]="","",Table1[[#This Row],[Column2]]+C$1-1)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Row],[Column3]])," ",Table1[[#This Row],[Column4]])</f>
        <v xml:space="preserve"> </v>
      </c>
      <c r="J209" s="287" t="str">
        <f>IF(Table1[[#This Row],[Column5]]="","",INDEX(Table2[e],IF(Table1[[#This Row],[Column5]]="","",MATCH(Table1[[#This Row],[Column5]],Table2[a],0)),))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IF(Table1[Column3]="","",B$1+COUNT(INDIRECT("B$2:B"&amp;ROW()-1)))</f>
        <v/>
      </c>
      <c r="C210" s="281" t="str">
        <f>IF(Table1[[#This Row],[Column2]]="","",Table1[[#This Row],[Column2]]+C$1-1)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Row],[Column3]])," ",Table1[[#This Row],[Column4]])</f>
        <v xml:space="preserve"> </v>
      </c>
      <c r="J210" s="287" t="str">
        <f>IF(Table1[[#This Row],[Column5]]="","",INDEX(Table2[e],IF(Table1[[#This Row],[Column5]]="","",MATCH(Table1[[#This Row],[Column5]],Table2[a],0)),))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IF(Table1[Column3]="","",B$1+COUNT(INDIRECT("B$2:B"&amp;ROW()-1)))</f>
        <v/>
      </c>
      <c r="C211" s="281" t="str">
        <f>IF(Table1[[#This Row],[Column2]]="","",Table1[[#This Row],[Column2]]+C$1-1)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Row],[Column3]])," ",Table1[[#This Row],[Column4]])</f>
        <v xml:space="preserve"> </v>
      </c>
      <c r="J211" s="287" t="str">
        <f>IF(Table1[[#This Row],[Column5]]="","",INDEX(Table2[e],IF(Table1[[#This Row],[Column5]]="","",MATCH(Table1[[#This Row],[Column5]],Table2[a],0)),))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IF(Table1[Column3]="","",B$1+COUNT(INDIRECT("B$2:B"&amp;ROW()-1)))</f>
        <v/>
      </c>
      <c r="C212" s="281" t="str">
        <f>IF(Table1[[#This Row],[Column2]]="","",Table1[[#This Row],[Column2]]+C$1-1)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Row],[Column3]])," ",Table1[[#This Row],[Column4]])</f>
        <v xml:space="preserve"> </v>
      </c>
      <c r="J212" s="287" t="str">
        <f>IF(Table1[[#This Row],[Column5]]="","",INDEX(Table2[e],IF(Table1[[#This Row],[Column5]]="","",MATCH(Table1[[#This Row],[Column5]],Table2[a],0)),))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IF(Table1[Column3]="","",B$1+COUNT(INDIRECT("B$2:B"&amp;ROW()-1)))</f>
        <v/>
      </c>
      <c r="C213" s="281" t="str">
        <f>IF(Table1[[#This Row],[Column2]]="","",Table1[[#This Row],[Column2]]+C$1-1)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Row],[Column3]])," ",Table1[[#This Row],[Column4]])</f>
        <v xml:space="preserve"> </v>
      </c>
      <c r="J213" s="287" t="str">
        <f>IF(Table1[[#This Row],[Column5]]="","",INDEX(Table2[e],IF(Table1[[#This Row],[Column5]]="","",MATCH(Table1[[#This Row],[Column5]],Table2[a],0)),))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IF(Table1[Column3]="","",B$1+COUNT(INDIRECT("B$2:B"&amp;ROW()-1)))</f>
        <v/>
      </c>
      <c r="C214" s="281" t="str">
        <f>IF(Table1[[#This Row],[Column2]]="","",Table1[[#This Row],[Column2]]+C$1-1)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Row],[Column3]])," ",Table1[[#This Row],[Column4]])</f>
        <v xml:space="preserve"> </v>
      </c>
      <c r="J214" s="287" t="str">
        <f>IF(Table1[[#This Row],[Column5]]="","",INDEX(Table2[e],IF(Table1[[#This Row],[Column5]]="","",MATCH(Table1[[#This Row],[Column5]],Table2[a],0)),))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IF(Table1[Column3]="","",B$1+COUNT(INDIRECT("B$2:B"&amp;ROW()-1)))</f>
        <v/>
      </c>
      <c r="C215" s="281" t="str">
        <f>IF(Table1[[#This Row],[Column2]]="","",Table1[[#This Row],[Column2]]+C$1-1)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Row],[Column3]])," ",Table1[[#This Row],[Column4]])</f>
        <v xml:space="preserve"> </v>
      </c>
      <c r="J215" s="287" t="str">
        <f>IF(Table1[[#This Row],[Column5]]="","",INDEX(Table2[e],IF(Table1[[#This Row],[Column5]]="","",MATCH(Table1[[#This Row],[Column5]],Table2[a],0)),))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IF(Table1[Column3]="","",B$1+COUNT(INDIRECT("B$2:B"&amp;ROW()-1)))</f>
        <v/>
      </c>
      <c r="C216" s="281" t="str">
        <f>IF(Table1[[#This Row],[Column2]]="","",Table1[[#This Row],[Column2]]+C$1-1)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Row],[Column3]])," ",Table1[[#This Row],[Column4]])</f>
        <v xml:space="preserve"> </v>
      </c>
      <c r="J216" s="287" t="str">
        <f>IF(Table1[[#This Row],[Column5]]="","",INDEX(Table2[e],IF(Table1[[#This Row],[Column5]]="","",MATCH(Table1[[#This Row],[Column5]],Table2[a],0)),))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IF(Table1[Column3]="","",B$1+COUNT(INDIRECT("B$2:B"&amp;ROW()-1)))</f>
        <v/>
      </c>
      <c r="C217" s="281" t="str">
        <f>IF(Table1[[#This Row],[Column2]]="","",Table1[[#This Row],[Column2]]+C$1-1)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Row],[Column3]])," ",Table1[[#This Row],[Column4]])</f>
        <v xml:space="preserve"> </v>
      </c>
      <c r="J217" s="287" t="str">
        <f>IF(Table1[[#This Row],[Column5]]="","",INDEX(Table2[e],IF(Table1[[#This Row],[Column5]]="","",MATCH(Table1[[#This Row],[Column5]],Table2[a],0)),))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IF(Table1[Column3]="","",B$1+COUNT(INDIRECT("B$2:B"&amp;ROW()-1)))</f>
        <v/>
      </c>
      <c r="C218" s="281" t="str">
        <f>IF(Table1[[#This Row],[Column2]]="","",Table1[[#This Row],[Column2]]+C$1-1)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Row],[Column3]])," ",Table1[[#This Row],[Column4]])</f>
        <v xml:space="preserve"> </v>
      </c>
      <c r="J218" s="287" t="str">
        <f>IF(Table1[[#This Row],[Column5]]="","",INDEX(Table2[e],IF(Table1[[#This Row],[Column5]]="","",MATCH(Table1[[#This Row],[Column5]],Table2[a],0)),))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IF(Table1[Column3]="","",B$1+COUNT(INDIRECT("B$2:B"&amp;ROW()-1)))</f>
        <v/>
      </c>
      <c r="C219" s="281" t="str">
        <f>IF(Table1[[#This Row],[Column2]]="","",Table1[[#This Row],[Column2]]+C$1-1)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Row],[Column3]])," ",Table1[[#This Row],[Column4]])</f>
        <v xml:space="preserve"> </v>
      </c>
      <c r="J219" s="287" t="str">
        <f>IF(Table1[[#This Row],[Column5]]="","",INDEX(Table2[e],IF(Table1[[#This Row],[Column5]]="","",MATCH(Table1[[#This Row],[Column5]],Table2[a],0)),))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IF(Table1[Column3]="","",B$1+COUNT(INDIRECT("B$2:B"&amp;ROW()-1)))</f>
        <v/>
      </c>
      <c r="C220" s="281" t="str">
        <f>IF(Table1[[#This Row],[Column2]]="","",Table1[[#This Row],[Column2]]+C$1-1)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Row],[Column3]])," ",Table1[[#This Row],[Column4]])</f>
        <v xml:space="preserve"> </v>
      </c>
      <c r="J220" s="287" t="str">
        <f>IF(Table1[[#This Row],[Column5]]="","",INDEX(Table2[e],IF(Table1[[#This Row],[Column5]]="","",MATCH(Table1[[#This Row],[Column5]],Table2[a],0)),))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IF(Table1[Column3]="","",B$1+COUNT(INDIRECT("B$2:B"&amp;ROW()-1)))</f>
        <v/>
      </c>
      <c r="C221" s="281" t="str">
        <f>IF(Table1[[#This Row],[Column2]]="","",Table1[[#This Row],[Column2]]+C$1-1)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Row],[Column3]])," ",Table1[[#This Row],[Column4]])</f>
        <v xml:space="preserve"> </v>
      </c>
      <c r="J221" s="287" t="str">
        <f>IF(Table1[[#This Row],[Column5]]="","",INDEX(Table2[e],IF(Table1[[#This Row],[Column5]]="","",MATCH(Table1[[#This Row],[Column5]],Table2[a],0)),))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IF(Table1[Column3]="","",B$1+COUNT(INDIRECT("B$2:B"&amp;ROW()-1)))</f>
        <v/>
      </c>
      <c r="C222" s="281" t="str">
        <f>IF(Table1[[#This Row],[Column2]]="","",Table1[[#This Row],[Column2]]+C$1-1)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Row],[Column3]])," ",Table1[[#This Row],[Column4]])</f>
        <v xml:space="preserve"> </v>
      </c>
      <c r="J222" s="287" t="str">
        <f>IF(Table1[[#This Row],[Column5]]="","",INDEX(Table2[e],IF(Table1[[#This Row],[Column5]]="","",MATCH(Table1[[#This Row],[Column5]],Table2[a],0)),))</f>
        <v/>
      </c>
      <c r="O222" s="287" t="str">
        <f>IF(Table1[[#This Row],[h_Item Description]]="","",INDEX([1]!db[NB PAJAK],MATCH(Table1[[#This Row],[h_Item Description]],[1]!db[kode],0)))</f>
        <v/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IF(Table1[Column3]="","",B$1+COUNT(INDIRECT("B$2:B"&amp;ROW()-1)))</f>
        <v/>
      </c>
      <c r="C223" s="281" t="str">
        <f>IF(Table1[[#This Row],[Column2]]="","",Table1[[#This Row],[Column2]]+C$1-1)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Row],[Column3]])," ",Table1[[#This Row],[Column4]])</f>
        <v xml:space="preserve"> </v>
      </c>
      <c r="J223" s="287" t="str">
        <f>IF(Table1[[#This Row],[Column5]]="","",INDEX(Table2[e],IF(Table1[[#This Row],[Column5]]="","",MATCH(Table1[[#This Row],[Column5]],Table2[a],0)),))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IF(Table1[Column3]="","",B$1+COUNT(INDIRECT("B$2:B"&amp;ROW()-1)))</f>
        <v/>
      </c>
      <c r="C224" s="281" t="str">
        <f>IF(Table1[[#This Row],[Column2]]="","",Table1[[#This Row],[Column2]]+C$1-1)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Row],[Column3]])," ",Table1[[#This Row],[Column4]])</f>
        <v xml:space="preserve"> </v>
      </c>
      <c r="J224" s="287" t="str">
        <f>IF(Table1[[#This Row],[Column5]]="","",INDEX(Table2[e],IF(Table1[[#This Row],[Column5]]="","",MATCH(Table1[[#This Row],[Column5]],Table2[a],0)),))</f>
        <v/>
      </c>
      <c r="O224" s="287" t="str">
        <f>IF(Table1[[#This Row],[h_Item Description]]="","",INDEX([1]!db[NB PAJAK],MATCH(Table1[[#This Row],[h_Item Description]],[1]!db[kode],0)))</f>
        <v/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IF(Table1[Column3]="","",B$1+COUNT(INDIRECT("B$2:B"&amp;ROW()-1)))</f>
        <v/>
      </c>
      <c r="C225" s="281" t="str">
        <f>IF(Table1[[#This Row],[Column2]]="","",Table1[[#This Row],[Column2]]+C$1-1)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Row],[Column3]])," ",Table1[[#This Row],[Column4]])</f>
        <v xml:space="preserve"> </v>
      </c>
      <c r="J225" s="287" t="str">
        <f>IF(Table1[[#This Row],[Column5]]="","",INDEX(Table2[e],IF(Table1[[#This Row],[Column5]]="","",MATCH(Table1[[#This Row],[Column5]],Table2[a],0)),))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IF(Table1[Column3]="","",B$1+COUNT(INDIRECT("B$2:B"&amp;ROW()-1)))</f>
        <v/>
      </c>
      <c r="C226" s="281" t="str">
        <f>IF(Table1[[#This Row],[Column2]]="","",Table1[[#This Row],[Column2]]+C$1-1)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Row],[Column3]])," ",Table1[[#This Row],[Column4]])</f>
        <v xml:space="preserve"> </v>
      </c>
      <c r="J226" s="287" t="str">
        <f>IF(Table1[[#This Row],[Column5]]="","",INDEX(Table2[e],IF(Table1[[#This Row],[Column5]]="","",MATCH(Table1[[#This Row],[Column5]],Table2[a],0)),))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IF(Table1[Column3]="","",B$1+COUNT(INDIRECT("B$2:B"&amp;ROW()-1)))</f>
        <v/>
      </c>
      <c r="C227" s="281" t="str">
        <f>IF(Table1[[#This Row],[Column2]]="","",Table1[[#This Row],[Column2]]+C$1-1)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Row],[Column3]])," ",Table1[[#This Row],[Column4]])</f>
        <v xml:space="preserve"> </v>
      </c>
      <c r="J227" s="287" t="str">
        <f>IF(Table1[[#This Row],[Column5]]="","",INDEX(Table2[e],IF(Table1[[#This Row],[Column5]]="","",MATCH(Table1[[#This Row],[Column5]],Table2[a],0)),))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IF(Table1[Column3]="","",B$1+COUNT(INDIRECT("B$2:B"&amp;ROW()-1)))</f>
        <v/>
      </c>
      <c r="C228" s="281" t="str">
        <f>IF(Table1[[#This Row],[Column2]]="","",Table1[[#This Row],[Column2]]+C$1-1)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Row],[Column3]])," ",Table1[[#This Row],[Column4]])</f>
        <v xml:space="preserve"> </v>
      </c>
      <c r="J228" s="287" t="str">
        <f>IF(Table1[[#This Row],[Column5]]="","",INDEX(Table2[e],IF(Table1[[#This Row],[Column5]]="","",MATCH(Table1[[#This Row],[Column5]],Table2[a],0)),))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IF(Table1[Column3]="","",B$1+COUNT(INDIRECT("B$2:B"&amp;ROW()-1)))</f>
        <v/>
      </c>
      <c r="C229" s="281" t="str">
        <f>IF(Table1[[#This Row],[Column2]]="","",Table1[[#This Row],[Column2]]+C$1-1)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Row],[Column3]])," ",Table1[[#This Row],[Column4]])</f>
        <v xml:space="preserve"> </v>
      </c>
      <c r="J229" s="287" t="str">
        <f>IF(Table1[[#This Row],[Column5]]="","",INDEX(Table2[e],IF(Table1[[#This Row],[Column5]]="","",MATCH(Table1[[#This Row],[Column5]],Table2[a],0)),))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IF(Table1[Column3]="","",B$1+COUNT(INDIRECT("B$2:B"&amp;ROW()-1)))</f>
        <v/>
      </c>
      <c r="C230" s="281" t="str">
        <f>IF(Table1[[#This Row],[Column2]]="","",Table1[[#This Row],[Column2]]+C$1-1)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Row],[Column3]])," ",Table1[[#This Row],[Column4]])</f>
        <v xml:space="preserve"> </v>
      </c>
      <c r="J230" s="287" t="str">
        <f>IF(Table1[[#This Row],[Column5]]="","",INDEX(Table2[e],IF(Table1[[#This Row],[Column5]]="","",MATCH(Table1[[#This Row],[Column5]],Table2[a],0)),))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IF(Table1[Column3]="","",B$1+COUNT(INDIRECT("B$2:B"&amp;ROW()-1)))</f>
        <v/>
      </c>
      <c r="C231" s="281" t="str">
        <f>IF(Table1[[#This Row],[Column2]]="","",Table1[[#This Row],[Column2]]+C$1-1)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Row],[Column3]])," ",Table1[[#This Row],[Column4]])</f>
        <v xml:space="preserve"> </v>
      </c>
      <c r="J231" s="287" t="str">
        <f>IF(Table1[[#This Row],[Column5]]="","",INDEX(Table2[e],IF(Table1[[#This Row],[Column5]]="","",MATCH(Table1[[#This Row],[Column5]],Table2[a],0)),))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IF(Table1[Column3]="","",B$1+COUNT(INDIRECT("B$2:B"&amp;ROW()-1)))</f>
        <v/>
      </c>
      <c r="C232" s="281" t="str">
        <f>IF(Table1[[#This Row],[Column2]]="","",Table1[[#This Row],[Column2]]+C$1-1)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Row],[Column3]])," ",Table1[[#This Row],[Column4]])</f>
        <v xml:space="preserve"> </v>
      </c>
      <c r="J232" s="287" t="str">
        <f>IF(Table1[[#This Row],[Column5]]="","",INDEX(Table2[e],IF(Table1[[#This Row],[Column5]]="","",MATCH(Table1[[#This Row],[Column5]],Table2[a],0)),))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IF(Table1[Column3]="","",B$1+COUNT(INDIRECT("B$2:B"&amp;ROW()-1)))</f>
        <v/>
      </c>
      <c r="C233" s="281" t="str">
        <f>IF(Table1[[#This Row],[Column2]]="","",Table1[[#This Row],[Column2]]+C$1-1)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Row],[Column3]])," ",Table1[[#This Row],[Column4]])</f>
        <v xml:space="preserve"> </v>
      </c>
      <c r="J233" s="287" t="str">
        <f>IF(Table1[[#This Row],[Column5]]="","",INDEX(Table2[e],IF(Table1[[#This Row],[Column5]]="","",MATCH(Table1[[#This Row],[Column5]],Table2[a],0)),))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IF(Table1[Column3]="","",B$1+COUNT(INDIRECT("B$2:B"&amp;ROW()-1)))</f>
        <v/>
      </c>
      <c r="C234" s="281" t="str">
        <f>IF(Table1[[#This Row],[Column2]]="","",Table1[[#This Row],[Column2]]+C$1-1)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Row],[Column3]])," ",Table1[[#This Row],[Column4]])</f>
        <v xml:space="preserve"> </v>
      </c>
      <c r="J234" s="287" t="str">
        <f>IF(Table1[[#This Row],[Column5]]="","",INDEX(Table2[e],IF(Table1[[#This Row],[Column5]]="","",MATCH(Table1[[#This Row],[Column5]],Table2[a],0)),))</f>
        <v/>
      </c>
      <c r="O234" s="287" t="str">
        <f>IF(Table1[[#This Row],[h_Item Description]]="","",INDEX([1]!db[NB PAJAK],MATCH(Table1[[#This Row],[h_Item Description]],[1]!db[kode],0)))</f>
        <v/>
      </c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IF(Table1[Column3]="","",B$1+COUNT(INDIRECT("B$2:B"&amp;ROW()-1)))</f>
        <v/>
      </c>
      <c r="C235" s="281" t="str">
        <f>IF(Table1[[#This Row],[Column2]]="","",Table1[[#This Row],[Column2]]+C$1-1)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Row],[Column3]])," ",Table1[[#This Row],[Column4]])</f>
        <v xml:space="preserve"> </v>
      </c>
      <c r="J235" s="287" t="str">
        <f>IF(Table1[[#This Row],[Column5]]="","",INDEX(Table2[e],IF(Table1[[#This Row],[Column5]]="","",MATCH(Table1[[#This Row],[Column5]],Table2[a],0)),))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IF(Table1[Column3]="","",B$1+COUNT(INDIRECT("B$2:B"&amp;ROW()-1)))</f>
        <v/>
      </c>
      <c r="C236" s="281" t="str">
        <f>IF(Table1[[#This Row],[Column2]]="","",Table1[[#This Row],[Column2]]+C$1-1)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Row],[Column3]])," ",Table1[[#This Row],[Column4]])</f>
        <v xml:space="preserve"> </v>
      </c>
      <c r="J236" s="287" t="str">
        <f>IF(Table1[[#This Row],[Column5]]="","",INDEX(Table2[e],IF(Table1[[#This Row],[Column5]]="","",MATCH(Table1[[#This Row],[Column5]],Table2[a],0)),))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IF(Table1[Column3]="","",B$1+COUNT(INDIRECT("B$2:B"&amp;ROW()-1)))</f>
        <v/>
      </c>
      <c r="C237" s="281" t="str">
        <f>IF(Table1[[#This Row],[Column2]]="","",Table1[[#This Row],[Column2]]+C$1-1)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Row],[Column3]])," ",Table1[[#This Row],[Column4]])</f>
        <v xml:space="preserve"> </v>
      </c>
      <c r="J237" s="287" t="str">
        <f>IF(Table1[[#This Row],[Column5]]="","",INDEX(Table2[e],IF(Table1[[#This Row],[Column5]]="","",MATCH(Table1[[#This Row],[Column5]],Table2[a],0)),))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IF(Table1[Column3]="","",B$1+COUNT(INDIRECT("B$2:B"&amp;ROW()-1)))</f>
        <v/>
      </c>
      <c r="C238" s="281" t="str">
        <f>IF(Table1[[#This Row],[Column2]]="","",Table1[[#This Row],[Column2]]+C$1-1)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Row],[Column3]])," ",Table1[[#This Row],[Column4]])</f>
        <v xml:space="preserve"> </v>
      </c>
      <c r="J238" s="287" t="str">
        <f>IF(Table1[[#This Row],[Column5]]="","",INDEX(Table2[e],IF(Table1[[#This Row],[Column5]]="","",MATCH(Table1[[#This Row],[Column5]],Table2[a],0)),))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IF(Table1[Column3]="","",B$1+COUNT(INDIRECT("B$2:B"&amp;ROW()-1)))</f>
        <v/>
      </c>
      <c r="C239" s="281" t="str">
        <f>IF(Table1[[#This Row],[Column2]]="","",Table1[[#This Row],[Column2]]+C$1-1)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Row],[Column3]])," ",Table1[[#This Row],[Column4]])</f>
        <v xml:space="preserve"> </v>
      </c>
      <c r="J239" s="287" t="str">
        <f>IF(Table1[[#This Row],[Column5]]="","",INDEX(Table2[e],IF(Table1[[#This Row],[Column5]]="","",MATCH(Table1[[#This Row],[Column5]],Table2[a],0)),))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IF(Table1[Column3]="","",B$1+COUNT(INDIRECT("B$2:B"&amp;ROW()-1)))</f>
        <v/>
      </c>
      <c r="C240" s="281" t="str">
        <f>IF(Table1[[#This Row],[Column2]]="","",Table1[[#This Row],[Column2]]+C$1-1)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Row],[Column3]])," ",Table1[[#This Row],[Column4]])</f>
        <v xml:space="preserve"> </v>
      </c>
      <c r="J240" s="287" t="str">
        <f>IF(Table1[[#This Row],[Column5]]="","",INDEX(Table2[e],IF(Table1[[#This Row],[Column5]]="","",MATCH(Table1[[#This Row],[Column5]],Table2[a],0)),))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IF(Table1[Column3]="","",B$1+COUNT(INDIRECT("B$2:B"&amp;ROW()-1)))</f>
        <v/>
      </c>
      <c r="C241" s="281" t="str">
        <f>IF(Table1[[#This Row],[Column2]]="","",Table1[[#This Row],[Column2]]+C$1-1)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Row],[Column3]])," ",Table1[[#This Row],[Column4]])</f>
        <v xml:space="preserve"> </v>
      </c>
      <c r="J241" s="287" t="str">
        <f>IF(Table1[[#This Row],[Column5]]="","",INDEX(Table2[e],IF(Table1[[#This Row],[Column5]]="","",MATCH(Table1[[#This Row],[Column5]],Table2[a],0)),))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IF(Table1[Column3]="","",B$1+COUNT(INDIRECT("B$2:B"&amp;ROW()-1)))</f>
        <v/>
      </c>
      <c r="C242" s="281" t="str">
        <f>IF(Table1[[#This Row],[Column2]]="","",Table1[[#This Row],[Column2]]+C$1-1)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Row],[Column3]])," ",Table1[[#This Row],[Column4]])</f>
        <v xml:space="preserve"> </v>
      </c>
      <c r="J242" s="287" t="str">
        <f>IF(Table1[[#This Row],[Column5]]="","",INDEX(Table2[e],IF(Table1[[#This Row],[Column5]]="","",MATCH(Table1[[#This Row],[Column5]],Table2[a],0)),))</f>
        <v/>
      </c>
      <c r="O242" s="287" t="str">
        <f>IF(Table1[[#This Row],[h_Item Description]]="","",INDEX([1]!db[NB PAJAK],MATCH(Table1[[#This Row],[h_Item Description]],[1]!db[kode],0)))</f>
        <v/>
      </c>
      <c r="P242" s="287"/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IF(Table1[Column3]="","",B$1+COUNT(INDIRECT("B$2:B"&amp;ROW()-1)))</f>
        <v/>
      </c>
      <c r="C243" s="281" t="str">
        <f>IF(Table1[[#This Row],[Column2]]="","",Table1[[#This Row],[Column2]]+C$1-1)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Row],[Column3]])," ",Table1[[#This Row],[Column4]])</f>
        <v xml:space="preserve"> </v>
      </c>
      <c r="J243" s="287" t="str">
        <f>IF(Table1[[#This Row],[Column5]]="","",INDEX(Table2[e],IF(Table1[[#This Row],[Column5]]="","",MATCH(Table1[[#This Row],[Column5]],Table2[a],0)),))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IF(Table1[Column3]="","",B$1+COUNT(INDIRECT("B$2:B"&amp;ROW()-1)))</f>
        <v/>
      </c>
      <c r="C244" s="281" t="str">
        <f>IF(Table1[[#This Row],[Column2]]="","",Table1[[#This Row],[Column2]]+C$1-1)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Row],[Column3]])," ",Table1[[#This Row],[Column4]])</f>
        <v xml:space="preserve"> </v>
      </c>
      <c r="J244" s="287" t="str">
        <f>IF(Table1[[#This Row],[Column5]]="","",INDEX(Table2[e],IF(Table1[[#This Row],[Column5]]="","",MATCH(Table1[[#This Row],[Column5]],Table2[a],0)),))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IF(Table1[Column3]="","",B$1+COUNT(INDIRECT("B$2:B"&amp;ROW()-1)))</f>
        <v/>
      </c>
      <c r="C245" s="281" t="str">
        <f>IF(Table1[[#This Row],[Column2]]="","",Table1[[#This Row],[Column2]]+C$1-1)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Row],[Column3]])," ",Table1[[#This Row],[Column4]])</f>
        <v xml:space="preserve"> </v>
      </c>
      <c r="J245" s="287" t="str">
        <f>IF(Table1[[#This Row],[Column5]]="","",INDEX(Table2[e],IF(Table1[[#This Row],[Column5]]="","",MATCH(Table1[[#This Row],[Column5]],Table2[a],0)),))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IF(Table1[Column3]="","",B$1+COUNT(INDIRECT("B$2:B"&amp;ROW()-1)))</f>
        <v/>
      </c>
      <c r="C246" s="281" t="str">
        <f>IF(Table1[[#This Row],[Column2]]="","",Table1[[#This Row],[Column2]]+C$1-1)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Row],[Column3]])," ",Table1[[#This Row],[Column4]])</f>
        <v xml:space="preserve"> </v>
      </c>
      <c r="J246" s="287" t="str">
        <f>IF(Table1[[#This Row],[Column5]]="","",INDEX(Table2[e],IF(Table1[[#This Row],[Column5]]="","",MATCH(Table1[[#This Row],[Column5]],Table2[a],0)),))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IF(Table1[Column3]="","",B$1+COUNT(INDIRECT("B$2:B"&amp;ROW()-1)))</f>
        <v/>
      </c>
      <c r="C247" s="281" t="str">
        <f>IF(Table1[[#This Row],[Column2]]="","",Table1[[#This Row],[Column2]]+C$1-1)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Row],[Column3]])," ",Table1[[#This Row],[Column4]])</f>
        <v xml:space="preserve"> </v>
      </c>
      <c r="J247" s="287" t="str">
        <f>IF(Table1[[#This Row],[Column5]]="","",INDEX(Table2[e],IF(Table1[[#This Row],[Column5]]="","",MATCH(Table1[[#This Row],[Column5]],Table2[a],0)),))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IF(Table1[Column3]="","",B$1+COUNT(INDIRECT("B$2:B"&amp;ROW()-1)))</f>
        <v/>
      </c>
      <c r="C248" s="281" t="str">
        <f>IF(Table1[[#This Row],[Column2]]="","",Table1[[#This Row],[Column2]]+C$1-1)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Row],[Column3]])," ",Table1[[#This Row],[Column4]])</f>
        <v xml:space="preserve"> </v>
      </c>
      <c r="J248" s="287" t="str">
        <f>IF(Table1[[#This Row],[Column5]]="","",INDEX(Table2[e],IF(Table1[[#This Row],[Column5]]="","",MATCH(Table1[[#This Row],[Column5]],Table2[a],0)),))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IF(Table1[Column3]="","",B$1+COUNT(INDIRECT("B$2:B"&amp;ROW()-1)))</f>
        <v/>
      </c>
      <c r="C249" s="281" t="str">
        <f>IF(Table1[[#This Row],[Column2]]="","",Table1[[#This Row],[Column2]]+C$1-1)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Row],[Column3]])," ",Table1[[#This Row],[Column4]])</f>
        <v xml:space="preserve"> </v>
      </c>
      <c r="J249" s="287" t="str">
        <f>IF(Table1[[#This Row],[Column5]]="","",INDEX(Table2[e],IF(Table1[[#This Row],[Column5]]="","",MATCH(Table1[[#This Row],[Column5]],Table2[a],0)),))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IF(Table1[Column3]="","",B$1+COUNT(INDIRECT("B$2:B"&amp;ROW()-1)))</f>
        <v/>
      </c>
      <c r="C250" s="281" t="str">
        <f>IF(Table1[[#This Row],[Column2]]="","",Table1[[#This Row],[Column2]]+C$1-1)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Row],[Column3]])," ",Table1[[#This Row],[Column4]])</f>
        <v xml:space="preserve"> </v>
      </c>
      <c r="J250" s="287" t="str">
        <f>IF(Table1[[#This Row],[Column5]]="","",INDEX(Table2[e],IF(Table1[[#This Row],[Column5]]="","",MATCH(Table1[[#This Row],[Column5]],Table2[a],0)),))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IF(Table1[Column3]="","",B$1+COUNT(INDIRECT("B$2:B"&amp;ROW()-1)))</f>
        <v/>
      </c>
      <c r="C251" s="281" t="str">
        <f>IF(Table1[[#This Row],[Column2]]="","",Table1[[#This Row],[Column2]]+C$1-1)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Row],[Column3]])," ",Table1[[#This Row],[Column4]])</f>
        <v xml:space="preserve"> </v>
      </c>
      <c r="J251" s="287" t="str">
        <f>IF(Table1[[#This Row],[Column5]]="","",INDEX(Table2[e],IF(Table1[[#This Row],[Column5]]="","",MATCH(Table1[[#This Row],[Column5]],Table2[a],0)),))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IF(Table1[Column3]="","",B$1+COUNT(INDIRECT("B$2:B"&amp;ROW()-1)))</f>
        <v/>
      </c>
      <c r="C252" s="281" t="str">
        <f>IF(Table1[[#This Row],[Column2]]="","",Table1[[#This Row],[Column2]]+C$1-1)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Row],[Column3]])," ",Table1[[#This Row],[Column4]])</f>
        <v xml:space="preserve"> </v>
      </c>
      <c r="J252" s="287" t="str">
        <f>IF(Table1[[#This Row],[Column5]]="","",INDEX(Table2[e],IF(Table1[[#This Row],[Column5]]="","",MATCH(Table1[[#This Row],[Column5]],Table2[a],0)),))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IF(Table1[Column3]="","",B$1+COUNT(INDIRECT("B$2:B"&amp;ROW()-1)))</f>
        <v/>
      </c>
      <c r="C253" s="281" t="str">
        <f>IF(Table1[[#This Row],[Column2]]="","",Table1[[#This Row],[Column2]]+C$1-1)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Row],[Column3]])," ",Table1[[#This Row],[Column4]])</f>
        <v xml:space="preserve"> </v>
      </c>
      <c r="J253" s="287" t="str">
        <f>IF(Table1[[#This Row],[Column5]]="","",INDEX(Table2[e],IF(Table1[[#This Row],[Column5]]="","",MATCH(Table1[[#This Row],[Column5]],Table2[a],0)),))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IF(Table1[Column3]="","",B$1+COUNT(INDIRECT("B$2:B"&amp;ROW()-1)))</f>
        <v/>
      </c>
      <c r="C254" s="281" t="str">
        <f>IF(Table1[[#This Row],[Column2]]="","",Table1[[#This Row],[Column2]]+C$1-1)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Row],[Column3]])," ",Table1[[#This Row],[Column4]])</f>
        <v xml:space="preserve"> </v>
      </c>
      <c r="J254" s="287" t="str">
        <f>IF(Table1[[#This Row],[Column5]]="","",INDEX(Table2[e],IF(Table1[[#This Row],[Column5]]="","",MATCH(Table1[[#This Row],[Column5]],Table2[a],0)),))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IF(Table1[Column3]="","",B$1+COUNT(INDIRECT("B$2:B"&amp;ROW()-1)))</f>
        <v/>
      </c>
      <c r="C255" s="281" t="str">
        <f>IF(Table1[[#This Row],[Column2]]="","",Table1[[#This Row],[Column2]]+C$1-1)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Row],[Column3]])," ",Table1[[#This Row],[Column4]])</f>
        <v xml:space="preserve"> </v>
      </c>
      <c r="J255" s="287" t="str">
        <f>IF(Table1[[#This Row],[Column5]]="","",INDEX(Table2[e],IF(Table1[[#This Row],[Column5]]="","",MATCH(Table1[[#This Row],[Column5]],Table2[a],0)),))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IF(Table1[Column3]="","",B$1+COUNT(INDIRECT("B$2:B"&amp;ROW()-1)))</f>
        <v/>
      </c>
      <c r="C256" s="281" t="str">
        <f>IF(Table1[[#This Row],[Column2]]="","",Table1[[#This Row],[Column2]]+C$1-1)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Row],[Column3]])," ",Table1[[#This Row],[Column4]])</f>
        <v xml:space="preserve"> </v>
      </c>
      <c r="J256" s="287" t="str">
        <f>IF(Table1[[#This Row],[Column5]]="","",INDEX(Table2[e],IF(Table1[[#This Row],[Column5]]="","",MATCH(Table1[[#This Row],[Column5]],Table2[a],0)),))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IF(Table1[Column3]="","",B$1+COUNT(INDIRECT("B$2:B"&amp;ROW()-1)))</f>
        <v/>
      </c>
      <c r="C257" s="281" t="str">
        <f>IF(Table1[[#This Row],[Column2]]="","",Table1[[#This Row],[Column2]]+C$1-1)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Row],[Column3]])," ",Table1[[#This Row],[Column4]])</f>
        <v xml:space="preserve"> </v>
      </c>
      <c r="J257" s="287" t="str">
        <f>IF(Table1[[#This Row],[Column5]]="","",INDEX(Table2[e],IF(Table1[[#This Row],[Column5]]="","",MATCH(Table1[[#This Row],[Column5]],Table2[a],0)),))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IF(Table1[Column3]="","",B$1+COUNT(INDIRECT("B$2:B"&amp;ROW()-1)))</f>
        <v/>
      </c>
      <c r="C258" s="281" t="str">
        <f>IF(Table1[[#This Row],[Column2]]="","",Table1[[#This Row],[Column2]]+C$1-1)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Row],[Column3]])," ",Table1[[#This Row],[Column4]])</f>
        <v xml:space="preserve"> </v>
      </c>
      <c r="J258" s="287" t="str">
        <f>IF(Table1[[#This Row],[Column5]]="","",INDEX(Table2[e],IF(Table1[[#This Row],[Column5]]="","",MATCH(Table1[[#This Row],[Column5]],Table2[a],0)),))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IF(Table1[Column3]="","",B$1+COUNT(INDIRECT("B$2:B"&amp;ROW()-1)))</f>
        <v/>
      </c>
      <c r="C259" s="281" t="str">
        <f>IF(Table1[[#This Row],[Column2]]="","",Table1[[#This Row],[Column2]]+C$1-1)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Row],[Column3]])," ",Table1[[#This Row],[Column4]])</f>
        <v xml:space="preserve"> </v>
      </c>
      <c r="J259" s="287" t="str">
        <f>IF(Table1[[#This Row],[Column5]]="","",INDEX(Table2[e],IF(Table1[[#This Row],[Column5]]="","",MATCH(Table1[[#This Row],[Column5]],Table2[a],0)),))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IF(Table1[Column3]="","",B$1+COUNT(INDIRECT("B$2:B"&amp;ROW()-1)))</f>
        <v/>
      </c>
      <c r="C260" s="281" t="str">
        <f>IF(Table1[[#This Row],[Column2]]="","",Table1[[#This Row],[Column2]]+C$1-1)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Row],[Column3]])," ",Table1[[#This Row],[Column4]])</f>
        <v xml:space="preserve"> </v>
      </c>
      <c r="J260" s="287" t="str">
        <f>IF(Table1[[#This Row],[Column5]]="","",INDEX(Table2[e],IF(Table1[[#This Row],[Column5]]="","",MATCH(Table1[[#This Row],[Column5]],Table2[a],0)),))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IF(Table1[Column3]="","",B$1+COUNT(INDIRECT("B$2:B"&amp;ROW()-1)))</f>
        <v/>
      </c>
      <c r="C261" s="281" t="str">
        <f>IF(Table1[[#This Row],[Column2]]="","",Table1[[#This Row],[Column2]]+C$1-1)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Row],[Column3]])," ",Table1[[#This Row],[Column4]])</f>
        <v xml:space="preserve"> </v>
      </c>
      <c r="J261" s="287" t="str">
        <f>IF(Table1[[#This Row],[Column5]]="","",INDEX(Table2[e],IF(Table1[[#This Row],[Column5]]="","",MATCH(Table1[[#This Row],[Column5]],Table2[a],0)),))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IF(Table1[Column3]="","",B$1+COUNT(INDIRECT("B$2:B"&amp;ROW()-1)))</f>
        <v/>
      </c>
      <c r="C262" s="281" t="str">
        <f>IF(Table1[[#This Row],[Column2]]="","",Table1[[#This Row],[Column2]]+C$1-1)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Row],[Column3]])," ",Table1[[#This Row],[Column4]])</f>
        <v xml:space="preserve"> </v>
      </c>
      <c r="J262" s="287" t="str">
        <f>IF(Table1[[#This Row],[Column5]]="","",INDEX(Table2[e],IF(Table1[[#This Row],[Column5]]="","",MATCH(Table1[[#This Row],[Column5]],Table2[a],0)),))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IF(Table1[Column3]="","",B$1+COUNT(INDIRECT("B$2:B"&amp;ROW()-1)))</f>
        <v/>
      </c>
      <c r="C263" s="281" t="str">
        <f>IF(Table1[[#This Row],[Column2]]="","",Table1[[#This Row],[Column2]]+C$1-1)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Row],[Column3]])," ",Table1[[#This Row],[Column4]])</f>
        <v xml:space="preserve"> </v>
      </c>
      <c r="J263" s="287" t="str">
        <f>IF(Table1[[#This Row],[Column5]]="","",INDEX(Table2[e],IF(Table1[[#This Row],[Column5]]="","",MATCH(Table1[[#This Row],[Column5]],Table2[a],0)),))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 t="str">
        <f ca="1">IF(Table1[[#This Row],[No. Invoice :]]="","",ROW())</f>
        <v/>
      </c>
      <c r="B264" s="287" t="str">
        <f ca="1">IF(Table1[Column3]="","",B$1+COUNT(INDIRECT("B$2:B"&amp;ROW()-1)))</f>
        <v/>
      </c>
      <c r="C264" s="281" t="str">
        <f>IF(Table1[[#This Row],[Column2]]="","",Table1[[#This Row],[Column2]]+C$1-1)</f>
        <v/>
      </c>
      <c r="H264" s="287" t="str">
        <f ca="1">IF(Table1[[#This Row],[h_No. Invoice :]]="","",CONCATENATE("AM"," ",Table1[[#This Row],[h_No. Invoice :]]))</f>
        <v/>
      </c>
      <c r="I264" s="288" t="str">
        <f>CONCATENATE(UPPER(Table1[[#This Row],[Column3]])," ",Table1[[#This Row],[Column4]])</f>
        <v xml:space="preserve"> </v>
      </c>
      <c r="J264" s="287" t="str">
        <f>IF(Table1[[#This Row],[Column5]]="","",INDEX(Table2[e],IF(Table1[[#This Row],[Column5]]="","",MATCH(Table1[[#This Row],[Column5]],Table2[a],0)),))</f>
        <v/>
      </c>
      <c r="O264" s="287" t="str">
        <f>IF(Table1[[#This Row],[h_Item Description]]="","",INDEX([1]!db[NB PAJAK],MATCH(Table1[[#This Row],[h_Item Description]],[1]!db[kode],0)))</f>
        <v/>
      </c>
      <c r="Q264" s="283"/>
      <c r="R264" s="284"/>
      <c r="T264" s="283" t="str">
        <f>Table1[[#This Row],[h_hargasetelahdiskon]]</f>
        <v/>
      </c>
      <c r="W264" s="287" t="str">
        <f ca="1">IF(Table1[[#This Row],[Item Description]]="","",IF(Table1[[#This Row],[//]]="",INDIRECT(ADDRESS(ROW()-1,COLUMN())),Table1[[#This Row],[//]]))</f>
        <v/>
      </c>
      <c r="X264" s="287" t="str">
        <f ca="1">IF(Table1[[#This Row],[h_id]]="","",COUNTIF(Table1[h_id],Table1[[#This Row],[h_id]]))</f>
        <v/>
      </c>
      <c r="Y264" s="283" t="str">
        <f>IF(Table1[Item Description]="","",Table1[[#This Row],[Qty]]*Table1[[#This Row],[Unit Price]])</f>
        <v/>
      </c>
      <c r="Z264" s="283" t="str">
        <f>IF(Table1[[#This Row],[h_hargasebelumdiskon]]="","",IF(Table1[[#This Row],[Disc 1]]="",0,Table1[[#This Row],[h_hargasebelumdiskon]]*Table1[[#This Row],[Disc 1]]))</f>
        <v/>
      </c>
      <c r="AA264" s="283" t="str">
        <f>IF(Table1[[#This Row],[h_hargasebelumdiskon]]="","",IF(Table1[[#This Row],[Disc 2]]="",0,(Table1[[#This Row],[h_hargasebelumdiskon]]-Table1[[#This Row],[h_disc 1]])*Table1[[#This Row],[Disc 2]]))</f>
        <v/>
      </c>
      <c r="AB264" s="283" t="str">
        <f>IF(Table1[Item Description]="","",Table1[[#This Row],[h_disc 1]]+Table1[[#This Row],[h_disc 2]])</f>
        <v/>
      </c>
      <c r="AC264" s="283" t="str">
        <f>IF(Table1[Item Description]="","",Table1[[#This Row],[h_hargasebelumdiskon]]-Table1[[#This Row],[h_diskon]])</f>
        <v/>
      </c>
      <c r="AD264" s="283" t="str">
        <f ca="1">IF(Table1[//]="","",SUMIF(Table1[h_id],Table1[h_id],Table1[h_hargasetelahdiskon]))</f>
        <v/>
      </c>
      <c r="AE264" s="283"/>
      <c r="AF264" s="283" t="str">
        <f>Table1[[#This Row],[Item Description]]&amp;Table1[[#This Row],[Unit]]&amp;Table1[[#This Row],[Unit Price]]</f>
        <v/>
      </c>
    </row>
    <row r="265" spans="1:32" x14ac:dyDescent="0.25">
      <c r="A265" s="287" t="str">
        <f ca="1">IF(Table1[[#This Row],[No. Invoice :]]="","",ROW())</f>
        <v/>
      </c>
      <c r="B265" s="287" t="str">
        <f ca="1">IF(Table1[Column3]="","",B$1+COUNT(INDIRECT("B$2:B"&amp;ROW()-1)))</f>
        <v/>
      </c>
      <c r="C265" s="281" t="str">
        <f>IF(Table1[[#This Row],[Column2]]="","",Table1[[#This Row],[Column2]]+C$1-1)</f>
        <v/>
      </c>
      <c r="H265" s="287" t="str">
        <f ca="1">IF(Table1[[#This Row],[h_No. Invoice :]]="","",CONCATENATE("AM"," ",Table1[[#This Row],[h_No. Invoice :]]))</f>
        <v/>
      </c>
      <c r="I265" s="288" t="str">
        <f>CONCATENATE(UPPER(Table1[[#This Row],[Column3]])," ",Table1[[#This Row],[Column4]])</f>
        <v xml:space="preserve"> </v>
      </c>
      <c r="J265" s="287" t="str">
        <f>IF(Table1[[#This Row],[Column5]]="","",INDEX(Table2[e],IF(Table1[[#This Row],[Column5]]="","",MATCH(Table1[[#This Row],[Column5]],Table2[a],0)),))</f>
        <v/>
      </c>
      <c r="O265" s="287" t="str">
        <f>IF(Table1[[#This Row],[h_Item Description]]="","",INDEX([1]!db[NB PAJAK],MATCH(Table1[[#This Row],[h_Item Description]],[1]!db[kode],0)))</f>
        <v/>
      </c>
      <c r="Q265" s="283"/>
      <c r="R265" s="284"/>
      <c r="T265" s="283" t="str">
        <f>Table1[[#This Row],[h_hargasetelahdiskon]]</f>
        <v/>
      </c>
      <c r="W265" s="287" t="str">
        <f ca="1">IF(Table1[[#This Row],[Item Description]]="","",IF(Table1[[#This Row],[//]]="",INDIRECT(ADDRESS(ROW()-1,COLUMN())),Table1[[#This Row],[//]]))</f>
        <v/>
      </c>
      <c r="X265" s="287" t="str">
        <f ca="1">IF(Table1[[#This Row],[h_id]]="","",COUNTIF(Table1[h_id],Table1[[#This Row],[h_id]]))</f>
        <v/>
      </c>
      <c r="Y265" s="283" t="str">
        <f>IF(Table1[Item Description]="","",Table1[[#This Row],[Qty]]*Table1[[#This Row],[Unit Price]])</f>
        <v/>
      </c>
      <c r="Z265" s="283" t="str">
        <f>IF(Table1[[#This Row],[h_hargasebelumdiskon]]="","",IF(Table1[[#This Row],[Disc 1]]="",0,Table1[[#This Row],[h_hargasebelumdiskon]]*Table1[[#This Row],[Disc 1]]))</f>
        <v/>
      </c>
      <c r="AA265" s="283" t="str">
        <f>IF(Table1[[#This Row],[h_hargasebelumdiskon]]="","",IF(Table1[[#This Row],[Disc 2]]="",0,(Table1[[#This Row],[h_hargasebelumdiskon]]-Table1[[#This Row],[h_disc 1]])*Table1[[#This Row],[Disc 2]]))</f>
        <v/>
      </c>
      <c r="AB265" s="283" t="str">
        <f>IF(Table1[Item Description]="","",Table1[[#This Row],[h_disc 1]]+Table1[[#This Row],[h_disc 2]])</f>
        <v/>
      </c>
      <c r="AC265" s="283" t="str">
        <f>IF(Table1[Item Description]="","",Table1[[#This Row],[h_hargasebelumdiskon]]-Table1[[#This Row],[h_diskon]])</f>
        <v/>
      </c>
      <c r="AD265" s="283" t="str">
        <f ca="1">IF(Table1[//]="","",SUMIF(Table1[h_id],Table1[h_id],Table1[h_hargasetelahdiskon]))</f>
        <v/>
      </c>
      <c r="AE265" s="283"/>
      <c r="AF265" s="283" t="str">
        <f>Table1[[#This Row],[Item Description]]&amp;Table1[[#This Row],[Unit]]&amp;Table1[[#This Row],[Unit Price]]</f>
        <v/>
      </c>
    </row>
    <row r="266" spans="1:32" x14ac:dyDescent="0.25">
      <c r="A266" s="287" t="str">
        <f ca="1">IF(Table1[[#This Row],[No. Invoice :]]="","",ROW())</f>
        <v/>
      </c>
      <c r="B266" s="287" t="str">
        <f ca="1">IF(Table1[Column3]="","",B$1+COUNT(INDIRECT("B$2:B"&amp;ROW()-1)))</f>
        <v/>
      </c>
      <c r="C266" s="281" t="str">
        <f>IF(Table1[[#This Row],[Column2]]="","",Table1[[#This Row],[Column2]]+C$1-1)</f>
        <v/>
      </c>
      <c r="H266" s="287" t="str">
        <f ca="1">IF(Table1[[#This Row],[h_No. Invoice :]]="","",CONCATENATE("AM"," ",Table1[[#This Row],[h_No. Invoice :]]))</f>
        <v/>
      </c>
      <c r="I266" s="288" t="str">
        <f>CONCATENATE(UPPER(Table1[[#This Row],[Column3]])," ",Table1[[#This Row],[Column4]])</f>
        <v xml:space="preserve"> </v>
      </c>
      <c r="J266" s="287" t="str">
        <f>IF(Table1[[#This Row],[Column5]]="","",INDEX(Table2[e],IF(Table1[[#This Row],[Column5]]="","",MATCH(Table1[[#This Row],[Column5]],Table2[a],0)),))</f>
        <v/>
      </c>
      <c r="O266" s="287" t="str">
        <f>IF(Table1[[#This Row],[h_Item Description]]="","",INDEX([1]!db[NB PAJAK],MATCH(Table1[[#This Row],[h_Item Description]],[1]!db[kode],0)))</f>
        <v/>
      </c>
      <c r="Q266" s="283"/>
      <c r="R266" s="284"/>
      <c r="T266" s="283" t="str">
        <f>Table1[[#This Row],[h_hargasetelahdiskon]]</f>
        <v/>
      </c>
      <c r="W266" s="287" t="str">
        <f ca="1">IF(Table1[[#This Row],[Item Description]]="","",IF(Table1[[#This Row],[//]]="",INDIRECT(ADDRESS(ROW()-1,COLUMN())),Table1[[#This Row],[//]]))</f>
        <v/>
      </c>
      <c r="X266" s="287" t="str">
        <f ca="1">IF(Table1[[#This Row],[h_id]]="","",COUNTIF(Table1[h_id],Table1[[#This Row],[h_id]]))</f>
        <v/>
      </c>
      <c r="Y266" s="283" t="str">
        <f>IF(Table1[Item Description]="","",Table1[[#This Row],[Qty]]*Table1[[#This Row],[Unit Price]])</f>
        <v/>
      </c>
      <c r="Z266" s="283" t="str">
        <f>IF(Table1[[#This Row],[h_hargasebelumdiskon]]="","",IF(Table1[[#This Row],[Disc 1]]="",0,Table1[[#This Row],[h_hargasebelumdiskon]]*Table1[[#This Row],[Disc 1]]))</f>
        <v/>
      </c>
      <c r="AA266" s="283" t="str">
        <f>IF(Table1[[#This Row],[h_hargasebelumdiskon]]="","",IF(Table1[[#This Row],[Disc 2]]="",0,(Table1[[#This Row],[h_hargasebelumdiskon]]-Table1[[#This Row],[h_disc 1]])*Table1[[#This Row],[Disc 2]]))</f>
        <v/>
      </c>
      <c r="AB266" s="283" t="str">
        <f>IF(Table1[Item Description]="","",Table1[[#This Row],[h_disc 1]]+Table1[[#This Row],[h_disc 2]])</f>
        <v/>
      </c>
      <c r="AC266" s="283" t="str">
        <f>IF(Table1[Item Description]="","",Table1[[#This Row],[h_hargasebelumdiskon]]-Table1[[#This Row],[h_diskon]])</f>
        <v/>
      </c>
      <c r="AD266" s="283" t="str">
        <f ca="1">IF(Table1[//]="","",SUMIF(Table1[h_id],Table1[h_id],Table1[h_hargasetelahdiskon]))</f>
        <v/>
      </c>
      <c r="AE266" s="283"/>
      <c r="AF266" s="283" t="str">
        <f>Table1[[#This Row],[Item Description]]&amp;Table1[[#This Row],[Unit]]&amp;Table1[[#This Row],[Unit Price]]</f>
        <v/>
      </c>
    </row>
    <row r="267" spans="1:32" x14ac:dyDescent="0.25">
      <c r="A267" s="287" t="str">
        <f ca="1">IF(Table1[[#This Row],[No. Invoice :]]="","",ROW())</f>
        <v/>
      </c>
      <c r="B267" s="287" t="str">
        <f ca="1">IF(Table1[Column3]="","",B$1+COUNT(INDIRECT("B$2:B"&amp;ROW()-1)))</f>
        <v/>
      </c>
      <c r="C267" s="281" t="str">
        <f>IF(Table1[[#This Row],[Column2]]="","",Table1[[#This Row],[Column2]]+C$1-1)</f>
        <v/>
      </c>
      <c r="H267" s="287" t="str">
        <f ca="1">IF(Table1[[#This Row],[h_No. Invoice :]]="","",CONCATENATE("AM"," ",Table1[[#This Row],[h_No. Invoice :]]))</f>
        <v/>
      </c>
      <c r="I267" s="288" t="str">
        <f>CONCATENATE(UPPER(Table1[[#This Row],[Column3]])," ",Table1[[#This Row],[Column4]])</f>
        <v xml:space="preserve"> </v>
      </c>
      <c r="J267" s="287" t="str">
        <f>IF(Table1[[#This Row],[Column5]]="","",INDEX(Table2[e],IF(Table1[[#This Row],[Column5]]="","",MATCH(Table1[[#This Row],[Column5]],Table2[a],0)),))</f>
        <v/>
      </c>
      <c r="O267" s="287" t="str">
        <f>IF(Table1[[#This Row],[h_Item Description]]="","",INDEX([1]!db[NB PAJAK],MATCH(Table1[[#This Row],[h_Item Description]],[1]!db[kode],0)))</f>
        <v/>
      </c>
      <c r="Q267" s="283"/>
      <c r="R267" s="284"/>
      <c r="T267" s="283" t="str">
        <f>Table1[[#This Row],[h_hargasetelahdiskon]]</f>
        <v/>
      </c>
      <c r="W267" s="287" t="str">
        <f ca="1">IF(Table1[[#This Row],[Item Description]]="","",IF(Table1[[#This Row],[//]]="",INDIRECT(ADDRESS(ROW()-1,COLUMN())),Table1[[#This Row],[//]]))</f>
        <v/>
      </c>
      <c r="X267" s="287" t="str">
        <f ca="1">IF(Table1[[#This Row],[h_id]]="","",COUNTIF(Table1[h_id],Table1[[#This Row],[h_id]]))</f>
        <v/>
      </c>
      <c r="Y267" s="283" t="str">
        <f>IF(Table1[Item Description]="","",Table1[[#This Row],[Qty]]*Table1[[#This Row],[Unit Price]])</f>
        <v/>
      </c>
      <c r="Z267" s="283" t="str">
        <f>IF(Table1[[#This Row],[h_hargasebelumdiskon]]="","",IF(Table1[[#This Row],[Disc 1]]="",0,Table1[[#This Row],[h_hargasebelumdiskon]]*Table1[[#This Row],[Disc 1]]))</f>
        <v/>
      </c>
      <c r="AA267" s="283" t="str">
        <f>IF(Table1[[#This Row],[h_hargasebelumdiskon]]="","",IF(Table1[[#This Row],[Disc 2]]="",0,(Table1[[#This Row],[h_hargasebelumdiskon]]-Table1[[#This Row],[h_disc 1]])*Table1[[#This Row],[Disc 2]]))</f>
        <v/>
      </c>
      <c r="AB267" s="283" t="str">
        <f>IF(Table1[Item Description]="","",Table1[[#This Row],[h_disc 1]]+Table1[[#This Row],[h_disc 2]])</f>
        <v/>
      </c>
      <c r="AC267" s="283" t="str">
        <f>IF(Table1[Item Description]="","",Table1[[#This Row],[h_hargasebelumdiskon]]-Table1[[#This Row],[h_diskon]])</f>
        <v/>
      </c>
      <c r="AD267" s="283" t="str">
        <f ca="1">IF(Table1[//]="","",SUMIF(Table1[h_id],Table1[h_id],Table1[h_hargasetelahdiskon]))</f>
        <v/>
      </c>
      <c r="AE267" s="283"/>
      <c r="AF267" s="283" t="str">
        <f>Table1[[#This Row],[Item Description]]&amp;Table1[[#This Row],[Unit]]&amp;Table1[[#This Row],[Unit Price]]</f>
        <v/>
      </c>
    </row>
    <row r="268" spans="1:32" x14ac:dyDescent="0.25">
      <c r="A268" s="287" t="str">
        <f ca="1">IF(Table1[[#This Row],[No. Invoice :]]="","",ROW())</f>
        <v/>
      </c>
      <c r="B268" s="287" t="str">
        <f ca="1">IF(Table1[Column3]="","",B$1+COUNT(INDIRECT("B$2:B"&amp;ROW()-1)))</f>
        <v/>
      </c>
      <c r="C268" s="281" t="str">
        <f>IF(Table1[[#This Row],[Column2]]="","",Table1[[#This Row],[Column2]]+C$1-1)</f>
        <v/>
      </c>
      <c r="H268" s="287" t="str">
        <f ca="1">IF(Table1[[#This Row],[h_No. Invoice :]]="","",CONCATENATE("AM"," ",Table1[[#This Row],[h_No. Invoice :]]))</f>
        <v/>
      </c>
      <c r="I268" s="288" t="str">
        <f>CONCATENATE(UPPER(Table1[[#This Row],[Column3]])," ",Table1[[#This Row],[Column4]])</f>
        <v xml:space="preserve"> </v>
      </c>
      <c r="J268" s="287" t="str">
        <f>IF(Table1[[#This Row],[Column5]]="","",INDEX(Table2[e],IF(Table1[[#This Row],[Column5]]="","",MATCH(Table1[[#This Row],[Column5]],Table2[a],0)),))</f>
        <v/>
      </c>
      <c r="O268" s="287" t="str">
        <f>IF(Table1[[#This Row],[h_Item Description]]="","",INDEX([1]!db[NB PAJAK],MATCH(Table1[[#This Row],[h_Item Description]],[1]!db[kode],0)))</f>
        <v/>
      </c>
      <c r="Q268" s="283"/>
      <c r="R268" s="284"/>
      <c r="T268" s="283" t="str">
        <f>Table1[[#This Row],[h_hargasetelahdiskon]]</f>
        <v/>
      </c>
      <c r="W268" s="287" t="str">
        <f ca="1">IF(Table1[[#This Row],[Item Description]]="","",IF(Table1[[#This Row],[//]]="",INDIRECT(ADDRESS(ROW()-1,COLUMN())),Table1[[#This Row],[//]]))</f>
        <v/>
      </c>
      <c r="X268" s="287" t="str">
        <f ca="1">IF(Table1[[#This Row],[h_id]]="","",COUNTIF(Table1[h_id],Table1[[#This Row],[h_id]]))</f>
        <v/>
      </c>
      <c r="Y268" s="283" t="str">
        <f>IF(Table1[Item Description]="","",Table1[[#This Row],[Qty]]*Table1[[#This Row],[Unit Price]])</f>
        <v/>
      </c>
      <c r="Z268" s="283" t="str">
        <f>IF(Table1[[#This Row],[h_hargasebelumdiskon]]="","",IF(Table1[[#This Row],[Disc 1]]="",0,Table1[[#This Row],[h_hargasebelumdiskon]]*Table1[[#This Row],[Disc 1]]))</f>
        <v/>
      </c>
      <c r="AA268" s="283" t="str">
        <f>IF(Table1[[#This Row],[h_hargasebelumdiskon]]="","",IF(Table1[[#This Row],[Disc 2]]="",0,(Table1[[#This Row],[h_hargasebelumdiskon]]-Table1[[#This Row],[h_disc 1]])*Table1[[#This Row],[Disc 2]]))</f>
        <v/>
      </c>
      <c r="AB268" s="283" t="str">
        <f>IF(Table1[Item Description]="","",Table1[[#This Row],[h_disc 1]]+Table1[[#This Row],[h_disc 2]])</f>
        <v/>
      </c>
      <c r="AC268" s="283" t="str">
        <f>IF(Table1[Item Description]="","",Table1[[#This Row],[h_hargasebelumdiskon]]-Table1[[#This Row],[h_diskon]])</f>
        <v/>
      </c>
      <c r="AD268" s="283" t="str">
        <f ca="1">IF(Table1[//]="","",SUMIF(Table1[h_id],Table1[h_id],Table1[h_hargasetelahdiskon]))</f>
        <v/>
      </c>
      <c r="AE268" s="283"/>
      <c r="AF268" s="283" t="str">
        <f>Table1[[#This Row],[Item Description]]&amp;Table1[[#This Row],[Unit]]&amp;Table1[[#This Row],[Unit Price]]</f>
        <v/>
      </c>
    </row>
    <row r="269" spans="1:32" x14ac:dyDescent="0.25">
      <c r="A269" s="287" t="str">
        <f ca="1">IF(Table1[[#This Row],[No. Invoice :]]="","",ROW())</f>
        <v/>
      </c>
      <c r="B269" s="287" t="str">
        <f ca="1">IF(Table1[Column3]="","",B$1+COUNT(INDIRECT("B$2:B"&amp;ROW()-1)))</f>
        <v/>
      </c>
      <c r="C269" s="281" t="str">
        <f>IF(Table1[[#This Row],[Column2]]="","",Table1[[#This Row],[Column2]]+C$1-1)</f>
        <v/>
      </c>
      <c r="H269" s="287" t="str">
        <f ca="1">IF(Table1[[#This Row],[h_No. Invoice :]]="","",CONCATENATE("AM"," ",Table1[[#This Row],[h_No. Invoice :]]))</f>
        <v/>
      </c>
      <c r="I269" s="288" t="str">
        <f>CONCATENATE(UPPER(Table1[[#This Row],[Column3]])," ",Table1[[#This Row],[Column4]])</f>
        <v xml:space="preserve"> </v>
      </c>
      <c r="J269" s="287" t="str">
        <f>IF(Table1[[#This Row],[Column5]]="","",INDEX(Table2[e],IF(Table1[[#This Row],[Column5]]="","",MATCH(Table1[[#This Row],[Column5]],Table2[a],0)),))</f>
        <v/>
      </c>
      <c r="O269" s="287" t="str">
        <f>IF(Table1[[#This Row],[h_Item Description]]="","",INDEX([1]!db[NB PAJAK],MATCH(Table1[[#This Row],[h_Item Description]],[1]!db[kode],0)))</f>
        <v/>
      </c>
      <c r="Q269" s="283"/>
      <c r="R269" s="284"/>
      <c r="T269" s="283" t="str">
        <f>Table1[[#This Row],[h_hargasetelahdiskon]]</f>
        <v/>
      </c>
      <c r="W269" s="287" t="str">
        <f ca="1">IF(Table1[[#This Row],[Item Description]]="","",IF(Table1[[#This Row],[//]]="",INDIRECT(ADDRESS(ROW()-1,COLUMN())),Table1[[#This Row],[//]]))</f>
        <v/>
      </c>
      <c r="X269" s="287" t="str">
        <f ca="1">IF(Table1[[#This Row],[h_id]]="","",COUNTIF(Table1[h_id],Table1[[#This Row],[h_id]]))</f>
        <v/>
      </c>
      <c r="Y269" s="283" t="str">
        <f>IF(Table1[Item Description]="","",Table1[[#This Row],[Qty]]*Table1[[#This Row],[Unit Price]])</f>
        <v/>
      </c>
      <c r="Z269" s="283" t="str">
        <f>IF(Table1[[#This Row],[h_hargasebelumdiskon]]="","",IF(Table1[[#This Row],[Disc 1]]="",0,Table1[[#This Row],[h_hargasebelumdiskon]]*Table1[[#This Row],[Disc 1]]))</f>
        <v/>
      </c>
      <c r="AA269" s="283" t="str">
        <f>IF(Table1[[#This Row],[h_hargasebelumdiskon]]="","",IF(Table1[[#This Row],[Disc 2]]="",0,(Table1[[#This Row],[h_hargasebelumdiskon]]-Table1[[#This Row],[h_disc 1]])*Table1[[#This Row],[Disc 2]]))</f>
        <v/>
      </c>
      <c r="AB269" s="283" t="str">
        <f>IF(Table1[Item Description]="","",Table1[[#This Row],[h_disc 1]]+Table1[[#This Row],[h_disc 2]])</f>
        <v/>
      </c>
      <c r="AC269" s="283" t="str">
        <f>IF(Table1[Item Description]="","",Table1[[#This Row],[h_hargasebelumdiskon]]-Table1[[#This Row],[h_diskon]])</f>
        <v/>
      </c>
      <c r="AD269" s="283" t="str">
        <f ca="1">IF(Table1[//]="","",SUMIF(Table1[h_id],Table1[h_id],Table1[h_hargasetelahdiskon]))</f>
        <v/>
      </c>
      <c r="AE269" s="283"/>
      <c r="AF269" s="283" t="str">
        <f>Table1[[#This Row],[Item Description]]&amp;Table1[[#This Row],[Unit]]&amp;Table1[[#This Row],[Unit Price]]</f>
        <v/>
      </c>
    </row>
    <row r="270" spans="1:32" x14ac:dyDescent="0.25">
      <c r="A270" s="287" t="str">
        <f ca="1">IF(Table1[[#This Row],[No. Invoice :]]="","",ROW())</f>
        <v/>
      </c>
      <c r="B270" s="287" t="str">
        <f ca="1">IF(Table1[Column3]="","",B$1+COUNT(INDIRECT("B$2:B"&amp;ROW()-1)))</f>
        <v/>
      </c>
      <c r="C270" s="281" t="str">
        <f>IF(Table1[[#This Row],[Column2]]="","",Table1[[#This Row],[Column2]]+C$1-1)</f>
        <v/>
      </c>
      <c r="H270" s="287" t="str">
        <f ca="1">IF(Table1[[#This Row],[h_No. Invoice :]]="","",CONCATENATE("AM"," ",Table1[[#This Row],[h_No. Invoice :]]))</f>
        <v/>
      </c>
      <c r="I270" s="288" t="str">
        <f>CONCATENATE(UPPER(Table1[[#This Row],[Column3]])," ",Table1[[#This Row],[Column4]])</f>
        <v xml:space="preserve"> </v>
      </c>
      <c r="J270" s="287" t="str">
        <f>IF(Table1[[#This Row],[Column5]]="","",INDEX(Table2[e],IF(Table1[[#This Row],[Column5]]="","",MATCH(Table1[[#This Row],[Column5]],Table2[a],0)),))</f>
        <v/>
      </c>
      <c r="O270" s="287" t="str">
        <f>IF(Table1[[#This Row],[h_Item Description]]="","",INDEX([1]!db[NB PAJAK],MATCH(Table1[[#This Row],[h_Item Description]],[1]!db[kode],0)))</f>
        <v/>
      </c>
      <c r="Q270" s="283"/>
      <c r="R270" s="284"/>
      <c r="T270" s="283" t="str">
        <f>Table1[[#This Row],[h_hargasetelahdiskon]]</f>
        <v/>
      </c>
      <c r="W270" s="287" t="str">
        <f ca="1">IF(Table1[[#This Row],[Item Description]]="","",IF(Table1[[#This Row],[//]]="",INDIRECT(ADDRESS(ROW()-1,COLUMN())),Table1[[#This Row],[//]]))</f>
        <v/>
      </c>
      <c r="X270" s="287" t="str">
        <f ca="1">IF(Table1[[#This Row],[h_id]]="","",COUNTIF(Table1[h_id],Table1[[#This Row],[h_id]]))</f>
        <v/>
      </c>
      <c r="Y270" s="283" t="str">
        <f>IF(Table1[Item Description]="","",Table1[[#This Row],[Qty]]*Table1[[#This Row],[Unit Price]])</f>
        <v/>
      </c>
      <c r="Z270" s="283" t="str">
        <f>IF(Table1[[#This Row],[h_hargasebelumdiskon]]="","",IF(Table1[[#This Row],[Disc 1]]="",0,Table1[[#This Row],[h_hargasebelumdiskon]]*Table1[[#This Row],[Disc 1]]))</f>
        <v/>
      </c>
      <c r="AA270" s="283" t="str">
        <f>IF(Table1[[#This Row],[h_hargasebelumdiskon]]="","",IF(Table1[[#This Row],[Disc 2]]="",0,(Table1[[#This Row],[h_hargasebelumdiskon]]-Table1[[#This Row],[h_disc 1]])*Table1[[#This Row],[Disc 2]]))</f>
        <v/>
      </c>
      <c r="AB270" s="283" t="str">
        <f>IF(Table1[Item Description]="","",Table1[[#This Row],[h_disc 1]]+Table1[[#This Row],[h_disc 2]])</f>
        <v/>
      </c>
      <c r="AC270" s="283" t="str">
        <f>IF(Table1[Item Description]="","",Table1[[#This Row],[h_hargasebelumdiskon]]-Table1[[#This Row],[h_diskon]])</f>
        <v/>
      </c>
      <c r="AD270" s="283" t="str">
        <f ca="1">IF(Table1[//]="","",SUMIF(Table1[h_id],Table1[h_id],Table1[h_hargasetelahdiskon]))</f>
        <v/>
      </c>
      <c r="AE270" s="283"/>
      <c r="AF270" s="283" t="str">
        <f>Table1[[#This Row],[Item Description]]&amp;Table1[[#This Row],[Unit]]&amp;Table1[[#This Row],[Unit Price]]</f>
        <v/>
      </c>
    </row>
    <row r="271" spans="1:32" x14ac:dyDescent="0.25">
      <c r="A271" s="287" t="str">
        <f ca="1">IF(Table1[[#This Row],[No. Invoice :]]="","",ROW())</f>
        <v/>
      </c>
      <c r="B271" s="287" t="str">
        <f ca="1">IF(Table1[Column3]="","",B$1+COUNT(INDIRECT("B$2:B"&amp;ROW()-1)))</f>
        <v/>
      </c>
      <c r="C271" s="281" t="str">
        <f>IF(Table1[[#This Row],[Column2]]="","",Table1[[#This Row],[Column2]]+C$1-1)</f>
        <v/>
      </c>
      <c r="H271" s="287" t="str">
        <f ca="1">IF(Table1[[#This Row],[h_No. Invoice :]]="","",CONCATENATE("AM"," ",Table1[[#This Row],[h_No. Invoice :]]))</f>
        <v/>
      </c>
      <c r="I271" s="288" t="str">
        <f>CONCATENATE(UPPER(Table1[[#This Row],[Column3]])," ",Table1[[#This Row],[Column4]])</f>
        <v xml:space="preserve"> </v>
      </c>
      <c r="J271" s="287" t="str">
        <f>IF(Table1[[#This Row],[Column5]]="","",INDEX(Table2[e],IF(Table1[[#This Row],[Column5]]="","",MATCH(Table1[[#This Row],[Column5]],Table2[a],0)),))</f>
        <v/>
      </c>
      <c r="O271" s="287" t="str">
        <f>IF(Table1[[#This Row],[h_Item Description]]="","",INDEX([1]!db[NB PAJAK],MATCH(Table1[[#This Row],[h_Item Description]],[1]!db[kode],0)))</f>
        <v/>
      </c>
      <c r="Q271" s="283"/>
      <c r="R271" s="284"/>
      <c r="T271" s="283" t="str">
        <f>Table1[[#This Row],[h_hargasetelahdiskon]]</f>
        <v/>
      </c>
      <c r="W271" s="287" t="str">
        <f ca="1">IF(Table1[[#This Row],[Item Description]]="","",IF(Table1[[#This Row],[//]]="",INDIRECT(ADDRESS(ROW()-1,COLUMN())),Table1[[#This Row],[//]]))</f>
        <v/>
      </c>
      <c r="X271" s="287" t="str">
        <f ca="1">IF(Table1[[#This Row],[h_id]]="","",COUNTIF(Table1[h_id],Table1[[#This Row],[h_id]]))</f>
        <v/>
      </c>
      <c r="Y271" s="283" t="str">
        <f>IF(Table1[Item Description]="","",Table1[[#This Row],[Qty]]*Table1[[#This Row],[Unit Price]])</f>
        <v/>
      </c>
      <c r="Z271" s="283" t="str">
        <f>IF(Table1[[#This Row],[h_hargasebelumdiskon]]="","",IF(Table1[[#This Row],[Disc 1]]="",0,Table1[[#This Row],[h_hargasebelumdiskon]]*Table1[[#This Row],[Disc 1]]))</f>
        <v/>
      </c>
      <c r="AA271" s="283" t="str">
        <f>IF(Table1[[#This Row],[h_hargasebelumdiskon]]="","",IF(Table1[[#This Row],[Disc 2]]="",0,(Table1[[#This Row],[h_hargasebelumdiskon]]-Table1[[#This Row],[h_disc 1]])*Table1[[#This Row],[Disc 2]]))</f>
        <v/>
      </c>
      <c r="AB271" s="283" t="str">
        <f>IF(Table1[Item Description]="","",Table1[[#This Row],[h_disc 1]]+Table1[[#This Row],[h_disc 2]])</f>
        <v/>
      </c>
      <c r="AC271" s="283" t="str">
        <f>IF(Table1[Item Description]="","",Table1[[#This Row],[h_hargasebelumdiskon]]-Table1[[#This Row],[h_diskon]])</f>
        <v/>
      </c>
      <c r="AD271" s="283" t="str">
        <f ca="1">IF(Table1[//]="","",SUMIF(Table1[h_id],Table1[h_id],Table1[h_hargasetelahdiskon]))</f>
        <v/>
      </c>
      <c r="AE271" s="283"/>
      <c r="AF271" s="283" t="str">
        <f>Table1[[#This Row],[Item Description]]&amp;Table1[[#This Row],[Unit]]&amp;Table1[[#This Row],[Unit Price]]</f>
        <v/>
      </c>
    </row>
    <row r="272" spans="1:32" x14ac:dyDescent="0.25">
      <c r="A272" s="304"/>
      <c r="B272" s="304"/>
      <c r="C272" s="305"/>
      <c r="D272" s="306"/>
      <c r="E272" s="307"/>
      <c r="F272" s="308"/>
      <c r="G272" s="307"/>
      <c r="H272" s="304"/>
      <c r="I272" s="309"/>
      <c r="J272" s="304"/>
      <c r="K272" s="307"/>
      <c r="L272" s="307"/>
      <c r="M272" s="307"/>
      <c r="N272" s="307"/>
      <c r="O272" s="304"/>
      <c r="P272" s="307"/>
      <c r="Q272" s="310"/>
      <c r="R272" s="311"/>
      <c r="S272" s="311"/>
      <c r="T272" s="310"/>
      <c r="U272" s="310"/>
      <c r="V272" s="307"/>
      <c r="W272" s="304"/>
      <c r="X272" s="304"/>
      <c r="Y272" s="310"/>
      <c r="Z272" s="310"/>
      <c r="AA272" s="310"/>
      <c r="AB272" s="310"/>
      <c r="AC272" s="310"/>
      <c r="AD272" s="310"/>
      <c r="AE272" s="310"/>
      <c r="AF272" s="310"/>
    </row>
  </sheetData>
  <conditionalFormatting sqref="P58">
    <cfRule type="duplicateValues" dxfId="99" priority="2"/>
  </conditionalFormatting>
  <conditionalFormatting sqref="P25">
    <cfRule type="duplicateValues" dxfId="98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tabSelected="1" zoomScaleNormal="100" workbookViewId="0">
      <selection activeCell="A5" sqref="A5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1" width="6.140625" style="183" customWidth="1"/>
    <col min="22" max="22" width="10.28515625" style="183" customWidth="1"/>
    <col min="23" max="23" width="6.140625" style="183" customWidth="1"/>
    <col min="24" max="24" width="10.57031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115</v>
      </c>
      <c r="T1" s="183" t="s">
        <v>116</v>
      </c>
      <c r="U1" s="183" t="s">
        <v>115</v>
      </c>
      <c r="V1" s="183" t="s">
        <v>115</v>
      </c>
      <c r="W1" s="183" t="s">
        <v>117</v>
      </c>
      <c r="X1" s="183" t="s">
        <v>118</v>
      </c>
    </row>
    <row r="2" spans="1:27" x14ac:dyDescent="0.25">
      <c r="H2" t="s">
        <v>183</v>
      </c>
      <c r="I2" s="87" t="s">
        <v>184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17</v>
      </c>
      <c r="H3" s="294" t="str">
        <f>"["&amp;H2&amp;".xlsx]Invoice"</f>
        <v>[10-Hitung FP Keluar Oktober 2023.xlsx]Invoice</v>
      </c>
      <c r="I3" s="296"/>
      <c r="O3" s="85">
        <f>preview!K1</f>
        <v>0</v>
      </c>
      <c r="R3" t="str">
        <f>"'"&amp;pointer&amp;"'"&amp;"!$"&amp;1:1&amp;":$"&amp;1:1</f>
        <v>'[10-Hitung FP Keluar Oktober 2023.xlsx]Invoice'!$D:$D</v>
      </c>
      <c r="S3">
        <f>NOTA!B1</f>
        <v>23100001</v>
      </c>
      <c r="T3" t="str">
        <f>"'"&amp;pointer&amp;"'"&amp;"!$"&amp;1:1&amp;":$"&amp;1:1</f>
        <v>'[10-Hitung FP Keluar Oktober 2023.xlsx]Invoice'!$E:$E</v>
      </c>
      <c r="U3" t="str">
        <f>"'"&amp;pointer&amp;"'"&amp;"!$"&amp;1:1&amp;":$"&amp;1:1</f>
        <v>'[10-Hitung FP Keluar Oktober 2023.xlsx]Invoice'!$D:$D</v>
      </c>
      <c r="V3" t="str">
        <f>"'"&amp;pointer&amp;"'"&amp;"!$"&amp;1:1&amp;":$"&amp;1:1</f>
        <v>'[10-Hitung FP Keluar Oktober 2023.xlsx]Invoice'!$D:$D</v>
      </c>
      <c r="W3" t="str">
        <f>"'"&amp;pointer&amp;"'"&amp;"!$"&amp;1:1&amp;":$"&amp;1:1</f>
        <v>'[10-Hitung FP Keluar Oktober 2023.xlsx]Invoice'!$K:$K</v>
      </c>
      <c r="X3" t="str">
        <f>"'"&amp;pointer&amp;"'"&amp;"!$"&amp;1:1&amp;":$"&amp;1:1</f>
        <v>'[10-Hitung FP Keluar Oktober 2023.xlsx]Invoice'!$J:$J</v>
      </c>
    </row>
    <row r="4" spans="1:27" s="86" customFormat="1" x14ac:dyDescent="0.25">
      <c r="A4" s="276" t="s">
        <v>51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48</v>
      </c>
      <c r="J4" s="278" t="s">
        <v>53</v>
      </c>
      <c r="K4" s="278" t="s">
        <v>47</v>
      </c>
      <c r="L4" s="278" t="s">
        <v>49</v>
      </c>
      <c r="M4" s="278" t="s">
        <v>50</v>
      </c>
      <c r="N4" s="279" t="s">
        <v>54</v>
      </c>
      <c r="O4" s="279" t="s">
        <v>55</v>
      </c>
      <c r="P4" s="279" t="s">
        <v>120</v>
      </c>
      <c r="Q4" s="279"/>
      <c r="R4" s="291" t="s">
        <v>15</v>
      </c>
      <c r="S4" s="295" t="s">
        <v>119</v>
      </c>
      <c r="T4" s="86" t="s">
        <v>1</v>
      </c>
      <c r="U4" s="291" t="s">
        <v>3</v>
      </c>
      <c r="V4" s="86" t="s">
        <v>2</v>
      </c>
      <c r="W4" s="86" t="s">
        <v>50</v>
      </c>
      <c r="X4" s="86" t="s">
        <v>54</v>
      </c>
      <c r="Z4" s="86" t="s">
        <v>26</v>
      </c>
      <c r="AA4" s="278">
        <f ca="1">SUM(pajak[Total Invoice])</f>
        <v>103677324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23100001</v>
      </c>
      <c r="F5" s="88">
        <f ca="1">IF(pajak[[#This Row],[//]]="","",INDEX(Table1[Tgl Invoice :],pajak[//]-offset))</f>
        <v>45204</v>
      </c>
      <c r="G5" t="str">
        <f ca="1">IF(pajak[[#This Row],[//]]="","",INDEX(Table1[Kode Sales :],pajak[//]-offset))</f>
        <v>KO 3977</v>
      </c>
      <c r="H5" t="str">
        <f ca="1">IF(pajak[[#This Row],[//]]="","",INDEX(Table1[Toko],pajak[//]-offset))</f>
        <v>HARNOYO (BENDAN) PEKALONGAN</v>
      </c>
      <c r="I5" s="87">
        <f ca="1">IF(pajak[[#This Row],[//]]="","",SUMIF(Table1[h_id],pajak[[#This Row],[//]],Table1[h_hargasebelumdiskon]))</f>
        <v>2094000</v>
      </c>
      <c r="J5" s="87">
        <f ca="1">IF(pajak[[#This Row],[//]]="","",SUMIF(Table1[h_id],pajak[[#This Row],[//]],Table1[h_diskon]))</f>
        <v>285600</v>
      </c>
      <c r="K5" s="87">
        <f ca="1">IF(pajak[[#This Row],[//]]="","",SUMIF(Table1[h_id],pajak[[#This Row],[//]],Table1[h_hargasetelahdiskon]))</f>
        <v>1808400</v>
      </c>
      <c r="L5" s="87">
        <f ca="1">IF(pajak[//]="","",pajak[[#This Row],[Sub Total]]/1.11*11%)</f>
        <v>179210.8108108108</v>
      </c>
      <c r="M5" s="87">
        <f ca="1">pajak[[#This Row],[Sub Total]]</f>
        <v>1808400</v>
      </c>
      <c r="N5" s="85" t="str">
        <f ca="1">IF(pajak[[#This Row],[//]]="","",INDEX(Table1[pembuat nota :],pajak[//]-offset))</f>
        <v>NOVI / CONDRO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23100001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10274329.405405406</v>
      </c>
    </row>
    <row r="6" spans="1:27" x14ac:dyDescent="0.25">
      <c r="A6" s="291">
        <v>6</v>
      </c>
      <c r="D6">
        <f t="shared" ca="1" si="0"/>
        <v>6</v>
      </c>
      <c r="E6" t="str">
        <f ca="1">IF(pajak[[#This Row],[//]]="","",INDEX(Table1[No. Invoice :],pajak[//]-offset))</f>
        <v>AM 23100002</v>
      </c>
      <c r="F6" s="88" t="e">
        <f ca="1">IF(pajak[[#This Row],[//]]="","",INDEX(Table1[Tgl Invoice :],pajak[//]-offset))</f>
        <v>#VALUE!</v>
      </c>
      <c r="G6" t="str">
        <f ca="1">IF(pajak[[#This Row],[//]]="","",INDEX(Table1[Kode Sales :],pajak[//]-offset))</f>
        <v xml:space="preserve">   </v>
      </c>
      <c r="H6" t="e">
        <f ca="1">IF(pajak[[#This Row],[//]]="","",INDEX(Table1[Toko],pajak[//]-offset))</f>
        <v>#N/A</v>
      </c>
      <c r="I6" s="87">
        <f ca="1">IF(pajak[[#This Row],[//]]="","",SUMIF(Table1[h_id],pajak[[#This Row],[//]],Table1[h_hargasebelumdiskon]))</f>
        <v>0</v>
      </c>
      <c r="J6" s="87">
        <f ca="1">IF(pajak[[#This Row],[//]]="","",SUMIF(Table1[h_id],pajak[[#This Row],[//]],Table1[h_diskon]))</f>
        <v>0</v>
      </c>
      <c r="K6" s="87">
        <f ca="1">IF(pajak[[#This Row],[//]]="","",SUMIF(Table1[h_id],pajak[[#This Row],[//]],Table1[h_hargasetelahdiskon]))</f>
        <v>0</v>
      </c>
      <c r="L6" s="87">
        <f ca="1">IF(pajak[//]="","",pajak[[#This Row],[Sub Total]]/1.11*11%)</f>
        <v>0</v>
      </c>
      <c r="M6" s="87">
        <f ca="1">pajak[[#This Row],[Sub Total]]</f>
        <v>0</v>
      </c>
      <c r="N6" s="85">
        <f ca="1">IF(pajak[[#This Row],[//]]="","",INDEX(Table1[pembuat nota :],pajak[//]-offset))</f>
        <v>0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23100002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10274329.405405404</v>
      </c>
    </row>
    <row r="7" spans="1:27" x14ac:dyDescent="0.25">
      <c r="A7" s="291">
        <v>8</v>
      </c>
      <c r="D7">
        <f t="shared" ca="1" si="0"/>
        <v>8</v>
      </c>
      <c r="E7" t="str">
        <f ca="1">IF(pajak[[#This Row],[//]]="","",INDEX(Table1[No. Invoice :],pajak[//]-offset))</f>
        <v>AM 23100003</v>
      </c>
      <c r="F7" s="88" t="e">
        <f ca="1">IF(pajak[[#This Row],[//]]="","",INDEX(Table1[Tgl Invoice :],pajak[//]-offset))</f>
        <v>#VALUE!</v>
      </c>
      <c r="G7" t="str">
        <f ca="1">IF(pajak[[#This Row],[//]]="","",INDEX(Table1[Kode Sales :],pajak[//]-offset))</f>
        <v>` `</v>
      </c>
      <c r="H7" t="e">
        <f ca="1">IF(pajak[[#This Row],[//]]="","",INDEX(Table1[Toko],pajak[//]-offset))</f>
        <v>#N/A</v>
      </c>
      <c r="I7" s="87">
        <f ca="1">IF(pajak[[#This Row],[//]]="","",SUMIF(Table1[h_id],pajak[[#This Row],[//]],Table1[h_hargasebelumdiskon]))</f>
        <v>0</v>
      </c>
      <c r="J7" s="87">
        <f ca="1">IF(pajak[[#This Row],[//]]="","",SUMIF(Table1[h_id],pajak[[#This Row],[//]],Table1[h_diskon]))</f>
        <v>0</v>
      </c>
      <c r="K7" s="87">
        <f ca="1">IF(pajak[[#This Row],[//]]="","",SUMIF(Table1[h_id],pajak[[#This Row],[//]],Table1[h_hargasetelahdiskon]))</f>
        <v>0</v>
      </c>
      <c r="L7" s="87">
        <f ca="1">IF(pajak[//]="","",pajak[[#This Row],[Sub Total]]/1.11*11%)</f>
        <v>0</v>
      </c>
      <c r="M7" s="87">
        <f ca="1">pajak[[#This Row],[Sub Total]]</f>
        <v>0</v>
      </c>
      <c r="N7" s="85">
        <f ca="1">IF(pajak[[#This Row],[//]]="","",INDEX(Table1[pembuat nota :],pajak[//]-offset))</f>
        <v>0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23100003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10</v>
      </c>
      <c r="D8">
        <f t="shared" ca="1" si="0"/>
        <v>10</v>
      </c>
      <c r="E8" t="str">
        <f ca="1">IF(pajak[[#This Row],[//]]="","",INDEX(Table1[No. Invoice :],pajak[//]-offset))</f>
        <v>AM 23100004</v>
      </c>
      <c r="F8" s="88" t="e">
        <f ca="1">IF(pajak[[#This Row],[//]]="","",INDEX(Table1[Tgl Invoice :],pajak[//]-offset))</f>
        <v>#VALUE!</v>
      </c>
      <c r="G8" t="str">
        <f ca="1">IF(pajak[[#This Row],[//]]="","",INDEX(Table1[Kode Sales :],pajak[//]-offset))</f>
        <v>` `</v>
      </c>
      <c r="H8" t="e">
        <f ca="1">IF(pajak[[#This Row],[//]]="","",INDEX(Table1[Toko],pajak[//]-offset))</f>
        <v>#N/A</v>
      </c>
      <c r="I8" s="87">
        <f ca="1">IF(pajak[[#This Row],[//]]="","",SUMIF(Table1[h_id],pajak[[#This Row],[//]],Table1[h_hargasebelumdiskon]))</f>
        <v>0</v>
      </c>
      <c r="J8" s="87">
        <f ca="1">IF(pajak[[#This Row],[//]]="","",SUMIF(Table1[h_id],pajak[[#This Row],[//]],Table1[h_diskon]))</f>
        <v>0</v>
      </c>
      <c r="K8" s="87">
        <f ca="1">IF(pajak[[#This Row],[//]]="","",SUMIF(Table1[h_id],pajak[[#This Row],[//]],Table1[h_hargasetelahdiskon]))</f>
        <v>0</v>
      </c>
      <c r="L8" s="87">
        <f ca="1">IF(pajak[//]="","",pajak[[#This Row],[Sub Total]]/1.11*11%)</f>
        <v>0</v>
      </c>
      <c r="M8" s="87">
        <f ca="1">pajak[[#This Row],[Sub Total]]</f>
        <v>0</v>
      </c>
      <c r="N8" s="85">
        <f ca="1">IF(pajak[[#This Row],[//]]="","",INDEX(Table1[pembuat nota :],pajak[//]-offset))</f>
        <v>0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23100004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>
        <v>12</v>
      </c>
      <c r="D9">
        <f t="shared" ca="1" si="0"/>
        <v>12</v>
      </c>
      <c r="E9" t="str">
        <f ca="1">IF(pajak[[#This Row],[//]]="","",INDEX(Table1[No. Invoice :],pajak[//]-offset))</f>
        <v>AM 23100005</v>
      </c>
      <c r="F9" s="88" t="e">
        <f ca="1">IF(pajak[[#This Row],[//]]="","",INDEX(Table1[Tgl Invoice :],pajak[//]-offset))</f>
        <v>#VALUE!</v>
      </c>
      <c r="G9" t="str">
        <f ca="1">IF(pajak[[#This Row],[//]]="","",INDEX(Table1[Kode Sales :],pajak[//]-offset))</f>
        <v>` `</v>
      </c>
      <c r="H9" t="e">
        <f ca="1">IF(pajak[[#This Row],[//]]="","",INDEX(Table1[Toko],pajak[//]-offset))</f>
        <v>#N/A</v>
      </c>
      <c r="I9" s="87">
        <f ca="1">IF(pajak[[#This Row],[//]]="","",SUMIF(Table1[h_id],pajak[[#This Row],[//]],Table1[h_hargasebelumdiskon]))</f>
        <v>0</v>
      </c>
      <c r="J9" s="87">
        <f ca="1">IF(pajak[[#This Row],[//]]="","",SUMIF(Table1[h_id],pajak[[#This Row],[//]],Table1[h_diskon]))</f>
        <v>0</v>
      </c>
      <c r="K9" s="87">
        <f ca="1">IF(pajak[[#This Row],[//]]="","",SUMIF(Table1[h_id],pajak[[#This Row],[//]],Table1[h_hargasetelahdiskon]))</f>
        <v>0</v>
      </c>
      <c r="L9" s="87">
        <f ca="1">IF(pajak[//]="","",pajak[[#This Row],[Sub Total]]/1.11*11%)</f>
        <v>0</v>
      </c>
      <c r="M9" s="87">
        <f ca="1">pajak[[#This Row],[Sub Total]]</f>
        <v>0</v>
      </c>
      <c r="N9" s="85">
        <f ca="1">IF(pajak[[#This Row],[//]]="","",INDEX(Table1[pembuat nota :],pajak[//]-offset))</f>
        <v>0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23100005</v>
      </c>
      <c r="T9" s="183" t="e">
        <f ca="1">IF(Table4[[#This Row],[AM]]&amp;" "&amp;Table4[[#This Row],[---]]=INDIRECT("pajak[@["&amp;Table4[#Headers]&amp;"]]"),MATCH(Table4[[#This Row],[---]],INDIRECT($3:$3),0))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>
        <v>14</v>
      </c>
      <c r="D10">
        <f t="shared" ca="1" si="0"/>
        <v>14</v>
      </c>
      <c r="E10" t="str">
        <f ca="1">IF(pajak[[#This Row],[//]]="","",INDEX(Table1[No. Invoice :],pajak[//]-offset))</f>
        <v>AM 23100006</v>
      </c>
      <c r="F10" s="88">
        <f ca="1">IF(pajak[[#This Row],[//]]="","",INDEX(Table1[Tgl Invoice :],pajak[//]-offset))</f>
        <v>45208</v>
      </c>
      <c r="G10" t="str">
        <f ca="1">IF(pajak[[#This Row],[//]]="","",INDEX(Table1[Kode Sales :],pajak[//]-offset))</f>
        <v>KO 3990</v>
      </c>
      <c r="H10" t="str">
        <f ca="1">IF(pajak[[#This Row],[//]]="","",INDEX(Table1[Toko],pajak[//]-offset))</f>
        <v>CV GANESHA WONOSOBO</v>
      </c>
      <c r="I10" s="87">
        <f ca="1">IF(pajak[[#This Row],[//]]="","",SUMIF(Table1[h_id],pajak[[#This Row],[//]],Table1[h_hargasebelumdiskon]))</f>
        <v>120000</v>
      </c>
      <c r="J10" s="87">
        <f ca="1">IF(pajak[[#This Row],[//]]="","",SUMIF(Table1[h_id],pajak[[#This Row],[//]],Table1[h_diskon]))</f>
        <v>12000</v>
      </c>
      <c r="K10" s="87">
        <f ca="1">IF(pajak[[#This Row],[//]]="","",SUMIF(Table1[h_id],pajak[[#This Row],[//]],Table1[h_hargasetelahdiskon]))</f>
        <v>108000</v>
      </c>
      <c r="L10" s="87">
        <f ca="1">IF(pajak[//]="","",pajak[[#This Row],[Sub Total]]/1.11*11%)</f>
        <v>10702.702702702702</v>
      </c>
      <c r="M10" s="87">
        <f ca="1">pajak[[#This Row],[Sub Total]]</f>
        <v>108000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23100006</v>
      </c>
      <c r="T10" s="183" t="e">
        <f ca="1">IF(Table4[[#This Row],[AM]]&amp;" "&amp;Table4[[#This Row],[---]]=INDIRECT("pajak[@["&amp;Table4[#Headers]&amp;"]]"),MATCH(Table4[[#This Row],[---]],INDIRECT($3:$3),0))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A11" s="291">
        <v>16</v>
      </c>
      <c r="D11">
        <f t="shared" ca="1" si="0"/>
        <v>16</v>
      </c>
      <c r="E11" t="str">
        <f ca="1">IF(pajak[[#This Row],[//]]="","",INDEX(Table1[No. Invoice :],pajak[//]-offset))</f>
        <v>AM 23100007</v>
      </c>
      <c r="F11" s="88">
        <f ca="1">IF(pajak[[#This Row],[//]]="","",INDEX(Table1[Tgl Invoice :],pajak[//]-offset))</f>
        <v>45208</v>
      </c>
      <c r="G11" t="str">
        <f ca="1">IF(pajak[[#This Row],[//]]="","",INDEX(Table1[Kode Sales :],pajak[//]-offset))</f>
        <v>KO 3920</v>
      </c>
      <c r="H11" t="str">
        <f ca="1">IF(pajak[[#This Row],[//]]="","",INDEX(Table1[Toko],pajak[//]-offset))</f>
        <v>HARNOYO (BENDAN) PEKALONGAN</v>
      </c>
      <c r="I11" s="87">
        <f ca="1">IF(pajak[[#This Row],[//]]="","",SUMIF(Table1[h_id],pajak[[#This Row],[//]],Table1[h_hargasebelumdiskon]))</f>
        <v>1810800</v>
      </c>
      <c r="J11" s="87">
        <f ca="1">IF(pajak[[#This Row],[//]]="","",SUMIF(Table1[h_id],pajak[[#This Row],[//]],Table1[h_diskon]))</f>
        <v>247050.00000000003</v>
      </c>
      <c r="K11" s="87">
        <f ca="1">IF(pajak[[#This Row],[//]]="","",SUMIF(Table1[h_id],pajak[[#This Row],[//]],Table1[h_hargasetelahdiskon]))</f>
        <v>1563750</v>
      </c>
      <c r="L11" s="87">
        <f ca="1">IF(pajak[//]="","",pajak[[#This Row],[Sub Total]]/1.11*11%)</f>
        <v>154966.21621621621</v>
      </c>
      <c r="M11" s="87">
        <f ca="1">pajak[[#This Row],[Sub Total]]</f>
        <v>1563750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23100007</v>
      </c>
      <c r="T11" s="183" t="e">
        <f ca="1">IF(Table4[[#This Row],[AM]]&amp;" "&amp;Table4[[#This Row],[---]]=INDIRECT("pajak[@["&amp;Table4[#Headers]&amp;"]]"),MATCH(Table4[[#This Row],[---]],INDIRECT($3:$3),0))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A12" s="291">
        <v>19</v>
      </c>
      <c r="D12">
        <f t="shared" ca="1" si="0"/>
        <v>19</v>
      </c>
      <c r="E12" t="str">
        <f ca="1">IF(pajak[[#This Row],[//]]="","",INDEX(Table1[No. Invoice :],pajak[//]-offset))</f>
        <v>AM 23100008</v>
      </c>
      <c r="F12" s="88">
        <f ca="1">IF(pajak[[#This Row],[//]]="","",INDEX(Table1[Tgl Invoice :],pajak[//]-offset))</f>
        <v>45208</v>
      </c>
      <c r="G12" t="str">
        <f ca="1">IF(pajak[[#This Row],[//]]="","",INDEX(Table1[Kode Sales :],pajak[//]-offset))</f>
        <v>KO 3921</v>
      </c>
      <c r="H12" t="str">
        <f ca="1">IF(pajak[[#This Row],[//]]="","",INDEX(Table1[Toko],pajak[//]-offset))</f>
        <v>CV PELITA JAYA (ANUGERAH SEJAHTERA) PURWOKERTO</v>
      </c>
      <c r="I12" s="87">
        <f ca="1">IF(pajak[[#This Row],[//]]="","",SUMIF(Table1[h_id],pajak[[#This Row],[//]],Table1[h_hargasebelumdiskon]))</f>
        <v>28036800</v>
      </c>
      <c r="J12" s="87">
        <f ca="1">IF(pajak[[#This Row],[//]]="","",SUMIF(Table1[h_id],pajak[[#This Row],[//]],Table1[h_diskon]))</f>
        <v>3784968</v>
      </c>
      <c r="K12" s="87">
        <f ca="1">IF(pajak[[#This Row],[//]]="","",SUMIF(Table1[h_id],pajak[[#This Row],[//]],Table1[h_hargasetelahdiskon]))</f>
        <v>24251832</v>
      </c>
      <c r="L12" s="87">
        <f ca="1">IF(pajak[//]="","",pajak[[#This Row],[Sub Total]]/1.11*11%)</f>
        <v>2403334.7027027025</v>
      </c>
      <c r="M12" s="87">
        <f ca="1">pajak[[#This Row],[Sub Total]]</f>
        <v>24251832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23100008</v>
      </c>
      <c r="T12" s="183" t="e">
        <f ca="1">IF(Table4[[#This Row],[AM]]&amp;" "&amp;Table4[[#This Row],[---]]=INDIRECT("pajak[@["&amp;Table4[#Headers]&amp;"]]"),MATCH(Table4[[#This Row],[---]],INDIRECT($3:$3),0))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A13" s="291">
        <v>25</v>
      </c>
      <c r="D13">
        <f t="shared" ca="1" si="0"/>
        <v>25</v>
      </c>
      <c r="E13" t="str">
        <f ca="1">IF(pajak[[#This Row],[//]]="","",INDEX(Table1[No. Invoice :],pajak[//]-offset))</f>
        <v>AM 23100009</v>
      </c>
      <c r="F13" s="88">
        <f ca="1">IF(pajak[[#This Row],[//]]="","",INDEX(Table1[Tgl Invoice :],pajak[//]-offset))</f>
        <v>45210</v>
      </c>
      <c r="G13" t="str">
        <f ca="1">IF(pajak[[#This Row],[//]]="","",INDEX(Table1[Kode Sales :],pajak[//]-offset))</f>
        <v>G 4000</v>
      </c>
      <c r="H13" t="str">
        <f ca="1">IF(pajak[[#This Row],[//]]="","",INDEX(Table1[Toko],pajak[//]-offset))</f>
        <v>LILY JULIAWATI (REJO AGUNG) JOMBANG</v>
      </c>
      <c r="I13" s="87">
        <f ca="1">IF(pajak[[#This Row],[//]]="","",SUMIF(Table1[h_id],pajak[[#This Row],[//]],Table1[h_hargasebelumdiskon]))</f>
        <v>31881600</v>
      </c>
      <c r="J13" s="87">
        <f ca="1">IF(pajak[[#This Row],[//]]="","",SUMIF(Table1[h_id],pajak[[#This Row],[//]],Table1[h_diskon]))</f>
        <v>3985200</v>
      </c>
      <c r="K13" s="87">
        <f ca="1">IF(pajak[[#This Row],[//]]="","",SUMIF(Table1[h_id],pajak[[#This Row],[//]],Table1[h_hargasetelahdiskon]))</f>
        <v>27896400</v>
      </c>
      <c r="L13" s="87">
        <f ca="1">IF(pajak[//]="","",pajak[[#This Row],[Sub Total]]/1.11*11%)</f>
        <v>2764508.1081081079</v>
      </c>
      <c r="M13" s="87">
        <f ca="1">pajak[[#This Row],[Sub Total]]</f>
        <v>27896400</v>
      </c>
      <c r="N13" s="85" t="str">
        <f ca="1">IF(pajak[[#This Row],[//]]="","",INDEX(Table1[pembuat nota :],pajak[//]-offset))</f>
        <v>NOVI / CONDRO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23100009</v>
      </c>
      <c r="T13" s="183" t="e">
        <f ca="1">IF(Table4[[#This Row],[AM]]&amp;" "&amp;Table4[[#This Row],[---]]=INDIRECT("pajak[@["&amp;Table4[#Headers]&amp;"]]"),MATCH(Table4[[#This Row],[---]],INDIRECT($3:$3),0))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A14" s="291">
        <v>33</v>
      </c>
      <c r="D14" s="85">
        <f t="shared" ca="1" si="0"/>
        <v>33</v>
      </c>
      <c r="E14" t="str">
        <f ca="1">IF(pajak[[#This Row],[//]]="","",INDEX(Table1[No. Invoice :],pajak[//]-offset))</f>
        <v>AM 23100010</v>
      </c>
      <c r="F14" s="88">
        <f ca="1">IF(pajak[[#This Row],[//]]="","",INDEX(Table1[Tgl Invoice :],pajak[//]-offset))</f>
        <v>45213</v>
      </c>
      <c r="G14" s="85" t="str">
        <f ca="1">IF(pajak[[#This Row],[//]]="","",INDEX(Table1[Kode Sales :],pajak[//]-offset))</f>
        <v>KO 4612</v>
      </c>
      <c r="H14" s="85" t="str">
        <f ca="1">IF(pajak[[#This Row],[//]]="","",INDEX(Table1[Toko],pajak[//]-offset))</f>
        <v>HARNOYO (BENDAN) PEKALONGAN</v>
      </c>
      <c r="I14" s="87">
        <f ca="1">IF(pajak[[#This Row],[//]]="","",SUMIF(Table1[h_id],pajak[[#This Row],[//]],Table1[h_hargasebelumdiskon]))</f>
        <v>1416000</v>
      </c>
      <c r="J14" s="87">
        <f ca="1">IF(pajak[[#This Row],[//]]="","",SUMIF(Table1[h_id],pajak[[#This Row],[//]],Table1[h_diskon]))</f>
        <v>198240.00000000003</v>
      </c>
      <c r="K14" s="87">
        <f ca="1">IF(pajak[[#This Row],[//]]="","",SUMIF(Table1[h_id],pajak[[#This Row],[//]],Table1[h_hargasetelahdiskon]))</f>
        <v>1217760</v>
      </c>
      <c r="L14" s="87">
        <f ca="1">IF(pajak[//]="","",pajak[[#This Row],[Sub Total]]/1.11*11%)</f>
        <v>120678.91891891891</v>
      </c>
      <c r="M14" s="87">
        <f ca="1">pajak[[#This Row],[Sub Total]]</f>
        <v>1217760</v>
      </c>
      <c r="N14" s="85" t="str">
        <f ca="1">IF(pajak[[#This Row],[//]]="","",INDEX(Table1[pembuat nota :],pajak[//]-offset))</f>
        <v>NOVI / CONDRO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23100010</v>
      </c>
      <c r="T14" s="183" t="e">
        <f ca="1">IF(Table4[[#This Row],[AM]]&amp;" "&amp;Table4[[#This Row],[---]]=INDIRECT("pajak[@["&amp;Table4[#Headers]&amp;"]]"),MATCH(Table4[[#This Row],[---]],INDIRECT($3:$3),0))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A15" s="291">
        <v>35</v>
      </c>
      <c r="D15" s="85">
        <f t="shared" ca="1" si="0"/>
        <v>35</v>
      </c>
      <c r="E15" t="str">
        <f ca="1">IF(pajak[[#This Row],[//]]="","",INDEX(Table1[No. Invoice :],pajak[//]-offset))</f>
        <v>AM 23100011</v>
      </c>
      <c r="F15" s="88">
        <f ca="1">IF(pajak[[#This Row],[//]]="","",INDEX(Table1[Tgl Invoice :],pajak[//]-offset))</f>
        <v>45213</v>
      </c>
      <c r="G15" s="85" t="str">
        <f ca="1">IF(pajak[[#This Row],[//]]="","",INDEX(Table1[Kode Sales :],pajak[//]-offset))</f>
        <v>G 4615</v>
      </c>
      <c r="H15" s="85" t="str">
        <f ca="1">IF(pajak[[#This Row],[//]]="","",INDEX(Table1[Toko],pajak[//]-offset))</f>
        <v>LILY JULIAWATI (REJO AGUNG) JOMBANG</v>
      </c>
      <c r="I15" s="87">
        <f ca="1">IF(pajak[[#This Row],[//]]="","",SUMIF(Table1[h_id],pajak[[#This Row],[//]],Table1[h_hargasebelumdiskon]))</f>
        <v>8856000</v>
      </c>
      <c r="J15" s="87">
        <f ca="1">IF(pajak[[#This Row],[//]]="","",SUMIF(Table1[h_id],pajak[[#This Row],[//]],Table1[h_diskon]))</f>
        <v>1107000</v>
      </c>
      <c r="K15" s="87">
        <f ca="1">IF(pajak[[#This Row],[//]]="","",SUMIF(Table1[h_id],pajak[[#This Row],[//]],Table1[h_hargasetelahdiskon]))</f>
        <v>7749000</v>
      </c>
      <c r="L15" s="87">
        <f ca="1">IF(pajak[//]="","",pajak[[#This Row],[Sub Total]]/1.11*11%)</f>
        <v>767918.91891891882</v>
      </c>
      <c r="M15" s="87">
        <f ca="1">pajak[[#This Row],[Sub Total]]</f>
        <v>7749000</v>
      </c>
      <c r="N15" s="85" t="str">
        <f ca="1">IF(pajak[[#This Row],[//]]="","",INDEX(Table1[pembuat nota :],pajak[//]-offset))</f>
        <v>NOVI / CONDRO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23100011</v>
      </c>
      <c r="T15" s="183" t="e">
        <f ca="1">IF(Table4[[#This Row],[AM]]&amp;" "&amp;Table4[[#This Row],[---]]=INDIRECT("pajak[@["&amp;Table4[#Headers]&amp;"]]"),MATCH(Table4[[#This Row],[---]],INDIRECT($3:$3),0))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s="298" customFormat="1" x14ac:dyDescent="0.25">
      <c r="A16" s="291">
        <v>37</v>
      </c>
      <c r="D16" s="299">
        <f t="shared" ca="1" si="0"/>
        <v>37</v>
      </c>
      <c r="E16" s="298" t="str">
        <f ca="1">IF(pajak[[#This Row],[//]]="","",INDEX(Table1[No. Invoice :],pajak[//]-offset))</f>
        <v>AM 23100012</v>
      </c>
      <c r="F16" s="300">
        <f ca="1">IF(pajak[[#This Row],[//]]="","",INDEX(Table1[Tgl Invoice :],pajak[//]-offset))</f>
        <v>45213</v>
      </c>
      <c r="G16" s="299" t="str">
        <f ca="1">IF(pajak[[#This Row],[//]]="","",INDEX(Table1[Kode Sales :],pajak[//]-offset))</f>
        <v>KO 4616</v>
      </c>
      <c r="H16" s="299" t="str">
        <f ca="1">IF(pajak[[#This Row],[//]]="","",INDEX(Table1[Toko],pajak[//]-offset))</f>
        <v>CV PELITA JAYA (ANUGERAH SEJAHTERA) PURWOKERTO</v>
      </c>
      <c r="I16" s="301">
        <f ca="1">IF(pajak[[#This Row],[//]]="","",SUMIF(Table1[h_id],pajak[[#This Row],[//]],Table1[h_hargasebelumdiskon]))</f>
        <v>4060800</v>
      </c>
      <c r="J16" s="301">
        <f ca="1">IF(pajak[[#This Row],[//]]="","",SUMIF(Table1[h_id],pajak[[#This Row],[//]],Table1[h_diskon]))</f>
        <v>548208</v>
      </c>
      <c r="K16" s="301">
        <f ca="1">IF(pajak[[#This Row],[//]]="","",SUMIF(Table1[h_id],pajak[[#This Row],[//]],Table1[h_hargasetelahdiskon]))</f>
        <v>3512592</v>
      </c>
      <c r="L16" s="301">
        <f ca="1">IF(pajak[//]="","",pajak[[#This Row],[Sub Total]]/1.11*11%)</f>
        <v>348094.70270270266</v>
      </c>
      <c r="M16" s="301">
        <f ca="1">pajak[[#This Row],[Sub Total]]</f>
        <v>3512592</v>
      </c>
      <c r="N16" s="299" t="str">
        <f ca="1">IF(pajak[[#This Row],[//]]="","",INDEX(Table1[pembuat nota :],pajak[//]-offset))</f>
        <v>NOVI / CONDRO</v>
      </c>
      <c r="O16" s="299" t="str">
        <f ca="1">IF(pajak[[#This Row],[//]]="","",IF(INDEX(Table1[edited :],pajak[//]-offset)="","",INDEX(Table1[edited :],pajak[//]-offset)))</f>
        <v/>
      </c>
      <c r="P16" s="301"/>
      <c r="Q16" s="299"/>
      <c r="R16" s="298" t="str">
        <f>Table4[[#Headers],[AM]]</f>
        <v>AM</v>
      </c>
      <c r="S16" s="298">
        <f t="shared" si="1"/>
        <v>23100012</v>
      </c>
      <c r="T16" s="302" t="e">
        <f ca="1">IF(Table4[[#This Row],[AM]]&amp;" "&amp;Table4[[#This Row],[---]]=INDIRECT("pajak[@["&amp;Table4[#Headers]&amp;"]]"),MATCH(Table4[[#This Row],[---]],INDIRECT($3:$3),0))</f>
        <v>#REF!</v>
      </c>
      <c r="U16" s="302" t="e">
        <f ca="1">IF((INDEX(INDIRECT($3:$3),Table4[[#This Row],[No. Invoice :]]+$2:$2))=INDIRECT("pajak[@["&amp;Table4[#Headers]&amp;"]]"),1)</f>
        <v>#REF!</v>
      </c>
      <c r="V16" s="302" t="e">
        <f ca="1">IF((INDEX(INDIRECT($3:$3),Table4[[#This Row],[No. Invoice :]]+$2:$2))=INDIRECT("pajak[@["&amp;Table4[#Headers]&amp;"]]"),1)</f>
        <v>#REF!</v>
      </c>
      <c r="W16" s="302" t="e">
        <f ca="1">IF((INDEX(INDIRECT($3:$3),Table4[[#This Row],[No. Invoice :]]+$2:$2))=INDIRECT("pajak[@["&amp;Table4[#Headers]&amp;"]]"),1)</f>
        <v>#REF!</v>
      </c>
      <c r="X16" s="303" t="e">
        <f ca="1">IF((INDEX(INDIRECT($3:$3),Table4[[#This Row],[No. Invoice :]]+$2:$2))=INDIRECT("pajak[@["&amp;Table4[#Headers]&amp;"]]"),1)</f>
        <v>#REF!</v>
      </c>
    </row>
    <row r="17" spans="1:24" x14ac:dyDescent="0.25">
      <c r="A17" s="291">
        <v>39</v>
      </c>
      <c r="D17" s="85">
        <f t="shared" ca="1" si="0"/>
        <v>39</v>
      </c>
      <c r="E17" t="str">
        <f ca="1">IF(pajak[[#This Row],[//]]="","",INDEX(Table1[No. Invoice :],pajak[//]-offset))</f>
        <v>AM 23100013</v>
      </c>
      <c r="F17" s="88">
        <f ca="1">IF(pajak[[#This Row],[//]]="","",INDEX(Table1[Tgl Invoice :],pajak[//]-offset))</f>
        <v>45215</v>
      </c>
      <c r="G17" s="85" t="str">
        <f ca="1">IF(pajak[[#This Row],[//]]="","",INDEX(Table1[Kode Sales :],pajak[//]-offset))</f>
        <v>G 4620</v>
      </c>
      <c r="H17" s="85" t="str">
        <f ca="1">IF(pajak[[#This Row],[//]]="","",INDEX(Table1[Toko],pajak[//]-offset))</f>
        <v>LILY JULIAWATI (REJO AGUNG) JOMBANG</v>
      </c>
      <c r="I17" s="87">
        <f ca="1">IF(pajak[[#This Row],[//]]="","",SUMIF(Table1[h_id],pajak[[#This Row],[//]],Table1[h_hargasebelumdiskon]))</f>
        <v>9712800</v>
      </c>
      <c r="J17" s="87">
        <f ca="1">IF(pajak[[#This Row],[//]]="","",SUMIF(Table1[h_id],pajak[[#This Row],[//]],Table1[h_diskon]))</f>
        <v>1214100</v>
      </c>
      <c r="K17" s="87">
        <f ca="1">IF(pajak[[#This Row],[//]]="","",SUMIF(Table1[h_id],pajak[[#This Row],[//]],Table1[h_hargasetelahdiskon]))</f>
        <v>8498700</v>
      </c>
      <c r="L17" s="87">
        <f ca="1">IF(pajak[//]="","",pajak[[#This Row],[Sub Total]]/1.11*11%)</f>
        <v>842213.51351351349</v>
      </c>
      <c r="M17" s="87">
        <f ca="1">pajak[[#This Row],[Sub Total]]</f>
        <v>8498700</v>
      </c>
      <c r="N17" s="85" t="str">
        <f ca="1">IF(pajak[[#This Row],[//]]="","",INDEX(Table1[pembuat nota :],pajak[//]-offset))</f>
        <v>NOVI / CONDRO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23100013</v>
      </c>
      <c r="T17" s="183" t="e">
        <f ca="1">IF(Table4[[#This Row],[AM]]&amp;" "&amp;Table4[[#This Row],[---]]=INDIRECT("pajak[@["&amp;Table4[#Headers]&amp;"]]"),MATCH(Table4[[#This Row],[---]],INDIRECT($3:$3),0))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1:24" x14ac:dyDescent="0.25">
      <c r="A18" s="291">
        <v>43</v>
      </c>
      <c r="D18" s="85">
        <f t="shared" ca="1" si="0"/>
        <v>43</v>
      </c>
      <c r="E18" t="str">
        <f ca="1">IF(pajak[[#This Row],[//]]="","",INDEX(Table1[No. Invoice :],pajak[//]-offset))</f>
        <v>AM 23100014</v>
      </c>
      <c r="F18" s="88">
        <f ca="1">IF(pajak[[#This Row],[//]]="","",INDEX(Table1[Tgl Invoice :],pajak[//]-offset))</f>
        <v>45215</v>
      </c>
      <c r="G18" s="85" t="str">
        <f ca="1">IF(pajak[[#This Row],[//]]="","",INDEX(Table1[Kode Sales :],pajak[//]-offset))</f>
        <v>KO 4626</v>
      </c>
      <c r="H18" s="85" t="str">
        <f ca="1">IF(pajak[[#This Row],[//]]="","",INDEX(Table1[Toko],pajak[//]-offset))</f>
        <v>CV PELITA JAYA (ANUGERAH SEJAHTERA) PURWOKERTO</v>
      </c>
      <c r="I18" s="87">
        <f ca="1">IF(pajak[[#This Row],[//]]="","",SUMIF(Table1[h_id],pajak[[#This Row],[//]],Table1[h_hargasebelumdiskon]))</f>
        <v>11232000</v>
      </c>
      <c r="J18" s="87">
        <f ca="1">IF(pajak[[#This Row],[//]]="","",SUMIF(Table1[h_id],pajak[[#This Row],[//]],Table1[h_diskon]))</f>
        <v>1516320</v>
      </c>
      <c r="K18" s="87">
        <f ca="1">IF(pajak[[#This Row],[//]]="","",SUMIF(Table1[h_id],pajak[[#This Row],[//]],Table1[h_hargasetelahdiskon]))</f>
        <v>9715680</v>
      </c>
      <c r="L18" s="87">
        <f ca="1">IF(pajak[//]="","",pajak[[#This Row],[Sub Total]]/1.11*11%)</f>
        <v>962815.13513513503</v>
      </c>
      <c r="M18" s="87">
        <f ca="1">pajak[[#This Row],[Sub Total]]</f>
        <v>9715680</v>
      </c>
      <c r="N18" s="85" t="str">
        <f ca="1">IF(pajak[[#This Row],[//]]="","",INDEX(Table1[pembuat nota :],pajak[//]-offset))</f>
        <v>NOVI / CONDRO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23100014</v>
      </c>
      <c r="T18" s="183" t="e">
        <f ca="1">IF(Table4[[#This Row],[AM]]&amp;" "&amp;Table4[[#This Row],[---]]=INDIRECT("pajak[@["&amp;Table4[#Headers]&amp;"]]"),MATCH(Table4[[#This Row],[---]],INDIRECT($3:$3),0))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1:24" x14ac:dyDescent="0.25">
      <c r="A19" s="291">
        <v>47</v>
      </c>
      <c r="D19" s="85">
        <f t="shared" ca="1" si="0"/>
        <v>47</v>
      </c>
      <c r="E19" t="str">
        <f ca="1">IF(pajak[[#This Row],[//]]="","",INDEX(Table1[No. Invoice :],pajak[//]-offset))</f>
        <v>AM 23100015</v>
      </c>
      <c r="F19" s="88">
        <f ca="1">IF(pajak[[#This Row],[//]]="","",INDEX(Table1[Tgl Invoice :],pajak[//]-offset))</f>
        <v>45216</v>
      </c>
      <c r="G19" s="85" t="str">
        <f ca="1">IF(pajak[[#This Row],[//]]="","",INDEX(Table1[Kode Sales :],pajak[//]-offset))</f>
        <v>G 4630</v>
      </c>
      <c r="H19" s="85" t="str">
        <f ca="1">IF(pajak[[#This Row],[//]]="","",INDEX(Table1[Toko],pajak[//]-offset))</f>
        <v>LILY JULIAWATI (REJO AGUNG) JOMBANG</v>
      </c>
      <c r="I19" s="87">
        <f ca="1">IF(pajak[[#This Row],[//]]="","",SUMIF(Table1[h_id],pajak[[#This Row],[//]],Table1[h_hargasebelumdiskon]))</f>
        <v>13147200</v>
      </c>
      <c r="J19" s="87">
        <f ca="1">IF(pajak[[#This Row],[//]]="","",SUMIF(Table1[h_id],pajak[[#This Row],[//]],Table1[h_diskon]))</f>
        <v>1643400</v>
      </c>
      <c r="K19" s="87">
        <f ca="1">IF(pajak[[#This Row],[//]]="","",SUMIF(Table1[h_id],pajak[[#This Row],[//]],Table1[h_hargasetelahdiskon]))</f>
        <v>11503800</v>
      </c>
      <c r="L19" s="87">
        <f ca="1">IF(pajak[//]="","",pajak[[#This Row],[Sub Total]]/1.11*11%)</f>
        <v>1140016.2162162161</v>
      </c>
      <c r="M19" s="87">
        <f ca="1">pajak[[#This Row],[Sub Total]]</f>
        <v>11503800</v>
      </c>
      <c r="N19" s="85" t="str">
        <f ca="1">IF(pajak[[#This Row],[//]]="","",INDEX(Table1[pembuat nota :],pajak[//]-offset))</f>
        <v>NOVI / CONDRO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23100015</v>
      </c>
      <c r="T19" s="183" t="e">
        <f ca="1">IF(Table4[[#This Row],[AM]]&amp;" "&amp;Table4[[#This Row],[---]]=INDIRECT("pajak[@["&amp;Table4[#Headers]&amp;"]]"),MATCH(Table4[[#This Row],[---]],INDIRECT($3:$3),0))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1:24" x14ac:dyDescent="0.25">
      <c r="A20" s="291">
        <v>50</v>
      </c>
      <c r="D20" s="85">
        <f t="shared" ca="1" si="0"/>
        <v>50</v>
      </c>
      <c r="E20" t="str">
        <f ca="1">IF(pajak[[#This Row],[//]]="","",INDEX(Table1[No. Invoice :],pajak[//]-offset))</f>
        <v>AM 23100016</v>
      </c>
      <c r="F20" s="88">
        <f ca="1">IF(pajak[[#This Row],[//]]="","",INDEX(Table1[Tgl Invoice :],pajak[//]-offset))</f>
        <v>45216</v>
      </c>
      <c r="G20" s="85" t="str">
        <f ca="1">IF(pajak[[#This Row],[//]]="","",INDEX(Table1[Kode Sales :],pajak[//]-offset))</f>
        <v>KO 4638</v>
      </c>
      <c r="H20" s="85" t="str">
        <f ca="1">IF(pajak[[#This Row],[//]]="","",INDEX(Table1[Toko],pajak[//]-offset))</f>
        <v>CV PELITA JAYA (ANUGERAH SEJAHTERA) PURWOKERTO</v>
      </c>
      <c r="I20" s="87">
        <f ca="1">IF(pajak[[#This Row],[//]]="","",SUMIF(Table1[h_id],pajak[[#This Row],[//]],Table1[h_hargasebelumdiskon]))</f>
        <v>5904000</v>
      </c>
      <c r="J20" s="87">
        <f ca="1">IF(pajak[[#This Row],[//]]="","",SUMIF(Table1[h_id],pajak[[#This Row],[//]],Table1[h_diskon]))</f>
        <v>797040</v>
      </c>
      <c r="K20" s="87">
        <f ca="1">IF(pajak[[#This Row],[//]]="","",SUMIF(Table1[h_id],pajak[[#This Row],[//]],Table1[h_hargasetelahdiskon]))</f>
        <v>5106960</v>
      </c>
      <c r="L20" s="87">
        <f ca="1">IF(pajak[//]="","",pajak[[#This Row],[Sub Total]]/1.11*11%)</f>
        <v>506095.13513513509</v>
      </c>
      <c r="M20" s="87">
        <f ca="1">pajak[[#This Row],[Sub Total]]</f>
        <v>5106960</v>
      </c>
      <c r="N20" s="85" t="str">
        <f ca="1">IF(pajak[[#This Row],[//]]="","",INDEX(Table1[pembuat nota :],pajak[//]-offset))</f>
        <v>NOVI / CONDRO</v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23100016</v>
      </c>
      <c r="T20" s="183" t="e">
        <f ca="1">IF(Table4[[#This Row],[AM]]&amp;" "&amp;Table4[[#This Row],[---]]=INDIRECT("pajak[@["&amp;Table4[#Headers]&amp;"]]"),MATCH(Table4[[#This Row],[---]],INDIRECT($3:$3),0))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1:24" x14ac:dyDescent="0.25">
      <c r="A21" s="291">
        <v>52</v>
      </c>
      <c r="D21" s="85">
        <f t="shared" ca="1" si="0"/>
        <v>52</v>
      </c>
      <c r="E21" t="str">
        <f ca="1">IF(pajak[[#This Row],[//]]="","",INDEX(Table1[No. Invoice :],pajak[//]-offset))</f>
        <v>AM 23100017</v>
      </c>
      <c r="F21" s="88">
        <f ca="1">IF(pajak[[#This Row],[//]]="","",INDEX(Table1[Tgl Invoice :],pajak[//]-offset))</f>
        <v>45217</v>
      </c>
      <c r="G21" s="85" t="str">
        <f ca="1">IF(pajak[[#This Row],[//]]="","",INDEX(Table1[Kode Sales :],pajak[//]-offset))</f>
        <v>KO 4511</v>
      </c>
      <c r="H21" s="85" t="str">
        <f ca="1">IF(pajak[[#This Row],[//]]="","",INDEX(Table1[Toko],pajak[//]-offset))</f>
        <v>CV LANCAR JAYA SENTOSA MALANG</v>
      </c>
      <c r="I21" s="87">
        <f ca="1">IF(pajak[[#This Row],[//]]="","",SUMIF(Table1[h_id],pajak[[#This Row],[//]],Table1[h_hargasebelumdiskon]))</f>
        <v>850800</v>
      </c>
      <c r="J21" s="87">
        <f ca="1">IF(pajak[[#This Row],[//]]="","",SUMIF(Table1[h_id],pajak[[#This Row],[//]],Table1[h_diskon]))</f>
        <v>106350</v>
      </c>
      <c r="K21" s="87">
        <f ca="1">IF(pajak[[#This Row],[//]]="","",SUMIF(Table1[h_id],pajak[[#This Row],[//]],Table1[h_hargasetelahdiskon]))</f>
        <v>744450</v>
      </c>
      <c r="L21" s="87">
        <f ca="1">IF(pajak[//]="","",pajak[[#This Row],[Sub Total]]/1.11*11%)</f>
        <v>73774.32432432432</v>
      </c>
      <c r="M21" s="87">
        <f ca="1">pajak[[#This Row],[Sub Total]]</f>
        <v>744450</v>
      </c>
      <c r="N21" s="85" t="str">
        <f ca="1">IF(pajak[[#This Row],[//]]="","",INDEX(Table1[pembuat nota :],pajak[//]-offset))</f>
        <v>NOVI / CONDRO</v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23100017</v>
      </c>
      <c r="T21" s="183" t="e">
        <f ca="1">IF(Table4[[#This Row],[AM]]&amp;" "&amp;Table4[[#This Row],[---]]=INDIRECT("pajak[@["&amp;Table4[#Headers]&amp;"]]"),MATCH(Table4[[#This Row],[---]],INDIRECT($3:$3),0))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1:24" x14ac:dyDescent="0.25">
      <c r="A22" s="291"/>
      <c r="B22" s="291"/>
      <c r="D22" s="85" t="str">
        <f t="shared" ca="1" si="0"/>
        <v/>
      </c>
      <c r="E22" t="str">
        <f ca="1">IF(pajak[[#This Row],[//]]="","",INDEX(Table1[No. Invoice :],pajak[//]-offset))</f>
        <v/>
      </c>
      <c r="F22" s="88" t="str">
        <f ca="1">IF(pajak[[#This Row],[//]]="","",INDEX(Table1[Tgl Invoice :],pajak[//]-offset))</f>
        <v/>
      </c>
      <c r="G22" s="85" t="str">
        <f ca="1">IF(pajak[[#This Row],[//]]="","",INDEX(Table1[Kode Sales :],pajak[//]-offset))</f>
        <v/>
      </c>
      <c r="H22" s="85" t="str">
        <f ca="1">IF(pajak[[#This Row],[//]]="","",INDEX(Table1[Toko],pajak[//]-offset))</f>
        <v/>
      </c>
      <c r="I22" s="87" t="str">
        <f ca="1">IF(pajak[[#This Row],[//]]="","",SUMIF(Table1[h_id],pajak[[#This Row],[//]],Table1[h_hargasebelumdiskon]))</f>
        <v/>
      </c>
      <c r="J22" s="87" t="str">
        <f ca="1">IF(pajak[[#This Row],[//]]="","",SUMIF(Table1[h_id],pajak[[#This Row],[//]],Table1[h_diskon]))</f>
        <v/>
      </c>
      <c r="K22" s="87" t="str">
        <f ca="1">IF(pajak[[#This Row],[//]]="","",SUMIF(Table1[h_id],pajak[[#This Row],[//]],Table1[h_hargasetelahdiskon]))</f>
        <v/>
      </c>
      <c r="L22" s="87" t="str">
        <f ca="1">IF(pajak[//]="","",pajak[[#This Row],[Sub Total]]/1.11*11%)</f>
        <v/>
      </c>
      <c r="M22" s="87" t="str">
        <f ca="1">pajak[[#This Row],[Sub Total]]</f>
        <v/>
      </c>
      <c r="N22" s="85" t="str">
        <f ca="1">IF(pajak[[#This Row],[//]]="","",INDEX(Table1[pembuat nota :],pajak[//]-offset))</f>
        <v/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23100018</v>
      </c>
      <c r="T22" s="183" t="b">
        <f ca="1">IF(Table4[[#This Row],[AM]]&amp;" "&amp;Table4[[#This Row],[---]]=INDIRECT("pajak[@["&amp;Table4[#Headers]&amp;"]]"),MATCH(Table4[[#This Row],[---]],INDIRECT($3:$3),0))</f>
        <v>0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1:24" x14ac:dyDescent="0.25">
      <c r="A23" s="291" t="s">
        <v>52</v>
      </c>
      <c r="D23" s="85" t="str">
        <f t="shared" ca="1" si="0"/>
        <v/>
      </c>
      <c r="E23" t="str">
        <f ca="1">IF(pajak[[#This Row],[//]]="","",INDEX(Table1[No. Invoice :],pajak[//]-offset))</f>
        <v/>
      </c>
      <c r="F23" s="88" t="str">
        <f ca="1">IF(pajak[[#This Row],[//]]="","",INDEX(Table1[Tgl Invoice :],pajak[//]-offset))</f>
        <v/>
      </c>
      <c r="G23" s="85" t="str">
        <f ca="1">IF(pajak[[#This Row],[//]]="","",INDEX(Table1[Kode Sales :],pajak[//]-offset))</f>
        <v/>
      </c>
      <c r="H23" s="85" t="str">
        <f ca="1">IF(pajak[[#This Row],[//]]="","",INDEX(Table1[Toko],pajak[//]-offset))</f>
        <v/>
      </c>
      <c r="I23" s="87" t="str">
        <f ca="1">IF(pajak[[#This Row],[//]]="","",SUMIF(Table1[h_id],pajak[[#This Row],[//]],Table1[h_hargasebelumdiskon]))</f>
        <v/>
      </c>
      <c r="J23" s="87" t="str">
        <f ca="1">IF(pajak[[#This Row],[//]]="","",SUMIF(Table1[h_id],pajak[[#This Row],[//]],Table1[h_diskon]))</f>
        <v/>
      </c>
      <c r="K23" s="87" t="str">
        <f ca="1">IF(pajak[[#This Row],[//]]="","",SUMIF(Table1[h_id],pajak[[#This Row],[//]],Table1[h_hargasetelahdiskon]))</f>
        <v/>
      </c>
      <c r="L23" s="87" t="str">
        <f ca="1">IF(pajak[//]="","",pajak[[#This Row],[Sub Total]]/1.11*11%)</f>
        <v/>
      </c>
      <c r="M23" s="87" t="str">
        <f ca="1">pajak[[#This Row],[Sub Total]]</f>
        <v/>
      </c>
      <c r="N23" s="85" t="str">
        <f ca="1">IF(pajak[[#This Row],[//]]="","",INDEX(Table1[pembuat nota :],pajak[//]-offset))</f>
        <v/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23100019</v>
      </c>
      <c r="T23" s="183" t="b">
        <f ca="1">IF(Table4[[#This Row],[AM]]&amp;" "&amp;Table4[[#This Row],[---]]=INDIRECT("pajak[@["&amp;Table4[#Headers]&amp;"]]"),MATCH(Table4[[#This Row],[---]],INDIRECT($3:$3),0))</f>
        <v>0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1:24" x14ac:dyDescent="0.25">
      <c r="D24" s="85" t="str">
        <f t="shared" ca="1" si="0"/>
        <v/>
      </c>
      <c r="E24" s="85" t="str">
        <f ca="1">IF(pajak[[#This Row],[//]]="","",INDEX(Table1[No. Invoice :],pajak[//]-offset))</f>
        <v/>
      </c>
      <c r="F24" s="88" t="str">
        <f ca="1">IF(pajak[[#This Row],[//]]="","",INDEX(Table1[Tgl Invoice :],pajak[//]-offset))</f>
        <v/>
      </c>
      <c r="G24" s="85" t="str">
        <f ca="1">IF(pajak[[#This Row],[//]]="","",INDEX(Table1[Kode Sales :],pajak[//]-offset))</f>
        <v/>
      </c>
      <c r="H24" s="85" t="str">
        <f ca="1">IF(pajak[[#This Row],[//]]="","",INDEX(Table1[Toko],pajak[//]-offset))</f>
        <v/>
      </c>
      <c r="I24" s="87" t="str">
        <f ca="1">IF(pajak[[#This Row],[//]]="","",SUMIF(Table1[h_id],pajak[[#This Row],[//]],Table1[h_hargasebelumdiskon]))</f>
        <v/>
      </c>
      <c r="J24" s="87" t="str">
        <f ca="1">IF(pajak[[#This Row],[//]]="","",SUMIF(Table1[h_id],pajak[[#This Row],[//]],Table1[h_diskon]))</f>
        <v/>
      </c>
      <c r="K24" s="87" t="str">
        <f ca="1">IF(pajak[[#This Row],[//]]="","",SUMIF(Table1[h_id],pajak[[#This Row],[//]],Table1[h_hargasetelahdiskon]))</f>
        <v/>
      </c>
      <c r="L24" s="87" t="str">
        <f ca="1">IF(pajak[//]="","",pajak[[#This Row],[Sub Total]]/1.11*11%)</f>
        <v/>
      </c>
      <c r="M24" s="87" t="str">
        <f ca="1">pajak[[#This Row],[Sub Total]]</f>
        <v/>
      </c>
      <c r="N24" s="85" t="str">
        <f ca="1">IF(pajak[[#This Row],[//]]="","",INDEX(Table1[pembuat nota :],pajak[//]-offset))</f>
        <v/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23100020</v>
      </c>
      <c r="T24" s="183" t="b">
        <f ca="1">IF(Table4[[#This Row],[AM]]&amp;" "&amp;Table4[[#This Row],[---]]=INDIRECT("pajak[@["&amp;Table4[#Headers]&amp;"]]"),MATCH(Table4[[#This Row],[---]],INDIRECT($3:$3),0))</f>
        <v>0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1:24" x14ac:dyDescent="0.25">
      <c r="D25" s="85" t="str">
        <f t="shared" ca="1" si="0"/>
        <v/>
      </c>
      <c r="E25" s="85" t="str">
        <f ca="1">IF(pajak[[#This Row],[//]]="","",INDEX(Table1[No. Invoice :],pajak[//]-offset))</f>
        <v/>
      </c>
      <c r="F25" s="88" t="str">
        <f ca="1">IF(pajak[[#This Row],[//]]="","",INDEX(Table1[Tgl Invoice :],pajak[//]-offset))</f>
        <v/>
      </c>
      <c r="G25" s="85" t="str">
        <f ca="1">IF(pajak[[#This Row],[//]]="","",INDEX(Table1[Kode Sales :],pajak[//]-offset))</f>
        <v/>
      </c>
      <c r="H25" s="85" t="str">
        <f ca="1">IF(pajak[[#This Row],[//]]="","",INDEX(Table1[Toko],pajak[//]-offset))</f>
        <v/>
      </c>
      <c r="I25" s="87" t="str">
        <f ca="1">IF(pajak[[#This Row],[//]]="","",SUMIF(Table1[h_id],pajak[[#This Row],[//]],Table1[h_hargasebelumdiskon]))</f>
        <v/>
      </c>
      <c r="J25" s="87" t="str">
        <f ca="1">IF(pajak[[#This Row],[//]]="","",SUMIF(Table1[h_id],pajak[[#This Row],[//]],Table1[h_diskon]))</f>
        <v/>
      </c>
      <c r="K25" s="87" t="str">
        <f ca="1">IF(pajak[[#This Row],[//]]="","",SUMIF(Table1[h_id],pajak[[#This Row],[//]],Table1[h_hargasetelahdiskon]))</f>
        <v/>
      </c>
      <c r="L25" s="87" t="str">
        <f ca="1">IF(pajak[//]="","",pajak[[#This Row],[Sub Total]]/1.11*11%)</f>
        <v/>
      </c>
      <c r="M25" s="87" t="str">
        <f ca="1">pajak[[#This Row],[Sub Total]]</f>
        <v/>
      </c>
      <c r="N25" s="85" t="str">
        <f ca="1">IF(pajak[[#This Row],[//]]="","",INDEX(Table1[pembuat nota :],pajak[//]-offset))</f>
        <v/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23100021</v>
      </c>
      <c r="T25" s="183" t="b">
        <f ca="1">IF(Table4[[#This Row],[AM]]&amp;" "&amp;Table4[[#This Row],[---]]=INDIRECT("pajak[@["&amp;Table4[#Headers]&amp;"]]"),MATCH(Table4[[#This Row],[---]],INDIRECT($3:$3),0))</f>
        <v>0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1:24" x14ac:dyDescent="0.25">
      <c r="D26" s="85" t="str">
        <f t="shared" ca="1" si="0"/>
        <v/>
      </c>
      <c r="E26" s="85" t="str">
        <f ca="1">IF(pajak[[#This Row],[//]]="","",INDEX(Table1[No. Invoice :],pajak[//]-offset))</f>
        <v/>
      </c>
      <c r="F26" s="88" t="str">
        <f ca="1">IF(pajak[[#This Row],[//]]="","",INDEX(Table1[Tgl Invoice :],pajak[//]-offset))</f>
        <v/>
      </c>
      <c r="G26" s="85" t="str">
        <f ca="1">IF(pajak[[#This Row],[//]]="","",INDEX(Table1[Kode Sales :],pajak[//]-offset))</f>
        <v/>
      </c>
      <c r="H26" s="85" t="str">
        <f ca="1">IF(pajak[[#This Row],[//]]="","",INDEX(Table1[Toko],pajak[//]-offset))</f>
        <v/>
      </c>
      <c r="I26" s="87" t="str">
        <f ca="1">IF(pajak[[#This Row],[//]]="","",SUMIF(Table1[h_id],pajak[[#This Row],[//]],Table1[h_hargasebelumdiskon]))</f>
        <v/>
      </c>
      <c r="J26" s="87" t="str">
        <f ca="1">IF(pajak[[#This Row],[//]]="","",SUMIF(Table1[h_id],pajak[[#This Row],[//]],Table1[h_diskon]))</f>
        <v/>
      </c>
      <c r="K26" s="87" t="str">
        <f ca="1">IF(pajak[[#This Row],[//]]="","",SUMIF(Table1[h_id],pajak[[#This Row],[//]],Table1[h_hargasetelahdiskon]))</f>
        <v/>
      </c>
      <c r="L26" s="87" t="str">
        <f ca="1">IF(pajak[//]="","",pajak[[#This Row],[Sub Total]]/1.11*11%)</f>
        <v/>
      </c>
      <c r="M26" s="87" t="str">
        <f ca="1">pajak[[#This Row],[Sub Total]]</f>
        <v/>
      </c>
      <c r="N26" s="85" t="str">
        <f ca="1">IF(pajak[[#This Row],[//]]="","",INDEX(Table1[pembuat nota :],pajak[//]-offset))</f>
        <v/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23100022</v>
      </c>
      <c r="T26" s="184" t="b">
        <f ca="1">IF(Table4[[#This Row],[AM]]&amp;" "&amp;Table4[[#This Row],[---]]=INDIRECT("pajak[@["&amp;Table4[#Headers]&amp;"]]"),MATCH(Table4[[#This Row],[---]],INDIRECT($3:$3),0))</f>
        <v>0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1:24" x14ac:dyDescent="0.25">
      <c r="D27" s="85" t="str">
        <f t="shared" ca="1" si="0"/>
        <v/>
      </c>
      <c r="E27" s="85" t="str">
        <f ca="1">IF(pajak[[#This Row],[//]]="","",INDEX(Table1[No. Invoice :],pajak[//]-offset))</f>
        <v/>
      </c>
      <c r="F27" s="88" t="str">
        <f ca="1">IF(pajak[[#This Row],[//]]="","",INDEX(Table1[Tgl Invoice :],pajak[//]-offset))</f>
        <v/>
      </c>
      <c r="G27" s="85" t="str">
        <f ca="1">IF(pajak[[#This Row],[//]]="","",INDEX(Table1[Kode Sales :],pajak[//]-offset))</f>
        <v/>
      </c>
      <c r="H27" s="85" t="str">
        <f ca="1">IF(pajak[[#This Row],[//]]="","",INDEX(Table1[Toko],pajak[//]-offset))</f>
        <v/>
      </c>
      <c r="I27" s="87" t="str">
        <f ca="1">IF(pajak[[#This Row],[//]]="","",SUMIF(Table1[h_id],pajak[[#This Row],[//]],Table1[h_hargasebelumdiskon]))</f>
        <v/>
      </c>
      <c r="J27" s="87" t="str">
        <f ca="1">IF(pajak[[#This Row],[//]]="","",SUMIF(Table1[h_id],pajak[[#This Row],[//]],Table1[h_diskon]))</f>
        <v/>
      </c>
      <c r="K27" s="87" t="str">
        <f ca="1">IF(pajak[[#This Row],[//]]="","",SUMIF(Table1[h_id],pajak[[#This Row],[//]],Table1[h_hargasetelahdiskon]))</f>
        <v/>
      </c>
      <c r="L27" s="87" t="str">
        <f ca="1">IF(pajak[//]="","",pajak[[#This Row],[Sub Total]]/1.11*11%)</f>
        <v/>
      </c>
      <c r="M27" s="87" t="str">
        <f ca="1">pajak[[#This Row],[Sub Total]]</f>
        <v/>
      </c>
      <c r="N27" s="85" t="str">
        <f ca="1">IF(pajak[[#This Row],[//]]="","",INDEX(Table1[pembuat nota :],pajak[//]-offset))</f>
        <v/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23100023</v>
      </c>
      <c r="T27" s="184" t="b">
        <f ca="1">IF(Table4[[#This Row],[AM]]&amp;" "&amp;Table4[[#This Row],[---]]=INDIRECT("pajak[@["&amp;Table4[#Headers]&amp;"]]"),MATCH(Table4[[#This Row],[---]],INDIRECT($3:$3),0))</f>
        <v>0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1:24" x14ac:dyDescent="0.25">
      <c r="D28" s="85" t="str">
        <f t="shared" ca="1" si="0"/>
        <v/>
      </c>
      <c r="E28" s="85" t="str">
        <f ca="1">IF(pajak[[#This Row],[//]]="","",INDEX(Table1[No. Invoice :],pajak[//]-offset))</f>
        <v/>
      </c>
      <c r="F28" s="88" t="str">
        <f ca="1">IF(pajak[[#This Row],[//]]="","",INDEX(Table1[Tgl Invoice :],pajak[//]-offset))</f>
        <v/>
      </c>
      <c r="G28" s="85" t="str">
        <f ca="1">IF(pajak[[#This Row],[//]]="","",INDEX(Table1[Kode Sales :],pajak[//]-offset))</f>
        <v/>
      </c>
      <c r="H28" s="85" t="str">
        <f ca="1">IF(pajak[[#This Row],[//]]="","",INDEX(Table1[Toko],pajak[//]-offset))</f>
        <v/>
      </c>
      <c r="I28" s="87" t="str">
        <f ca="1">IF(pajak[[#This Row],[//]]="","",SUMIF(Table1[h_id],pajak[[#This Row],[//]],Table1[h_hargasebelumdiskon]))</f>
        <v/>
      </c>
      <c r="J28" s="87" t="str">
        <f ca="1">IF(pajak[[#This Row],[//]]="","",SUMIF(Table1[h_id],pajak[[#This Row],[//]],Table1[h_diskon]))</f>
        <v/>
      </c>
      <c r="K28" s="87" t="str">
        <f ca="1">IF(pajak[[#This Row],[//]]="","",SUMIF(Table1[h_id],pajak[[#This Row],[//]],Table1[h_hargasetelahdiskon]))</f>
        <v/>
      </c>
      <c r="L28" s="87" t="str">
        <f ca="1">IF(pajak[//]="","",pajak[[#This Row],[Sub Total]]/1.11*11%)</f>
        <v/>
      </c>
      <c r="M28" s="87" t="str">
        <f ca="1">pajak[[#This Row],[Sub Total]]</f>
        <v/>
      </c>
      <c r="N28" s="85" t="str">
        <f ca="1">IF(pajak[[#This Row],[//]]="","",INDEX(Table1[pembuat nota :],pajak[//]-offset))</f>
        <v/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23100024</v>
      </c>
      <c r="T28" s="184" t="b">
        <f ca="1">IF(Table4[[#This Row],[AM]]&amp;" "&amp;Table4[[#This Row],[---]]=INDIRECT("pajak[@["&amp;Table4[#Headers]&amp;"]]"),MATCH(Table4[[#This Row],[---]],INDIRECT($3:$3),0))</f>
        <v>0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1:24" x14ac:dyDescent="0.25">
      <c r="D29" s="85" t="str">
        <f t="shared" ca="1" si="0"/>
        <v/>
      </c>
      <c r="E29" s="85" t="str">
        <f ca="1">IF(pajak[[#This Row],[//]]="","",INDEX(Table1[No. Invoice :],pajak[//]-offset))</f>
        <v/>
      </c>
      <c r="F29" s="88" t="str">
        <f ca="1">IF(pajak[[#This Row],[//]]="","",INDEX(Table1[Tgl Invoice :],pajak[//]-offset))</f>
        <v/>
      </c>
      <c r="G29" s="85" t="str">
        <f ca="1">IF(pajak[[#This Row],[//]]="","",INDEX(Table1[Kode Sales :],pajak[//]-offset))</f>
        <v/>
      </c>
      <c r="H29" s="85" t="str">
        <f ca="1">IF(pajak[[#This Row],[//]]="","",INDEX(Table1[Toko],pajak[//]-offset))</f>
        <v/>
      </c>
      <c r="I29" s="87" t="str">
        <f ca="1">IF(pajak[[#This Row],[//]]="","",SUMIF(Table1[h_id],pajak[[#This Row],[//]],Table1[h_hargasebelumdiskon]))</f>
        <v/>
      </c>
      <c r="J29" s="87" t="str">
        <f ca="1">IF(pajak[[#This Row],[//]]="","",SUMIF(Table1[h_id],pajak[[#This Row],[//]],Table1[h_diskon]))</f>
        <v/>
      </c>
      <c r="K29" s="87" t="str">
        <f ca="1">IF(pajak[[#This Row],[//]]="","",SUMIF(Table1[h_id],pajak[[#This Row],[//]],Table1[h_hargasetelahdiskon]))</f>
        <v/>
      </c>
      <c r="L29" s="87" t="str">
        <f ca="1">IF(pajak[//]="","",pajak[[#This Row],[Sub Total]]/1.11*11%)</f>
        <v/>
      </c>
      <c r="M29" s="87" t="str">
        <f ca="1">pajak[[#This Row],[Sub Total]]</f>
        <v/>
      </c>
      <c r="N29" s="85" t="str">
        <f ca="1">IF(pajak[[#This Row],[//]]="","",INDEX(Table1[pembuat nota :],pajak[//]-offset))</f>
        <v/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23100025</v>
      </c>
      <c r="T29" s="184" t="b">
        <f ca="1">IF(Table4[[#This Row],[AM]]&amp;" "&amp;Table4[[#This Row],[---]]=INDIRECT("pajak[@["&amp;Table4[#Headers]&amp;"]]"),MATCH(Table4[[#This Row],[---]],INDIRECT($3:$3),0))</f>
        <v>0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1:24" x14ac:dyDescent="0.25">
      <c r="D30" s="85" t="str">
        <f t="shared" ca="1" si="0"/>
        <v/>
      </c>
      <c r="E30" s="85" t="str">
        <f ca="1">IF(pajak[[#This Row],[//]]="","",INDEX(Table1[No. Invoice :],pajak[//]-offset))</f>
        <v/>
      </c>
      <c r="F30" s="88" t="str">
        <f ca="1">IF(pajak[[#This Row],[//]]="","",INDEX(Table1[Tgl Invoice :],pajak[//]-offset))</f>
        <v/>
      </c>
      <c r="G30" s="85" t="str">
        <f ca="1">IF(pajak[[#This Row],[//]]="","",INDEX(Table1[Kode Sales :],pajak[//]-offset))</f>
        <v/>
      </c>
      <c r="H30" s="85" t="str">
        <f ca="1">IF(pajak[[#This Row],[//]]="","",INDEX(Table1[Toko],pajak[//]-offset))</f>
        <v/>
      </c>
      <c r="I30" s="87" t="str">
        <f ca="1">IF(pajak[[#This Row],[//]]="","",SUMIF(Table1[h_id],pajak[[#This Row],[//]],Table1[h_hargasebelumdiskon]))</f>
        <v/>
      </c>
      <c r="J30" s="87" t="str">
        <f ca="1">IF(pajak[[#This Row],[//]]="","",SUMIF(Table1[h_id],pajak[[#This Row],[//]],Table1[h_diskon]))</f>
        <v/>
      </c>
      <c r="K30" s="87" t="str">
        <f ca="1">IF(pajak[[#This Row],[//]]="","",SUMIF(Table1[h_id],pajak[[#This Row],[//]],Table1[h_hargasetelahdiskon]))</f>
        <v/>
      </c>
      <c r="L30" s="87" t="str">
        <f ca="1">IF(pajak[//]="","",pajak[[#This Row],[Sub Total]]/1.11*11%)</f>
        <v/>
      </c>
      <c r="M30" s="87" t="str">
        <f ca="1">pajak[[#This Row],[Sub Total]]</f>
        <v/>
      </c>
      <c r="N30" s="85" t="str">
        <f ca="1">IF(pajak[[#This Row],[//]]="","",INDEX(Table1[pembuat nota :],pajak[//]-offset))</f>
        <v/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23100026</v>
      </c>
      <c r="T30" s="184" t="b">
        <f ca="1">IF(Table4[[#This Row],[AM]]&amp;" "&amp;Table4[[#This Row],[---]]=INDIRECT("pajak[@["&amp;Table4[#Headers]&amp;"]]"),MATCH(Table4[[#This Row],[---]],INDIRECT($3:$3),0))</f>
        <v>0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1:24" x14ac:dyDescent="0.25">
      <c r="D31" s="85" t="str">
        <f t="shared" ca="1" si="0"/>
        <v/>
      </c>
      <c r="E31" s="85" t="str">
        <f ca="1">IF(pajak[[#This Row],[//]]="","",INDEX(Table1[No. Invoice :],pajak[//]-offset))</f>
        <v/>
      </c>
      <c r="F31" s="88" t="str">
        <f ca="1">IF(pajak[[#This Row],[//]]="","",INDEX(Table1[Tgl Invoice :],pajak[//]-offset))</f>
        <v/>
      </c>
      <c r="G31" s="85" t="str">
        <f ca="1">IF(pajak[[#This Row],[//]]="","",INDEX(Table1[Kode Sales :],pajak[//]-offset))</f>
        <v/>
      </c>
      <c r="H31" s="85" t="str">
        <f ca="1">IF(pajak[[#This Row],[//]]="","",INDEX(Table1[Toko],pajak[//]-offset))</f>
        <v/>
      </c>
      <c r="I31" s="87" t="str">
        <f ca="1">IF(pajak[[#This Row],[//]]="","",SUMIF(Table1[h_id],pajak[[#This Row],[//]],Table1[h_hargasebelumdiskon]))</f>
        <v/>
      </c>
      <c r="J31" s="87" t="str">
        <f ca="1">IF(pajak[[#This Row],[//]]="","",SUMIF(Table1[h_id],pajak[[#This Row],[//]],Table1[h_diskon]))</f>
        <v/>
      </c>
      <c r="K31" s="87" t="str">
        <f ca="1">IF(pajak[[#This Row],[//]]="","",SUMIF(Table1[h_id],pajak[[#This Row],[//]],Table1[h_hargasetelahdiskon]))</f>
        <v/>
      </c>
      <c r="L31" s="87" t="str">
        <f ca="1">IF(pajak[//]="","",pajak[[#This Row],[Sub Total]]/1.11*11%)</f>
        <v/>
      </c>
      <c r="M31" s="87" t="str">
        <f ca="1">pajak[[#This Row],[Sub Total]]</f>
        <v/>
      </c>
      <c r="N31" s="85" t="str">
        <f ca="1">IF(pajak[[#This Row],[//]]="","",INDEX(Table1[pembuat nota :],pajak[//]-offset))</f>
        <v/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23100027</v>
      </c>
      <c r="T31" s="184" t="b">
        <f ca="1">IF(Table4[[#This Row],[AM]]&amp;" "&amp;Table4[[#This Row],[---]]=INDIRECT("pajak[@["&amp;Table4[#Headers]&amp;"]]"),MATCH(Table4[[#This Row],[---]],INDIRECT($3:$3),0))</f>
        <v>0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1:24" x14ac:dyDescent="0.25">
      <c r="D32" s="85" t="str">
        <f t="shared" ca="1" si="0"/>
        <v/>
      </c>
      <c r="E32" s="85" t="str">
        <f ca="1">IF(pajak[[#This Row],[//]]="","",INDEX(Table1[No. Invoice :],pajak[//]-offset))</f>
        <v/>
      </c>
      <c r="F32" s="88" t="str">
        <f ca="1">IF(pajak[[#This Row],[//]]="","",INDEX(Table1[Tgl Invoice :],pajak[//]-offset))</f>
        <v/>
      </c>
      <c r="G32" s="85" t="str">
        <f ca="1">IF(pajak[[#This Row],[//]]="","",INDEX(Table1[Kode Sales :],pajak[//]-offset))</f>
        <v/>
      </c>
      <c r="H32" s="85" t="str">
        <f ca="1">IF(pajak[[#This Row],[//]]="","",INDEX(Table1[Toko],pajak[//]-offset))</f>
        <v/>
      </c>
      <c r="I32" s="87" t="str">
        <f ca="1">IF(pajak[[#This Row],[//]]="","",SUMIF(Table1[h_id],pajak[[#This Row],[//]],Table1[h_hargasebelumdiskon]))</f>
        <v/>
      </c>
      <c r="J32" s="87" t="str">
        <f ca="1">IF(pajak[[#This Row],[//]]="","",SUMIF(Table1[h_id],pajak[[#This Row],[//]],Table1[h_diskon]))</f>
        <v/>
      </c>
      <c r="K32" s="87" t="str">
        <f ca="1">IF(pajak[[#This Row],[//]]="","",SUMIF(Table1[h_id],pajak[[#This Row],[//]],Table1[h_hargasetelahdiskon]))</f>
        <v/>
      </c>
      <c r="L32" s="87" t="str">
        <f ca="1">IF(pajak[//]="","",pajak[[#This Row],[Sub Total]]/1.11*11%)</f>
        <v/>
      </c>
      <c r="M32" s="87" t="str">
        <f ca="1">pajak[[#This Row],[Sub Total]]</f>
        <v/>
      </c>
      <c r="N32" s="85" t="str">
        <f ca="1">IF(pajak[[#This Row],[//]]="","",INDEX(Table1[pembuat nota :],pajak[//]-offset))</f>
        <v/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23100028</v>
      </c>
      <c r="T32" s="184" t="b">
        <f ca="1">IF(Table4[[#This Row],[AM]]&amp;" "&amp;Table4[[#This Row],[---]]=INDIRECT("pajak[@["&amp;Table4[#Headers]&amp;"]]"),MATCH(Table4[[#This Row],[---]],INDIRECT($3:$3),0))</f>
        <v>0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4:24" x14ac:dyDescent="0.25">
      <c r="D33" s="85" t="str">
        <f t="shared" ca="1" si="0"/>
        <v/>
      </c>
      <c r="E33" s="85" t="str">
        <f ca="1">IF(pajak[[#This Row],[//]]="","",INDEX(Table1[No. Invoice :],pajak[//]-offset))</f>
        <v/>
      </c>
      <c r="F33" s="88" t="str">
        <f ca="1">IF(pajak[[#This Row],[//]]="","",INDEX(Table1[Tgl Invoice :],pajak[//]-offset))</f>
        <v/>
      </c>
      <c r="G33" s="85" t="str">
        <f ca="1">IF(pajak[[#This Row],[//]]="","",INDEX(Table1[Kode Sales :],pajak[//]-offset))</f>
        <v/>
      </c>
      <c r="H33" s="85" t="str">
        <f ca="1">IF(pajak[[#This Row],[//]]="","",INDEX(Table1[Toko],pajak[//]-offset))</f>
        <v/>
      </c>
      <c r="I33" s="87" t="str">
        <f ca="1">IF(pajak[[#This Row],[//]]="","",SUMIF(Table1[h_id],pajak[[#This Row],[//]],Table1[h_hargasebelumdiskon]))</f>
        <v/>
      </c>
      <c r="J33" s="87" t="str">
        <f ca="1">IF(pajak[[#This Row],[//]]="","",SUMIF(Table1[h_id],pajak[[#This Row],[//]],Table1[h_diskon]))</f>
        <v/>
      </c>
      <c r="K33" s="87" t="str">
        <f ca="1">IF(pajak[[#This Row],[//]]="","",SUMIF(Table1[h_id],pajak[[#This Row],[//]],Table1[h_hargasetelahdiskon]))</f>
        <v/>
      </c>
      <c r="L33" s="87" t="str">
        <f ca="1">IF(pajak[//]="","",pajak[[#This Row],[Sub Total]]/1.11*11%)</f>
        <v/>
      </c>
      <c r="M33" s="87" t="str">
        <f ca="1">pajak[[#This Row],[Sub Total]]</f>
        <v/>
      </c>
      <c r="N33" s="85" t="str">
        <f ca="1">IF(pajak[[#This Row],[//]]="","",INDEX(Table1[pembuat nota :],pajak[//]-offset))</f>
        <v/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23100029</v>
      </c>
      <c r="T33" s="184" t="b">
        <f ca="1">IF(Table4[[#This Row],[AM]]&amp;" "&amp;Table4[[#This Row],[---]]=INDIRECT("pajak[@["&amp;Table4[#Headers]&amp;"]]"),MATCH(Table4[[#This Row],[---]],INDIRECT($3:$3),0))</f>
        <v>0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4:24" x14ac:dyDescent="0.25">
      <c r="D34" s="85" t="str">
        <f t="shared" ca="1" si="0"/>
        <v/>
      </c>
      <c r="E34" s="85" t="str">
        <f ca="1">IF(pajak[[#This Row],[//]]="","",INDEX(Table1[No. Invoice :],pajak[//]-offset))</f>
        <v/>
      </c>
      <c r="F34" s="88" t="str">
        <f ca="1">IF(pajak[[#This Row],[//]]="","",INDEX(Table1[Tgl Invoice :],pajak[//]-offset))</f>
        <v/>
      </c>
      <c r="G34" s="85" t="str">
        <f ca="1">IF(pajak[[#This Row],[//]]="","",INDEX(Table1[Kode Sales :],pajak[//]-offset))</f>
        <v/>
      </c>
      <c r="H34" s="85" t="str">
        <f ca="1">IF(pajak[[#This Row],[//]]="","",INDEX(Table1[Toko],pajak[//]-offset))</f>
        <v/>
      </c>
      <c r="I34" s="87" t="str">
        <f ca="1">IF(pajak[[#This Row],[//]]="","",SUMIF(Table1[h_id],pajak[[#This Row],[//]],Table1[h_hargasebelumdiskon]))</f>
        <v/>
      </c>
      <c r="J34" s="87" t="str">
        <f ca="1">IF(pajak[[#This Row],[//]]="","",SUMIF(Table1[h_id],pajak[[#This Row],[//]],Table1[h_diskon]))</f>
        <v/>
      </c>
      <c r="K34" s="87" t="str">
        <f ca="1">IF(pajak[[#This Row],[//]]="","",SUMIF(Table1[h_id],pajak[[#This Row],[//]],Table1[h_hargasetelahdiskon]))</f>
        <v/>
      </c>
      <c r="L34" s="87" t="str">
        <f ca="1">IF(pajak[//]="","",pajak[[#This Row],[Sub Total]]/1.11*11%)</f>
        <v/>
      </c>
      <c r="M34" s="87" t="str">
        <f ca="1">pajak[[#This Row],[Sub Total]]</f>
        <v/>
      </c>
      <c r="N34" s="85" t="str">
        <f ca="1">IF(pajak[[#This Row],[//]]="","",INDEX(Table1[pembuat nota :],pajak[//]-offset))</f>
        <v/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23100030</v>
      </c>
      <c r="T34" s="184" t="b">
        <f ca="1">IF(Table4[[#This Row],[AM]]&amp;" "&amp;Table4[[#This Row],[---]]=INDIRECT("pajak[@["&amp;Table4[#Headers]&amp;"]]"),MATCH(Table4[[#This Row],[---]],INDIRECT($3:$3),0))</f>
        <v>0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4:24" x14ac:dyDescent="0.25">
      <c r="D35" s="85" t="str">
        <f t="shared" ca="1" si="0"/>
        <v/>
      </c>
      <c r="E35" s="85" t="str">
        <f ca="1">IF(pajak[[#This Row],[//]]="","",INDEX(Table1[No. Invoice :],pajak[//]-offset))</f>
        <v/>
      </c>
      <c r="F35" s="88" t="str">
        <f ca="1">IF(pajak[[#This Row],[//]]="","",INDEX(Table1[Tgl Invoice :],pajak[//]-offset))</f>
        <v/>
      </c>
      <c r="G35" s="85" t="str">
        <f ca="1">IF(pajak[[#This Row],[//]]="","",INDEX(Table1[Kode Sales :],pajak[//]-offset))</f>
        <v/>
      </c>
      <c r="H35" s="85" t="str">
        <f ca="1">IF(pajak[[#This Row],[//]]="","",INDEX(Table1[Toko],pajak[//]-offset))</f>
        <v/>
      </c>
      <c r="I35" s="87" t="str">
        <f ca="1">IF(pajak[[#This Row],[//]]="","",SUMIF(Table1[h_id],pajak[[#This Row],[//]],Table1[h_hargasebelumdiskon]))</f>
        <v/>
      </c>
      <c r="J35" s="87" t="str">
        <f ca="1">IF(pajak[[#This Row],[//]]="","",SUMIF(Table1[h_id],pajak[[#This Row],[//]],Table1[h_diskon]))</f>
        <v/>
      </c>
      <c r="K35" s="87" t="str">
        <f ca="1">IF(pajak[[#This Row],[//]]="","",SUMIF(Table1[h_id],pajak[[#This Row],[//]],Table1[h_hargasetelahdiskon]))</f>
        <v/>
      </c>
      <c r="L35" s="87" t="str">
        <f ca="1">IF(pajak[//]="","",pajak[[#This Row],[Sub Total]]/1.11*11%)</f>
        <v/>
      </c>
      <c r="M35" s="87" t="str">
        <f ca="1">pajak[[#This Row],[Sub Total]]</f>
        <v/>
      </c>
      <c r="N35" s="85" t="str">
        <f ca="1">IF(pajak[[#This Row],[//]]="","",INDEX(Table1[pembuat nota :],pajak[//]-offset))</f>
        <v/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23100031</v>
      </c>
      <c r="T35" s="184" t="b">
        <f ca="1">IF(Table4[[#This Row],[AM]]&amp;" "&amp;Table4[[#This Row],[---]]=INDIRECT("pajak[@["&amp;Table4[#Headers]&amp;"]]"),MATCH(Table4[[#This Row],[---]],INDIRECT($3:$3),0))</f>
        <v>0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4:24" x14ac:dyDescent="0.25">
      <c r="D36" s="85" t="str">
        <f t="shared" ca="1" si="0"/>
        <v/>
      </c>
      <c r="E36" s="85" t="str">
        <f ca="1">IF(pajak[[#This Row],[//]]="","",INDEX(Table1[No. Invoice :],pajak[//]-offset))</f>
        <v/>
      </c>
      <c r="F36" s="88" t="str">
        <f ca="1">IF(pajak[[#This Row],[//]]="","",INDEX(Table1[Tgl Invoice :],pajak[//]-offset))</f>
        <v/>
      </c>
      <c r="G36" s="85" t="str">
        <f ca="1">IF(pajak[[#This Row],[//]]="","",INDEX(Table1[Kode Sales :],pajak[//]-offset))</f>
        <v/>
      </c>
      <c r="H36" s="85" t="str">
        <f ca="1">IF(pajak[[#This Row],[//]]="","",INDEX(Table1[Toko],pajak[//]-offset))</f>
        <v/>
      </c>
      <c r="I36" s="87" t="str">
        <f ca="1">IF(pajak[[#This Row],[//]]="","",SUMIF(Table1[h_id],pajak[[#This Row],[//]],Table1[h_hargasebelumdiskon]))</f>
        <v/>
      </c>
      <c r="J36" s="87" t="str">
        <f ca="1">IF(pajak[[#This Row],[//]]="","",SUMIF(Table1[h_id],pajak[[#This Row],[//]],Table1[h_diskon]))</f>
        <v/>
      </c>
      <c r="K36" s="87" t="str">
        <f ca="1">IF(pajak[[#This Row],[//]]="","",SUMIF(Table1[h_id],pajak[[#This Row],[//]],Table1[h_hargasetelahdiskon]))</f>
        <v/>
      </c>
      <c r="L36" s="87" t="str">
        <f ca="1">IF(pajak[//]="","",pajak[[#This Row],[Sub Total]]/1.11*11%)</f>
        <v/>
      </c>
      <c r="M36" s="87" t="str">
        <f ca="1">pajak[[#This Row],[Sub Total]]</f>
        <v/>
      </c>
      <c r="N36" s="85" t="str">
        <f ca="1">IF(pajak[[#This Row],[//]]="","",INDEX(Table1[pembuat nota :],pajak[//]-offset))</f>
        <v/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23100032</v>
      </c>
      <c r="T36" s="184" t="b">
        <f ca="1">IF(Table4[[#This Row],[AM]]&amp;" "&amp;Table4[[#This Row],[---]]=INDIRECT("pajak[@["&amp;Table4[#Headers]&amp;"]]"),MATCH(Table4[[#This Row],[---]],INDIRECT($3:$3),0))</f>
        <v>0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4:24" x14ac:dyDescent="0.25">
      <c r="D37" s="85" t="str">
        <f t="shared" ref="D37:D57" ca="1" si="2">IF(ROW()-(COUNTBLANK($D$1:$D$3)+1)&lt;=jNota,A37,"")</f>
        <v/>
      </c>
      <c r="E37" s="85" t="str">
        <f ca="1">IF(pajak[[#This Row],[//]]="","",INDEX(Table1[No. Invoice :],pajak[//]-offset))</f>
        <v/>
      </c>
      <c r="F37" s="88" t="str">
        <f ca="1">IF(pajak[[#This Row],[//]]="","",INDEX(Table1[Tgl Invoice :],pajak[//]-offset))</f>
        <v/>
      </c>
      <c r="G37" s="85" t="str">
        <f ca="1">IF(pajak[[#This Row],[//]]="","",INDEX(Table1[Kode Sales :],pajak[//]-offset))</f>
        <v/>
      </c>
      <c r="H37" s="85" t="str">
        <f ca="1">IF(pajak[[#This Row],[//]]="","",INDEX(Table1[Toko],pajak[//]-offset))</f>
        <v/>
      </c>
      <c r="I37" s="87" t="str">
        <f ca="1">IF(pajak[[#This Row],[//]]="","",SUMIF(Table1[h_id],pajak[[#This Row],[//]],Table1[h_hargasebelumdiskon]))</f>
        <v/>
      </c>
      <c r="J37" s="87" t="str">
        <f ca="1">IF(pajak[[#This Row],[//]]="","",SUMIF(Table1[h_id],pajak[[#This Row],[//]],Table1[h_diskon]))</f>
        <v/>
      </c>
      <c r="K37" s="87" t="str">
        <f ca="1">IF(pajak[[#This Row],[//]]="","",SUMIF(Table1[h_id],pajak[[#This Row],[//]],Table1[h_hargasetelahdiskon]))</f>
        <v/>
      </c>
      <c r="L37" s="87" t="str">
        <f ca="1">IF(pajak[//]="","",pajak[[#This Row],[Sub Total]]/1.11*11%)</f>
        <v/>
      </c>
      <c r="M37" s="87" t="str">
        <f ca="1">pajak[[#This Row],[Sub Total]]</f>
        <v/>
      </c>
      <c r="N37" s="85" t="str">
        <f ca="1">IF(pajak[[#This Row],[//]]="","",INDEX(Table1[pembuat nota :],pajak[//]-offset))</f>
        <v/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23100033</v>
      </c>
      <c r="T37" s="184" t="b">
        <f ca="1">IF(Table4[[#This Row],[AM]]&amp;" "&amp;Table4[[#This Row],[---]]=INDIRECT("pajak[@["&amp;Table4[#Headers]&amp;"]]"),MATCH(Table4[[#This Row],[---]],INDIRECT($3:$3),0))</f>
        <v>0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4:24" x14ac:dyDescent="0.25"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23100034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4:24" x14ac:dyDescent="0.25"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23100035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4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23100036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4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23100037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4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23100038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4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23100039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4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23100040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4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23100041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4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23100042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4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23100043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4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23100044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23100045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23100046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23100047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23100048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23100049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23100050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23100051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23100052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23100053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48</v>
      </c>
      <c r="F58"/>
      <c r="I58" s="87">
        <f ca="1">SUBTOTAL(109,pajak[Total])</f>
        <v>119122800</v>
      </c>
      <c r="J58" s="87">
        <f ca="1">SUBTOTAL(109,pajak[Diskon])</f>
        <v>15445476</v>
      </c>
      <c r="K58" s="87">
        <f ca="1">SUBTOTAL(109,pajak[Sub Total])</f>
        <v>103677324</v>
      </c>
      <c r="L58" s="87">
        <f ca="1">SUBTOTAL(109,pajak[PPN 11%])</f>
        <v>10274329.405405406</v>
      </c>
      <c r="M58" s="87">
        <f ca="1">SUBTOTAL(109,pajak[Total Invoice])</f>
        <v>103677324</v>
      </c>
      <c r="N58"/>
      <c r="O58"/>
      <c r="P58"/>
    </row>
  </sheetData>
  <conditionalFormatting sqref="G59:G1048576 G3:G57">
    <cfRule type="duplicateValues" dxfId="30" priority="9"/>
  </conditionalFormatting>
  <conditionalFormatting sqref="T1:X2 T4:X1048576">
    <cfRule type="containsText" dxfId="29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J37" sqref="J37:K37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52</v>
      </c>
      <c r="B1" t="s">
        <v>40</v>
      </c>
      <c r="C1">
        <f>COUNTA(NOTA!B1:B2)</f>
        <v>2</v>
      </c>
      <c r="D1" t="s">
        <v>41</v>
      </c>
      <c r="E1" t="str">
        <f ca="1">INDEX(Table1[Column5],newestIdRow-offset)</f>
        <v>LANCAR</v>
      </c>
      <c r="F1" t="s">
        <v>43</v>
      </c>
      <c r="G1">
        <f ca="1">INDEX(Table1[h_jumlahbarang],newestIdRow-offset)</f>
        <v>2</v>
      </c>
      <c r="I1" s="359" t="s">
        <v>71</v>
      </c>
      <c r="J1" s="359"/>
    </row>
    <row r="2" spans="1:12" s="3" customFormat="1" ht="7.5" customHeight="1" collapsed="1" x14ac:dyDescent="0.25">
      <c r="A2" s="2"/>
      <c r="D2" s="4"/>
      <c r="I2" s="5"/>
      <c r="J2" s="5" t="s">
        <v>97</v>
      </c>
      <c r="K2" t="s">
        <v>100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23100017</v>
      </c>
      <c r="G3" s="10" t="s">
        <v>16</v>
      </c>
      <c r="H3" s="366" t="str">
        <f ca="1">INDEX(Table2[b],MATCH(kToko,Table2[a],0))</f>
        <v>CV LANCAR JAYA SENTOSA</v>
      </c>
      <c r="I3" s="366"/>
      <c r="J3" s="366"/>
      <c r="K3" s="367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37" t="s">
        <v>18</v>
      </c>
      <c r="G4" s="16"/>
      <c r="H4" s="368"/>
      <c r="I4" s="368"/>
      <c r="J4" s="368"/>
      <c r="K4" s="369"/>
      <c r="L4" s="11"/>
    </row>
    <row r="5" spans="1:12" s="9" customFormat="1" ht="16.5" customHeight="1" x14ac:dyDescent="0.3">
      <c r="A5" s="6"/>
      <c r="B5" s="1" t="s">
        <v>2</v>
      </c>
      <c r="C5" s="7"/>
      <c r="D5" s="338">
        <f ca="1">INDEX(Table1[Tgl Invoice :],newestIdRow-offset)</f>
        <v>45217</v>
      </c>
      <c r="E5" s="339"/>
      <c r="F5" s="337"/>
      <c r="G5" s="17"/>
      <c r="H5" s="340" t="str">
        <f ca="1">IF(INDEX(Table2[c],MATCH(kToko,Table2[a],0))="","",INDEX(Table2[c],MATCH(kToko,Table2[a],0)))</f>
        <v/>
      </c>
      <c r="I5" s="340"/>
      <c r="J5" s="340"/>
      <c r="K5" s="341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37"/>
      <c r="G6" s="17"/>
      <c r="H6" s="342" t="str">
        <f ca="1">INDEX(Table2[d],MATCH(kToko,Table2[a],0))</f>
        <v>MALANG</v>
      </c>
      <c r="I6" s="342"/>
      <c r="J6" s="342"/>
      <c r="K6" s="343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KO 4511</v>
      </c>
      <c r="E7" s="8"/>
      <c r="F7" s="20"/>
      <c r="G7" s="21"/>
      <c r="H7" s="344"/>
      <c r="I7" s="344"/>
      <c r="J7" s="344"/>
      <c r="K7" s="345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1</v>
      </c>
      <c r="C11" s="45" t="str">
        <f ca="1">IF(A11&gt;jumlahBarang,"",UPPER((INDEX(Table1[Unit],newestIdRow-offset+A11-1))))</f>
        <v>LSN</v>
      </c>
      <c r="D11" s="46" t="str">
        <f ca="1">IF(A11&gt;jumlahBarang,"",IF(INDEX(Table1[C],newestIdRow-offset+A11-1)="","",INDEX(Table1[C],newestIdRow-offset+A11-1)))</f>
        <v/>
      </c>
      <c r="E11" s="47" t="str">
        <f ca="1">IF(A11&gt;jumlahBarang,"",INDEX(Table1[Item Description],newestIdRow-offset+A11-1))</f>
        <v>PENSIL WARNA JOYKO CP-12PB (PANJANG)</v>
      </c>
      <c r="F11" s="48"/>
      <c r="G11" s="49"/>
      <c r="H11" s="50">
        <f ca="1">IF(A11&gt;jumlahBarang,"",INDEX(Table1[Unit Price],newestIdRow-offset+A11-1))</f>
        <v>127200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111300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9</v>
      </c>
      <c r="C12" s="45" t="str">
        <f ca="1">IF(A12&gt;jumlahBarang,"",UPPER((INDEX(Table1[Unit],newestIdRow-offset+A12-1))))</f>
        <v>LSN</v>
      </c>
      <c r="D12" s="46" t="str">
        <f ca="1">IF(A12&gt;jumlahBarang,"",IF(INDEX(Table1[C],newestIdRow-offset+A12-1)="","",INDEX(Table1[C],newestIdRow-offset+A12-1)))</f>
        <v/>
      </c>
      <c r="E12" s="47" t="str">
        <f ca="1">IF(A12&gt;jumlahBarang,"",INDEX(Table1[Item Description],newestIdRow-offset+A12-1))</f>
        <v>PENSIL WARNA JOYKO CP-S12 MINI (PENDEK)</v>
      </c>
      <c r="F12" s="48"/>
      <c r="G12" s="49"/>
      <c r="H12" s="50">
        <f ca="1">IF(A12&gt;jumlahBarang,"",INDEX(Table1[Unit Price],newestIdRow-offset+A12-1))</f>
        <v>80400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633150</v>
      </c>
      <c r="L12" s="35"/>
    </row>
    <row r="13" spans="1:12" s="9" customFormat="1" ht="14.1" customHeight="1" x14ac:dyDescent="0.25">
      <c r="A13" s="44">
        <v>3</v>
      </c>
      <c r="B13" s="45" t="str">
        <f ca="1">IF(A13&gt;jumlahBarang,"",INDEX(Table1[Qty],newestIdRow-offset+A13-1))</f>
        <v/>
      </c>
      <c r="C13" s="45" t="str">
        <f ca="1">IF(A13&gt;jumlahBarang,"",UPPER((INDEX(Table1[Unit],newestIdRow-offset+A13-1))))</f>
        <v/>
      </c>
      <c r="D13" s="46" t="str">
        <f ca="1">IF(A13&gt;jumlahBarang,"",IF(INDEX(Table1[C],newestIdRow-offset+A13-1)="","",INDEX(Table1[C],newestIdRow-offset+A13-1)))</f>
        <v/>
      </c>
      <c r="E13" s="47" t="str">
        <f ca="1">IF(A13&gt;jumlahBarang,"",INDEX(Table1[Item Description],newestIdRow-offset+A13-1))</f>
        <v/>
      </c>
      <c r="F13" s="48"/>
      <c r="G13" s="49"/>
      <c r="H13" s="50" t="str">
        <f ca="1">IF(A13&gt;jumlahBarang,"",INDEX(Table1[Unit Price],newestIdRow-offset+A13-1))</f>
        <v/>
      </c>
      <c r="I13" s="51" t="str">
        <f ca="1">IF(A13&gt;jumlahBarang,"",IF(INDEX(Table1[Disc 1],newestIdRow-offset+A13-1)="","",INDEX(Table1[Disc 1],newestIdRow-offset+A13-1)))</f>
        <v/>
      </c>
      <c r="J13" s="51" t="str">
        <f ca="1">IF(A13&gt;jumlahBarang,"",IF(INDEX(Table1[Disc 2],newestIdRow-offset+A13-1)="","",INDEX(Table1[Disc 2],newestIdRow-offset+A13-1)))</f>
        <v/>
      </c>
      <c r="K13" s="52" t="str">
        <f ca="1">IF(A13&gt;jumlahBarang,"",INDEX(Table1[Amount],newestIdRow-offset+A13-1))</f>
        <v/>
      </c>
      <c r="L13" s="35"/>
    </row>
    <row r="14" spans="1:12" s="9" customFormat="1" ht="14.1" customHeight="1" x14ac:dyDescent="0.25">
      <c r="A14" s="44">
        <v>4</v>
      </c>
      <c r="B14" s="45" t="str">
        <f ca="1">IF(A14&gt;jumlahBarang,"",INDEX(Table1[Qty],newestIdRow-offset+A14-1))</f>
        <v/>
      </c>
      <c r="C14" s="45" t="str">
        <f ca="1">IF(A14&gt;jumlahBarang,"",UPPER((INDEX(Table1[Unit],newestIdRow-offset+A14-1))))</f>
        <v/>
      </c>
      <c r="D14" s="46" t="str">
        <f ca="1">IF(A14&gt;jumlahBarang,"",IF(INDEX(Table1[C],newestIdRow-offset+A14-1)="","",INDEX(Table1[C],newestIdRow-offset+A14-1)))</f>
        <v/>
      </c>
      <c r="E14" s="47" t="str">
        <f ca="1">IF(A14&gt;jumlahBarang,"",INDEX(Table1[Item Description],newestIdRow-offset+A14-1))</f>
        <v/>
      </c>
      <c r="F14" s="48"/>
      <c r="G14" s="49"/>
      <c r="H14" s="50" t="str">
        <f ca="1">IF(A14&gt;jumlahBarang,"",INDEX(Table1[Unit Price],newestIdRow-offset+A14-1))</f>
        <v/>
      </c>
      <c r="I14" s="51" t="str">
        <f ca="1">IF(A14&gt;jumlahBarang,"",IF(INDEX(Table1[Disc 1],newestIdRow-offset+A14-1)="","",INDEX(Table1[Disc 1],newestIdRow-offset+A14-1)))</f>
        <v/>
      </c>
      <c r="J14" s="51" t="str">
        <f ca="1">IF(A14&gt;jumlahBarang,"",IF(INDEX(Table1[Disc 2],newestIdRow-offset+A14-1)="","",INDEX(Table1[Disc 2],newestIdRow-offset+A14-1)))</f>
        <v/>
      </c>
      <c r="K14" s="52" t="str">
        <f ca="1">IF(A14&gt;jumlahBarang,"",INDEX(Table1[Amount],newestIdRow-offset+A14-1))</f>
        <v/>
      </c>
      <c r="L14" s="35"/>
    </row>
    <row r="15" spans="1:12" s="9" customFormat="1" ht="14.1" customHeight="1" x14ac:dyDescent="0.25">
      <c r="A15" s="44">
        <v>5</v>
      </c>
      <c r="B15" s="45" t="str">
        <f ca="1">IF(A15&gt;jumlahBarang,"",INDEX(Table1[Qty],newestIdRow-offset+A15-1))</f>
        <v/>
      </c>
      <c r="C15" s="45" t="str">
        <f ca="1">IF(A15&gt;jumlahBarang,"",UPPER((INDEX(Table1[Unit],newestIdRow-offset+A15-1))))</f>
        <v/>
      </c>
      <c r="D15" s="46" t="str">
        <f ca="1">IF(A15&gt;jumlahBarang,"",IF(INDEX(Table1[C],newestIdRow-offset+A15-1)="","",INDEX(Table1[C],newestIdRow-offset+A15-1)))</f>
        <v/>
      </c>
      <c r="E15" s="47" t="str">
        <f ca="1">IF(A15&gt;jumlahBarang,"",INDEX(Table1[Item Description],newestIdRow-offset+A15-1))</f>
        <v/>
      </c>
      <c r="F15" s="48"/>
      <c r="G15" s="49"/>
      <c r="H15" s="50" t="str">
        <f ca="1">IF(A15&gt;jumlahBarang,"",INDEX(Table1[Unit Price],newestIdRow-offset+A15-1))</f>
        <v/>
      </c>
      <c r="I15" s="51" t="str">
        <f ca="1">IF(A15&gt;jumlahBarang,"",IF(INDEX(Table1[Disc 1],newestIdRow-offset+A15-1)="","",INDEX(Table1[Disc 1],newestIdRow-offset+A15-1)))</f>
        <v/>
      </c>
      <c r="J15" s="51" t="str">
        <f ca="1">IF(A15&gt;jumlahBarang,"",IF(INDEX(Table1[Disc 2],newestIdRow-offset+A15-1)="","",INDEX(Table1[Disc 2],newestIdRow-offset+A15-1)))</f>
        <v/>
      </c>
      <c r="K15" s="52" t="str">
        <f ca="1">IF(A15&gt;jumlahBarang,"",INDEX(Table1[Amount],newestIdRow-offset+A15-1))</f>
        <v/>
      </c>
      <c r="L15" s="35"/>
    </row>
    <row r="16" spans="1:12" s="9" customFormat="1" ht="14.1" customHeight="1" x14ac:dyDescent="0.25">
      <c r="A16" s="44">
        <v>6</v>
      </c>
      <c r="B16" s="45" t="str">
        <f ca="1">IF(A16&gt;jumlahBarang,"",INDEX(Table1[Qty],newestIdRow-offset+A16-1))</f>
        <v/>
      </c>
      <c r="C16" s="45" t="str">
        <f ca="1">IF(A16&gt;jumlahBarang,"",UPPER((INDEX(Table1[Unit],newestIdRow-offset+A16-1))))</f>
        <v/>
      </c>
      <c r="D16" s="46" t="str">
        <f ca="1">IF(A16&gt;jumlahBarang,"",IF(INDEX(Table1[C],newestIdRow-offset+A16-1)="","",INDEX(Table1[C],newestIdRow-offset+A16-1)))</f>
        <v/>
      </c>
      <c r="E16" s="47" t="str">
        <f ca="1">IF(A16&gt;jumlahBarang,"",INDEX(Table1[Item Description],newestIdRow-offset+A16-1))</f>
        <v/>
      </c>
      <c r="F16" s="48"/>
      <c r="G16" s="49"/>
      <c r="H16" s="50" t="str">
        <f ca="1">IF(A16&gt;jumlahBarang,"",INDEX(Table1[Unit Price],newestIdRow-offset+A16-1))</f>
        <v/>
      </c>
      <c r="I16" s="51" t="str">
        <f ca="1">IF(A16&gt;jumlahBarang,"",IF(INDEX(Table1[Disc 1],newestIdRow-offset+A16-1)="","",INDEX(Table1[Disc 1],newestIdRow-offset+A16-1)))</f>
        <v/>
      </c>
      <c r="J16" s="51" t="str">
        <f ca="1">IF(A16&gt;jumlahBarang,"",IF(INDEX(Table1[Disc 2],newestIdRow-offset+A16-1)="","",INDEX(Table1[Disc 2],newestIdRow-offset+A16-1)))</f>
        <v/>
      </c>
      <c r="K16" s="52" t="str">
        <f ca="1">IF(A16&gt;jumlahBarang,"",INDEX(Table1[Amount],newestIdRow-offset+A16-1))</f>
        <v/>
      </c>
      <c r="L16" s="35"/>
    </row>
    <row r="17" spans="1:12" s="9" customFormat="1" ht="14.1" customHeight="1" x14ac:dyDescent="0.25">
      <c r="A17" s="44">
        <v>7</v>
      </c>
      <c r="B17" s="45" t="str">
        <f ca="1">IF(A17&gt;jumlahBarang,"",INDEX(Table1[Qty],newestIdRow-offset+A17-1))</f>
        <v/>
      </c>
      <c r="C17" s="45" t="str">
        <f ca="1">IF(A17&gt;jumlahBarang,"",UPPER((INDEX(Table1[Unit],newestIdRow-offset+A17-1))))</f>
        <v/>
      </c>
      <c r="D17" s="46" t="str">
        <f ca="1">IF(A17&gt;jumlahBarang,"",IF(INDEX(Table1[C],newestIdRow-offset+A17-1)="","",INDEX(Table1[C],newestIdRow-offset+A17-1)))</f>
        <v/>
      </c>
      <c r="E17" s="47" t="str">
        <f ca="1">IF(A17&gt;jumlahBarang,"",INDEX(Table1[Item Description],newestIdRow-offset+A17-1))</f>
        <v/>
      </c>
      <c r="F17" s="48"/>
      <c r="G17" s="49"/>
      <c r="H17" s="50" t="str">
        <f ca="1">IF(A17&gt;jumlahBarang,"",INDEX(Table1[Unit Price],newestIdRow-offset+A17-1))</f>
        <v/>
      </c>
      <c r="I17" s="51" t="str">
        <f ca="1">IF(A17&gt;jumlahBarang,"",IF(INDEX(Table1[Disc 1],newestIdRow-offset+A17-1)="","",INDEX(Table1[Disc 1],newestIdRow-offset+A17-1)))</f>
        <v/>
      </c>
      <c r="J17" s="51" t="str">
        <f ca="1">IF(A17&gt;jumlahBarang,"",IF(INDEX(Table1[Disc 2],newestIdRow-offset+A17-1)="","",INDEX(Table1[Disc 2],newestIdRow-offset+A17-1)))</f>
        <v/>
      </c>
      <c r="K17" s="52" t="str">
        <f ca="1">IF(A17&gt;jumlahBarang,"",INDEX(Table1[Amount],newestIdRow-offset+A17-1))</f>
        <v/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65"/>
      <c r="K28" s="365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62">
        <f ca="1">INDEX(pajak[Sub Total],MATCH(newestIdRow,pajak[//],0))</f>
        <v>744450</v>
      </c>
      <c r="K29" s="363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64"/>
      <c r="K30" s="364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65"/>
      <c r="K32" s="365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62">
        <f ca="1">INDEX(pajak[PPN 11%],MATCH(newestIdRow,pajak[//],0))</f>
        <v>73774.32432432432</v>
      </c>
      <c r="K33" s="363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65"/>
      <c r="K34" s="365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744450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360" t="str">
        <f ca="1">INDEX(pajak[pembuat nota],MATCH(newestIdRow,pajak[//],0))</f>
        <v>NOVI / CONDRO</v>
      </c>
      <c r="K37" s="361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360" t="str">
        <f ca="1">INDEX(pajak[edited],MATCH(newestIdRow,pajak[//],0))</f>
        <v/>
      </c>
      <c r="K38" s="361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23100017</v>
      </c>
      <c r="F41" s="195"/>
      <c r="G41" s="196" t="s">
        <v>16</v>
      </c>
      <c r="H41" s="346" t="str">
        <f ca="1">H3</f>
        <v>CV LANCAR JAYA SENTOSA</v>
      </c>
      <c r="I41" s="346"/>
      <c r="J41" s="346"/>
      <c r="K41" s="347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50" t="s">
        <v>18</v>
      </c>
      <c r="G42" s="202"/>
      <c r="H42" s="348"/>
      <c r="I42" s="348"/>
      <c r="J42" s="348"/>
      <c r="K42" s="349"/>
      <c r="L42" s="197"/>
    </row>
    <row r="43" spans="1:12" s="9" customFormat="1" ht="16.5" customHeight="1" x14ac:dyDescent="0.3">
      <c r="A43" s="190"/>
      <c r="B43" s="191" t="s">
        <v>2</v>
      </c>
      <c r="C43" s="192"/>
      <c r="D43" s="351">
        <f ca="1">D5</f>
        <v>45217</v>
      </c>
      <c r="E43" s="352"/>
      <c r="F43" s="350"/>
      <c r="G43" s="203"/>
      <c r="H43" s="353" t="str">
        <f ca="1">H5</f>
        <v/>
      </c>
      <c r="I43" s="353"/>
      <c r="J43" s="353"/>
      <c r="K43" s="354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50"/>
      <c r="G44" s="203"/>
      <c r="H44" s="355" t="str">
        <f ca="1">H6</f>
        <v>MALANG</v>
      </c>
      <c r="I44" s="355"/>
      <c r="J44" s="355"/>
      <c r="K44" s="356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KO 4511</v>
      </c>
      <c r="E45" s="194"/>
      <c r="F45" s="207"/>
      <c r="G45" s="208"/>
      <c r="H45" s="357"/>
      <c r="I45" s="357"/>
      <c r="J45" s="357"/>
      <c r="K45" s="358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1</v>
      </c>
      <c r="C49" s="234" t="str">
        <f t="shared" ca="1" si="0"/>
        <v>LSN</v>
      </c>
      <c r="D49" s="235" t="str">
        <f t="shared" ca="1" si="0"/>
        <v/>
      </c>
      <c r="E49" s="236" t="str">
        <f t="shared" ca="1" si="0"/>
        <v>PENSIL WARNA JOYKO CP-12PB (PANJANG)</v>
      </c>
      <c r="F49" s="237"/>
      <c r="G49" s="238"/>
      <c r="H49" s="239">
        <f t="shared" ref="H49:K64" ca="1" si="1">H11</f>
        <v>127200</v>
      </c>
      <c r="I49" s="240">
        <f t="shared" ca="1" si="1"/>
        <v>0.125</v>
      </c>
      <c r="J49" s="240" t="str">
        <f t="shared" ca="1" si="1"/>
        <v/>
      </c>
      <c r="K49" s="241">
        <f t="shared" ca="1" si="1"/>
        <v>111300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9</v>
      </c>
      <c r="C50" s="234" t="str">
        <f t="shared" ca="1" si="0"/>
        <v>LSN</v>
      </c>
      <c r="D50" s="235" t="str">
        <f t="shared" ca="1" si="0"/>
        <v/>
      </c>
      <c r="E50" s="236" t="str">
        <f t="shared" ca="1" si="0"/>
        <v>PENSIL WARNA JOYKO CP-S12 MINI (PENDEK)</v>
      </c>
      <c r="F50" s="237"/>
      <c r="G50" s="238"/>
      <c r="H50" s="239">
        <f t="shared" ca="1" si="1"/>
        <v>80400</v>
      </c>
      <c r="I50" s="240">
        <f t="shared" ca="1" si="1"/>
        <v>0.125</v>
      </c>
      <c r="J50" s="240" t="str">
        <f t="shared" ca="1" si="1"/>
        <v/>
      </c>
      <c r="K50" s="241">
        <f t="shared" ca="1" si="1"/>
        <v>633150</v>
      </c>
      <c r="L50" s="223"/>
    </row>
    <row r="51" spans="1:12" s="9" customFormat="1" ht="14.1" customHeight="1" x14ac:dyDescent="0.25">
      <c r="A51" s="232">
        <v>3</v>
      </c>
      <c r="B51" s="233" t="str">
        <f t="shared" ca="1" si="0"/>
        <v/>
      </c>
      <c r="C51" s="234" t="str">
        <f t="shared" ca="1" si="0"/>
        <v/>
      </c>
      <c r="D51" s="235" t="str">
        <f t="shared" ca="1" si="0"/>
        <v/>
      </c>
      <c r="E51" s="236" t="str">
        <f t="shared" ca="1" si="0"/>
        <v/>
      </c>
      <c r="F51" s="237"/>
      <c r="G51" s="238"/>
      <c r="H51" s="239" t="str">
        <f t="shared" ca="1" si="1"/>
        <v/>
      </c>
      <c r="I51" s="240" t="str">
        <f t="shared" ca="1" si="1"/>
        <v/>
      </c>
      <c r="J51" s="240" t="str">
        <f t="shared" ca="1" si="1"/>
        <v/>
      </c>
      <c r="K51" s="241" t="str">
        <f t="shared" ca="1" si="1"/>
        <v/>
      </c>
      <c r="L51" s="223"/>
    </row>
    <row r="52" spans="1:12" s="9" customFormat="1" ht="14.1" customHeight="1" x14ac:dyDescent="0.25">
      <c r="A52" s="232">
        <v>4</v>
      </c>
      <c r="B52" s="233" t="str">
        <f t="shared" ca="1" si="0"/>
        <v/>
      </c>
      <c r="C52" s="234" t="str">
        <f t="shared" ca="1" si="0"/>
        <v/>
      </c>
      <c r="D52" s="235" t="str">
        <f t="shared" ca="1" si="0"/>
        <v/>
      </c>
      <c r="E52" s="236" t="str">
        <f t="shared" ca="1" si="0"/>
        <v/>
      </c>
      <c r="F52" s="237"/>
      <c r="G52" s="238"/>
      <c r="H52" s="239" t="str">
        <f t="shared" ca="1" si="1"/>
        <v/>
      </c>
      <c r="I52" s="240" t="str">
        <f t="shared" ca="1" si="1"/>
        <v/>
      </c>
      <c r="J52" s="240" t="str">
        <f t="shared" ca="1" si="1"/>
        <v/>
      </c>
      <c r="K52" s="241" t="str">
        <f t="shared" ca="1" si="1"/>
        <v/>
      </c>
      <c r="L52" s="223"/>
    </row>
    <row r="53" spans="1:12" s="9" customFormat="1" ht="14.1" customHeight="1" x14ac:dyDescent="0.25">
      <c r="A53" s="232">
        <v>5</v>
      </c>
      <c r="B53" s="233" t="str">
        <f t="shared" ca="1" si="0"/>
        <v/>
      </c>
      <c r="C53" s="234" t="str">
        <f t="shared" ca="1" si="0"/>
        <v/>
      </c>
      <c r="D53" s="235" t="str">
        <f t="shared" ca="1" si="0"/>
        <v/>
      </c>
      <c r="E53" s="236" t="str">
        <f t="shared" ca="1" si="0"/>
        <v/>
      </c>
      <c r="F53" s="237"/>
      <c r="G53" s="238"/>
      <c r="H53" s="239" t="str">
        <f t="shared" ca="1" si="1"/>
        <v/>
      </c>
      <c r="I53" s="240" t="str">
        <f t="shared" ca="1" si="1"/>
        <v/>
      </c>
      <c r="J53" s="240" t="str">
        <f t="shared" ca="1" si="1"/>
        <v/>
      </c>
      <c r="K53" s="241" t="str">
        <f t="shared" ca="1" si="1"/>
        <v/>
      </c>
      <c r="L53" s="223"/>
    </row>
    <row r="54" spans="1:12" s="9" customFormat="1" ht="14.1" customHeight="1" x14ac:dyDescent="0.25">
      <c r="A54" s="232">
        <v>6</v>
      </c>
      <c r="B54" s="233" t="str">
        <f t="shared" ca="1" si="0"/>
        <v/>
      </c>
      <c r="C54" s="234" t="str">
        <f t="shared" ca="1" si="0"/>
        <v/>
      </c>
      <c r="D54" s="235" t="str">
        <f t="shared" ca="1" si="0"/>
        <v/>
      </c>
      <c r="E54" s="236" t="str">
        <f t="shared" ca="1" si="0"/>
        <v/>
      </c>
      <c r="F54" s="237"/>
      <c r="G54" s="238"/>
      <c r="H54" s="239" t="str">
        <f t="shared" ca="1" si="1"/>
        <v/>
      </c>
      <c r="I54" s="240" t="str">
        <f t="shared" ca="1" si="1"/>
        <v/>
      </c>
      <c r="J54" s="240" t="str">
        <f t="shared" ca="1" si="1"/>
        <v/>
      </c>
      <c r="K54" s="241" t="str">
        <f t="shared" ca="1" si="1"/>
        <v/>
      </c>
      <c r="L54" s="223"/>
    </row>
    <row r="55" spans="1:12" s="9" customFormat="1" ht="14.1" customHeight="1" x14ac:dyDescent="0.25">
      <c r="A55" s="232">
        <v>7</v>
      </c>
      <c r="B55" s="233" t="str">
        <f t="shared" ca="1" si="0"/>
        <v/>
      </c>
      <c r="C55" s="234" t="str">
        <f t="shared" ca="1" si="0"/>
        <v/>
      </c>
      <c r="D55" s="235" t="str">
        <f t="shared" ca="1" si="0"/>
        <v/>
      </c>
      <c r="E55" s="236" t="str">
        <f t="shared" ca="1" si="0"/>
        <v/>
      </c>
      <c r="F55" s="237"/>
      <c r="G55" s="238"/>
      <c r="H55" s="239" t="str">
        <f t="shared" ca="1" si="1"/>
        <v/>
      </c>
      <c r="I55" s="240" t="str">
        <f t="shared" ca="1" si="1"/>
        <v/>
      </c>
      <c r="J55" s="240" t="str">
        <f t="shared" ca="1" si="1"/>
        <v/>
      </c>
      <c r="K55" s="241" t="str">
        <f t="shared" ca="1" si="1"/>
        <v/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26"/>
      <c r="K66" s="326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34">
        <f ca="1">J29</f>
        <v>744450</v>
      </c>
      <c r="K67" s="335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36"/>
      <c r="K68" s="336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26"/>
      <c r="K70" s="326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34">
        <f ca="1">J33</f>
        <v>73774.32432432432</v>
      </c>
      <c r="K71" s="335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26"/>
      <c r="K72" s="326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744450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27" t="str">
        <f ca="1">J37</f>
        <v>NOVI / CONDRO</v>
      </c>
      <c r="K75" s="328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27" t="str">
        <f ca="1">J38</f>
        <v/>
      </c>
      <c r="K76" s="328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23100017</v>
      </c>
      <c r="F79" s="100"/>
      <c r="G79" s="101" t="s">
        <v>16</v>
      </c>
      <c r="H79" s="329" t="str">
        <f ca="1">H41</f>
        <v>CV LANCAR JAYA SENTOSA</v>
      </c>
      <c r="I79" s="329"/>
      <c r="J79" s="329"/>
      <c r="K79" s="330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33" t="s">
        <v>18</v>
      </c>
      <c r="G80" s="107"/>
      <c r="H80" s="331"/>
      <c r="I80" s="331"/>
      <c r="J80" s="331"/>
      <c r="K80" s="332"/>
      <c r="L80" s="102"/>
    </row>
    <row r="81" spans="1:12" s="9" customFormat="1" ht="16.5" customHeight="1" x14ac:dyDescent="0.3">
      <c r="A81" s="95"/>
      <c r="B81" s="96" t="s">
        <v>2</v>
      </c>
      <c r="C81" s="97"/>
      <c r="D81" s="318">
        <f ca="1">D43</f>
        <v>45217</v>
      </c>
      <c r="E81" s="319"/>
      <c r="F81" s="333"/>
      <c r="G81" s="108"/>
      <c r="H81" s="320" t="str">
        <f ca="1">H43</f>
        <v/>
      </c>
      <c r="I81" s="320"/>
      <c r="J81" s="320"/>
      <c r="K81" s="321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33"/>
      <c r="G82" s="108"/>
      <c r="H82" s="322" t="str">
        <f ca="1">H44</f>
        <v>MALANG</v>
      </c>
      <c r="I82" s="322"/>
      <c r="J82" s="322"/>
      <c r="K82" s="323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KO 4511</v>
      </c>
      <c r="E83" s="99"/>
      <c r="F83" s="112"/>
      <c r="G83" s="113"/>
      <c r="H83" s="324"/>
      <c r="I83" s="324"/>
      <c r="J83" s="324"/>
      <c r="K83" s="325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1</v>
      </c>
      <c r="C87" s="139" t="str">
        <f t="shared" ca="1" si="2"/>
        <v>LSN</v>
      </c>
      <c r="D87" s="140" t="str">
        <f t="shared" ca="1" si="2"/>
        <v/>
      </c>
      <c r="E87" s="141" t="str">
        <f t="shared" ca="1" si="2"/>
        <v>PENSIL WARNA JOYKO CP-12PB (PANJANG)</v>
      </c>
      <c r="F87" s="142"/>
      <c r="G87" s="143"/>
      <c r="H87" s="144">
        <f t="shared" ref="H87:K102" ca="1" si="3">H49</f>
        <v>127200</v>
      </c>
      <c r="I87" s="145">
        <f t="shared" ca="1" si="3"/>
        <v>0.125</v>
      </c>
      <c r="J87" s="145" t="str">
        <f t="shared" ca="1" si="3"/>
        <v/>
      </c>
      <c r="K87" s="146">
        <f t="shared" ca="1" si="3"/>
        <v>111300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9</v>
      </c>
      <c r="C88" s="139" t="str">
        <f t="shared" ca="1" si="2"/>
        <v>LSN</v>
      </c>
      <c r="D88" s="140" t="str">
        <f t="shared" ca="1" si="2"/>
        <v/>
      </c>
      <c r="E88" s="141" t="str">
        <f t="shared" ca="1" si="2"/>
        <v>PENSIL WARNA JOYKO CP-S12 MINI (PENDEK)</v>
      </c>
      <c r="F88" s="142"/>
      <c r="G88" s="143"/>
      <c r="H88" s="144">
        <f t="shared" ca="1" si="3"/>
        <v>80400</v>
      </c>
      <c r="I88" s="145">
        <f t="shared" ca="1" si="3"/>
        <v>0.125</v>
      </c>
      <c r="J88" s="145" t="str">
        <f t="shared" ca="1" si="3"/>
        <v/>
      </c>
      <c r="K88" s="146">
        <f t="shared" ca="1" si="3"/>
        <v>633150</v>
      </c>
      <c r="L88" s="128"/>
    </row>
    <row r="89" spans="1:12" s="9" customFormat="1" ht="14.1" customHeight="1" x14ac:dyDescent="0.25">
      <c r="A89" s="137">
        <v>3</v>
      </c>
      <c r="B89" s="138" t="str">
        <f t="shared" ca="1" si="2"/>
        <v/>
      </c>
      <c r="C89" s="139" t="str">
        <f t="shared" ca="1" si="2"/>
        <v/>
      </c>
      <c r="D89" s="140" t="str">
        <f t="shared" ca="1" si="2"/>
        <v/>
      </c>
      <c r="E89" s="141" t="str">
        <f t="shared" ca="1" si="2"/>
        <v/>
      </c>
      <c r="F89" s="142"/>
      <c r="G89" s="143"/>
      <c r="H89" s="144" t="str">
        <f t="shared" ca="1" si="3"/>
        <v/>
      </c>
      <c r="I89" s="145" t="str">
        <f t="shared" ca="1" si="3"/>
        <v/>
      </c>
      <c r="J89" s="145" t="str">
        <f t="shared" ca="1" si="3"/>
        <v/>
      </c>
      <c r="K89" s="146" t="str">
        <f t="shared" ca="1" si="3"/>
        <v/>
      </c>
      <c r="L89" s="128"/>
    </row>
    <row r="90" spans="1:12" s="9" customFormat="1" ht="14.1" customHeight="1" x14ac:dyDescent="0.25">
      <c r="A90" s="137">
        <v>4</v>
      </c>
      <c r="B90" s="138" t="str">
        <f t="shared" ca="1" si="2"/>
        <v/>
      </c>
      <c r="C90" s="139" t="str">
        <f t="shared" ca="1" si="2"/>
        <v/>
      </c>
      <c r="D90" s="140" t="str">
        <f t="shared" ca="1" si="2"/>
        <v/>
      </c>
      <c r="E90" s="141" t="str">
        <f t="shared" ca="1" si="2"/>
        <v/>
      </c>
      <c r="F90" s="142"/>
      <c r="G90" s="143"/>
      <c r="H90" s="144" t="str">
        <f t="shared" ca="1" si="3"/>
        <v/>
      </c>
      <c r="I90" s="145" t="str">
        <f t="shared" ca="1" si="3"/>
        <v/>
      </c>
      <c r="J90" s="145" t="str">
        <f t="shared" ca="1" si="3"/>
        <v/>
      </c>
      <c r="K90" s="146" t="str">
        <f t="shared" ca="1" si="3"/>
        <v/>
      </c>
      <c r="L90" s="128"/>
    </row>
    <row r="91" spans="1:12" s="9" customFormat="1" ht="14.1" customHeight="1" x14ac:dyDescent="0.25">
      <c r="A91" s="137">
        <v>5</v>
      </c>
      <c r="B91" s="138" t="str">
        <f t="shared" ca="1" si="2"/>
        <v/>
      </c>
      <c r="C91" s="139" t="str">
        <f t="shared" ca="1" si="2"/>
        <v/>
      </c>
      <c r="D91" s="140" t="str">
        <f t="shared" ca="1" si="2"/>
        <v/>
      </c>
      <c r="E91" s="141" t="str">
        <f t="shared" ca="1" si="2"/>
        <v/>
      </c>
      <c r="F91" s="142"/>
      <c r="G91" s="143"/>
      <c r="H91" s="144" t="str">
        <f t="shared" ca="1" si="3"/>
        <v/>
      </c>
      <c r="I91" s="145" t="str">
        <f t="shared" ca="1" si="3"/>
        <v/>
      </c>
      <c r="J91" s="145" t="str">
        <f t="shared" ca="1" si="3"/>
        <v/>
      </c>
      <c r="K91" s="146" t="str">
        <f t="shared" ca="1" si="3"/>
        <v/>
      </c>
      <c r="L91" s="128"/>
    </row>
    <row r="92" spans="1:12" s="9" customFormat="1" ht="14.1" customHeight="1" x14ac:dyDescent="0.25">
      <c r="A92" s="137">
        <v>6</v>
      </c>
      <c r="B92" s="138" t="str">
        <f t="shared" ca="1" si="2"/>
        <v/>
      </c>
      <c r="C92" s="139" t="str">
        <f t="shared" ca="1" si="2"/>
        <v/>
      </c>
      <c r="D92" s="140" t="str">
        <f t="shared" ca="1" si="2"/>
        <v/>
      </c>
      <c r="E92" s="141" t="str">
        <f t="shared" ca="1" si="2"/>
        <v/>
      </c>
      <c r="F92" s="142"/>
      <c r="G92" s="143"/>
      <c r="H92" s="144" t="str">
        <f t="shared" ca="1" si="3"/>
        <v/>
      </c>
      <c r="I92" s="145" t="str">
        <f t="shared" ca="1" si="3"/>
        <v/>
      </c>
      <c r="J92" s="145" t="str">
        <f t="shared" ca="1" si="3"/>
        <v/>
      </c>
      <c r="K92" s="146" t="str">
        <f t="shared" ca="1" si="3"/>
        <v/>
      </c>
      <c r="L92" s="128"/>
    </row>
    <row r="93" spans="1:12" s="9" customFormat="1" ht="14.1" customHeight="1" x14ac:dyDescent="0.25">
      <c r="A93" s="137">
        <v>7</v>
      </c>
      <c r="B93" s="138" t="str">
        <f t="shared" ca="1" si="2"/>
        <v/>
      </c>
      <c r="C93" s="139" t="str">
        <f t="shared" ca="1" si="2"/>
        <v/>
      </c>
      <c r="D93" s="140" t="str">
        <f t="shared" ca="1" si="2"/>
        <v/>
      </c>
      <c r="E93" s="141" t="str">
        <f t="shared" ca="1" si="2"/>
        <v/>
      </c>
      <c r="F93" s="142"/>
      <c r="G93" s="143"/>
      <c r="H93" s="144" t="str">
        <f t="shared" ca="1" si="3"/>
        <v/>
      </c>
      <c r="I93" s="145" t="str">
        <f t="shared" ca="1" si="3"/>
        <v/>
      </c>
      <c r="J93" s="145" t="str">
        <f t="shared" ca="1" si="3"/>
        <v/>
      </c>
      <c r="K93" s="146" t="str">
        <f t="shared" ca="1" si="3"/>
        <v/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15"/>
      <c r="K104" s="315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16">
        <f ca="1">J67</f>
        <v>744450</v>
      </c>
      <c r="K105" s="317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14"/>
      <c r="K106" s="314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15"/>
      <c r="K108" s="315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16">
        <f ca="1">J71</f>
        <v>73774.32432432432</v>
      </c>
      <c r="K109" s="317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15"/>
      <c r="K110" s="315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744450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12" t="str">
        <f ca="1">J75</f>
        <v>NOVI / CONDRO</v>
      </c>
      <c r="K113" s="313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12" t="str">
        <f ca="1">J76</f>
        <v/>
      </c>
      <c r="K114" s="313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J66:K66"/>
    <mergeCell ref="J67:K67"/>
    <mergeCell ref="J68:K68"/>
    <mergeCell ref="J70:K70"/>
    <mergeCell ref="J71:K71"/>
    <mergeCell ref="J72:K72"/>
    <mergeCell ref="J75:K75"/>
    <mergeCell ref="J76:K76"/>
    <mergeCell ref="H79:K80"/>
    <mergeCell ref="F80:F82"/>
    <mergeCell ref="D81:E81"/>
    <mergeCell ref="H81:K81"/>
    <mergeCell ref="H82:K83"/>
    <mergeCell ref="J104:K104"/>
    <mergeCell ref="J105:K105"/>
    <mergeCell ref="J114:K114"/>
    <mergeCell ref="J106:K106"/>
    <mergeCell ref="J108:K108"/>
    <mergeCell ref="J109:K109"/>
    <mergeCell ref="J110:K110"/>
    <mergeCell ref="J113:K113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2"/>
  <sheetViews>
    <sheetView topLeftCell="A4" workbookViewId="0">
      <selection activeCell="B3" sqref="B3:B11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32</v>
      </c>
    </row>
    <row r="2" spans="1:5" x14ac:dyDescent="0.25">
      <c r="A2" t="s">
        <v>31</v>
      </c>
      <c r="B2" t="s">
        <v>33</v>
      </c>
      <c r="C2" t="s">
        <v>34</v>
      </c>
      <c r="D2" t="s">
        <v>35</v>
      </c>
      <c r="E2" t="s">
        <v>36</v>
      </c>
    </row>
    <row r="3" spans="1:5" x14ac:dyDescent="0.25">
      <c r="A3" t="s">
        <v>88</v>
      </c>
      <c r="B3" t="s">
        <v>87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38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77</v>
      </c>
      <c r="B5" t="s">
        <v>78</v>
      </c>
      <c r="D5" t="s">
        <v>79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81</v>
      </c>
      <c r="B6" t="s">
        <v>57</v>
      </c>
      <c r="C6" t="s">
        <v>56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64</v>
      </c>
      <c r="B7" t="s">
        <v>65</v>
      </c>
      <c r="D7" t="s">
        <v>66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72</v>
      </c>
      <c r="B8" t="s">
        <v>73</v>
      </c>
      <c r="D8" t="s">
        <v>74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83</v>
      </c>
      <c r="B9" t="s">
        <v>75</v>
      </c>
      <c r="D9" t="s">
        <v>76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93</v>
      </c>
      <c r="B10" t="s">
        <v>95</v>
      </c>
      <c r="D10" t="s">
        <v>94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39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89</v>
      </c>
      <c r="B12" t="s">
        <v>62</v>
      </c>
      <c r="D12" t="s">
        <v>63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90</v>
      </c>
      <c r="B14" t="s">
        <v>61</v>
      </c>
      <c r="C14" t="s">
        <v>59</v>
      </c>
      <c r="D14" t="s">
        <v>60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98</v>
      </c>
      <c r="B15" t="s">
        <v>121</v>
      </c>
      <c r="D15" t="s">
        <v>99</v>
      </c>
      <c r="E15" s="85" t="str">
        <f>CONCATENATE(Table2[[#This Row],[b]],IF(Table2[[#This Row],[c]]=""," ",CONCATENATE(" ",Table2[[#This Row],[c]]," ")),Table2[[#This Row],[d]])</f>
        <v>CV FM 90 KEBUMEN</v>
      </c>
    </row>
    <row r="16" spans="1:5" x14ac:dyDescent="0.25">
      <c r="A16" t="s">
        <v>84</v>
      </c>
      <c r="B16" t="s">
        <v>85</v>
      </c>
      <c r="C16" t="s">
        <v>86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58</v>
      </c>
      <c r="B17" t="s">
        <v>114</v>
      </c>
      <c r="C17" t="s">
        <v>113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91</v>
      </c>
      <c r="B18" t="s">
        <v>109</v>
      </c>
      <c r="D18" t="s">
        <v>92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103</v>
      </c>
      <c r="B19" t="s">
        <v>104</v>
      </c>
      <c r="D19" t="s">
        <v>105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108</v>
      </c>
      <c r="B20" t="s">
        <v>106</v>
      </c>
      <c r="C20" t="s">
        <v>107</v>
      </c>
      <c r="D20" t="s">
        <v>70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110</v>
      </c>
      <c r="B21" t="s">
        <v>111</v>
      </c>
      <c r="C21" t="s">
        <v>112</v>
      </c>
      <c r="D21" t="s">
        <v>63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  <row r="22" spans="1:5" x14ac:dyDescent="0.25">
      <c r="A22" t="s">
        <v>122</v>
      </c>
      <c r="B22" t="s">
        <v>123</v>
      </c>
      <c r="C22" t="s">
        <v>125</v>
      </c>
      <c r="D22" t="s">
        <v>124</v>
      </c>
      <c r="E22" s="85" t="str">
        <f>CONCATENATE(Table2[[#This Row],[b]],IF(Table2[[#This Row],[c]]=""," ",CONCATENATE(" ",Table2[[#This Row],[c]]," ")),Table2[[#This Row],[d]])</f>
        <v>MONG SANTOSA ANDRESTA ( SIDU ) SALATIGA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2023-10-21T09:16:33Z</dcterms:modified>
</cp:coreProperties>
</file>